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导出计数_项目部" sheetId="6" r:id="rId3"/>
    <sheet name="钢厂库存表" sheetId="3" r:id="rId4"/>
    <sheet name="物流明细" sheetId="4" r:id="rId5"/>
  </sheets>
  <externalReferences>
    <externalReference r:id="rId7"/>
  </externalReferences>
  <definedNames>
    <definedName name="_xlnm._FilterDatabase" localSheetId="0" hidden="1">汇总计划!$A$1:$Q$5046</definedName>
    <definedName name="_xlnm._FilterDatabase" localSheetId="4"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<sst xmlns="http://schemas.openxmlformats.org/spreadsheetml/2006/main" count="11500" uniqueCount="523">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</sst>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F800]dddd\,\ mmmm\ dd\,\ yyyy"/>
    <numFmt numFmtId="177" formatCode="m/d;@"/>
    <numFmt numFmtId="178" formatCode="0_);[Red]\(0\)"/>
    <numFmt numFmtId="179" formatCode="yyyy/m/d;@"/>
    <numFmt numFmtId="180" formatCode="0_ "/>
    <numFmt numFmtId="181" formatCode="0.0_ "/>
  </numFmts>
  <fonts count="43">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1" fillId="7" borderId="0" applyNumberFormat="0" applyBorder="0" applyAlignment="0" applyProtection="0">
      <alignment vertical="center"/>
    </xf>
    <xf numFmtId="0" fontId="22"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1" fillId="9" borderId="0" applyNumberFormat="0" applyBorder="0" applyAlignment="0" applyProtection="0">
      <alignment vertical="center"/>
    </xf>
    <xf numFmtId="0" fontId="23" fillId="10" borderId="0" applyNumberFormat="0" applyBorder="0" applyAlignment="0" applyProtection="0">
      <alignment vertical="center"/>
    </xf>
    <xf numFmtId="43" fontId="0" fillId="0" borderId="0" applyFont="0" applyFill="0" applyBorder="0" applyAlignment="0" applyProtection="0">
      <alignment vertical="center"/>
    </xf>
    <xf numFmtId="0" fontId="24" fillId="11" borderId="0" applyNumberFormat="0" applyBorder="0" applyAlignment="0" applyProtection="0">
      <alignment vertical="center"/>
    </xf>
    <xf numFmtId="0" fontId="25"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24" fillId="13" borderId="0" applyNumberFormat="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14" applyNumberFormat="0" applyFill="0" applyAlignment="0" applyProtection="0">
      <alignment vertical="center"/>
    </xf>
    <xf numFmtId="0" fontId="31" fillId="0" borderId="14" applyNumberFormat="0" applyFill="0" applyAlignment="0" applyProtection="0">
      <alignment vertical="center"/>
    </xf>
    <xf numFmtId="0" fontId="24" fillId="14" borderId="0" applyNumberFormat="0" applyBorder="0" applyAlignment="0" applyProtection="0">
      <alignment vertical="center"/>
    </xf>
    <xf numFmtId="0" fontId="26" fillId="0" borderId="15" applyNumberFormat="0" applyFill="0" applyAlignment="0" applyProtection="0">
      <alignment vertical="center"/>
    </xf>
    <xf numFmtId="0" fontId="32" fillId="0" borderId="0">
      <alignment vertical="center"/>
    </xf>
    <xf numFmtId="0" fontId="24" fillId="15" borderId="0" applyNumberFormat="0" applyBorder="0" applyAlignment="0" applyProtection="0">
      <alignment vertical="center"/>
    </xf>
    <xf numFmtId="0" fontId="33" fillId="16" borderId="16" applyNumberFormat="0" applyAlignment="0" applyProtection="0">
      <alignment vertical="center"/>
    </xf>
    <xf numFmtId="0" fontId="34" fillId="16" borderId="12" applyNumberFormat="0" applyAlignment="0" applyProtection="0">
      <alignment vertical="center"/>
    </xf>
    <xf numFmtId="0" fontId="35" fillId="17" borderId="17" applyNumberFormat="0" applyAlignment="0" applyProtection="0">
      <alignment vertical="center"/>
    </xf>
    <xf numFmtId="0" fontId="21" fillId="18" borderId="0" applyNumberFormat="0" applyBorder="0" applyAlignment="0" applyProtection="0">
      <alignment vertical="center"/>
    </xf>
    <xf numFmtId="0" fontId="24" fillId="19" borderId="0" applyNumberFormat="0" applyBorder="0" applyAlignment="0" applyProtection="0">
      <alignment vertical="center"/>
    </xf>
    <xf numFmtId="0" fontId="36" fillId="0" borderId="18" applyNumberFormat="0" applyFill="0" applyAlignment="0" applyProtection="0">
      <alignment vertical="center"/>
    </xf>
    <xf numFmtId="0" fontId="37" fillId="0" borderId="19" applyNumberFormat="0" applyFill="0" applyAlignment="0" applyProtection="0">
      <alignment vertical="center"/>
    </xf>
    <xf numFmtId="0" fontId="38" fillId="20" borderId="0" applyNumberFormat="0" applyBorder="0" applyAlignment="0" applyProtection="0">
      <alignment vertical="center"/>
    </xf>
    <xf numFmtId="0" fontId="39" fillId="21" borderId="0" applyNumberFormat="0" applyBorder="0" applyAlignment="0" applyProtection="0">
      <alignment vertical="center"/>
    </xf>
    <xf numFmtId="0" fontId="21" fillId="22" borderId="0" applyNumberFormat="0" applyBorder="0" applyAlignment="0" applyProtection="0">
      <alignment vertical="center"/>
    </xf>
    <xf numFmtId="0" fontId="24" fillId="23" borderId="0" applyNumberFormat="0" applyBorder="0" applyAlignment="0" applyProtection="0">
      <alignment vertical="center"/>
    </xf>
    <xf numFmtId="0" fontId="21" fillId="24" borderId="0" applyNumberFormat="0" applyBorder="0" applyAlignment="0" applyProtection="0">
      <alignment vertical="center"/>
    </xf>
    <xf numFmtId="0" fontId="21" fillId="25" borderId="0" applyNumberFormat="0" applyBorder="0" applyAlignment="0" applyProtection="0">
      <alignment vertical="center"/>
    </xf>
    <xf numFmtId="0" fontId="21" fillId="26" borderId="0" applyNumberFormat="0" applyBorder="0" applyAlignment="0" applyProtection="0">
      <alignment vertical="center"/>
    </xf>
    <xf numFmtId="0" fontId="21" fillId="27" borderId="0" applyNumberFormat="0" applyBorder="0" applyAlignment="0" applyProtection="0">
      <alignment vertical="center"/>
    </xf>
    <xf numFmtId="0" fontId="24" fillId="28" borderId="0" applyNumberFormat="0" applyBorder="0" applyAlignment="0" applyProtection="0">
      <alignment vertical="center"/>
    </xf>
    <xf numFmtId="0" fontId="24" fillId="29" borderId="0" applyNumberFormat="0" applyBorder="0" applyAlignment="0" applyProtection="0">
      <alignment vertical="center"/>
    </xf>
    <xf numFmtId="0" fontId="21" fillId="30" borderId="0" applyNumberFormat="0" applyBorder="0" applyAlignment="0" applyProtection="0">
      <alignment vertical="center"/>
    </xf>
    <xf numFmtId="0" fontId="21" fillId="4" borderId="0" applyNumberFormat="0" applyBorder="0" applyAlignment="0" applyProtection="0">
      <alignment vertical="center"/>
    </xf>
    <xf numFmtId="0" fontId="24" fillId="31" borderId="0" applyNumberFormat="0" applyBorder="0" applyAlignment="0" applyProtection="0">
      <alignment vertical="center"/>
    </xf>
    <xf numFmtId="0" fontId="21" fillId="32" borderId="0" applyNumberFormat="0" applyBorder="0" applyAlignment="0" applyProtection="0">
      <alignment vertical="center"/>
    </xf>
    <xf numFmtId="0" fontId="24" fillId="33" borderId="0" applyNumberFormat="0" applyBorder="0" applyAlignment="0" applyProtection="0">
      <alignment vertical="center"/>
    </xf>
    <xf numFmtId="0" fontId="24" fillId="34" borderId="0" applyNumberFormat="0" applyBorder="0" applyAlignment="0" applyProtection="0">
      <alignment vertical="center"/>
    </xf>
    <xf numFmtId="0" fontId="21" fillId="35" borderId="0" applyNumberFormat="0" applyBorder="0" applyAlignment="0" applyProtection="0">
      <alignment vertical="center"/>
    </xf>
    <xf numFmtId="0" fontId="24" fillId="36" borderId="0" applyNumberFormat="0" applyBorder="0" applyAlignment="0" applyProtection="0">
      <alignment vertical="center"/>
    </xf>
    <xf numFmtId="176" fontId="40" fillId="0" borderId="0">
      <alignment vertical="center"/>
    </xf>
    <xf numFmtId="0" fontId="0" fillId="0" borderId="0">
      <alignment vertical="center"/>
    </xf>
    <xf numFmtId="0" fontId="32" fillId="0" borderId="0">
      <alignment vertical="center"/>
    </xf>
  </cellStyleXfs>
  <cellXfs count="160">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8" fontId="1" fillId="0" borderId="1" xfId="0" applyNumberFormat="1" applyFont="1" applyBorder="1" applyAlignment="1">
      <alignment horizontal="center" vertical="center"/>
    </xf>
    <xf numFmtId="179"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9"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0" fillId="0" borderId="0" xfId="0" applyAlignment="1">
      <alignment vertical="center"/>
    </xf>
    <xf numFmtId="0" fontId="10" fillId="0" borderId="0" xfId="0" applyFont="1" applyAlignment="1">
      <alignment horizontal="center" vertical="center"/>
    </xf>
    <xf numFmtId="0" fontId="10" fillId="3" borderId="0" xfId="0" applyFont="1" applyFill="1" applyAlignment="1">
      <alignment horizontal="center" vertical="center"/>
    </xf>
    <xf numFmtId="0" fontId="11" fillId="3" borderId="0" xfId="0" applyFont="1" applyFill="1" applyAlignment="1">
      <alignment horizontal="left" vertical="center"/>
    </xf>
    <xf numFmtId="0" fontId="10" fillId="0" borderId="0" xfId="0" applyFont="1" applyAlignment="1">
      <alignment horizontal="left" vertical="center"/>
    </xf>
    <xf numFmtId="0" fontId="12" fillId="0" borderId="0" xfId="0" applyFont="1">
      <alignment vertical="center"/>
    </xf>
    <xf numFmtId="0" fontId="0" fillId="0" borderId="0" xfId="0" applyAlignment="1"/>
    <xf numFmtId="0" fontId="13" fillId="0" borderId="1" xfId="0" applyFont="1" applyBorder="1" applyAlignment="1">
      <alignment horizontal="center" vertical="center"/>
    </xf>
    <xf numFmtId="0" fontId="13" fillId="3" borderId="0" xfId="0" applyFont="1" applyFill="1" applyAlignment="1">
      <alignment horizontal="center" vertical="center"/>
    </xf>
    <xf numFmtId="0" fontId="13" fillId="4" borderId="1" xfId="0" applyFont="1" applyFill="1" applyBorder="1" applyAlignment="1">
      <alignment horizontal="left" vertical="center"/>
    </xf>
    <xf numFmtId="0" fontId="13" fillId="4" borderId="1" xfId="0" applyFont="1" applyFill="1" applyBorder="1" applyAlignment="1">
      <alignment horizontal="center" vertical="center"/>
    </xf>
    <xf numFmtId="0" fontId="14" fillId="0" borderId="1" xfId="0" applyFont="1" applyBorder="1" applyAlignment="1">
      <alignment horizontal="center" vertical="center"/>
    </xf>
    <xf numFmtId="0" fontId="14" fillId="3" borderId="0" xfId="0" applyFont="1" applyFill="1" applyAlignment="1">
      <alignment horizontal="center" vertical="center"/>
    </xf>
    <xf numFmtId="0" fontId="15" fillId="3" borderId="1" xfId="0" applyFont="1" applyFill="1" applyBorder="1" applyAlignment="1">
      <alignment horizontal="left" vertical="center"/>
    </xf>
    <xf numFmtId="0" fontId="10" fillId="0" borderId="1" xfId="0" applyFont="1" applyBorder="1" applyAlignment="1">
      <alignment horizontal="left" vertical="center"/>
    </xf>
    <xf numFmtId="0" fontId="10" fillId="0" borderId="1" xfId="0" applyFont="1" applyBorder="1" applyAlignment="1">
      <alignment horizontal="center" vertical="center"/>
    </xf>
    <xf numFmtId="0" fontId="12" fillId="0" borderId="1" xfId="0" applyFont="1" applyBorder="1" applyAlignment="1">
      <alignment horizontal="left" vertical="center"/>
    </xf>
    <xf numFmtId="0" fontId="10" fillId="0" borderId="1" xfId="0" applyFont="1" applyBorder="1" applyAlignment="1">
      <alignment horizontal="left" vertical="center" wrapText="1"/>
    </xf>
    <xf numFmtId="0" fontId="10" fillId="0" borderId="1" xfId="0" applyFont="1" applyBorder="1" applyAlignment="1">
      <alignment horizontal="center" vertical="center" wrapText="1"/>
    </xf>
    <xf numFmtId="0" fontId="11" fillId="3" borderId="1" xfId="0" applyFont="1" applyFill="1" applyBorder="1" applyAlignment="1">
      <alignment horizontal="left" vertical="center"/>
    </xf>
    <xf numFmtId="0" fontId="10" fillId="0" borderId="1" xfId="0" applyFont="1" applyBorder="1">
      <alignment vertical="center"/>
    </xf>
    <xf numFmtId="0" fontId="11"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2" fillId="0" borderId="1" xfId="0" applyFont="1" applyBorder="1" applyAlignment="1">
      <alignment vertical="center" wrapText="1"/>
    </xf>
    <xf numFmtId="0" fontId="12" fillId="0" borderId="1" xfId="0" applyFont="1" applyBorder="1">
      <alignment vertical="center"/>
    </xf>
    <xf numFmtId="0" fontId="10" fillId="0" borderId="1" xfId="0" applyFont="1" applyBorder="1" applyAlignment="1">
      <alignment vertical="center"/>
    </xf>
    <xf numFmtId="0" fontId="12"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0" fillId="2" borderId="1" xfId="0" applyFont="1" applyFill="1" applyBorder="1" applyAlignment="1">
      <alignment vertical="center"/>
    </xf>
    <xf numFmtId="0" fontId="10" fillId="0" borderId="0" xfId="0" applyFont="1">
      <alignment vertical="center"/>
    </xf>
    <xf numFmtId="0" fontId="16" fillId="0" borderId="0" xfId="0" applyFont="1" applyAlignment="1">
      <alignment horizontal="center" vertical="center" wrapText="1"/>
    </xf>
    <xf numFmtId="0" fontId="10" fillId="0" borderId="0" xfId="0" applyFont="1" applyFill="1" applyAlignment="1">
      <alignment horizontal="center" vertical="center"/>
    </xf>
    <xf numFmtId="0" fontId="14" fillId="0" borderId="0" xfId="0" applyFont="1" applyAlignment="1">
      <alignment horizontal="center" vertical="center"/>
    </xf>
    <xf numFmtId="0" fontId="14" fillId="0" borderId="0" xfId="0" applyFont="1" applyFill="1" applyAlignment="1">
      <alignment horizontal="center" vertical="center"/>
    </xf>
    <xf numFmtId="0" fontId="16" fillId="0" borderId="0" xfId="0" applyFont="1" applyAlignment="1">
      <alignment horizontal="left" vertical="center"/>
    </xf>
    <xf numFmtId="0" fontId="10" fillId="0" borderId="0" xfId="0" applyFont="1" applyAlignment="1">
      <alignment horizontal="center" vertical="center" wrapText="1"/>
    </xf>
    <xf numFmtId="0" fontId="17" fillId="0" borderId="1" xfId="0" applyFont="1" applyFill="1" applyBorder="1" applyAlignment="1">
      <alignment horizontal="center" vertical="center"/>
    </xf>
    <xf numFmtId="179" fontId="17" fillId="0" borderId="1" xfId="0" applyNumberFormat="1" applyFont="1" applyBorder="1" applyAlignment="1">
      <alignment horizontal="center" vertical="center"/>
    </xf>
    <xf numFmtId="0" fontId="17" fillId="0" borderId="1" xfId="0" applyFont="1" applyBorder="1" applyAlignment="1">
      <alignment horizontal="center" vertical="center"/>
    </xf>
    <xf numFmtId="177" fontId="17" fillId="0" borderId="1" xfId="0" applyNumberFormat="1" applyFont="1" applyBorder="1" applyAlignment="1">
      <alignment horizontal="center" vertical="center"/>
    </xf>
    <xf numFmtId="0" fontId="10" fillId="0" borderId="2" xfId="0" applyFont="1" applyBorder="1" applyAlignment="1">
      <alignment horizontal="center" vertical="center"/>
    </xf>
    <xf numFmtId="14" fontId="10" fillId="0" borderId="2" xfId="0" applyNumberFormat="1" applyFont="1" applyBorder="1" applyAlignment="1">
      <alignment horizontal="center" vertical="center"/>
    </xf>
    <xf numFmtId="0" fontId="14" fillId="0" borderId="2" xfId="0" applyFont="1" applyBorder="1" applyAlignment="1">
      <alignment horizontal="center" vertical="center"/>
    </xf>
    <xf numFmtId="14" fontId="10" fillId="0" borderId="1" xfId="0" applyNumberFormat="1" applyFont="1" applyBorder="1" applyAlignment="1">
      <alignment horizontal="center" vertical="center"/>
    </xf>
    <xf numFmtId="0" fontId="16" fillId="2" borderId="0" xfId="0" applyFont="1" applyFill="1" applyAlignment="1">
      <alignment horizontal="center" vertical="center" wrapText="1"/>
    </xf>
    <xf numFmtId="0" fontId="17" fillId="0" borderId="1" xfId="0" applyFont="1" applyBorder="1" applyAlignment="1">
      <alignment horizontal="left" vertical="center"/>
    </xf>
    <xf numFmtId="0" fontId="17" fillId="2" borderId="0" xfId="0" applyFont="1" applyFill="1" applyAlignment="1">
      <alignment horizontal="center" vertical="center" wrapText="1"/>
    </xf>
    <xf numFmtId="0" fontId="17" fillId="0" borderId="0" xfId="0" applyFont="1" applyAlignment="1">
      <alignment horizontal="center" vertical="center" wrapText="1"/>
    </xf>
    <xf numFmtId="0" fontId="16" fillId="0" borderId="2" xfId="0" applyFont="1" applyBorder="1" applyAlignment="1">
      <alignment horizontal="center" vertical="center" wrapText="1"/>
    </xf>
    <xf numFmtId="0" fontId="0" fillId="0" borderId="2" xfId="0" applyBorder="1" applyAlignment="1"/>
    <xf numFmtId="0" fontId="16" fillId="0" borderId="1" xfId="0" applyFont="1" applyBorder="1" applyAlignment="1">
      <alignment horizontal="center" vertical="center" wrapText="1"/>
    </xf>
    <xf numFmtId="0" fontId="0" fillId="0" borderId="3" xfId="0" applyBorder="1" applyAlignment="1"/>
    <xf numFmtId="0" fontId="10" fillId="0" borderId="4" xfId="0" applyFont="1" applyBorder="1" applyAlignment="1">
      <alignment horizontal="center" vertical="center"/>
    </xf>
    <xf numFmtId="0" fontId="16" fillId="0" borderId="5" xfId="0" applyFont="1" applyBorder="1" applyAlignment="1">
      <alignment horizontal="center" vertical="center" wrapText="1"/>
    </xf>
    <xf numFmtId="179" fontId="18" fillId="0" borderId="0" xfId="0" applyNumberFormat="1" applyFont="1" applyAlignment="1">
      <alignment horizontal="left" vertical="center"/>
    </xf>
    <xf numFmtId="0" fontId="16" fillId="2" borderId="1" xfId="0" applyFont="1" applyFill="1" applyBorder="1" applyAlignment="1">
      <alignment horizontal="center" vertical="center" wrapText="1"/>
    </xf>
    <xf numFmtId="0" fontId="10" fillId="0" borderId="6" xfId="0" applyFont="1" applyBorder="1" applyAlignment="1">
      <alignment horizontal="center" vertical="center"/>
    </xf>
    <xf numFmtId="14" fontId="10" fillId="0" borderId="6" xfId="0" applyNumberFormat="1" applyFont="1" applyBorder="1" applyAlignment="1">
      <alignment horizontal="center" vertical="center"/>
    </xf>
    <xf numFmtId="0" fontId="14" fillId="0" borderId="6" xfId="0" applyFont="1" applyBorder="1" applyAlignment="1">
      <alignment horizontal="center" vertical="center"/>
    </xf>
    <xf numFmtId="0" fontId="16" fillId="0" borderId="1" xfId="0" applyFont="1" applyBorder="1" applyAlignment="1">
      <alignment vertical="center" wrapText="1"/>
    </xf>
    <xf numFmtId="0" fontId="14" fillId="2" borderId="1" xfId="0" applyFont="1" applyFill="1" applyBorder="1" applyAlignment="1">
      <alignment horizontal="center" vertical="center"/>
    </xf>
    <xf numFmtId="0" fontId="16" fillId="0" borderId="7" xfId="0" applyFont="1" applyBorder="1" applyAlignment="1">
      <alignment horizontal="center" vertical="center" wrapText="1"/>
    </xf>
    <xf numFmtId="0" fontId="16" fillId="0" borderId="6" xfId="0" applyFont="1" applyBorder="1" applyAlignment="1">
      <alignment horizontal="center" vertical="center" wrapText="1"/>
    </xf>
    <xf numFmtId="0" fontId="16" fillId="0" borderId="3" xfId="0" applyFont="1" applyBorder="1" applyAlignment="1">
      <alignment horizontal="center" vertical="center" wrapText="1"/>
    </xf>
    <xf numFmtId="14" fontId="10" fillId="0" borderId="0" xfId="0" applyNumberFormat="1" applyFont="1" applyAlignment="1">
      <alignment horizontal="center" vertical="center" wrapText="1"/>
    </xf>
    <xf numFmtId="0" fontId="16" fillId="5" borderId="0" xfId="0" applyFont="1" applyFill="1" applyAlignment="1">
      <alignment horizontal="center" vertical="center" wrapText="1"/>
    </xf>
    <xf numFmtId="0" fontId="10" fillId="0" borderId="1" xfId="0" applyFont="1" applyBorder="1" applyAlignment="1">
      <alignment vertical="center" wrapText="1"/>
    </xf>
    <xf numFmtId="0" fontId="10" fillId="0" borderId="2" xfId="0" applyFont="1" applyBorder="1" applyAlignment="1">
      <alignment horizontal="center" vertical="center" wrapText="1"/>
    </xf>
    <xf numFmtId="14" fontId="10" fillId="0" borderId="0" xfId="0" applyNumberFormat="1" applyFont="1" applyAlignment="1">
      <alignment horizontal="center" vertical="center"/>
    </xf>
    <xf numFmtId="0" fontId="10" fillId="2" borderId="0" xfId="0" applyFont="1" applyFill="1" applyAlignment="1">
      <alignment horizontal="center" vertical="center"/>
    </xf>
    <xf numFmtId="0" fontId="10" fillId="2" borderId="1" xfId="0" applyFont="1" applyFill="1" applyBorder="1" applyAlignment="1">
      <alignment horizontal="center" vertical="center"/>
    </xf>
    <xf numFmtId="0" fontId="10" fillId="0" borderId="6" xfId="0" applyFont="1" applyBorder="1" applyAlignment="1">
      <alignment horizontal="center" vertical="center" wrapText="1"/>
    </xf>
    <xf numFmtId="0" fontId="10" fillId="2" borderId="1" xfId="0" applyFont="1" applyFill="1" applyBorder="1" applyAlignment="1">
      <alignment horizontal="center" vertical="center" wrapText="1"/>
    </xf>
    <xf numFmtId="14" fontId="16" fillId="0" borderId="0" xfId="0" applyNumberFormat="1" applyFont="1" applyAlignment="1">
      <alignment horizontal="center" vertical="center" wrapText="1"/>
    </xf>
    <xf numFmtId="0" fontId="10" fillId="2" borderId="0" xfId="0" applyFont="1" applyFill="1" applyAlignment="1">
      <alignment horizontal="center" vertical="center" wrapText="1"/>
    </xf>
    <xf numFmtId="0" fontId="10" fillId="0" borderId="8" xfId="0" applyFont="1" applyBorder="1" applyAlignment="1">
      <alignment horizontal="center" vertical="center"/>
    </xf>
    <xf numFmtId="0" fontId="14" fillId="0" borderId="1" xfId="0" applyFont="1" applyBorder="1" applyAlignment="1">
      <alignment horizontal="center" vertical="center" wrapText="1"/>
    </xf>
    <xf numFmtId="14" fontId="10" fillId="0" borderId="1" xfId="0" applyNumberFormat="1" applyFont="1" applyBorder="1" applyAlignment="1">
      <alignment horizontal="center" vertical="center" wrapText="1"/>
    </xf>
    <xf numFmtId="14" fontId="10" fillId="0" borderId="9" xfId="0" applyNumberFormat="1" applyFont="1" applyBorder="1" applyAlignment="1">
      <alignment horizontal="center" vertical="center" wrapText="1"/>
    </xf>
    <xf numFmtId="14" fontId="10" fillId="0" borderId="10" xfId="0" applyNumberFormat="1" applyFont="1" applyBorder="1" applyAlignment="1">
      <alignment horizontal="center" vertical="center" wrapText="1"/>
    </xf>
    <xf numFmtId="0" fontId="16" fillId="0" borderId="1" xfId="0" applyFont="1" applyBorder="1">
      <alignment vertical="center"/>
    </xf>
    <xf numFmtId="0" fontId="10" fillId="0" borderId="3" xfId="0" applyFont="1" applyBorder="1" applyAlignment="1">
      <alignment horizontal="center" vertical="center" wrapText="1"/>
    </xf>
    <xf numFmtId="0" fontId="16" fillId="0" borderId="1" xfId="0" applyFont="1" applyBorder="1" applyAlignment="1">
      <alignment horizontal="left" vertical="center"/>
    </xf>
    <xf numFmtId="0" fontId="10" fillId="0" borderId="6" xfId="0" applyFont="1" applyBorder="1" applyAlignment="1">
      <alignment horizontal="left" vertical="center"/>
    </xf>
    <xf numFmtId="0" fontId="10" fillId="0" borderId="7" xfId="0" applyFont="1" applyBorder="1" applyAlignment="1">
      <alignment horizontal="center" vertical="center"/>
    </xf>
    <xf numFmtId="0" fontId="14" fillId="0" borderId="9" xfId="0" applyFont="1" applyBorder="1" applyAlignment="1">
      <alignment horizontal="center" vertical="center"/>
    </xf>
    <xf numFmtId="0" fontId="10" fillId="0" borderId="11" xfId="0" applyFont="1" applyBorder="1" applyAlignment="1">
      <alignment horizontal="center" vertical="center"/>
    </xf>
    <xf numFmtId="0" fontId="16" fillId="0" borderId="4" xfId="0" applyFont="1" applyBorder="1" applyAlignment="1">
      <alignment horizontal="center" vertical="center" wrapText="1"/>
    </xf>
    <xf numFmtId="14" fontId="10" fillId="0" borderId="0" xfId="0" applyNumberFormat="1" applyFont="1" applyAlignment="1">
      <alignment horizontal="left" vertical="center"/>
    </xf>
    <xf numFmtId="14" fontId="10" fillId="0" borderId="0" xfId="0" applyNumberFormat="1" applyFont="1" applyAlignment="1">
      <alignment horizontal="left" vertical="center" wrapText="1"/>
    </xf>
    <xf numFmtId="0" fontId="10" fillId="0" borderId="0" xfId="0" applyFont="1" applyAlignment="1">
      <alignment horizontal="left" vertical="center" wrapText="1"/>
    </xf>
    <xf numFmtId="0" fontId="10" fillId="0" borderId="0" xfId="0" applyFont="1" applyAlignment="1">
      <alignment horizontal="right" vertical="center"/>
    </xf>
    <xf numFmtId="0" fontId="16" fillId="0" borderId="0" xfId="0" applyFont="1" applyAlignment="1">
      <alignment vertical="center" wrapText="1"/>
    </xf>
    <xf numFmtId="0" fontId="10" fillId="0" borderId="1" xfId="0" applyNumberFormat="1" applyFont="1" applyBorder="1" applyAlignment="1">
      <alignment horizontal="center" vertical="center"/>
    </xf>
    <xf numFmtId="0" fontId="14" fillId="0" borderId="1" xfId="0" applyNumberFormat="1" applyFont="1" applyBorder="1" applyAlignment="1">
      <alignment horizontal="center" vertical="center"/>
    </xf>
    <xf numFmtId="0" fontId="16" fillId="0" borderId="1" xfId="0" applyNumberFormat="1" applyFont="1" applyBorder="1" applyAlignment="1">
      <alignment horizontal="left" vertical="center"/>
    </xf>
    <xf numFmtId="0" fontId="10" fillId="5" borderId="1" xfId="0" applyFont="1" applyFill="1" applyBorder="1" applyAlignment="1">
      <alignment horizontal="center" vertical="center"/>
    </xf>
    <xf numFmtId="0" fontId="10" fillId="0" borderId="6" xfId="0" applyNumberFormat="1" applyFont="1" applyBorder="1" applyAlignment="1">
      <alignment horizontal="center" vertical="center"/>
    </xf>
    <xf numFmtId="0" fontId="14" fillId="0" borderId="6" xfId="0" applyNumberFormat="1" applyFont="1" applyBorder="1" applyAlignment="1">
      <alignment horizontal="center" vertical="center"/>
    </xf>
    <xf numFmtId="0" fontId="16" fillId="0" borderId="6" xfId="0" applyNumberFormat="1" applyFont="1" applyBorder="1" applyAlignment="1">
      <alignment horizontal="left" vertical="center"/>
    </xf>
    <xf numFmtId="0" fontId="16" fillId="0" borderId="0" xfId="0" applyNumberFormat="1" applyFont="1" applyAlignment="1">
      <alignment horizontal="left" vertical="center"/>
    </xf>
    <xf numFmtId="0" fontId="16" fillId="2" borderId="0" xfId="0" applyNumberFormat="1" applyFont="1" applyFill="1" applyAlignment="1">
      <alignment horizontal="center" vertical="center" wrapText="1"/>
    </xf>
    <xf numFmtId="0" fontId="16" fillId="0" borderId="0" xfId="0" applyNumberFormat="1" applyFont="1" applyAlignment="1">
      <alignment horizontal="center" vertical="center" wrapText="1"/>
    </xf>
    <xf numFmtId="0" fontId="14" fillId="2" borderId="1" xfId="0" applyNumberFormat="1" applyFont="1" applyFill="1" applyBorder="1" applyAlignment="1">
      <alignment horizontal="center" vertical="center"/>
    </xf>
    <xf numFmtId="0" fontId="1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wrapText="1"/>
    </xf>
    <xf numFmtId="0" fontId="16" fillId="0" borderId="9" xfId="0" applyNumberFormat="1" applyFont="1" applyBorder="1" applyAlignment="1">
      <alignment horizontal="left" vertical="center"/>
    </xf>
    <xf numFmtId="0" fontId="14" fillId="0" borderId="1" xfId="0" applyNumberFormat="1" applyFont="1" applyFill="1" applyBorder="1" applyAlignment="1">
      <alignment horizontal="center" vertical="center"/>
    </xf>
    <xf numFmtId="0" fontId="10" fillId="0" borderId="1" xfId="0" applyFont="1" applyFill="1" applyBorder="1" applyAlignment="1">
      <alignment horizontal="center" vertical="center"/>
    </xf>
    <xf numFmtId="0" fontId="10" fillId="0" borderId="1" xfId="0" applyNumberFormat="1" applyFont="1" applyFill="1" applyBorder="1" applyAlignment="1">
      <alignment horizontal="center" vertical="center"/>
    </xf>
    <xf numFmtId="0" fontId="19" fillId="0" borderId="0" xfId="0" applyFont="1" applyAlignment="1">
      <alignment horizontal="center" vertical="center" wrapText="1"/>
    </xf>
    <xf numFmtId="0" fontId="14" fillId="0" borderId="6" xfId="0" applyNumberFormat="1" applyFont="1" applyFill="1" applyBorder="1" applyAlignment="1">
      <alignment horizontal="center" vertical="center"/>
    </xf>
    <xf numFmtId="180" fontId="14" fillId="0" borderId="1" xfId="0" applyNumberFormat="1" applyFont="1" applyBorder="1" applyAlignment="1">
      <alignment horizontal="center" vertical="center"/>
    </xf>
    <xf numFmtId="181" fontId="14" fillId="0" borderId="1" xfId="0" applyNumberFormat="1" applyFont="1" applyBorder="1" applyAlignment="1">
      <alignment horizontal="center" vertical="center"/>
    </xf>
    <xf numFmtId="0" fontId="10" fillId="5" borderId="1" xfId="0" applyNumberFormat="1" applyFont="1" applyFill="1" applyBorder="1" applyAlignment="1">
      <alignment horizontal="center" vertical="center"/>
    </xf>
    <xf numFmtId="0" fontId="10" fillId="0" borderId="1" xfId="0" applyNumberFormat="1" applyFont="1" applyBorder="1" applyAlignment="1">
      <alignment horizontal="center" vertical="center" wrapText="1"/>
    </xf>
    <xf numFmtId="14" fontId="10" fillId="0" borderId="1" xfId="0" applyNumberFormat="1" applyFont="1" applyFill="1" applyBorder="1" applyAlignment="1">
      <alignment horizontal="center" vertical="center"/>
    </xf>
    <xf numFmtId="0" fontId="10" fillId="0" borderId="0" xfId="0" applyNumberFormat="1" applyFont="1" applyAlignment="1">
      <alignment horizontal="center" vertical="center" wrapText="1"/>
    </xf>
    <xf numFmtId="0" fontId="10" fillId="0" borderId="0" xfId="0" applyNumberFormat="1" applyFont="1" applyAlignment="1">
      <alignment horizontal="left" vertical="center"/>
    </xf>
    <xf numFmtId="0" fontId="14" fillId="0" borderId="1" xfId="0" applyFont="1" applyFill="1" applyBorder="1" applyAlignment="1">
      <alignment horizontal="center" vertical="center"/>
    </xf>
    <xf numFmtId="0" fontId="16" fillId="2" borderId="1" xfId="0" applyFont="1" applyFill="1" applyBorder="1" applyAlignment="1">
      <alignment horizontal="left" vertical="center"/>
    </xf>
    <xf numFmtId="179" fontId="10" fillId="0" borderId="0" xfId="0" applyNumberFormat="1" applyFont="1" applyAlignment="1">
      <alignment horizontal="center" vertical="center" wrapText="1"/>
    </xf>
    <xf numFmtId="14" fontId="10" fillId="2" borderId="1" xfId="0" applyNumberFormat="1" applyFont="1" applyFill="1" applyBorder="1" applyAlignment="1">
      <alignment horizontal="center" vertical="center"/>
    </xf>
    <xf numFmtId="0" fontId="10" fillId="0" borderId="0" xfId="0" applyNumberFormat="1" applyFont="1" applyAlignment="1">
      <alignment horizontal="center" vertical="center"/>
    </xf>
    <xf numFmtId="0" fontId="14" fillId="0" borderId="0" xfId="0" applyNumberFormat="1" applyFont="1" applyAlignment="1">
      <alignment horizontal="center" vertical="center"/>
    </xf>
    <xf numFmtId="0" fontId="14" fillId="0" borderId="0" xfId="0" applyNumberFormat="1" applyFont="1" applyFill="1" applyAlignment="1">
      <alignment horizontal="center" vertical="center"/>
    </xf>
    <xf numFmtId="0" fontId="20" fillId="2" borderId="1" xfId="0" applyFont="1" applyFill="1" applyBorder="1" applyAlignment="1">
      <alignment horizontal="center" vertical="center" wrapText="1"/>
    </xf>
    <xf numFmtId="0" fontId="16" fillId="6" borderId="0" xfId="0" applyNumberFormat="1" applyFont="1" applyFill="1" applyAlignment="1">
      <alignment horizontal="center" vertical="center" wrapText="1"/>
    </xf>
    <xf numFmtId="0" fontId="10" fillId="6" borderId="1" xfId="0" applyFont="1" applyFill="1" applyBorder="1" applyAlignment="1">
      <alignment horizontal="center" vertical="center"/>
    </xf>
    <xf numFmtId="0" fontId="10" fillId="0" borderId="1" xfId="0" applyNumberFormat="1" applyFont="1" applyBorder="1" applyAlignment="1">
      <alignment horizontal="left" vertical="center"/>
    </xf>
    <xf numFmtId="0" fontId="10" fillId="0" borderId="6" xfId="0" applyFont="1" applyFill="1" applyBorder="1" applyAlignment="1">
      <alignment horizontal="center" vertical="center"/>
    </xf>
    <xf numFmtId="0" fontId="16" fillId="0" borderId="6" xfId="0" applyFont="1" applyBorder="1" applyAlignment="1">
      <alignment horizontal="left" vertical="center"/>
    </xf>
    <xf numFmtId="0" fontId="10" fillId="0" borderId="1" xfId="0" applyFont="1" applyFill="1" applyBorder="1" applyAlignment="1">
      <alignment horizontal="center" vertical="center"/>
    </xf>
    <xf numFmtId="0" fontId="10" fillId="0" borderId="1" xfId="0" applyFont="1" applyBorder="1" applyAlignment="1">
      <alignment horizontal="center" vertical="center"/>
    </xf>
    <xf numFmtId="0" fontId="14" fillId="0" borderId="1" xfId="0" applyFont="1" applyBorder="1" applyAlignment="1">
      <alignment horizontal="center" vertical="center"/>
    </xf>
    <xf numFmtId="0" fontId="14" fillId="0" borderId="1" xfId="0" applyNumberFormat="1" applyFont="1" applyFill="1" applyBorder="1" applyAlignment="1">
      <alignment horizontal="center" vertical="center"/>
    </xf>
    <xf numFmtId="0" fontId="14" fillId="0" borderId="1" xfId="0" applyFont="1" applyFill="1" applyBorder="1" applyAlignment="1">
      <alignment horizontal="center" vertical="center"/>
    </xf>
    <xf numFmtId="0" fontId="10" fillId="0" borderId="1" xfId="0" applyFont="1" applyBorder="1" applyAlignment="1">
      <alignment horizontal="left" vertical="center"/>
    </xf>
    <xf numFmtId="0" fontId="16" fillId="0" borderId="1" xfId="0" applyFont="1" applyBorder="1" applyAlignment="1">
      <alignment horizontal="left" vertical="center"/>
    </xf>
    <xf numFmtId="14" fontId="10" fillId="0" borderId="9" xfId="0" applyNumberFormat="1" applyFont="1" applyBorder="1" applyAlignment="1">
      <alignment horizontal="center"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tyles" Target="styles.xml"/><Relationship Id="rId8" Type="http://schemas.openxmlformats.org/officeDocument/2006/relationships/theme" Target="theme/theme1.xml"/><Relationship Id="rId7" Type="http://schemas.openxmlformats.org/officeDocument/2006/relationships/externalLink" Target="externalLinks/externalLink1.xml"/><Relationship Id="rId6" Type="http://schemas.openxmlformats.org/officeDocument/2006/relationships/customXml" Target="../customXml/item1.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4" Type="http://schemas.microsoft.com/office/2006/relationships/vbaProject" Target="vbaProject.bin"/><Relationship Id="rId13" Type="http://schemas.microsoft.com/office/2017/06/relationships/rdRichValue" Target="richData/rdrichvalue.xml"/><Relationship Id="rId12" Type="http://schemas.microsoft.com/office/2017/06/relationships/rdRichValueStructure" Target="richData/rdrichvaluestructure.xml"/><Relationship Id="rId11" Type="http://schemas.openxmlformats.org/officeDocument/2006/relationships/sheetMetadata" Target="metadata.xml"/><Relationship Id="rId10" Type="http://schemas.openxmlformats.org/officeDocument/2006/relationships/sharedStrings" Target="sharedString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Φ20 9m</v>
          </cell>
          <cell r="D8957" t="str">
            <v>吨</v>
          </cell>
          <cell r="E8957">
            <v>8</v>
          </cell>
          <cell r="F8957">
            <v>45956</v>
          </cell>
          <cell r="G8957" t="str">
            <v>(中铁科研院宜宾泥溪项目)中铁科研院集团有限公司宜宾市泥溪东互通式立交下穿成贵客专铁路工程项目钢筋加工厂</v>
          </cell>
          <cell r="H8957" t="str">
            <v>蔡鹏</v>
          </cell>
          <cell r="I8957">
            <v>19130850820</v>
          </cell>
        </row>
        <row r="8958">
          <cell r="A8958" t="str">
            <v>德胜</v>
          </cell>
          <cell r="B8958" t="str">
            <v>螺纹钢</v>
          </cell>
          <cell r="C8958" t="str">
            <v>HRB400E Φ22 9m</v>
          </cell>
          <cell r="D8958" t="str">
            <v>吨</v>
          </cell>
          <cell r="E8958">
            <v>6</v>
          </cell>
          <cell r="F8958">
            <v>45956</v>
          </cell>
          <cell r="G8958" t="str">
            <v>(中铁科研院宜宾泥溪项目)中铁科研院集团有限公司宜宾市泥溪东互通式立交下穿成贵客专铁路工程项目钢筋加工厂</v>
          </cell>
          <cell r="H8958" t="str">
            <v>蔡鹏</v>
          </cell>
          <cell r="I8958">
            <v>19130850820</v>
          </cell>
        </row>
        <row r="8959">
          <cell r="A8959" t="str">
            <v>德胜</v>
          </cell>
          <cell r="B8959" t="str">
            <v>螺纹钢</v>
          </cell>
          <cell r="C8959" t="str">
            <v>HRB400E Φ28 9m</v>
          </cell>
          <cell r="D8959" t="str">
            <v>吨</v>
          </cell>
          <cell r="E8959">
            <v>20</v>
          </cell>
          <cell r="F8959">
            <v>45956</v>
          </cell>
          <cell r="G8959" t="str">
            <v>(中铁科研院宜宾泥溪项目)中铁科研院集团有限公司宜宾市泥溪东互通式立交下穿成贵客专铁路工程项目钢筋加工厂</v>
          </cell>
          <cell r="H8959" t="str">
            <v>蔡鹏</v>
          </cell>
          <cell r="I8959">
            <v>19130850820</v>
          </cell>
        </row>
        <row r="8960">
          <cell r="A8960" t="str">
            <v>德胜</v>
          </cell>
          <cell r="B8960" t="str">
            <v>螺纹钢</v>
          </cell>
          <cell r="C8960" t="str">
            <v>HRB400E Φ16 12m</v>
          </cell>
          <cell r="D8960" t="str">
            <v>吨</v>
          </cell>
          <cell r="E8960">
            <v>25</v>
          </cell>
          <cell r="F8960">
            <v>45956</v>
          </cell>
          <cell r="G8960" t="str">
            <v>(五冶建设锦江区林家坝片区20号地块商业项目)锦江区泰昌路锦江28亩项目部</v>
          </cell>
          <cell r="H8960" t="str">
            <v>陶杰</v>
          </cell>
          <cell r="I8960">
            <v>13980247952</v>
          </cell>
        </row>
        <row r="8961">
          <cell r="A8961" t="str">
            <v>德胜</v>
          </cell>
          <cell r="B8961" t="str">
            <v>螺纹钢</v>
          </cell>
          <cell r="C8961" t="str">
            <v>HRB400E Φ25 12m</v>
          </cell>
          <cell r="D8961" t="str">
            <v>吨</v>
          </cell>
          <cell r="E8961">
            <v>10</v>
          </cell>
          <cell r="F8961">
            <v>45956</v>
          </cell>
          <cell r="G8961" t="str">
            <v>(五冶建设锦江区林家坝片区20号地块商业项目)锦江区泰昌路锦江28亩项目部</v>
          </cell>
          <cell r="H8961" t="str">
            <v>陶杰</v>
          </cell>
          <cell r="I8961">
            <v>13980247952</v>
          </cell>
        </row>
        <row r="8962">
          <cell r="A8962" t="str">
            <v>德胜</v>
          </cell>
          <cell r="B8962" t="str">
            <v>螺纹钢</v>
          </cell>
          <cell r="C8962" t="str">
            <v>HRB400E Φ18 9m</v>
          </cell>
          <cell r="D8962" t="str">
            <v>吨</v>
          </cell>
          <cell r="E8962">
            <v>105</v>
          </cell>
          <cell r="F8962">
            <v>45956</v>
          </cell>
          <cell r="G8962" t="str">
            <v>（商投建工达州中医药科技园-2工区-2号桥）达州市通川区达州中医药职业学院犀牛大道北段</v>
          </cell>
          <cell r="H8962" t="str">
            <v>李波</v>
          </cell>
          <cell r="I8962">
            <v>18381899787</v>
          </cell>
        </row>
        <row r="8963">
          <cell r="A8963" t="str">
            <v>德胜</v>
          </cell>
          <cell r="B8963" t="str">
            <v>螺纹钢</v>
          </cell>
          <cell r="C8963" t="str">
            <v>HRB500E Φ18</v>
          </cell>
          <cell r="D8963" t="str">
            <v>吨</v>
          </cell>
          <cell r="E8963">
            <v>35</v>
          </cell>
          <cell r="F8963">
            <v>45956</v>
          </cell>
          <cell r="G8963" t="str">
            <v>（商投建工达州中医药科技园-4工区-9号楼）达州市通川区达州中医药职业学院犀牛大道北段</v>
          </cell>
          <cell r="H8963" t="str">
            <v>张扬</v>
          </cell>
          <cell r="I8963">
            <v>18381904567</v>
          </cell>
        </row>
        <row r="8964">
          <cell r="A8964" t="str">
            <v>德胜</v>
          </cell>
          <cell r="B8964" t="str">
            <v>螺纹钢</v>
          </cell>
          <cell r="C8964" t="str">
            <v>HRB500E Φ18</v>
          </cell>
          <cell r="D8964" t="str">
            <v>吨</v>
          </cell>
          <cell r="E8964">
            <v>15</v>
          </cell>
          <cell r="F8964">
            <v>45956</v>
          </cell>
          <cell r="G8964" t="str">
            <v>（商投建工达州中医药科技园-2工区-2号桥）达州市通川区达州中医药职业学院犀牛大道北段</v>
          </cell>
          <cell r="H8964" t="str">
            <v>李波</v>
          </cell>
          <cell r="I8964">
            <v>18381899787</v>
          </cell>
        </row>
        <row r="8965">
          <cell r="A8965" t="str">
            <v>德胜</v>
          </cell>
          <cell r="B8965" t="str">
            <v>螺纹钢</v>
          </cell>
          <cell r="C8965" t="str">
            <v>HRB500E Φ20</v>
          </cell>
          <cell r="D8965" t="str">
            <v>吨</v>
          </cell>
          <cell r="E8965">
            <v>18</v>
          </cell>
          <cell r="F8965">
            <v>45956</v>
          </cell>
          <cell r="G8965" t="str">
            <v>（商投建工达州中医药科技园-2工区-2号桥）达州市通川区达州中医药职业学院犀牛大道北段</v>
          </cell>
          <cell r="H8965" t="str">
            <v>李波</v>
          </cell>
          <cell r="I8965">
            <v>18381899787</v>
          </cell>
        </row>
        <row r="8966">
          <cell r="A8966" t="str">
            <v>德胜恒嘉</v>
          </cell>
          <cell r="B8966" t="str">
            <v>螺纹钢</v>
          </cell>
          <cell r="C8966" t="str">
            <v>HRB400E Φ12×9米</v>
          </cell>
          <cell r="D8966" t="str">
            <v>吨</v>
          </cell>
          <cell r="E8966">
            <v>35</v>
          </cell>
          <cell r="F8966">
            <v>45956</v>
          </cell>
          <cell r="G8966" t="str">
            <v>（自永1标八局二分公司二分部）自贡市仙市枢纽</v>
          </cell>
          <cell r="H8966" t="str">
            <v>李锐</v>
          </cell>
          <cell r="I8966">
            <v>13890668545</v>
          </cell>
        </row>
        <row r="8967">
          <cell r="A8967" t="str">
            <v>德胜恒嘉</v>
          </cell>
          <cell r="B8967" t="str">
            <v>螺纹钢</v>
          </cell>
          <cell r="C8967" t="str">
            <v>HRB400E Φ28×9米</v>
          </cell>
          <cell r="D8967" t="str">
            <v>吨</v>
          </cell>
          <cell r="E8967">
            <v>35</v>
          </cell>
          <cell r="F8967">
            <v>45956</v>
          </cell>
          <cell r="G8967" t="str">
            <v>（自永1标八局二分公司二分部）自贡市仙市枢纽</v>
          </cell>
          <cell r="H8967" t="str">
            <v>李锐</v>
          </cell>
          <cell r="I8967">
            <v>13890668545</v>
          </cell>
        </row>
        <row r="8968">
          <cell r="A8968" t="str">
            <v>德胜恒嘉</v>
          </cell>
          <cell r="B8968" t="str">
            <v>螺纹钢</v>
          </cell>
          <cell r="C8968" t="str">
            <v>HRB400E Φ25×12米</v>
          </cell>
          <cell r="D8968" t="str">
            <v>吨</v>
          </cell>
          <cell r="E8968">
            <v>14</v>
          </cell>
          <cell r="F8968">
            <v>45956</v>
          </cell>
          <cell r="G8968" t="str">
            <v>（自永2标九局西南分公司钢筋棚）四川省自贡市回龙镇群英村</v>
          </cell>
          <cell r="H8968" t="str">
            <v>钟润</v>
          </cell>
          <cell r="I8968">
            <v>18728409968</v>
          </cell>
        </row>
        <row r="8969">
          <cell r="A8969" t="str">
            <v>德胜恒嘉</v>
          </cell>
          <cell r="B8969" t="str">
            <v>螺纹钢</v>
          </cell>
          <cell r="C8969" t="str">
            <v>HRB400E Φ20×12米</v>
          </cell>
          <cell r="D8969" t="str">
            <v>吨</v>
          </cell>
          <cell r="E8969">
            <v>18</v>
          </cell>
          <cell r="F8969">
            <v>45956</v>
          </cell>
          <cell r="G8969" t="str">
            <v>（自永2标九局西南分公司钢筋棚）四川省自贡市回龙镇群英村</v>
          </cell>
          <cell r="H8969" t="str">
            <v>钟润</v>
          </cell>
          <cell r="I8969">
            <v>18728409968</v>
          </cell>
        </row>
        <row r="8970">
          <cell r="A8970" t="str">
            <v>德胜恒嘉</v>
          </cell>
          <cell r="B8970" t="str">
            <v>螺纹钢</v>
          </cell>
          <cell r="C8970" t="str">
            <v>HRB400E Φ16×12米</v>
          </cell>
          <cell r="D8970" t="str">
            <v>吨</v>
          </cell>
          <cell r="E8970">
            <v>17</v>
          </cell>
          <cell r="F8970">
            <v>45956</v>
          </cell>
          <cell r="G8970" t="str">
            <v>（自永2标九局西南分公司钢筋棚）四川省自贡市回龙镇群英村</v>
          </cell>
          <cell r="H8970" t="str">
            <v>钟润</v>
          </cell>
          <cell r="I8970">
            <v>18728409968</v>
          </cell>
        </row>
        <row r="8971">
          <cell r="A8971" t="str">
            <v>德胜恒嘉</v>
          </cell>
          <cell r="B8971" t="str">
            <v>螺纹钢</v>
          </cell>
          <cell r="C8971" t="str">
            <v>HRB400E Φ14×12米</v>
          </cell>
          <cell r="D8971" t="str">
            <v>吨</v>
          </cell>
          <cell r="E8971">
            <v>20</v>
          </cell>
          <cell r="F8971">
            <v>45956</v>
          </cell>
          <cell r="G8971" t="str">
            <v>（自永2标九局西南分公司钢筋棚）四川省自贡市回龙镇群英村</v>
          </cell>
          <cell r="H8971" t="str">
            <v>钟润</v>
          </cell>
          <cell r="I8971">
            <v>18728409968</v>
          </cell>
        </row>
        <row r="8972">
          <cell r="A8972" t="str">
            <v>泸钢</v>
          </cell>
          <cell r="B8972" t="str">
            <v>盘螺</v>
          </cell>
          <cell r="C8972" t="str">
            <v>HRB400E Φ12</v>
          </cell>
          <cell r="D8972" t="str">
            <v>吨</v>
          </cell>
          <cell r="E8972">
            <v>35</v>
          </cell>
          <cell r="F8972">
            <v>45956</v>
          </cell>
          <cell r="G8972" t="str">
            <v>（自永2标九局西南分公司钢筋棚）四川省自贡市回龙镇群英村</v>
          </cell>
          <cell r="H8972" t="str">
            <v>钟润</v>
          </cell>
          <cell r="I8972">
            <v>18728409968</v>
          </cell>
        </row>
        <row r="8973">
          <cell r="A8973" t="str">
            <v>润耀</v>
          </cell>
          <cell r="B8973" t="str">
            <v>螺纹钢</v>
          </cell>
          <cell r="C8973" t="str">
            <v>HRB400EФ12*9m</v>
          </cell>
          <cell r="D8973" t="str">
            <v>吨</v>
          </cell>
          <cell r="E8973">
            <v>35</v>
          </cell>
          <cell r="F8973">
            <v>45956</v>
          </cell>
          <cell r="G8973" t="str">
            <v>（中核中原-温江北林医养综合体项目）四川省成都市温江区万春大道第三人民医院东</v>
          </cell>
          <cell r="H8973" t="str">
            <v>蔡杰</v>
          </cell>
          <cell r="I8973">
            <v>18875129329</v>
          </cell>
        </row>
        <row r="8974">
          <cell r="A8974" t="str">
            <v>润耀</v>
          </cell>
          <cell r="B8974" t="str">
            <v>螺纹钢</v>
          </cell>
          <cell r="C8974" t="str">
            <v>HRB500EФ20*9m</v>
          </cell>
          <cell r="D8974" t="str">
            <v>吨</v>
          </cell>
          <cell r="E8974">
            <v>35</v>
          </cell>
          <cell r="F8974">
            <v>45956</v>
          </cell>
          <cell r="G8974" t="str">
            <v>（中核中原-温江北林医养综合体项目）四川省成都市温江区万春大道第三人民医院东</v>
          </cell>
          <cell r="H8974" t="str">
            <v>蔡杰</v>
          </cell>
          <cell r="I8974">
            <v>18875129329</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057"/>
  <sheetViews>
    <sheetView tabSelected="1" workbookViewId="0">
      <pane ySplit="1" topLeftCell="A5027" activePane="bottomLeft" state="frozen"/>
      <selection/>
      <selection pane="bottomLeft" activeCell="F5039" sqref="F5039"/>
    </sheetView>
  </sheetViews>
  <sheetFormatPr defaultColWidth="8.875" defaultRowHeight="12"/>
  <cols>
    <col min="1" max="1" width="8.125" style="50" customWidth="1"/>
    <col min="2" max="2" width="47.875" style="51" customWidth="1"/>
    <col min="3" max="3" width="8.875" style="19" customWidth="1"/>
    <col min="4" max="4" width="19.375" style="19" customWidth="1"/>
    <col min="5" max="5" width="7.875" style="19" customWidth="1"/>
    <col min="6" max="6" width="13.625" style="19" customWidth="1"/>
    <col min="7" max="7" width="6.25" style="52" customWidth="1"/>
    <col min="8" max="8" width="7.375" style="53" customWidth="1"/>
    <col min="9" max="9" width="60.5" style="22" customWidth="1"/>
    <col min="10" max="10" width="7" style="19" customWidth="1"/>
    <col min="11" max="11" width="9.625" style="19" customWidth="1"/>
    <col min="12" max="12" width="24.25" style="54" customWidth="1"/>
    <col min="13" max="13" width="8.125" style="55" customWidth="1"/>
    <col min="14" max="14" width="0.875" style="55" customWidth="1"/>
    <col min="15" max="16" width="3.875" style="55" customWidth="1"/>
    <col min="17" max="17" width="79.375" style="22" customWidth="1"/>
    <col min="18" max="18" width="8" style="22" customWidth="1"/>
    <col min="19" max="19" width="8.875" style="19" customWidth="1"/>
    <col min="20" max="16384" width="8.875" style="19"/>
  </cols>
  <sheetData>
    <row r="1" s="49" customFormat="1" ht="24" customHeight="1" spans="1:18">
      <c r="A1"/>
      <c r="B1" s="56" t="s">
        <v>0</v>
      </c>
      <c r="C1" s="57" t="s">
        <v>1</v>
      </c>
      <c r="D1" s="57" t="s">
        <v>2</v>
      </c>
      <c r="E1" s="58" t="s">
        <v>3</v>
      </c>
      <c r="F1" s="58" t="s">
        <v>4</v>
      </c>
      <c r="G1" s="59" t="s">
        <v>5</v>
      </c>
      <c r="H1" s="59" t="s">
        <v>6</v>
      </c>
      <c r="I1" s="58" t="s">
        <v>7</v>
      </c>
      <c r="J1" s="58" t="s">
        <v>8</v>
      </c>
      <c r="K1" s="58" t="s">
        <v>9</v>
      </c>
      <c r="L1" s="65" t="s">
        <v>10</v>
      </c>
      <c r="M1" s="66" t="s">
        <v>11</v>
      </c>
      <c r="N1" s="67" t="s">
        <v>12</v>
      </c>
      <c r="O1" s="67" t="s">
        <v>13</v>
      </c>
      <c r="P1" s="67" t="s">
        <v>14</v>
      </c>
      <c r="Q1" s="74" t="s">
        <v>15</v>
      </c>
      <c r="R1" s="74" t="s">
        <v>16</v>
      </c>
    </row>
    <row r="2" hidden="1" spans="2:18">
      <c r="B2" s="60" t="s">
        <v>17</v>
      </c>
      <c r="C2" s="61">
        <v>45658</v>
      </c>
      <c r="D2" s="60" t="str">
        <f>VLOOKUP(B2,辅助信息!E:K,7,FALSE)</f>
        <v>JWDDCD2024101600090</v>
      </c>
      <c r="E2" s="60" t="str">
        <f>VLOOKUP(F2,辅助信息!A:B,2,FALSE)</f>
        <v>螺纹钢</v>
      </c>
      <c r="F2" s="60" t="s">
        <v>18</v>
      </c>
      <c r="G2" s="62">
        <v>69</v>
      </c>
      <c r="H2" s="62" t="e">
        <f>_xlfn._xlws.FILTER(#REF!,#REF!&amp;#REF!&amp;#REF!&amp;#REF!=C2&amp;F2&amp;I2&amp;J2,"未发货")</f>
        <v>#REF!</v>
      </c>
      <c r="I2" s="60" t="str">
        <f>VLOOKUP(B2,辅助信息!E:I,3,FALSE)</f>
        <v>（达州市公共卫生临床医疗中心项目-一标-1号制作房）达州市通川区西外复兴镇公共卫生临床医疗中心项目</v>
      </c>
      <c r="J2" s="60" t="str">
        <f>VLOOKUP(B2,辅助信息!E:I,4,FALSE)</f>
        <v>潘建发</v>
      </c>
      <c r="K2" s="60">
        <f>VLOOKUP(J2,辅助信息!H:I,2,FALSE)</f>
        <v>13658059919</v>
      </c>
      <c r="L2" s="68" t="str">
        <f>VLOOKUP(B2,辅助信息!E:J,6,FALSE)</f>
        <v>提前联系到场规格,一天到场车辆不低于2车</v>
      </c>
      <c r="M2" s="68"/>
      <c r="N2" s="68"/>
      <c r="O2" s="68"/>
      <c r="P2" s="68"/>
      <c r="Q2" s="60" t="str">
        <f>VLOOKUP(B2,辅助信息!E:M,9,FALSE)</f>
        <v>ZTWM-CDGS-XS-2024-0205-五冶钢构-达州市通川区西外复兴镇及临近片区建设项目</v>
      </c>
      <c r="R2" s="19"/>
    </row>
    <row r="3" hidden="1" spans="2:18">
      <c r="B3" s="33" t="s">
        <v>17</v>
      </c>
      <c r="C3" s="63">
        <v>45658</v>
      </c>
      <c r="D3" s="33" t="str">
        <f>VLOOKUP(B3,辅助信息!E:K,7,FALSE)</f>
        <v>JWDDCD2024101600090</v>
      </c>
      <c r="E3" s="33" t="str">
        <f>VLOOKUP(F3,辅助信息!A:B,2,FALSE)</f>
        <v>螺纹钢</v>
      </c>
      <c r="F3" s="33" t="s">
        <v>19</v>
      </c>
      <c r="G3" s="29">
        <v>35</v>
      </c>
      <c r="H3" s="29" t="e">
        <f>_xlfn._xlws.FILTER(#REF!,#REF!&amp;#REF!&amp;#REF!&amp;#REF!=C3&amp;F3&amp;I3&amp;J3,"未发货")</f>
        <v>#REF!</v>
      </c>
      <c r="I3" s="33" t="str">
        <f>VLOOKUP(B3,辅助信息!E:I,3,FALSE)</f>
        <v>（达州市公共卫生临床医疗中心项目-一标-1号制作房）达州市通川区西外复兴镇公共卫生临床医疗中心项目</v>
      </c>
      <c r="J3" s="33" t="str">
        <f>VLOOKUP(B3,辅助信息!E:I,4,FALSE)</f>
        <v>潘建发</v>
      </c>
      <c r="K3" s="33">
        <f>VLOOKUP(J3,辅助信息!H:I,2,FALSE)</f>
        <v>13658059919</v>
      </c>
      <c r="L3" s="69"/>
      <c r="M3" s="70"/>
      <c r="N3" s="70"/>
      <c r="O3" s="70"/>
      <c r="P3" s="70"/>
      <c r="Q3" s="33" t="str">
        <f>VLOOKUP(B3,辅助信息!E:M,9,FALSE)</f>
        <v>ZTWM-CDGS-XS-2024-0205-五冶钢构-达州市通川区西外复兴镇及临近片区建设项目</v>
      </c>
      <c r="R3" s="19"/>
    </row>
    <row r="4" hidden="1" spans="2:18">
      <c r="B4" s="33" t="s">
        <v>20</v>
      </c>
      <c r="C4" s="63">
        <v>45658</v>
      </c>
      <c r="D4" s="33" t="str">
        <f>VLOOKUP(B4,辅助信息!E:K,7,FALSE)</f>
        <v>JWDDCD2025051000019</v>
      </c>
      <c r="E4" s="33" t="str">
        <f>VLOOKUP(F4,辅助信息!A:B,2,FALSE)</f>
        <v>螺纹钢</v>
      </c>
      <c r="F4" s="33" t="s">
        <v>21</v>
      </c>
      <c r="G4" s="29">
        <v>5</v>
      </c>
      <c r="H4" s="29" t="e">
        <f>_xlfn._xlws.FILTER(#REF!,#REF!&amp;#REF!&amp;#REF!&amp;#REF!=C4&amp;F4&amp;I4&amp;J4,"未发货")</f>
        <v>#REF!</v>
      </c>
      <c r="I4" s="33" t="str">
        <f>VLOOKUP(B4,辅助信息!E:I,3,FALSE)</f>
        <v>(五冶钢构医学科学产业园建设项目房建三部-一标（7-2）)四川省南充市顺庆区搬罾街道学府大道二段</v>
      </c>
      <c r="J4" s="33" t="str">
        <f>VLOOKUP(B4,辅助信息!E:I,4,FALSE)</f>
        <v>郑林</v>
      </c>
      <c r="K4" s="33">
        <f>VLOOKUP(J4,辅助信息!H:I,2,FALSE)</f>
        <v>18349955455</v>
      </c>
      <c r="L4" s="70" t="str">
        <f>VLOOKUP(B4,辅助信息!E:J,6,FALSE)</f>
        <v>送货单：送货单位：南充思临新材料科技有限公司,收货单位：五冶集团川北(南充)建设有限公司,项目名称：南充医学科学产业园,送货车型13米,装货前联系收货人核实到场规格</v>
      </c>
      <c r="M4" s="70"/>
      <c r="N4" s="70"/>
      <c r="O4" s="70"/>
      <c r="P4" s="70"/>
      <c r="Q4" s="33" t="str">
        <f>VLOOKUP(B4,辅助信息!E:M,9,FALSE)</f>
        <v>ZTWM-CDGS-XS-2024-0248-五冶钢构-南充市医学院项目</v>
      </c>
      <c r="R4" s="19"/>
    </row>
    <row r="5" hidden="1" spans="2:18">
      <c r="B5" s="33" t="s">
        <v>20</v>
      </c>
      <c r="C5" s="63">
        <v>45658</v>
      </c>
      <c r="D5" s="33" t="str">
        <f>VLOOKUP(B5,辅助信息!E:K,7,FALSE)</f>
        <v>JWDDCD2025051000019</v>
      </c>
      <c r="E5" s="33" t="str">
        <f>VLOOKUP(F5,辅助信息!A:B,2,FALSE)</f>
        <v>螺纹钢</v>
      </c>
      <c r="F5" s="33" t="s">
        <v>22</v>
      </c>
      <c r="G5" s="29">
        <v>15</v>
      </c>
      <c r="H5" s="29" t="e">
        <f>_xlfn._xlws.FILTER(#REF!,#REF!&amp;#REF!&amp;#REF!&amp;#REF!=C5&amp;F5&amp;I5&amp;J5,"未发货")</f>
        <v>#REF!</v>
      </c>
      <c r="I5" s="33" t="str">
        <f>VLOOKUP(B5,辅助信息!E:I,3,FALSE)</f>
        <v>(五冶钢构医学科学产业园建设项目房建三部-一标（7-2）)四川省南充市顺庆区搬罾街道学府大道二段</v>
      </c>
      <c r="J5" s="33" t="str">
        <f>VLOOKUP(B5,辅助信息!E:I,4,FALSE)</f>
        <v>郑林</v>
      </c>
      <c r="K5" s="33">
        <f>VLOOKUP(J5,辅助信息!H:I,2,FALSE)</f>
        <v>18349955455</v>
      </c>
      <c r="L5" s="71"/>
      <c r="M5" s="70"/>
      <c r="N5" s="70"/>
      <c r="O5" s="70"/>
      <c r="P5" s="70"/>
      <c r="Q5" s="33" t="str">
        <f>VLOOKUP(B5,辅助信息!E:M,9,FALSE)</f>
        <v>ZTWM-CDGS-XS-2024-0248-五冶钢构-南充市医学院项目</v>
      </c>
      <c r="R5" s="19"/>
    </row>
    <row r="6" hidden="1" spans="2:18">
      <c r="B6" s="33" t="s">
        <v>23</v>
      </c>
      <c r="C6" s="63">
        <v>45658</v>
      </c>
      <c r="D6" s="33" t="str">
        <f>VLOOKUP(B6,辅助信息!E:K,7,FALSE)</f>
        <v>JWDDCD2025051000019</v>
      </c>
      <c r="E6" s="33" t="str">
        <f>VLOOKUP(F6,辅助信息!A:B,2,FALSE)</f>
        <v>螺纹钢</v>
      </c>
      <c r="F6" s="33" t="s">
        <v>21</v>
      </c>
      <c r="G6" s="29">
        <v>5</v>
      </c>
      <c r="H6" s="29" t="e">
        <f>_xlfn._xlws.FILTER(#REF!,#REF!&amp;#REF!&amp;#REF!&amp;#REF!=C6&amp;F6&amp;I6&amp;J6,"未发货")</f>
        <v>#REF!</v>
      </c>
      <c r="I6" s="33" t="str">
        <f>VLOOKUP(B6,辅助信息!E:I,3,FALSE)</f>
        <v>(五冶钢构医学科学产业园建设项目房建三部-一标（7-3）)四川省南充市顺庆区搬罾街道学府大道二段</v>
      </c>
      <c r="J6" s="33" t="str">
        <f>VLOOKUP(B6,辅助信息!E:I,4,FALSE)</f>
        <v>郑林</v>
      </c>
      <c r="K6" s="33">
        <f>VLOOKUP(J6,辅助信息!H:I,2,FALSE)</f>
        <v>18349955455</v>
      </c>
      <c r="L6" s="71"/>
      <c r="M6" s="70"/>
      <c r="N6" s="70"/>
      <c r="O6" s="70"/>
      <c r="P6" s="70"/>
      <c r="Q6" s="33" t="str">
        <f>VLOOKUP(B6,辅助信息!E:M,9,FALSE)</f>
        <v>ZTWM-CDGS-XS-2024-0248-五冶钢构-南充市医学院项目</v>
      </c>
      <c r="R6" s="19"/>
    </row>
    <row r="7" hidden="1" spans="2:18">
      <c r="B7" s="33" t="s">
        <v>23</v>
      </c>
      <c r="C7" s="63">
        <v>45658</v>
      </c>
      <c r="D7" s="33" t="str">
        <f>VLOOKUP(B7,辅助信息!E:K,7,FALSE)</f>
        <v>JWDDCD2025051000019</v>
      </c>
      <c r="E7" s="33" t="str">
        <f>VLOOKUP(F7,辅助信息!A:B,2,FALSE)</f>
        <v>螺纹钢</v>
      </c>
      <c r="F7" s="33" t="s">
        <v>22</v>
      </c>
      <c r="G7" s="29">
        <v>15</v>
      </c>
      <c r="H7" s="29" t="e">
        <f>_xlfn._xlws.FILTER(#REF!,#REF!&amp;#REF!&amp;#REF!&amp;#REF!=C7&amp;F7&amp;I7&amp;J7,"未发货")</f>
        <v>#REF!</v>
      </c>
      <c r="I7" s="33" t="str">
        <f>VLOOKUP(B7,辅助信息!E:I,3,FALSE)</f>
        <v>(五冶钢构医学科学产业园建设项目房建三部-一标（7-3）)四川省南充市顺庆区搬罾街道学府大道二段</v>
      </c>
      <c r="J7" s="33" t="str">
        <f>VLOOKUP(B7,辅助信息!E:I,4,FALSE)</f>
        <v>郑林</v>
      </c>
      <c r="K7" s="33">
        <f>VLOOKUP(J7,辅助信息!H:I,2,FALSE)</f>
        <v>18349955455</v>
      </c>
      <c r="L7" s="71"/>
      <c r="M7" s="70"/>
      <c r="N7" s="70"/>
      <c r="O7" s="70"/>
      <c r="P7" s="70"/>
      <c r="Q7" s="33" t="str">
        <f>VLOOKUP(B7,辅助信息!E:M,9,FALSE)</f>
        <v>ZTWM-CDGS-XS-2024-0248-五冶钢构-南充市医学院项目</v>
      </c>
      <c r="R7" s="19"/>
    </row>
    <row r="8" hidden="1" spans="2:18">
      <c r="B8" s="33" t="s">
        <v>24</v>
      </c>
      <c r="C8" s="63">
        <v>45658</v>
      </c>
      <c r="D8" s="33" t="str">
        <f>VLOOKUP(B8,辅助信息!E:K,7,FALSE)</f>
        <v>JWDDCD2025051000019</v>
      </c>
      <c r="E8" s="33" t="str">
        <f>VLOOKUP(F8,辅助信息!A:B,2,FALSE)</f>
        <v>螺纹钢</v>
      </c>
      <c r="F8" s="33" t="s">
        <v>22</v>
      </c>
      <c r="G8" s="29">
        <v>15</v>
      </c>
      <c r="H8" s="29" t="e">
        <f>_xlfn._xlws.FILTER(#REF!,#REF!&amp;#REF!&amp;#REF!&amp;#REF!=C8&amp;F8&amp;I8&amp;J8,"未发货")</f>
        <v>#REF!</v>
      </c>
      <c r="I8" s="33" t="str">
        <f>VLOOKUP(B8,辅助信息!E:I,3,FALSE)</f>
        <v>(五冶钢构医学科学产业园建设项目房建三部-一标（7-4）)四川省南充市顺庆区搬罾街道学府大道二段</v>
      </c>
      <c r="J8" s="33" t="str">
        <f>VLOOKUP(B8,辅助信息!E:I,4,FALSE)</f>
        <v>郑林</v>
      </c>
      <c r="K8" s="33">
        <f>VLOOKUP(J8,辅助信息!H:I,2,FALSE)</f>
        <v>18349955455</v>
      </c>
      <c r="L8" s="69"/>
      <c r="M8" s="70"/>
      <c r="N8" s="70"/>
      <c r="O8" s="70"/>
      <c r="P8" s="70"/>
      <c r="Q8" s="33"/>
      <c r="R8" s="19"/>
    </row>
    <row r="9" hidden="1" spans="2:18">
      <c r="B9" s="33" t="s">
        <v>25</v>
      </c>
      <c r="C9" s="63">
        <v>45658</v>
      </c>
      <c r="D9" s="33" t="e">
        <f>VLOOKUP(B9,辅助信息!E:K,7,FALSE)</f>
        <v>#N/A</v>
      </c>
      <c r="E9" s="33" t="str">
        <f>VLOOKUP(F9,辅助信息!A:B,2,FALSE)</f>
        <v>盘螺</v>
      </c>
      <c r="F9" s="33" t="s">
        <v>26</v>
      </c>
      <c r="G9" s="29">
        <v>3</v>
      </c>
      <c r="H9" s="29" t="e">
        <f>_xlfn._xlws.FILTER(#REF!,#REF!&amp;#REF!&amp;#REF!&amp;#REF!=C9&amp;F9&amp;I9&amp;J9,"未发货")</f>
        <v>#REF!</v>
      </c>
      <c r="I9" s="33" t="e">
        <f>VLOOKUP(B9,辅助信息!E:I,3,FALSE)</f>
        <v>#N/A</v>
      </c>
      <c r="J9" s="33" t="e">
        <f>VLOOKUP(B9,辅助信息!E:I,4,FALSE)</f>
        <v>#N/A</v>
      </c>
      <c r="K9" s="33" t="e">
        <f>VLOOKUP(J9,辅助信息!H:I,2,FALSE)</f>
        <v>#N/A</v>
      </c>
      <c r="L9" s="70" t="e">
        <f>VLOOKUP(B9,辅助信息!E:J,6,FALSE)</f>
        <v>#N/A</v>
      </c>
      <c r="M9" s="70"/>
      <c r="N9" s="70"/>
      <c r="O9" s="70"/>
      <c r="P9" s="70"/>
      <c r="Q9" s="33" t="e">
        <f>VLOOKUP(B9,辅助信息!E:M,9,FALSE)</f>
        <v>#N/A</v>
      </c>
      <c r="R9" s="19"/>
    </row>
    <row r="10" hidden="1" spans="2:18">
      <c r="B10" s="33" t="s">
        <v>25</v>
      </c>
      <c r="C10" s="63">
        <v>45658</v>
      </c>
      <c r="D10" s="33" t="e">
        <f>VLOOKUP(B10,辅助信息!E:K,7,FALSE)</f>
        <v>#N/A</v>
      </c>
      <c r="E10" s="33" t="str">
        <f>VLOOKUP(F10,辅助信息!A:B,2,FALSE)</f>
        <v>螺纹钢</v>
      </c>
      <c r="F10" s="33" t="s">
        <v>27</v>
      </c>
      <c r="G10" s="29">
        <v>13</v>
      </c>
      <c r="H10" s="29" t="e">
        <f>_xlfn._xlws.FILTER(#REF!,#REF!&amp;#REF!&amp;#REF!&amp;#REF!=C10&amp;F10&amp;I10&amp;J10,"未发货")</f>
        <v>#REF!</v>
      </c>
      <c r="I10" s="33" t="e">
        <f>VLOOKUP(B10,辅助信息!E:I,3,FALSE)</f>
        <v>#N/A</v>
      </c>
      <c r="J10" s="33" t="e">
        <f>VLOOKUP(B10,辅助信息!E:I,4,FALSE)</f>
        <v>#N/A</v>
      </c>
      <c r="K10" s="33" t="e">
        <f>VLOOKUP(J10,辅助信息!H:I,2,FALSE)</f>
        <v>#N/A</v>
      </c>
      <c r="L10" s="71"/>
      <c r="M10" s="70"/>
      <c r="N10" s="70"/>
      <c r="O10" s="70"/>
      <c r="P10" s="70"/>
      <c r="Q10" s="33" t="e">
        <f>VLOOKUP(B10,辅助信息!E:M,9,FALSE)</f>
        <v>#N/A</v>
      </c>
      <c r="R10" s="19"/>
    </row>
    <row r="11" hidden="1" spans="2:18">
      <c r="B11" s="33" t="s">
        <v>25</v>
      </c>
      <c r="C11" s="63">
        <v>45658</v>
      </c>
      <c r="D11" s="33" t="e">
        <f>VLOOKUP(B11,辅助信息!E:K,7,FALSE)</f>
        <v>#N/A</v>
      </c>
      <c r="E11" s="33" t="str">
        <f>VLOOKUP(F11,辅助信息!A:B,2,FALSE)</f>
        <v>螺纹钢</v>
      </c>
      <c r="F11" s="33" t="s">
        <v>19</v>
      </c>
      <c r="G11" s="29">
        <v>10</v>
      </c>
      <c r="H11" s="29" t="e">
        <f>_xlfn._xlws.FILTER(#REF!,#REF!&amp;#REF!&amp;#REF!&amp;#REF!=C11&amp;F11&amp;I11&amp;J11,"未发货")</f>
        <v>#REF!</v>
      </c>
      <c r="I11" s="33" t="e">
        <f>VLOOKUP(B11,辅助信息!E:I,3,FALSE)</f>
        <v>#N/A</v>
      </c>
      <c r="J11" s="33" t="e">
        <f>VLOOKUP(B11,辅助信息!E:I,4,FALSE)</f>
        <v>#N/A</v>
      </c>
      <c r="K11" s="33" t="e">
        <f>VLOOKUP(J11,辅助信息!H:I,2,FALSE)</f>
        <v>#N/A</v>
      </c>
      <c r="L11" s="71"/>
      <c r="M11" s="70"/>
      <c r="N11" s="70"/>
      <c r="O11" s="70"/>
      <c r="P11" s="70"/>
      <c r="Q11" s="33" t="e">
        <f>VLOOKUP(B11,辅助信息!E:M,9,FALSE)</f>
        <v>#N/A</v>
      </c>
      <c r="R11" s="19"/>
    </row>
    <row r="12" hidden="1" spans="2:18">
      <c r="B12" s="33" t="s">
        <v>25</v>
      </c>
      <c r="C12" s="63">
        <v>45658</v>
      </c>
      <c r="D12" s="33" t="e">
        <f>VLOOKUP(B12,辅助信息!E:K,7,FALSE)</f>
        <v>#N/A</v>
      </c>
      <c r="E12" s="33" t="str">
        <f>VLOOKUP(F12,辅助信息!A:B,2,FALSE)</f>
        <v>螺纹钢</v>
      </c>
      <c r="F12" s="33" t="s">
        <v>28</v>
      </c>
      <c r="G12" s="29">
        <v>10</v>
      </c>
      <c r="H12" s="29" t="e">
        <f>_xlfn._xlws.FILTER(#REF!,#REF!&amp;#REF!&amp;#REF!&amp;#REF!=C12&amp;F12&amp;I12&amp;J12,"未发货")</f>
        <v>#REF!</v>
      </c>
      <c r="I12" s="33" t="e">
        <f>VLOOKUP(B12,辅助信息!E:I,3,FALSE)</f>
        <v>#N/A</v>
      </c>
      <c r="J12" s="33" t="e">
        <f>VLOOKUP(B12,辅助信息!E:I,4,FALSE)</f>
        <v>#N/A</v>
      </c>
      <c r="K12" s="33" t="e">
        <f>VLOOKUP(J12,辅助信息!H:I,2,FALSE)</f>
        <v>#N/A</v>
      </c>
      <c r="L12" s="69"/>
      <c r="M12" s="70"/>
      <c r="N12" s="70"/>
      <c r="O12" s="70"/>
      <c r="P12" s="70"/>
      <c r="Q12" s="33" t="e">
        <f>VLOOKUP(B12,辅助信息!E:M,9,FALSE)</f>
        <v>#N/A</v>
      </c>
      <c r="R12" s="19"/>
    </row>
    <row r="13" ht="56.25" hidden="1" customHeight="1" spans="2:18">
      <c r="B13" s="33" t="s">
        <v>29</v>
      </c>
      <c r="C13" s="63">
        <v>45658</v>
      </c>
      <c r="D13" s="33" t="e">
        <f>VLOOKUP(B13,辅助信息!E:K,7,FALSE)</f>
        <v>#N/A</v>
      </c>
      <c r="E13" s="33" t="str">
        <f>VLOOKUP(F13,辅助信息!A:B,2,FALSE)</f>
        <v>螺纹钢</v>
      </c>
      <c r="F13" s="33" t="s">
        <v>30</v>
      </c>
      <c r="G13" s="29">
        <v>35</v>
      </c>
      <c r="H13" s="29" t="e">
        <f>_xlfn._xlws.FILTER(#REF!,#REF!&amp;#REF!&amp;#REF!&amp;#REF!=C13&amp;F13&amp;I13&amp;J13,"未发货")</f>
        <v>#REF!</v>
      </c>
      <c r="I13" s="33" t="e">
        <f>VLOOKUP(B13,辅助信息!E:I,3,FALSE)</f>
        <v>#N/A</v>
      </c>
      <c r="J13" s="33" t="e">
        <f>VLOOKUP(B13,辅助信息!E:I,4,FALSE)</f>
        <v>#N/A</v>
      </c>
      <c r="K13" s="33" t="e">
        <f>VLOOKUP(J13,辅助信息!H:I,2,FALSE)</f>
        <v>#N/A</v>
      </c>
      <c r="L13" s="70" t="e">
        <f>VLOOKUP(B13,辅助信息!E:J,6,FALSE)</f>
        <v>#N/A</v>
      </c>
      <c r="M13" s="70"/>
      <c r="N13" s="70"/>
      <c r="O13" s="70"/>
      <c r="P13" s="70"/>
      <c r="Q13" s="33"/>
      <c r="R13" s="19"/>
    </row>
    <row r="14" hidden="1" spans="2:18">
      <c r="B14" s="33" t="s">
        <v>31</v>
      </c>
      <c r="C14" s="63">
        <v>45658</v>
      </c>
      <c r="D14" s="33" t="str">
        <f>VLOOKUP(B14,辅助信息!E:K,7,FALSE)</f>
        <v>JWDDCD2024121000136</v>
      </c>
      <c r="E14" s="33" t="str">
        <f>VLOOKUP(F14,辅助信息!A:B,2,FALSE)</f>
        <v>螺纹钢</v>
      </c>
      <c r="F14" s="33" t="s">
        <v>27</v>
      </c>
      <c r="G14" s="29">
        <v>9</v>
      </c>
      <c r="H14" s="29" t="e">
        <f>_xlfn._xlws.FILTER(#REF!,#REF!&amp;#REF!&amp;#REF!&amp;#REF!=C14&amp;F14&amp;I14&amp;J14,"未发货")</f>
        <v>#REF!</v>
      </c>
      <c r="I14" s="33" t="str">
        <f>VLOOKUP(B14,辅助信息!E:I,3,FALSE)</f>
        <v>（四川商建-射洪城乡一体化项目）遂宁市射洪市忠新幼儿园北侧约220米新溪小区</v>
      </c>
      <c r="J14" s="33" t="str">
        <f>VLOOKUP(B14,辅助信息!E:I,4,FALSE)</f>
        <v>柏子刚</v>
      </c>
      <c r="K14" s="33">
        <f>VLOOKUP(J14,辅助信息!H:I,2,FALSE)</f>
        <v>15692885305</v>
      </c>
      <c r="L14" s="70" t="str">
        <f>VLOOKUP(B14,辅助信息!E:J,6,FALSE)</f>
        <v>提前联系到场规格及数量</v>
      </c>
      <c r="M14" s="70"/>
      <c r="N14" s="70"/>
      <c r="O14" s="70"/>
      <c r="P14" s="70"/>
      <c r="Q14" s="33" t="str">
        <f>VLOOKUP(B14,辅助信息!E:M,9,FALSE)</f>
        <v>ZTWM-CDGS-XS-2024-0179-四川商投-射洪城乡一体化建设项目</v>
      </c>
      <c r="R14" s="19"/>
    </row>
    <row r="15" hidden="1" spans="2:18">
      <c r="B15" s="33" t="s">
        <v>31</v>
      </c>
      <c r="C15" s="63">
        <v>45658</v>
      </c>
      <c r="D15" s="33" t="str">
        <f>VLOOKUP(B15,辅助信息!E:K,7,FALSE)</f>
        <v>JWDDCD2024121000136</v>
      </c>
      <c r="E15" s="33" t="str">
        <f>VLOOKUP(F15,辅助信息!A:B,2,FALSE)</f>
        <v>螺纹钢</v>
      </c>
      <c r="F15" s="33" t="s">
        <v>32</v>
      </c>
      <c r="G15" s="29">
        <v>21</v>
      </c>
      <c r="H15" s="29" t="e">
        <f>_xlfn._xlws.FILTER(#REF!,#REF!&amp;#REF!&amp;#REF!&amp;#REF!=C15&amp;F15&amp;I15&amp;J15,"未发货")</f>
        <v>#REF!</v>
      </c>
      <c r="I15" s="33" t="str">
        <f>VLOOKUP(B15,辅助信息!E:I,3,FALSE)</f>
        <v>（四川商建-射洪城乡一体化项目）遂宁市射洪市忠新幼儿园北侧约220米新溪小区</v>
      </c>
      <c r="J15" s="33" t="str">
        <f>VLOOKUP(B15,辅助信息!E:I,4,FALSE)</f>
        <v>柏子刚</v>
      </c>
      <c r="K15" s="33">
        <f>VLOOKUP(J15,辅助信息!H:I,2,FALSE)</f>
        <v>15692885305</v>
      </c>
      <c r="L15" s="71"/>
      <c r="M15" s="70"/>
      <c r="N15" s="70"/>
      <c r="O15" s="70"/>
      <c r="P15" s="70"/>
      <c r="Q15" s="33" t="str">
        <f>VLOOKUP(B15,辅助信息!E:M,9,FALSE)</f>
        <v>ZTWM-CDGS-XS-2024-0179-四川商投-射洪城乡一体化建设项目</v>
      </c>
      <c r="R15" s="19"/>
    </row>
    <row r="16" hidden="1" spans="2:18">
      <c r="B16" s="33" t="s">
        <v>31</v>
      </c>
      <c r="C16" s="63">
        <v>45658</v>
      </c>
      <c r="D16" s="33" t="str">
        <f>VLOOKUP(B16,辅助信息!E:K,7,FALSE)</f>
        <v>JWDDCD2024121000136</v>
      </c>
      <c r="E16" s="33" t="str">
        <f>VLOOKUP(F16,辅助信息!A:B,2,FALSE)</f>
        <v>螺纹钢</v>
      </c>
      <c r="F16" s="33" t="s">
        <v>30</v>
      </c>
      <c r="G16" s="29">
        <v>6</v>
      </c>
      <c r="H16" s="29" t="e">
        <f>_xlfn._xlws.FILTER(#REF!,#REF!&amp;#REF!&amp;#REF!&amp;#REF!=C16&amp;F16&amp;I16&amp;J16,"未发货")</f>
        <v>#REF!</v>
      </c>
      <c r="I16" s="33" t="str">
        <f>VLOOKUP(B16,辅助信息!E:I,3,FALSE)</f>
        <v>（四川商建-射洪城乡一体化项目）遂宁市射洪市忠新幼儿园北侧约220米新溪小区</v>
      </c>
      <c r="J16" s="33" t="str">
        <f>VLOOKUP(B16,辅助信息!E:I,4,FALSE)</f>
        <v>柏子刚</v>
      </c>
      <c r="K16" s="33">
        <f>VLOOKUP(J16,辅助信息!H:I,2,FALSE)</f>
        <v>15692885305</v>
      </c>
      <c r="L16" s="71"/>
      <c r="M16" s="70"/>
      <c r="N16" s="70"/>
      <c r="O16" s="70"/>
      <c r="P16" s="70"/>
      <c r="Q16" s="33" t="str">
        <f>VLOOKUP(B16,辅助信息!E:M,9,FALSE)</f>
        <v>ZTWM-CDGS-XS-2024-0179-四川商投-射洪城乡一体化建设项目</v>
      </c>
      <c r="R16" s="19"/>
    </row>
    <row r="17" hidden="1" spans="2:18">
      <c r="B17" s="33" t="s">
        <v>31</v>
      </c>
      <c r="C17" s="63">
        <v>45658</v>
      </c>
      <c r="D17" s="33" t="str">
        <f>VLOOKUP(B17,辅助信息!E:K,7,FALSE)</f>
        <v>JWDDCD2024121000136</v>
      </c>
      <c r="E17" s="33" t="str">
        <f>VLOOKUP(F17,辅助信息!A:B,2,FALSE)</f>
        <v>螺纹钢</v>
      </c>
      <c r="F17" s="33" t="s">
        <v>33</v>
      </c>
      <c r="G17" s="29">
        <v>36</v>
      </c>
      <c r="H17" s="29" t="e">
        <f>_xlfn._xlws.FILTER(#REF!,#REF!&amp;#REF!&amp;#REF!&amp;#REF!=C17&amp;F17&amp;I17&amp;J17,"未发货")</f>
        <v>#REF!</v>
      </c>
      <c r="I17" s="33" t="str">
        <f>VLOOKUP(B17,辅助信息!E:I,3,FALSE)</f>
        <v>（四川商建-射洪城乡一体化项目）遂宁市射洪市忠新幼儿园北侧约220米新溪小区</v>
      </c>
      <c r="J17" s="33" t="str">
        <f>VLOOKUP(B17,辅助信息!E:I,4,FALSE)</f>
        <v>柏子刚</v>
      </c>
      <c r="K17" s="33">
        <f>VLOOKUP(J17,辅助信息!H:I,2,FALSE)</f>
        <v>15692885305</v>
      </c>
      <c r="L17" s="69"/>
      <c r="M17" s="70"/>
      <c r="N17" s="70"/>
      <c r="O17" s="70"/>
      <c r="P17" s="70"/>
      <c r="Q17" s="33" t="str">
        <f>VLOOKUP(B17,辅助信息!E:M,9,FALSE)</f>
        <v>ZTWM-CDGS-XS-2024-0179-四川商投-射洪城乡一体化建设项目</v>
      </c>
      <c r="R17" s="19"/>
    </row>
    <row r="18" hidden="1" spans="2:18">
      <c r="B18" s="33" t="s">
        <v>17</v>
      </c>
      <c r="C18" s="63">
        <v>45659</v>
      </c>
      <c r="D18" s="33" t="str">
        <f>VLOOKUP(B18,辅助信息!E:K,7,FALSE)</f>
        <v>JWDDCD2024101600090</v>
      </c>
      <c r="E18" s="33" t="str">
        <f>VLOOKUP(F18,辅助信息!A:B,2,FALSE)</f>
        <v>螺纹钢</v>
      </c>
      <c r="F18" s="33" t="s">
        <v>18</v>
      </c>
      <c r="G18" s="29">
        <v>69</v>
      </c>
      <c r="H18" s="29" t="e">
        <f>_xlfn._xlws.FILTER(#REF!,#REF!&amp;#REF!&amp;#REF!&amp;#REF!=C18&amp;F18&amp;I18&amp;J18,"未发货")</f>
        <v>#REF!</v>
      </c>
      <c r="I18" s="33" t="str">
        <f>VLOOKUP(B18,辅助信息!E:I,3,FALSE)</f>
        <v>（达州市公共卫生临床医疗中心项目-一标-1号制作房）达州市通川区西外复兴镇公共卫生临床医疗中心项目</v>
      </c>
      <c r="J18" s="33" t="str">
        <f>VLOOKUP(B18,辅助信息!E:I,4,FALSE)</f>
        <v>潘建发</v>
      </c>
      <c r="K18" s="33">
        <f>VLOOKUP(J18,辅助信息!H:I,2,FALSE)</f>
        <v>13658059919</v>
      </c>
      <c r="L18" s="70" t="s">
        <v>34</v>
      </c>
      <c r="M18" s="70"/>
      <c r="N18" s="70"/>
      <c r="O18" s="70"/>
      <c r="P18" s="70"/>
      <c r="Q18" s="33" t="str">
        <f>VLOOKUP(B18,辅助信息!E:M,9,FALSE)</f>
        <v>ZTWM-CDGS-XS-2024-0205-五冶钢构-达州市通川区西外复兴镇及临近片区建设项目</v>
      </c>
      <c r="R18" s="19"/>
    </row>
    <row r="19" hidden="1" spans="2:18">
      <c r="B19" s="33" t="s">
        <v>17</v>
      </c>
      <c r="C19" s="63">
        <v>45659</v>
      </c>
      <c r="D19" s="33" t="str">
        <f>VLOOKUP(B19,辅助信息!E:K,7,FALSE)</f>
        <v>JWDDCD2024101600090</v>
      </c>
      <c r="E19" s="33" t="str">
        <f>VLOOKUP(F19,辅助信息!A:B,2,FALSE)</f>
        <v>螺纹钢</v>
      </c>
      <c r="F19" s="33" t="s">
        <v>19</v>
      </c>
      <c r="G19" s="29">
        <v>35</v>
      </c>
      <c r="H19" s="29" t="e">
        <f>_xlfn._xlws.FILTER(#REF!,#REF!&amp;#REF!&amp;#REF!&amp;#REF!=C19&amp;F19&amp;I19&amp;J19,"未发货")</f>
        <v>#REF!</v>
      </c>
      <c r="I19" s="33" t="str">
        <f>VLOOKUP(B19,辅助信息!E:I,3,FALSE)</f>
        <v>（达州市公共卫生临床医疗中心项目-一标-1号制作房）达州市通川区西外复兴镇公共卫生临床医疗中心项目</v>
      </c>
      <c r="J19" s="33" t="str">
        <f>VLOOKUP(B19,辅助信息!E:I,4,FALSE)</f>
        <v>潘建发</v>
      </c>
      <c r="K19" s="33">
        <f>VLOOKUP(J19,辅助信息!H:I,2,FALSE)</f>
        <v>13658059919</v>
      </c>
      <c r="L19" s="69"/>
      <c r="M19" s="70"/>
      <c r="N19" s="70"/>
      <c r="O19" s="70"/>
      <c r="P19" s="70"/>
      <c r="Q19" s="33" t="str">
        <f>VLOOKUP(B19,辅助信息!E:M,9,FALSE)</f>
        <v>ZTWM-CDGS-XS-2024-0205-五冶钢构-达州市通川区西外复兴镇及临近片区建设项目</v>
      </c>
      <c r="R19" s="19"/>
    </row>
    <row r="20" hidden="1" spans="2:18">
      <c r="B20" s="33" t="s">
        <v>24</v>
      </c>
      <c r="C20" s="63">
        <v>45659</v>
      </c>
      <c r="D20" s="33" t="str">
        <f>VLOOKUP(B20,辅助信息!E:K,7,FALSE)</f>
        <v>JWDDCD2025051000019</v>
      </c>
      <c r="E20" s="33" t="str">
        <f>VLOOKUP(F20,辅助信息!A:B,2,FALSE)</f>
        <v>螺纹钢</v>
      </c>
      <c r="F20" s="33" t="s">
        <v>27</v>
      </c>
      <c r="G20" s="29">
        <v>35</v>
      </c>
      <c r="H20" s="29" t="e">
        <f>_xlfn._xlws.FILTER(#REF!,#REF!&amp;#REF!&amp;#REF!&amp;#REF!=C20&amp;F20&amp;I20&amp;J20,"未发货")</f>
        <v>#REF!</v>
      </c>
      <c r="I20" s="33" t="str">
        <f>VLOOKUP(B20,辅助信息!E:I,3,FALSE)</f>
        <v>(五冶钢构医学科学产业园建设项目房建三部-一标（7-4）)四川省南充市顺庆区搬罾街道学府大道二段</v>
      </c>
      <c r="J20" s="33" t="str">
        <f>VLOOKUP(B20,辅助信息!E:I,4,FALSE)</f>
        <v>郑林</v>
      </c>
      <c r="K20" s="33">
        <f>VLOOKUP(J20,辅助信息!H:I,2,FALSE)</f>
        <v>18349955455</v>
      </c>
      <c r="L20" s="70"/>
      <c r="M20" s="70"/>
      <c r="N20" s="70"/>
      <c r="O20" s="70"/>
      <c r="P20" s="70"/>
      <c r="Q20" s="33" t="str">
        <f>VLOOKUP(B20,辅助信息!E:M,9,FALSE)</f>
        <v>ZTWM-CDGS-XS-2024-0248-五冶钢构-南充市医学院项目</v>
      </c>
      <c r="R20" s="19"/>
    </row>
    <row r="21" hidden="1" spans="2:18">
      <c r="B21" s="33" t="s">
        <v>24</v>
      </c>
      <c r="C21" s="63">
        <v>45659</v>
      </c>
      <c r="D21" s="33" t="str">
        <f>VLOOKUP(B21,辅助信息!E:K,7,FALSE)</f>
        <v>JWDDCD2025051000019</v>
      </c>
      <c r="E21" s="33" t="str">
        <f>VLOOKUP(F21,辅助信息!A:B,2,FALSE)</f>
        <v>螺纹钢</v>
      </c>
      <c r="F21" s="33" t="s">
        <v>21</v>
      </c>
      <c r="G21" s="29">
        <v>10</v>
      </c>
      <c r="H21" s="29" t="e">
        <f>_xlfn._xlws.FILTER(#REF!,#REF!&amp;#REF!&amp;#REF!&amp;#REF!=C21&amp;F21&amp;I21&amp;J21,"未发货")</f>
        <v>#REF!</v>
      </c>
      <c r="I21" s="33" t="str">
        <f>VLOOKUP(B21,辅助信息!E:I,3,FALSE)</f>
        <v>(五冶钢构医学科学产业园建设项目房建三部-一标（7-4）)四川省南充市顺庆区搬罾街道学府大道二段</v>
      </c>
      <c r="J21" s="33" t="str">
        <f>VLOOKUP(B21,辅助信息!E:I,4,FALSE)</f>
        <v>郑林</v>
      </c>
      <c r="K21" s="33">
        <f>VLOOKUP(J21,辅助信息!H:I,2,FALSE)</f>
        <v>18349955455</v>
      </c>
      <c r="L21" s="70" t="s">
        <v>35</v>
      </c>
      <c r="M21" s="70"/>
      <c r="N21" s="70"/>
      <c r="O21" s="70"/>
      <c r="P21" s="70"/>
      <c r="Q21" s="33" t="str">
        <f>VLOOKUP(B21,辅助信息!E:M,9,FALSE)</f>
        <v>ZTWM-CDGS-XS-2024-0248-五冶钢构-南充市医学院项目</v>
      </c>
      <c r="R21" s="19"/>
    </row>
    <row r="22" hidden="1" spans="2:18">
      <c r="B22" s="33" t="s">
        <v>24</v>
      </c>
      <c r="C22" s="63">
        <v>45659</v>
      </c>
      <c r="D22" s="33" t="str">
        <f>VLOOKUP(B22,辅助信息!E:K,7,FALSE)</f>
        <v>JWDDCD2025051000019</v>
      </c>
      <c r="E22" s="33" t="str">
        <f>VLOOKUP(F22,辅助信息!A:B,2,FALSE)</f>
        <v>螺纹钢</v>
      </c>
      <c r="F22" s="33" t="s">
        <v>22</v>
      </c>
      <c r="G22" s="29">
        <v>25</v>
      </c>
      <c r="H22" s="29" t="e">
        <f>_xlfn._xlws.FILTER(#REF!,#REF!&amp;#REF!&amp;#REF!&amp;#REF!=C22&amp;F22&amp;I22&amp;J22,"未发货")</f>
        <v>#REF!</v>
      </c>
      <c r="I22" s="33" t="str">
        <f>VLOOKUP(B22,辅助信息!E:I,3,FALSE)</f>
        <v>(五冶钢构医学科学产业园建设项目房建三部-一标（7-4）)四川省南充市顺庆区搬罾街道学府大道二段</v>
      </c>
      <c r="J22" s="33" t="str">
        <f>VLOOKUP(B22,辅助信息!E:I,4,FALSE)</f>
        <v>郑林</v>
      </c>
      <c r="K22" s="33">
        <f>VLOOKUP(J22,辅助信息!H:I,2,FALSE)</f>
        <v>18349955455</v>
      </c>
      <c r="L22" s="69"/>
      <c r="M22" s="70"/>
      <c r="N22" s="70"/>
      <c r="O22" s="70"/>
      <c r="P22" s="70"/>
      <c r="Q22" s="33" t="str">
        <f>VLOOKUP(B22,辅助信息!E:M,9,FALSE)</f>
        <v>ZTWM-CDGS-XS-2024-0248-五冶钢构-南充市医学院项目</v>
      </c>
      <c r="R22" s="19"/>
    </row>
    <row r="23" hidden="1" spans="2:18">
      <c r="B23" s="33" t="s">
        <v>25</v>
      </c>
      <c r="C23" s="63">
        <v>45659</v>
      </c>
      <c r="D23" s="33" t="e">
        <f>VLOOKUP(B23,辅助信息!E:K,7,FALSE)</f>
        <v>#N/A</v>
      </c>
      <c r="E23" s="33" t="str">
        <f>VLOOKUP(F23,辅助信息!A:B,2,FALSE)</f>
        <v>盘螺</v>
      </c>
      <c r="F23" s="33" t="s">
        <v>26</v>
      </c>
      <c r="G23" s="29">
        <v>3</v>
      </c>
      <c r="H23" s="29" t="e">
        <f>_xlfn._xlws.FILTER(#REF!,#REF!&amp;#REF!&amp;#REF!&amp;#REF!=C23&amp;F23&amp;I23&amp;J23,"未发货")</f>
        <v>#REF!</v>
      </c>
      <c r="I23" s="33" t="e">
        <f>VLOOKUP(B23,辅助信息!E:I,3,FALSE)</f>
        <v>#N/A</v>
      </c>
      <c r="J23" s="33" t="e">
        <f>VLOOKUP(B23,辅助信息!E:I,4,FALSE)</f>
        <v>#N/A</v>
      </c>
      <c r="K23" s="33" t="e">
        <f>VLOOKUP(J23,辅助信息!H:I,2,FALSE)</f>
        <v>#N/A</v>
      </c>
      <c r="L23" s="70" t="s">
        <v>36</v>
      </c>
      <c r="M23" s="70"/>
      <c r="N23" s="70"/>
      <c r="O23" s="70"/>
      <c r="P23" s="70"/>
      <c r="Q23" s="33" t="e">
        <f>VLOOKUP(B23,辅助信息!E:M,9,FALSE)</f>
        <v>#N/A</v>
      </c>
      <c r="R23" s="19"/>
    </row>
    <row r="24" hidden="1" spans="2:18">
      <c r="B24" s="33" t="s">
        <v>25</v>
      </c>
      <c r="C24" s="63">
        <v>45659</v>
      </c>
      <c r="D24" s="33" t="e">
        <f>VLOOKUP(B24,辅助信息!E:K,7,FALSE)</f>
        <v>#N/A</v>
      </c>
      <c r="E24" s="33" t="str">
        <f>VLOOKUP(F24,辅助信息!A:B,2,FALSE)</f>
        <v>螺纹钢</v>
      </c>
      <c r="F24" s="33" t="s">
        <v>27</v>
      </c>
      <c r="G24" s="29">
        <v>13</v>
      </c>
      <c r="H24" s="29" t="e">
        <f>_xlfn._xlws.FILTER(#REF!,#REF!&amp;#REF!&amp;#REF!&amp;#REF!=C24&amp;F24&amp;I24&amp;J24,"未发货")</f>
        <v>#REF!</v>
      </c>
      <c r="I24" s="33" t="e">
        <f>VLOOKUP(B24,辅助信息!E:I,3,FALSE)</f>
        <v>#N/A</v>
      </c>
      <c r="J24" s="33" t="e">
        <f>VLOOKUP(B24,辅助信息!E:I,4,FALSE)</f>
        <v>#N/A</v>
      </c>
      <c r="K24" s="33" t="e">
        <f>VLOOKUP(J24,辅助信息!H:I,2,FALSE)</f>
        <v>#N/A</v>
      </c>
      <c r="L24" s="71"/>
      <c r="M24" s="70"/>
      <c r="N24" s="70"/>
      <c r="O24" s="70"/>
      <c r="P24" s="70"/>
      <c r="Q24" s="33" t="e">
        <f>VLOOKUP(B24,辅助信息!E:M,9,FALSE)</f>
        <v>#N/A</v>
      </c>
      <c r="R24" s="19"/>
    </row>
    <row r="25" hidden="1" spans="2:18">
      <c r="B25" s="33" t="s">
        <v>25</v>
      </c>
      <c r="C25" s="63">
        <v>45659</v>
      </c>
      <c r="D25" s="33" t="e">
        <f>VLOOKUP(B25,辅助信息!E:K,7,FALSE)</f>
        <v>#N/A</v>
      </c>
      <c r="E25" s="33" t="str">
        <f>VLOOKUP(F25,辅助信息!A:B,2,FALSE)</f>
        <v>螺纹钢</v>
      </c>
      <c r="F25" s="33" t="s">
        <v>19</v>
      </c>
      <c r="G25" s="29">
        <v>10</v>
      </c>
      <c r="H25" s="29" t="e">
        <f>_xlfn._xlws.FILTER(#REF!,#REF!&amp;#REF!&amp;#REF!&amp;#REF!=C25&amp;F25&amp;I25&amp;J25,"未发货")</f>
        <v>#REF!</v>
      </c>
      <c r="I25" s="33" t="e">
        <f>VLOOKUP(B25,辅助信息!E:I,3,FALSE)</f>
        <v>#N/A</v>
      </c>
      <c r="J25" s="33" t="e">
        <f>VLOOKUP(B25,辅助信息!E:I,4,FALSE)</f>
        <v>#N/A</v>
      </c>
      <c r="K25" s="33" t="e">
        <f>VLOOKUP(J25,辅助信息!H:I,2,FALSE)</f>
        <v>#N/A</v>
      </c>
      <c r="L25" s="71"/>
      <c r="M25" s="70"/>
      <c r="N25" s="70"/>
      <c r="O25" s="70"/>
      <c r="P25" s="70"/>
      <c r="Q25" s="33" t="e">
        <f>VLOOKUP(B25,辅助信息!E:M,9,FALSE)</f>
        <v>#N/A</v>
      </c>
      <c r="R25" s="19"/>
    </row>
    <row r="26" hidden="1" spans="2:18">
      <c r="B26" s="33" t="s">
        <v>25</v>
      </c>
      <c r="C26" s="63">
        <v>45659</v>
      </c>
      <c r="D26" s="33" t="e">
        <f>VLOOKUP(B26,辅助信息!E:K,7,FALSE)</f>
        <v>#N/A</v>
      </c>
      <c r="E26" s="33" t="str">
        <f>VLOOKUP(F26,辅助信息!A:B,2,FALSE)</f>
        <v>螺纹钢</v>
      </c>
      <c r="F26" s="33" t="s">
        <v>28</v>
      </c>
      <c r="G26" s="29">
        <v>10</v>
      </c>
      <c r="H26" s="29" t="e">
        <f>_xlfn._xlws.FILTER(#REF!,#REF!&amp;#REF!&amp;#REF!&amp;#REF!=C26&amp;F26&amp;I26&amp;J26,"未发货")</f>
        <v>#REF!</v>
      </c>
      <c r="I26" s="33" t="e">
        <f>VLOOKUP(B26,辅助信息!E:I,3,FALSE)</f>
        <v>#N/A</v>
      </c>
      <c r="J26" s="33" t="e">
        <f>VLOOKUP(B26,辅助信息!E:I,4,FALSE)</f>
        <v>#N/A</v>
      </c>
      <c r="K26" s="33" t="e">
        <f>VLOOKUP(J26,辅助信息!H:I,2,FALSE)</f>
        <v>#N/A</v>
      </c>
      <c r="L26" s="69"/>
      <c r="M26" s="70"/>
      <c r="N26" s="70"/>
      <c r="O26" s="70"/>
      <c r="P26" s="70"/>
      <c r="Q26" s="33" t="e">
        <f>VLOOKUP(B26,辅助信息!E:M,9,FALSE)</f>
        <v>#N/A</v>
      </c>
      <c r="R26" s="19"/>
    </row>
    <row r="27" ht="56.25" hidden="1" customHeight="1" spans="2:18">
      <c r="B27" s="33" t="s">
        <v>29</v>
      </c>
      <c r="C27" s="63">
        <v>45659</v>
      </c>
      <c r="D27" s="33" t="e">
        <f>VLOOKUP(B27,辅助信息!E:K,7,FALSE)</f>
        <v>#N/A</v>
      </c>
      <c r="E27" s="33" t="str">
        <f>VLOOKUP(F27,辅助信息!A:B,2,FALSE)</f>
        <v>螺纹钢</v>
      </c>
      <c r="F27" s="33" t="s">
        <v>30</v>
      </c>
      <c r="G27" s="29">
        <v>35</v>
      </c>
      <c r="H27" s="29" t="e">
        <f>_xlfn._xlws.FILTER(#REF!,#REF!&amp;#REF!&amp;#REF!&amp;#REF!=C27&amp;F27&amp;I27&amp;J27,"未发货")</f>
        <v>#REF!</v>
      </c>
      <c r="I27" s="33" t="e">
        <f>VLOOKUP(B27,辅助信息!E:I,3,FALSE)</f>
        <v>#N/A</v>
      </c>
      <c r="J27" s="33" t="e">
        <f>VLOOKUP(B27,辅助信息!E:I,4,FALSE)</f>
        <v>#N/A</v>
      </c>
      <c r="K27" s="33" t="e">
        <f>VLOOKUP(J27,辅助信息!H:I,2,FALSE)</f>
        <v>#N/A</v>
      </c>
      <c r="L27" s="70" t="s">
        <v>37</v>
      </c>
      <c r="M27" s="70"/>
      <c r="N27" s="70"/>
      <c r="O27" s="70"/>
      <c r="P27" s="70"/>
      <c r="Q27" s="33" t="e">
        <f>VLOOKUP(B27,辅助信息!E:M,9,FALSE)</f>
        <v>#N/A</v>
      </c>
      <c r="R27" s="19"/>
    </row>
    <row r="28" hidden="1" spans="2:18">
      <c r="B28" s="33" t="s">
        <v>31</v>
      </c>
      <c r="C28" s="63">
        <v>45659</v>
      </c>
      <c r="D28" s="33" t="str">
        <f>VLOOKUP(B28,辅助信息!E:K,7,FALSE)</f>
        <v>JWDDCD2024121000136</v>
      </c>
      <c r="E28" s="33" t="str">
        <f>VLOOKUP(F28,辅助信息!A:B,2,FALSE)</f>
        <v>螺纹钢</v>
      </c>
      <c r="F28" s="33" t="s">
        <v>27</v>
      </c>
      <c r="G28" s="29">
        <v>9</v>
      </c>
      <c r="H28" s="29" t="e">
        <f>_xlfn._xlws.FILTER(#REF!,#REF!&amp;#REF!&amp;#REF!&amp;#REF!=C28&amp;F28&amp;I28&amp;J28,"未发货")</f>
        <v>#REF!</v>
      </c>
      <c r="I28" s="33" t="str">
        <f>VLOOKUP(B28,辅助信息!E:I,3,FALSE)</f>
        <v>（四川商建-射洪城乡一体化项目）遂宁市射洪市忠新幼儿园北侧约220米新溪小区</v>
      </c>
      <c r="J28" s="33" t="str">
        <f>VLOOKUP(B28,辅助信息!E:I,4,FALSE)</f>
        <v>柏子刚</v>
      </c>
      <c r="K28" s="33">
        <f>VLOOKUP(J28,辅助信息!H:I,2,FALSE)</f>
        <v>15692885305</v>
      </c>
      <c r="L28" s="70" t="s">
        <v>38</v>
      </c>
      <c r="M28" s="70"/>
      <c r="N28" s="70"/>
      <c r="O28" s="70"/>
      <c r="P28" s="70"/>
      <c r="Q28" s="33" t="str">
        <f>VLOOKUP(B28,辅助信息!E:M,9,FALSE)</f>
        <v>ZTWM-CDGS-XS-2024-0179-四川商投-射洪城乡一体化建设项目</v>
      </c>
      <c r="R28" s="19"/>
    </row>
    <row r="29" hidden="1" spans="2:18">
      <c r="B29" s="33" t="s">
        <v>31</v>
      </c>
      <c r="C29" s="63">
        <v>45659</v>
      </c>
      <c r="D29" s="33" t="str">
        <f>VLOOKUP(B29,辅助信息!E:K,7,FALSE)</f>
        <v>JWDDCD2024121000136</v>
      </c>
      <c r="E29" s="33" t="str">
        <f>VLOOKUP(F29,辅助信息!A:B,2,FALSE)</f>
        <v>螺纹钢</v>
      </c>
      <c r="F29" s="33" t="s">
        <v>32</v>
      </c>
      <c r="G29" s="29">
        <v>21</v>
      </c>
      <c r="H29" s="29" t="e">
        <f>_xlfn._xlws.FILTER(#REF!,#REF!&amp;#REF!&amp;#REF!&amp;#REF!=C29&amp;F29&amp;I29&amp;J29,"未发货")</f>
        <v>#REF!</v>
      </c>
      <c r="I29" s="33" t="str">
        <f>VLOOKUP(B29,辅助信息!E:I,3,FALSE)</f>
        <v>（四川商建-射洪城乡一体化项目）遂宁市射洪市忠新幼儿园北侧约220米新溪小区</v>
      </c>
      <c r="J29" s="33" t="str">
        <f>VLOOKUP(B29,辅助信息!E:I,4,FALSE)</f>
        <v>柏子刚</v>
      </c>
      <c r="K29" s="33">
        <f>VLOOKUP(J29,辅助信息!H:I,2,FALSE)</f>
        <v>15692885305</v>
      </c>
      <c r="L29" s="71"/>
      <c r="M29" s="70"/>
      <c r="N29" s="70"/>
      <c r="O29" s="70"/>
      <c r="P29" s="70"/>
      <c r="Q29" s="33" t="str">
        <f>VLOOKUP(B29,辅助信息!E:M,9,FALSE)</f>
        <v>ZTWM-CDGS-XS-2024-0179-四川商投-射洪城乡一体化建设项目</v>
      </c>
      <c r="R29" s="19"/>
    </row>
    <row r="30" hidden="1" spans="2:18">
      <c r="B30" s="33" t="s">
        <v>31</v>
      </c>
      <c r="C30" s="63">
        <v>45659</v>
      </c>
      <c r="D30" s="33" t="str">
        <f>VLOOKUP(B30,辅助信息!E:K,7,FALSE)</f>
        <v>JWDDCD2024121000136</v>
      </c>
      <c r="E30" s="33" t="str">
        <f>VLOOKUP(F30,辅助信息!A:B,2,FALSE)</f>
        <v>螺纹钢</v>
      </c>
      <c r="F30" s="33" t="s">
        <v>30</v>
      </c>
      <c r="G30" s="29">
        <v>6</v>
      </c>
      <c r="H30" s="29" t="e">
        <f>_xlfn._xlws.FILTER(#REF!,#REF!&amp;#REF!&amp;#REF!&amp;#REF!=C30&amp;F30&amp;I30&amp;J30,"未发货")</f>
        <v>#REF!</v>
      </c>
      <c r="I30" s="33" t="str">
        <f>VLOOKUP(B30,辅助信息!E:I,3,FALSE)</f>
        <v>（四川商建-射洪城乡一体化项目）遂宁市射洪市忠新幼儿园北侧约220米新溪小区</v>
      </c>
      <c r="J30" s="33" t="str">
        <f>VLOOKUP(B30,辅助信息!E:I,4,FALSE)</f>
        <v>柏子刚</v>
      </c>
      <c r="K30" s="33">
        <f>VLOOKUP(J30,辅助信息!H:I,2,FALSE)</f>
        <v>15692885305</v>
      </c>
      <c r="L30" s="71"/>
      <c r="M30" s="70"/>
      <c r="N30" s="70"/>
      <c r="O30" s="70"/>
      <c r="P30" s="70"/>
      <c r="Q30" s="33" t="str">
        <f>VLOOKUP(B30,辅助信息!E:M,9,FALSE)</f>
        <v>ZTWM-CDGS-XS-2024-0179-四川商投-射洪城乡一体化建设项目</v>
      </c>
      <c r="R30" s="19"/>
    </row>
    <row r="31" hidden="1" spans="2:18">
      <c r="B31" s="33" t="s">
        <v>31</v>
      </c>
      <c r="C31" s="63">
        <v>45659</v>
      </c>
      <c r="D31" s="33" t="str">
        <f>VLOOKUP(B31,辅助信息!E:K,7,FALSE)</f>
        <v>JWDDCD2024121000136</v>
      </c>
      <c r="E31" s="33" t="str">
        <f>VLOOKUP(F31,辅助信息!A:B,2,FALSE)</f>
        <v>螺纹钢</v>
      </c>
      <c r="F31" s="33" t="s">
        <v>33</v>
      </c>
      <c r="G31" s="29">
        <v>36</v>
      </c>
      <c r="H31" s="29" t="e">
        <f>_xlfn._xlws.FILTER(#REF!,#REF!&amp;#REF!&amp;#REF!&amp;#REF!=C31&amp;F31&amp;I31&amp;J31,"未发货")</f>
        <v>#REF!</v>
      </c>
      <c r="I31" s="33" t="str">
        <f>VLOOKUP(B31,辅助信息!E:I,3,FALSE)</f>
        <v>（四川商建-射洪城乡一体化项目）遂宁市射洪市忠新幼儿园北侧约220米新溪小区</v>
      </c>
      <c r="J31" s="33" t="str">
        <f>VLOOKUP(B31,辅助信息!E:I,4,FALSE)</f>
        <v>柏子刚</v>
      </c>
      <c r="K31" s="33">
        <f>VLOOKUP(J31,辅助信息!H:I,2,FALSE)</f>
        <v>15692885305</v>
      </c>
      <c r="L31" s="69"/>
      <c r="M31" s="70"/>
      <c r="N31" s="70"/>
      <c r="O31" s="70"/>
      <c r="P31" s="70"/>
      <c r="Q31" s="33" t="str">
        <f>VLOOKUP(B31,辅助信息!E:M,9,FALSE)</f>
        <v>ZTWM-CDGS-XS-2024-0179-四川商投-射洪城乡一体化建设项目</v>
      </c>
      <c r="R31" s="19"/>
    </row>
    <row r="32" hidden="1" spans="2:18">
      <c r="B32" s="33" t="s">
        <v>39</v>
      </c>
      <c r="C32" s="63">
        <v>45659</v>
      </c>
      <c r="D32" s="33" t="str">
        <f>VLOOKUP(B32,辅助信息!E:K,7,FALSE)</f>
        <v>JWDDCD2024101600090</v>
      </c>
      <c r="E32" s="33" t="str">
        <f>VLOOKUP(F32,辅助信息!A:B,2,FALSE)</f>
        <v>盘螺</v>
      </c>
      <c r="F32" s="33" t="s">
        <v>40</v>
      </c>
      <c r="G32" s="29">
        <v>10</v>
      </c>
      <c r="H32" s="29" t="e">
        <f>_xlfn._xlws.FILTER(#REF!,#REF!&amp;#REF!&amp;#REF!&amp;#REF!=C32&amp;F32&amp;I32&amp;J32,"未发货")</f>
        <v>#REF!</v>
      </c>
      <c r="I32" s="33" t="str">
        <f>VLOOKUP(B32,辅助信息!E:I,3,FALSE)</f>
        <v>（达州市公共卫生临床医疗中心项目-一标-2号制作房）达州市通川区西外复兴镇公共卫生临床医疗中心项目</v>
      </c>
      <c r="J32" s="33" t="str">
        <f>VLOOKUP(B32,辅助信息!E:I,4,FALSE)</f>
        <v>潘建发</v>
      </c>
      <c r="K32" s="72">
        <f>VLOOKUP(J32,辅助信息!H:I,2,FALSE)</f>
        <v>13658059919</v>
      </c>
      <c r="L32" s="73" t="s">
        <v>34</v>
      </c>
      <c r="M32" s="73"/>
      <c r="N32" s="73"/>
      <c r="O32" s="73"/>
      <c r="P32" s="73"/>
      <c r="Q32" s="33" t="str">
        <f>VLOOKUP(B32,辅助信息!E:M,9,FALSE)</f>
        <v>ZTWM-CDGS-XS-2024-0205-五冶钢构-达州市通川区西外复兴镇及临近片区建设项目</v>
      </c>
      <c r="R32" s="19"/>
    </row>
    <row r="33" hidden="1" spans="2:18">
      <c r="B33" s="33" t="s">
        <v>39</v>
      </c>
      <c r="C33" s="63">
        <v>45659</v>
      </c>
      <c r="D33" s="33" t="str">
        <f>VLOOKUP(B33,辅助信息!E:K,7,FALSE)</f>
        <v>JWDDCD2024101600090</v>
      </c>
      <c r="E33" s="33" t="str">
        <f>VLOOKUP(F33,辅助信息!A:B,2,FALSE)</f>
        <v>盘螺</v>
      </c>
      <c r="F33" s="33" t="s">
        <v>41</v>
      </c>
      <c r="G33" s="29">
        <v>2</v>
      </c>
      <c r="H33" s="29">
        <v>2</v>
      </c>
      <c r="I33" s="33" t="str">
        <f>VLOOKUP(B33,辅助信息!E:I,3,FALSE)</f>
        <v>（达州市公共卫生临床医疗中心项目-一标-2号制作房）达州市通川区西外复兴镇公共卫生临床医疗中心项目</v>
      </c>
      <c r="J33" s="33" t="str">
        <f>VLOOKUP(B33,辅助信息!E:I,4,FALSE)</f>
        <v>潘建发</v>
      </c>
      <c r="K33" s="72">
        <f>VLOOKUP(J33,辅助信息!H:I,2,FALSE)</f>
        <v>13658059919</v>
      </c>
      <c r="M33" s="50"/>
      <c r="N33" s="50"/>
      <c r="O33" s="50"/>
      <c r="P33" s="50"/>
      <c r="Q33" s="33" t="str">
        <f>VLOOKUP(B33,辅助信息!E:M,9,FALSE)</f>
        <v>ZTWM-CDGS-XS-2024-0205-五冶钢构-达州市通川区西外复兴镇及临近片区建设项目</v>
      </c>
      <c r="R33" s="19"/>
    </row>
    <row r="34" hidden="1" spans="2:18">
      <c r="B34" s="33" t="s">
        <v>39</v>
      </c>
      <c r="C34" s="63">
        <v>45659</v>
      </c>
      <c r="D34" s="33" t="str">
        <f>VLOOKUP(B34,辅助信息!E:K,7,FALSE)</f>
        <v>JWDDCD2024101600090</v>
      </c>
      <c r="E34" s="33" t="str">
        <f>VLOOKUP(F34,辅助信息!A:B,2,FALSE)</f>
        <v>螺纹钢</v>
      </c>
      <c r="F34" s="33" t="s">
        <v>27</v>
      </c>
      <c r="G34" s="29">
        <v>45</v>
      </c>
      <c r="H34" s="29">
        <v>45</v>
      </c>
      <c r="I34" s="33" t="str">
        <f>VLOOKUP(B34,辅助信息!E:I,3,FALSE)</f>
        <v>（达州市公共卫生临床医疗中心项目-一标-2号制作房）达州市通川区西外复兴镇公共卫生临床医疗中心项目</v>
      </c>
      <c r="J34" s="33" t="str">
        <f>VLOOKUP(B34,辅助信息!E:I,4,FALSE)</f>
        <v>潘建发</v>
      </c>
      <c r="K34" s="72">
        <f>VLOOKUP(J34,辅助信息!H:I,2,FALSE)</f>
        <v>13658059919</v>
      </c>
      <c r="M34" s="50"/>
      <c r="N34" s="50"/>
      <c r="O34" s="50"/>
      <c r="P34" s="50"/>
      <c r="Q34" s="33" t="str">
        <f>VLOOKUP(B34,辅助信息!E:M,9,FALSE)</f>
        <v>ZTWM-CDGS-XS-2024-0205-五冶钢构-达州市通川区西外复兴镇及临近片区建设项目</v>
      </c>
      <c r="R34" s="19"/>
    </row>
    <row r="35" hidden="1" spans="2:18">
      <c r="B35" s="33" t="s">
        <v>39</v>
      </c>
      <c r="C35" s="63">
        <v>45659</v>
      </c>
      <c r="D35" s="33" t="str">
        <f>VLOOKUP(B35,辅助信息!E:K,7,FALSE)</f>
        <v>JWDDCD2024101600090</v>
      </c>
      <c r="E35" s="33" t="str">
        <f>VLOOKUP(F35,辅助信息!A:B,2,FALSE)</f>
        <v>螺纹钢</v>
      </c>
      <c r="F35" s="33" t="s">
        <v>19</v>
      </c>
      <c r="G35" s="29">
        <v>16</v>
      </c>
      <c r="H35" s="29" t="e">
        <f>_xlfn._xlws.FILTER(#REF!,#REF!&amp;#REF!&amp;#REF!&amp;#REF!=C35&amp;F35&amp;I35&amp;J35,"未发货")</f>
        <v>#REF!</v>
      </c>
      <c r="I35" s="33" t="str">
        <f>VLOOKUP(B35,辅助信息!E:I,3,FALSE)</f>
        <v>（达州市公共卫生临床医疗中心项目-一标-2号制作房）达州市通川区西外复兴镇公共卫生临床医疗中心项目</v>
      </c>
      <c r="J35" s="33" t="str">
        <f>VLOOKUP(B35,辅助信息!E:I,4,FALSE)</f>
        <v>潘建发</v>
      </c>
      <c r="K35" s="72">
        <f>VLOOKUP(J35,辅助信息!H:I,2,FALSE)</f>
        <v>13658059919</v>
      </c>
      <c r="M35" s="50"/>
      <c r="N35" s="50"/>
      <c r="O35" s="50"/>
      <c r="P35" s="50"/>
      <c r="Q35" s="33" t="str">
        <f>VLOOKUP(B35,辅助信息!E:M,9,FALSE)</f>
        <v>ZTWM-CDGS-XS-2024-0205-五冶钢构-达州市通川区西外复兴镇及临近片区建设项目</v>
      </c>
      <c r="R35" s="19"/>
    </row>
    <row r="36" hidden="1" spans="2:18">
      <c r="B36" s="33" t="s">
        <v>39</v>
      </c>
      <c r="C36" s="63">
        <v>45659</v>
      </c>
      <c r="D36" s="33" t="str">
        <f>VLOOKUP(B36,辅助信息!E:K,7,FALSE)</f>
        <v>JWDDCD2024101600090</v>
      </c>
      <c r="E36" s="33" t="str">
        <f>VLOOKUP(F36,辅助信息!A:B,2,FALSE)</f>
        <v>螺纹钢</v>
      </c>
      <c r="F36" s="33" t="s">
        <v>32</v>
      </c>
      <c r="G36" s="29">
        <v>5</v>
      </c>
      <c r="H36" s="29" t="e">
        <f>_xlfn._xlws.FILTER(#REF!,#REF!&amp;#REF!&amp;#REF!&amp;#REF!=C36&amp;F36&amp;I36&amp;J36,"未发货")</f>
        <v>#REF!</v>
      </c>
      <c r="I36" s="33" t="str">
        <f>VLOOKUP(B36,辅助信息!E:I,3,FALSE)</f>
        <v>（达州市公共卫生临床医疗中心项目-一标-2号制作房）达州市通川区西外复兴镇公共卫生临床医疗中心项目</v>
      </c>
      <c r="J36" s="33" t="str">
        <f>VLOOKUP(B36,辅助信息!E:I,4,FALSE)</f>
        <v>潘建发</v>
      </c>
      <c r="K36" s="72">
        <f>VLOOKUP(J36,辅助信息!H:I,2,FALSE)</f>
        <v>13658059919</v>
      </c>
      <c r="M36" s="50"/>
      <c r="N36" s="50"/>
      <c r="O36" s="50"/>
      <c r="P36" s="50"/>
      <c r="Q36" s="33" t="str">
        <f>VLOOKUP(B36,辅助信息!E:M,9,FALSE)</f>
        <v>ZTWM-CDGS-XS-2024-0205-五冶钢构-达州市通川区西外复兴镇及临近片区建设项目</v>
      </c>
      <c r="R36" s="19"/>
    </row>
    <row r="37" hidden="1" spans="2:18">
      <c r="B37" s="33" t="s">
        <v>39</v>
      </c>
      <c r="C37" s="63">
        <v>45659</v>
      </c>
      <c r="D37" s="33" t="str">
        <f>VLOOKUP(B37,辅助信息!E:K,7,FALSE)</f>
        <v>JWDDCD2024101600090</v>
      </c>
      <c r="E37" s="33" t="str">
        <f>VLOOKUP(F37,辅助信息!A:B,2,FALSE)</f>
        <v>螺纹钢</v>
      </c>
      <c r="F37" s="33" t="s">
        <v>33</v>
      </c>
      <c r="G37" s="29">
        <v>8</v>
      </c>
      <c r="H37" s="29" t="e">
        <f>_xlfn._xlws.FILTER(#REF!,#REF!&amp;#REF!&amp;#REF!&amp;#REF!=C37&amp;F37&amp;I37&amp;J37,"未发货")</f>
        <v>#REF!</v>
      </c>
      <c r="I37" s="33" t="str">
        <f>VLOOKUP(B37,辅助信息!E:I,3,FALSE)</f>
        <v>（达州市公共卫生临床医疗中心项目-一标-2号制作房）达州市通川区西外复兴镇公共卫生临床医疗中心项目</v>
      </c>
      <c r="J37" s="33" t="str">
        <f>VLOOKUP(B37,辅助信息!E:I,4,FALSE)</f>
        <v>潘建发</v>
      </c>
      <c r="K37" s="72">
        <f>VLOOKUP(J37,辅助信息!H:I,2,FALSE)</f>
        <v>13658059919</v>
      </c>
      <c r="M37" s="50"/>
      <c r="N37" s="50"/>
      <c r="O37" s="50"/>
      <c r="P37" s="50"/>
      <c r="Q37" s="33" t="str">
        <f>VLOOKUP(B37,辅助信息!E:M,9,FALSE)</f>
        <v>ZTWM-CDGS-XS-2024-0205-五冶钢构-达州市通川区西外复兴镇及临近片区建设项目</v>
      </c>
      <c r="R37" s="19"/>
    </row>
    <row r="38" hidden="1" spans="2:18">
      <c r="B38" s="33" t="s">
        <v>39</v>
      </c>
      <c r="C38" s="63">
        <v>45659</v>
      </c>
      <c r="D38" s="33" t="str">
        <f>VLOOKUP(B38,辅助信息!E:K,7,FALSE)</f>
        <v>JWDDCD2024101600090</v>
      </c>
      <c r="E38" s="33" t="str">
        <f>VLOOKUP(F38,辅助信息!A:B,2,FALSE)</f>
        <v>螺纹钢</v>
      </c>
      <c r="F38" s="33" t="s">
        <v>28</v>
      </c>
      <c r="G38" s="29">
        <v>5</v>
      </c>
      <c r="H38" s="29" t="e">
        <f>_xlfn._xlws.FILTER(#REF!,#REF!&amp;#REF!&amp;#REF!&amp;#REF!=C38&amp;F38&amp;I38&amp;J38,"未发货")</f>
        <v>#REF!</v>
      </c>
      <c r="I38" s="33" t="str">
        <f>VLOOKUP(B38,辅助信息!E:I,3,FALSE)</f>
        <v>（达州市公共卫生临床医疗中心项目-一标-2号制作房）达州市通川区西外复兴镇公共卫生临床医疗中心项目</v>
      </c>
      <c r="J38" s="33" t="str">
        <f>VLOOKUP(B38,辅助信息!E:I,4,FALSE)</f>
        <v>潘建发</v>
      </c>
      <c r="K38" s="72">
        <f>VLOOKUP(J38,辅助信息!H:I,2,FALSE)</f>
        <v>13658059919</v>
      </c>
      <c r="M38" s="50"/>
      <c r="N38" s="50"/>
      <c r="O38" s="50"/>
      <c r="P38" s="50"/>
      <c r="Q38" s="33" t="str">
        <f>VLOOKUP(B38,辅助信息!E:M,9,FALSE)</f>
        <v>ZTWM-CDGS-XS-2024-0205-五冶钢构-达州市通川区西外复兴镇及临近片区建设项目</v>
      </c>
      <c r="R38" s="19"/>
    </row>
    <row r="39" hidden="1" spans="2:18">
      <c r="B39" s="33" t="s">
        <v>39</v>
      </c>
      <c r="C39" s="63">
        <v>45659</v>
      </c>
      <c r="D39" s="33" t="str">
        <f>VLOOKUP(B39,辅助信息!E:K,7,FALSE)</f>
        <v>JWDDCD2024101600090</v>
      </c>
      <c r="E39" s="33" t="str">
        <f>VLOOKUP(F39,辅助信息!A:B,2,FALSE)</f>
        <v>螺纹钢</v>
      </c>
      <c r="F39" s="33" t="s">
        <v>18</v>
      </c>
      <c r="G39" s="29">
        <v>55</v>
      </c>
      <c r="H39" s="29" t="e">
        <f>_xlfn._xlws.FILTER(#REF!,#REF!&amp;#REF!&amp;#REF!&amp;#REF!=C39&amp;F39&amp;I39&amp;J39,"未发货")</f>
        <v>#REF!</v>
      </c>
      <c r="I39" s="33" t="str">
        <f>VLOOKUP(B39,辅助信息!E:I,3,FALSE)</f>
        <v>（达州市公共卫生临床医疗中心项目-一标-2号制作房）达州市通川区西外复兴镇公共卫生临床医疗中心项目</v>
      </c>
      <c r="J39" s="33" t="str">
        <f>VLOOKUP(B39,辅助信息!E:I,4,FALSE)</f>
        <v>潘建发</v>
      </c>
      <c r="K39" s="72">
        <f>VLOOKUP(J39,辅助信息!H:I,2,FALSE)</f>
        <v>13658059919</v>
      </c>
      <c r="M39" s="50"/>
      <c r="N39" s="50"/>
      <c r="O39" s="50"/>
      <c r="P39" s="50"/>
      <c r="Q39" s="33" t="str">
        <f>VLOOKUP(B39,辅助信息!E:M,9,FALSE)</f>
        <v>ZTWM-CDGS-XS-2024-0205-五冶钢构-达州市通川区西外复兴镇及临近片区建设项目</v>
      </c>
      <c r="R39" s="19"/>
    </row>
    <row r="40" hidden="1" spans="2:18">
      <c r="B40" s="33" t="s">
        <v>17</v>
      </c>
      <c r="C40" s="63">
        <v>45659</v>
      </c>
      <c r="D40" s="33" t="str">
        <f>VLOOKUP(B40,辅助信息!E:K,7,FALSE)</f>
        <v>JWDDCD2024101600090</v>
      </c>
      <c r="E40" s="33" t="str">
        <f>VLOOKUP(F40,辅助信息!A:B,2,FALSE)</f>
        <v>盘螺</v>
      </c>
      <c r="F40" s="33" t="s">
        <v>41</v>
      </c>
      <c r="G40" s="29">
        <v>25</v>
      </c>
      <c r="H40" s="29">
        <v>25</v>
      </c>
      <c r="I40" s="33" t="str">
        <f>VLOOKUP(B40,辅助信息!E:I,3,FALSE)</f>
        <v>（达州市公共卫生临床医疗中心项目-一标-1号制作房）达州市通川区西外复兴镇公共卫生临床医疗中心项目</v>
      </c>
      <c r="J40" s="33" t="str">
        <f>VLOOKUP(B40,辅助信息!E:I,4,FALSE)</f>
        <v>潘建发</v>
      </c>
      <c r="K40" s="33">
        <f>VLOOKUP(J40,辅助信息!H:I,2,FALSE)</f>
        <v>13658059919</v>
      </c>
      <c r="L40" s="73" t="s">
        <v>34</v>
      </c>
      <c r="M40" s="73"/>
      <c r="N40" s="73"/>
      <c r="O40" s="73"/>
      <c r="P40" s="73"/>
      <c r="Q40" s="33" t="str">
        <f>VLOOKUP(B40,辅助信息!E:M,9,FALSE)</f>
        <v>ZTWM-CDGS-XS-2024-0205-五冶钢构-达州市通川区西外复兴镇及临近片区建设项目</v>
      </c>
      <c r="R40" s="19"/>
    </row>
    <row r="41" hidden="1" spans="2:18">
      <c r="B41" s="33" t="s">
        <v>17</v>
      </c>
      <c r="C41" s="63">
        <v>45659</v>
      </c>
      <c r="D41" s="33" t="str">
        <f>VLOOKUP(B41,辅助信息!E:K,7,FALSE)</f>
        <v>JWDDCD2024101600090</v>
      </c>
      <c r="E41" s="33" t="str">
        <f>VLOOKUP(F41,辅助信息!A:B,2,FALSE)</f>
        <v>螺纹钢</v>
      </c>
      <c r="F41" s="33" t="s">
        <v>27</v>
      </c>
      <c r="G41" s="29">
        <v>29</v>
      </c>
      <c r="H41" s="29">
        <v>5</v>
      </c>
      <c r="I41" s="33" t="str">
        <f>VLOOKUP(B41,辅助信息!E:I,3,FALSE)</f>
        <v>（达州市公共卫生临床医疗中心项目-一标-1号制作房）达州市通川区西外复兴镇公共卫生临床医疗中心项目</v>
      </c>
      <c r="J41" s="33" t="str">
        <f>VLOOKUP(B41,辅助信息!E:I,4,FALSE)</f>
        <v>潘建发</v>
      </c>
      <c r="K41" s="33">
        <f>VLOOKUP(J41,辅助信息!H:I,2,FALSE)</f>
        <v>13658059919</v>
      </c>
      <c r="M41" s="50"/>
      <c r="N41" s="50"/>
      <c r="O41" s="50"/>
      <c r="P41" s="50"/>
      <c r="Q41" s="33" t="str">
        <f>VLOOKUP(B41,辅助信息!E:M,9,FALSE)</f>
        <v>ZTWM-CDGS-XS-2024-0205-五冶钢构-达州市通川区西外复兴镇及临近片区建设项目</v>
      </c>
      <c r="R41" s="19"/>
    </row>
    <row r="42" hidden="1" spans="2:18">
      <c r="B42" s="33" t="s">
        <v>17</v>
      </c>
      <c r="C42" s="63">
        <v>45659</v>
      </c>
      <c r="D42" s="33" t="str">
        <f>VLOOKUP(B42,辅助信息!E:K,7,FALSE)</f>
        <v>JWDDCD2024101600090</v>
      </c>
      <c r="E42" s="33" t="str">
        <f>VLOOKUP(F42,辅助信息!A:B,2,FALSE)</f>
        <v>螺纹钢</v>
      </c>
      <c r="F42" s="33" t="s">
        <v>33</v>
      </c>
      <c r="G42" s="29">
        <v>3</v>
      </c>
      <c r="H42" s="29" t="e">
        <f>_xlfn._xlws.FILTER(#REF!,#REF!&amp;#REF!&amp;#REF!&amp;#REF!=C42&amp;F42&amp;I42&amp;J42,"未发货")</f>
        <v>#REF!</v>
      </c>
      <c r="I42" s="33" t="str">
        <f>VLOOKUP(B42,辅助信息!E:I,3,FALSE)</f>
        <v>（达州市公共卫生临床医疗中心项目-一标-1号制作房）达州市通川区西外复兴镇公共卫生临床医疗中心项目</v>
      </c>
      <c r="J42" s="33" t="str">
        <f>VLOOKUP(B42,辅助信息!E:I,4,FALSE)</f>
        <v>潘建发</v>
      </c>
      <c r="K42" s="33">
        <f>VLOOKUP(J42,辅助信息!H:I,2,FALSE)</f>
        <v>13658059919</v>
      </c>
      <c r="M42" s="50"/>
      <c r="N42" s="50"/>
      <c r="O42" s="50"/>
      <c r="P42" s="50"/>
      <c r="Q42" s="33" t="str">
        <f>VLOOKUP(B42,辅助信息!E:M,9,FALSE)</f>
        <v>ZTWM-CDGS-XS-2024-0205-五冶钢构-达州市通川区西外复兴镇及临近片区建设项目</v>
      </c>
      <c r="R42" s="19"/>
    </row>
    <row r="43" hidden="1" spans="2:18">
      <c r="B43" s="33" t="s">
        <v>17</v>
      </c>
      <c r="C43" s="63">
        <v>45659</v>
      </c>
      <c r="D43" s="33" t="str">
        <f>VLOOKUP(B43,辅助信息!E:K,7,FALSE)</f>
        <v>JWDDCD2024101600090</v>
      </c>
      <c r="E43" s="33" t="str">
        <f>VLOOKUP(F43,辅助信息!A:B,2,FALSE)</f>
        <v>螺纹钢</v>
      </c>
      <c r="F43" s="33" t="s">
        <v>28</v>
      </c>
      <c r="G43" s="29">
        <v>3</v>
      </c>
      <c r="H43" s="29" t="e">
        <f>_xlfn._xlws.FILTER(#REF!,#REF!&amp;#REF!&amp;#REF!&amp;#REF!=C43&amp;F43&amp;I43&amp;J43,"未发货")</f>
        <v>#REF!</v>
      </c>
      <c r="I43" s="33" t="str">
        <f>VLOOKUP(B43,辅助信息!E:I,3,FALSE)</f>
        <v>（达州市公共卫生临床医疗中心项目-一标-1号制作房）达州市通川区西外复兴镇公共卫生临床医疗中心项目</v>
      </c>
      <c r="J43" s="33" t="str">
        <f>VLOOKUP(B43,辅助信息!E:I,4,FALSE)</f>
        <v>潘建发</v>
      </c>
      <c r="K43" s="33">
        <f>VLOOKUP(J43,辅助信息!H:I,2,FALSE)</f>
        <v>13658059919</v>
      </c>
      <c r="M43" s="50"/>
      <c r="N43" s="50"/>
      <c r="O43" s="50"/>
      <c r="P43" s="50"/>
      <c r="Q43" s="33" t="str">
        <f>VLOOKUP(B43,辅助信息!E:M,9,FALSE)</f>
        <v>ZTWM-CDGS-XS-2024-0205-五冶钢构-达州市通川区西外复兴镇及临近片区建设项目</v>
      </c>
      <c r="R43" s="19"/>
    </row>
    <row r="44" hidden="1" spans="2:18">
      <c r="B44" s="33" t="s">
        <v>17</v>
      </c>
      <c r="C44" s="63">
        <v>45659</v>
      </c>
      <c r="D44" s="33" t="str">
        <f>VLOOKUP(B44,辅助信息!E:K,7,FALSE)</f>
        <v>JWDDCD2024101600090</v>
      </c>
      <c r="E44" s="33" t="str">
        <f>VLOOKUP(F44,辅助信息!A:B,2,FALSE)</f>
        <v>螺纹钢</v>
      </c>
      <c r="F44" s="33" t="s">
        <v>18</v>
      </c>
      <c r="G44" s="29">
        <v>25</v>
      </c>
      <c r="H44" s="29" t="e">
        <f>_xlfn._xlws.FILTER(#REF!,#REF!&amp;#REF!&amp;#REF!&amp;#REF!=C44&amp;F44&amp;I44&amp;J44,"未发货")</f>
        <v>#REF!</v>
      </c>
      <c r="I44" s="33" t="str">
        <f>VLOOKUP(B44,辅助信息!E:I,3,FALSE)</f>
        <v>（达州市公共卫生临床医疗中心项目-一标-1号制作房）达州市通川区西外复兴镇公共卫生临床医疗中心项目</v>
      </c>
      <c r="J44" s="33" t="str">
        <f>VLOOKUP(B44,辅助信息!E:I,4,FALSE)</f>
        <v>潘建发</v>
      </c>
      <c r="K44" s="33">
        <f>VLOOKUP(J44,辅助信息!H:I,2,FALSE)</f>
        <v>13658059919</v>
      </c>
      <c r="M44" s="50"/>
      <c r="N44" s="50"/>
      <c r="O44" s="50"/>
      <c r="P44" s="50"/>
      <c r="Q44" s="33" t="str">
        <f>VLOOKUP(B44,辅助信息!E:M,9,FALSE)</f>
        <v>ZTWM-CDGS-XS-2024-0205-五冶钢构-达州市通川区西外复兴镇及临近片区建设项目</v>
      </c>
      <c r="R44" s="19"/>
    </row>
    <row r="45" hidden="1" spans="1:18">
      <c r="A45" s="64" t="s">
        <v>42</v>
      </c>
      <c r="B45" s="33" t="s">
        <v>43</v>
      </c>
      <c r="C45" s="63">
        <v>45659</v>
      </c>
      <c r="D45" s="33" t="str">
        <f>VLOOKUP(B45,辅助信息!E:K,7,FALSE)</f>
        <v>JWDDCD2024101600090</v>
      </c>
      <c r="E45" s="33" t="str">
        <f>VLOOKUP(F45,辅助信息!A:B,2,FALSE)</f>
        <v>螺纹钢</v>
      </c>
      <c r="F45" s="33" t="s">
        <v>27</v>
      </c>
      <c r="G45" s="29">
        <v>10</v>
      </c>
      <c r="H45" s="29" t="e">
        <f>_xlfn._xlws.FILTER(#REF!,#REF!&amp;#REF!&amp;#REF!&amp;#REF!=C45&amp;F45&amp;I45&amp;J45,"未发货")</f>
        <v>#REF!</v>
      </c>
      <c r="I45" s="33" t="str">
        <f>VLOOKUP(B45,辅助信息!E:I,3,FALSE)</f>
        <v>（达州市公共卫生医疗中心项目-二标-3号楼）达州市通川区西外复兴镇公共卫生临床医疗中心项目</v>
      </c>
      <c r="J45" s="33" t="str">
        <f>VLOOKUP(B45,辅助信息!E:I,4,FALSE)</f>
        <v>黄永林</v>
      </c>
      <c r="K45" s="33">
        <f>VLOOKUP(J45,辅助信息!H:I,2,FALSE)</f>
        <v>15982487227</v>
      </c>
      <c r="L45" s="70" t="s">
        <v>34</v>
      </c>
      <c r="M45" s="70"/>
      <c r="N45" s="70"/>
      <c r="O45" s="70"/>
      <c r="P45" s="70"/>
      <c r="Q45" s="33" t="str">
        <f>VLOOKUP(B45,辅助信息!E:M,9,FALSE)</f>
        <v>ZTWM-CDGS-XS-2024-0205-五冶钢构-达州市通川区西外复兴镇及临近片区建设项目</v>
      </c>
      <c r="R45" s="19"/>
    </row>
    <row r="46" hidden="1" spans="2:18">
      <c r="B46" s="33" t="s">
        <v>43</v>
      </c>
      <c r="C46" s="63">
        <v>45659</v>
      </c>
      <c r="D46" s="33" t="str">
        <f>VLOOKUP(B46,辅助信息!E:K,7,FALSE)</f>
        <v>JWDDCD2024101600090</v>
      </c>
      <c r="E46" s="33" t="str">
        <f>VLOOKUP(F46,辅助信息!A:B,2,FALSE)</f>
        <v>螺纹钢</v>
      </c>
      <c r="F46" s="33" t="s">
        <v>32</v>
      </c>
      <c r="G46" s="29">
        <v>4</v>
      </c>
      <c r="H46" s="29" t="e">
        <f>_xlfn._xlws.FILTER(#REF!,#REF!&amp;#REF!&amp;#REF!&amp;#REF!=C46&amp;F46&amp;I46&amp;J46,"未发货")</f>
        <v>#REF!</v>
      </c>
      <c r="I46" s="33" t="str">
        <f>VLOOKUP(B46,辅助信息!E:I,3,FALSE)</f>
        <v>（达州市公共卫生医疗中心项目-二标-3号楼）达州市通川区西外复兴镇公共卫生临床医疗中心项目</v>
      </c>
      <c r="J46" s="33" t="str">
        <f>VLOOKUP(B46,辅助信息!E:I,4,FALSE)</f>
        <v>黄永林</v>
      </c>
      <c r="K46" s="33">
        <f>VLOOKUP(J46,辅助信息!H:I,2,FALSE)</f>
        <v>15982487227</v>
      </c>
      <c r="L46" s="71"/>
      <c r="M46" s="70"/>
      <c r="N46" s="70"/>
      <c r="O46" s="70"/>
      <c r="P46" s="70"/>
      <c r="Q46" s="33" t="str">
        <f>VLOOKUP(B46,辅助信息!E:M,9,FALSE)</f>
        <v>ZTWM-CDGS-XS-2024-0205-五冶钢构-达州市通川区西外复兴镇及临近片区建设项目</v>
      </c>
      <c r="R46" s="19"/>
    </row>
    <row r="47" hidden="1" spans="2:18">
      <c r="B47" s="33" t="s">
        <v>43</v>
      </c>
      <c r="C47" s="63">
        <v>45659</v>
      </c>
      <c r="D47" s="33" t="str">
        <f>VLOOKUP(B47,辅助信息!E:K,7,FALSE)</f>
        <v>JWDDCD2024101600090</v>
      </c>
      <c r="E47" s="33" t="str">
        <f>VLOOKUP(F47,辅助信息!A:B,2,FALSE)</f>
        <v>螺纹钢</v>
      </c>
      <c r="F47" s="33" t="s">
        <v>30</v>
      </c>
      <c r="G47" s="29">
        <v>5</v>
      </c>
      <c r="H47" s="29" t="e">
        <f>_xlfn._xlws.FILTER(#REF!,#REF!&amp;#REF!&amp;#REF!&amp;#REF!=C47&amp;F47&amp;I47&amp;J47,"未发货")</f>
        <v>#REF!</v>
      </c>
      <c r="I47" s="33" t="str">
        <f>VLOOKUP(B47,辅助信息!E:I,3,FALSE)</f>
        <v>（达州市公共卫生医疗中心项目-二标-3号楼）达州市通川区西外复兴镇公共卫生临床医疗中心项目</v>
      </c>
      <c r="J47" s="33" t="str">
        <f>VLOOKUP(B47,辅助信息!E:I,4,FALSE)</f>
        <v>黄永林</v>
      </c>
      <c r="K47" s="33">
        <f>VLOOKUP(J47,辅助信息!H:I,2,FALSE)</f>
        <v>15982487227</v>
      </c>
      <c r="L47" s="71"/>
      <c r="M47" s="70"/>
      <c r="N47" s="70"/>
      <c r="O47" s="70"/>
      <c r="P47" s="70"/>
      <c r="Q47" s="33" t="str">
        <f>VLOOKUP(B47,辅助信息!E:M,9,FALSE)</f>
        <v>ZTWM-CDGS-XS-2024-0205-五冶钢构-达州市通川区西外复兴镇及临近片区建设项目</v>
      </c>
      <c r="R47" s="19"/>
    </row>
    <row r="48" hidden="1" spans="2:18">
      <c r="B48" s="33" t="s">
        <v>43</v>
      </c>
      <c r="C48" s="63">
        <v>45659</v>
      </c>
      <c r="D48" s="33" t="str">
        <f>VLOOKUP(B48,辅助信息!E:K,7,FALSE)</f>
        <v>JWDDCD2024101600090</v>
      </c>
      <c r="E48" s="33" t="str">
        <f>VLOOKUP(F48,辅助信息!A:B,2,FALSE)</f>
        <v>螺纹钢</v>
      </c>
      <c r="F48" s="33" t="s">
        <v>28</v>
      </c>
      <c r="G48" s="29">
        <v>13</v>
      </c>
      <c r="H48" s="29" t="e">
        <f>_xlfn._xlws.FILTER(#REF!,#REF!&amp;#REF!&amp;#REF!&amp;#REF!=C48&amp;F48&amp;I48&amp;J48,"未发货")</f>
        <v>#REF!</v>
      </c>
      <c r="I48" s="33" t="str">
        <f>VLOOKUP(B48,辅助信息!E:I,3,FALSE)</f>
        <v>（达州市公共卫生医疗中心项目-二标-3号楼）达州市通川区西外复兴镇公共卫生临床医疗中心项目</v>
      </c>
      <c r="J48" s="33" t="str">
        <f>VLOOKUP(B48,辅助信息!E:I,4,FALSE)</f>
        <v>黄永林</v>
      </c>
      <c r="K48" s="33">
        <f>VLOOKUP(J48,辅助信息!H:I,2,FALSE)</f>
        <v>15982487227</v>
      </c>
      <c r="L48" s="71"/>
      <c r="M48" s="70"/>
      <c r="N48" s="70"/>
      <c r="O48" s="70"/>
      <c r="P48" s="70"/>
      <c r="Q48" s="33" t="str">
        <f>VLOOKUP(B48,辅助信息!E:M,9,FALSE)</f>
        <v>ZTWM-CDGS-XS-2024-0205-五冶钢构-达州市通川区西外复兴镇及临近片区建设项目</v>
      </c>
      <c r="R48" s="19"/>
    </row>
    <row r="49" hidden="1" spans="2:18">
      <c r="B49" s="33" t="s">
        <v>43</v>
      </c>
      <c r="C49" s="63">
        <v>45659</v>
      </c>
      <c r="D49" s="33" t="str">
        <f>VLOOKUP(B49,辅助信息!E:K,7,FALSE)</f>
        <v>JWDDCD2024101600090</v>
      </c>
      <c r="E49" s="33" t="str">
        <f>VLOOKUP(F49,辅助信息!A:B,2,FALSE)</f>
        <v>螺纹钢</v>
      </c>
      <c r="F49" s="33" t="s">
        <v>18</v>
      </c>
      <c r="G49" s="29">
        <v>26</v>
      </c>
      <c r="H49" s="29" t="e">
        <f>_xlfn._xlws.FILTER(#REF!,#REF!&amp;#REF!&amp;#REF!&amp;#REF!=C49&amp;F49&amp;I49&amp;J49,"未发货")</f>
        <v>#REF!</v>
      </c>
      <c r="I49" s="33" t="str">
        <f>VLOOKUP(B49,辅助信息!E:I,3,FALSE)</f>
        <v>（达州市公共卫生医疗中心项目-二标-3号楼）达州市通川区西外复兴镇公共卫生临床医疗中心项目</v>
      </c>
      <c r="J49" s="33" t="str">
        <f>VLOOKUP(B49,辅助信息!E:I,4,FALSE)</f>
        <v>黄永林</v>
      </c>
      <c r="K49" s="33">
        <f>VLOOKUP(J49,辅助信息!H:I,2,FALSE)</f>
        <v>15982487227</v>
      </c>
      <c r="L49" s="69"/>
      <c r="M49" s="70"/>
      <c r="N49" s="70"/>
      <c r="O49" s="70"/>
      <c r="P49" s="70"/>
      <c r="Q49" s="33" t="str">
        <f>VLOOKUP(B49,辅助信息!E:M,9,FALSE)</f>
        <v>ZTWM-CDGS-XS-2024-0205-五冶钢构-达州市通川区西外复兴镇及临近片区建设项目</v>
      </c>
      <c r="R49" s="19"/>
    </row>
    <row r="50" hidden="1" spans="2:18">
      <c r="B50" s="33" t="s">
        <v>44</v>
      </c>
      <c r="C50" s="63">
        <v>45659</v>
      </c>
      <c r="D50" s="33" t="str">
        <f>VLOOKUP(B50,辅助信息!E:K,7,FALSE)</f>
        <v>JWDDCD2025060600053</v>
      </c>
      <c r="E50" s="33" t="str">
        <f>VLOOKUP(F50,辅助信息!A:B,2,FALSE)</f>
        <v>盘螺</v>
      </c>
      <c r="F50" s="33" t="s">
        <v>40</v>
      </c>
      <c r="G50" s="29">
        <v>30</v>
      </c>
      <c r="H50" s="29" t="e">
        <f>_xlfn._xlws.FILTER(#REF!,#REF!&amp;#REF!&amp;#REF!&amp;#REF!=C50&amp;F50&amp;I50&amp;J50,"未发货")</f>
        <v>#REF!</v>
      </c>
      <c r="I50" s="33" t="str">
        <f>VLOOKUP(B50,辅助信息!E:I,3,FALSE)</f>
        <v>（华西酒城南）成都市武侯区火车南站西路8号酒城南项目</v>
      </c>
      <c r="J50" s="33" t="str">
        <f>VLOOKUP(B50,辅助信息!E:I,4,FALSE)</f>
        <v>龙耀宇</v>
      </c>
      <c r="K50" s="33">
        <f>VLOOKUP(J50,辅助信息!H:I,2,FALSE)</f>
        <v>18384145895</v>
      </c>
      <c r="L50" s="70" t="s">
        <v>34</v>
      </c>
      <c r="M50" s="70"/>
      <c r="N50" s="70"/>
      <c r="O50" s="70"/>
      <c r="P50" s="70"/>
      <c r="Q50" s="33" t="str">
        <f>VLOOKUP(B50,辅助信息!E:M,9,FALSE)</f>
        <v>ZTWM-CDGS-XS-2024-0189-华西集采-酒城南项目</v>
      </c>
      <c r="R50" s="19"/>
    </row>
    <row r="51" hidden="1" spans="2:18">
      <c r="B51" s="33" t="s">
        <v>44</v>
      </c>
      <c r="C51" s="63">
        <v>45659</v>
      </c>
      <c r="D51" s="33" t="str">
        <f>VLOOKUP(B51,辅助信息!E:K,7,FALSE)</f>
        <v>JWDDCD2025060600053</v>
      </c>
      <c r="E51" s="33" t="str">
        <f>VLOOKUP(F51,辅助信息!A:B,2,FALSE)</f>
        <v>盘螺</v>
      </c>
      <c r="F51" s="33" t="s">
        <v>41</v>
      </c>
      <c r="G51" s="29">
        <v>12</v>
      </c>
      <c r="H51" s="29" t="e">
        <f>_xlfn._xlws.FILTER(#REF!,#REF!&amp;#REF!&amp;#REF!&amp;#REF!=C51&amp;F51&amp;I51&amp;J51,"未发货")</f>
        <v>#REF!</v>
      </c>
      <c r="I51" s="33" t="str">
        <f>VLOOKUP(B51,辅助信息!E:I,3,FALSE)</f>
        <v>（华西酒城南）成都市武侯区火车南站西路8号酒城南项目</v>
      </c>
      <c r="J51" s="33" t="str">
        <f>VLOOKUP(B51,辅助信息!E:I,4,FALSE)</f>
        <v>龙耀宇</v>
      </c>
      <c r="K51" s="33">
        <f>VLOOKUP(J51,辅助信息!H:I,2,FALSE)</f>
        <v>18384145895</v>
      </c>
      <c r="L51" s="71"/>
      <c r="M51" s="70"/>
      <c r="N51" s="70"/>
      <c r="O51" s="70"/>
      <c r="P51" s="70"/>
      <c r="Q51" s="33" t="str">
        <f>VLOOKUP(B51,辅助信息!E:M,9,FALSE)</f>
        <v>ZTWM-CDGS-XS-2024-0189-华西集采-酒城南项目</v>
      </c>
      <c r="R51" s="19"/>
    </row>
    <row r="52" hidden="1" spans="2:18">
      <c r="B52" s="33" t="s">
        <v>44</v>
      </c>
      <c r="C52" s="63">
        <v>45659</v>
      </c>
      <c r="D52" s="33" t="str">
        <f>VLOOKUP(B52,辅助信息!E:K,7,FALSE)</f>
        <v>JWDDCD2025060600053</v>
      </c>
      <c r="E52" s="33" t="str">
        <f>VLOOKUP(F52,辅助信息!A:B,2,FALSE)</f>
        <v>盘螺</v>
      </c>
      <c r="F52" s="33" t="s">
        <v>26</v>
      </c>
      <c r="G52" s="29">
        <v>15</v>
      </c>
      <c r="H52" s="29" t="e">
        <f>_xlfn._xlws.FILTER(#REF!,#REF!&amp;#REF!&amp;#REF!&amp;#REF!=C52&amp;F52&amp;I52&amp;J52,"未发货")</f>
        <v>#REF!</v>
      </c>
      <c r="I52" s="33" t="str">
        <f>VLOOKUP(B52,辅助信息!E:I,3,FALSE)</f>
        <v>（华西酒城南）成都市武侯区火车南站西路8号酒城南项目</v>
      </c>
      <c r="J52" s="33" t="str">
        <f>VLOOKUP(B52,辅助信息!E:I,4,FALSE)</f>
        <v>龙耀宇</v>
      </c>
      <c r="K52" s="33">
        <f>VLOOKUP(J52,辅助信息!H:I,2,FALSE)</f>
        <v>18384145895</v>
      </c>
      <c r="L52" s="71"/>
      <c r="M52" s="70"/>
      <c r="N52" s="70"/>
      <c r="O52" s="70"/>
      <c r="P52" s="70"/>
      <c r="Q52" s="33" t="str">
        <f>VLOOKUP(B52,辅助信息!E:M,9,FALSE)</f>
        <v>ZTWM-CDGS-XS-2024-0189-华西集采-酒城南项目</v>
      </c>
      <c r="R52" s="19"/>
    </row>
    <row r="53" hidden="1" spans="2:18">
      <c r="B53" s="33" t="s">
        <v>44</v>
      </c>
      <c r="C53" s="63">
        <v>45659</v>
      </c>
      <c r="D53" s="33" t="str">
        <f>VLOOKUP(B53,辅助信息!E:K,7,FALSE)</f>
        <v>JWDDCD2025060600053</v>
      </c>
      <c r="E53" s="33" t="str">
        <f>VLOOKUP(F53,辅助信息!A:B,2,FALSE)</f>
        <v>螺纹钢</v>
      </c>
      <c r="F53" s="33" t="s">
        <v>19</v>
      </c>
      <c r="G53" s="29">
        <v>25.5</v>
      </c>
      <c r="H53" s="29" t="e">
        <f>_xlfn._xlws.FILTER(#REF!,#REF!&amp;#REF!&amp;#REF!&amp;#REF!=C53&amp;F53&amp;I53&amp;J53,"未发货")</f>
        <v>#REF!</v>
      </c>
      <c r="I53" s="33" t="str">
        <f>VLOOKUP(B53,辅助信息!E:I,3,FALSE)</f>
        <v>（华西酒城南）成都市武侯区火车南站西路8号酒城南项目</v>
      </c>
      <c r="J53" s="33" t="str">
        <f>VLOOKUP(B53,辅助信息!E:I,4,FALSE)</f>
        <v>龙耀宇</v>
      </c>
      <c r="K53" s="33">
        <f>VLOOKUP(J53,辅助信息!H:I,2,FALSE)</f>
        <v>18384145895</v>
      </c>
      <c r="L53" s="71"/>
      <c r="M53" s="70"/>
      <c r="N53" s="70"/>
      <c r="O53" s="70"/>
      <c r="P53" s="70"/>
      <c r="Q53" s="33" t="str">
        <f>VLOOKUP(B53,辅助信息!E:M,9,FALSE)</f>
        <v>ZTWM-CDGS-XS-2024-0189-华西集采-酒城南项目</v>
      </c>
      <c r="R53" s="19"/>
    </row>
    <row r="54" hidden="1" spans="2:18">
      <c r="B54" s="33" t="s">
        <v>44</v>
      </c>
      <c r="C54" s="63">
        <v>45659</v>
      </c>
      <c r="D54" s="33" t="str">
        <f>VLOOKUP(B54,辅助信息!E:K,7,FALSE)</f>
        <v>JWDDCD2025060600053</v>
      </c>
      <c r="E54" s="33" t="str">
        <f>VLOOKUP(F54,辅助信息!A:B,2,FALSE)</f>
        <v>螺纹钢</v>
      </c>
      <c r="F54" s="33" t="s">
        <v>32</v>
      </c>
      <c r="G54" s="29">
        <v>9</v>
      </c>
      <c r="H54" s="29" t="e">
        <f>_xlfn._xlws.FILTER(#REF!,#REF!&amp;#REF!&amp;#REF!&amp;#REF!=C54&amp;F54&amp;I54&amp;J54,"未发货")</f>
        <v>#REF!</v>
      </c>
      <c r="I54" s="33" t="str">
        <f>VLOOKUP(B54,辅助信息!E:I,3,FALSE)</f>
        <v>（华西酒城南）成都市武侯区火车南站西路8号酒城南项目</v>
      </c>
      <c r="J54" s="33" t="str">
        <f>VLOOKUP(B54,辅助信息!E:I,4,FALSE)</f>
        <v>龙耀宇</v>
      </c>
      <c r="K54" s="33">
        <f>VLOOKUP(J54,辅助信息!H:I,2,FALSE)</f>
        <v>18384145895</v>
      </c>
      <c r="L54" s="71"/>
      <c r="M54" s="70"/>
      <c r="N54" s="70"/>
      <c r="O54" s="70"/>
      <c r="P54" s="70"/>
      <c r="Q54" s="33" t="str">
        <f>VLOOKUP(B54,辅助信息!E:M,9,FALSE)</f>
        <v>ZTWM-CDGS-XS-2024-0189-华西集采-酒城南项目</v>
      </c>
      <c r="R54" s="19"/>
    </row>
    <row r="55" hidden="1" spans="2:18">
      <c r="B55" s="33" t="s">
        <v>44</v>
      </c>
      <c r="C55" s="63">
        <v>45659</v>
      </c>
      <c r="D55" s="33" t="str">
        <f>VLOOKUP(B55,辅助信息!E:K,7,FALSE)</f>
        <v>JWDDCD2025060600053</v>
      </c>
      <c r="E55" s="33" t="str">
        <f>VLOOKUP(F55,辅助信息!A:B,2,FALSE)</f>
        <v>螺纹钢</v>
      </c>
      <c r="F55" s="33" t="s">
        <v>30</v>
      </c>
      <c r="G55" s="29">
        <v>8</v>
      </c>
      <c r="H55" s="29" t="e">
        <f>_xlfn._xlws.FILTER(#REF!,#REF!&amp;#REF!&amp;#REF!&amp;#REF!=C55&amp;F55&amp;I55&amp;J55,"未发货")</f>
        <v>#REF!</v>
      </c>
      <c r="I55" s="33" t="str">
        <f>VLOOKUP(B55,辅助信息!E:I,3,FALSE)</f>
        <v>（华西酒城南）成都市武侯区火车南站西路8号酒城南项目</v>
      </c>
      <c r="J55" s="33" t="str">
        <f>VLOOKUP(B55,辅助信息!E:I,4,FALSE)</f>
        <v>龙耀宇</v>
      </c>
      <c r="K55" s="33">
        <f>VLOOKUP(J55,辅助信息!H:I,2,FALSE)</f>
        <v>18384145895</v>
      </c>
      <c r="L55" s="71"/>
      <c r="M55" s="70"/>
      <c r="N55" s="70"/>
      <c r="O55" s="70"/>
      <c r="P55" s="70"/>
      <c r="Q55" s="33" t="str">
        <f>VLOOKUP(B55,辅助信息!E:M,9,FALSE)</f>
        <v>ZTWM-CDGS-XS-2024-0189-华西集采-酒城南项目</v>
      </c>
      <c r="R55" s="19"/>
    </row>
    <row r="56" hidden="1" spans="2:18">
      <c r="B56" s="33" t="s">
        <v>44</v>
      </c>
      <c r="C56" s="63">
        <v>45659</v>
      </c>
      <c r="D56" s="33" t="str">
        <f>VLOOKUP(B56,辅助信息!E:K,7,FALSE)</f>
        <v>JWDDCD2025060600053</v>
      </c>
      <c r="E56" s="33" t="str">
        <f>VLOOKUP(F56,辅助信息!A:B,2,FALSE)</f>
        <v>螺纹钢</v>
      </c>
      <c r="F56" s="33" t="s">
        <v>45</v>
      </c>
      <c r="G56" s="29">
        <v>3</v>
      </c>
      <c r="H56" s="29" t="e">
        <f>_xlfn._xlws.FILTER(#REF!,#REF!&amp;#REF!&amp;#REF!&amp;#REF!=C56&amp;F56&amp;I56&amp;J56,"未发货")</f>
        <v>#REF!</v>
      </c>
      <c r="I56" s="33" t="str">
        <f>VLOOKUP(B56,辅助信息!E:I,3,FALSE)</f>
        <v>（华西酒城南）成都市武侯区火车南站西路8号酒城南项目</v>
      </c>
      <c r="J56" s="33" t="str">
        <f>VLOOKUP(B56,辅助信息!E:I,4,FALSE)</f>
        <v>龙耀宇</v>
      </c>
      <c r="K56" s="33">
        <f>VLOOKUP(J56,辅助信息!H:I,2,FALSE)</f>
        <v>18384145895</v>
      </c>
      <c r="L56" s="71"/>
      <c r="M56" s="70"/>
      <c r="N56" s="70"/>
      <c r="O56" s="70"/>
      <c r="P56" s="70"/>
      <c r="Q56" s="33" t="str">
        <f>VLOOKUP(B56,辅助信息!E:M,9,FALSE)</f>
        <v>ZTWM-CDGS-XS-2024-0189-华西集采-酒城南项目</v>
      </c>
      <c r="R56" s="19"/>
    </row>
    <row r="57" hidden="1" spans="2:18">
      <c r="B57" s="33" t="s">
        <v>44</v>
      </c>
      <c r="C57" s="63">
        <v>45659</v>
      </c>
      <c r="D57" s="33" t="str">
        <f>VLOOKUP(B57,辅助信息!E:K,7,FALSE)</f>
        <v>JWDDCD2025060600053</v>
      </c>
      <c r="E57" s="33" t="str">
        <f>VLOOKUP(F57,辅助信息!A:B,2,FALSE)</f>
        <v>螺纹钢</v>
      </c>
      <c r="F57" s="33" t="s">
        <v>21</v>
      </c>
      <c r="G57" s="29">
        <v>3</v>
      </c>
      <c r="H57" s="29" t="e">
        <f>_xlfn._xlws.FILTER(#REF!,#REF!&amp;#REF!&amp;#REF!&amp;#REF!=C57&amp;F57&amp;I57&amp;J57,"未发货")</f>
        <v>#REF!</v>
      </c>
      <c r="I57" s="33" t="str">
        <f>VLOOKUP(B57,辅助信息!E:I,3,FALSE)</f>
        <v>（华西酒城南）成都市武侯区火车南站西路8号酒城南项目</v>
      </c>
      <c r="J57" s="33" t="str">
        <f>VLOOKUP(B57,辅助信息!E:I,4,FALSE)</f>
        <v>龙耀宇</v>
      </c>
      <c r="K57" s="33">
        <f>VLOOKUP(J57,辅助信息!H:I,2,FALSE)</f>
        <v>18384145895</v>
      </c>
      <c r="L57" s="71"/>
      <c r="M57" s="70"/>
      <c r="N57" s="70"/>
      <c r="O57" s="70"/>
      <c r="P57" s="70"/>
      <c r="Q57" s="33" t="str">
        <f>VLOOKUP(B57,辅助信息!E:M,9,FALSE)</f>
        <v>ZTWM-CDGS-XS-2024-0189-华西集采-酒城南项目</v>
      </c>
      <c r="R57" s="19"/>
    </row>
    <row r="58" hidden="1" spans="2:18">
      <c r="B58" s="33" t="s">
        <v>44</v>
      </c>
      <c r="C58" s="63">
        <v>45659</v>
      </c>
      <c r="D58" s="33" t="str">
        <f>VLOOKUP(B58,辅助信息!E:K,7,FALSE)</f>
        <v>JWDDCD2025060600053</v>
      </c>
      <c r="E58" s="33" t="str">
        <f>VLOOKUP(F58,辅助信息!A:B,2,FALSE)</f>
        <v>螺纹钢</v>
      </c>
      <c r="F58" s="33" t="s">
        <v>46</v>
      </c>
      <c r="G58" s="29">
        <v>11</v>
      </c>
      <c r="H58" s="29" t="e">
        <f>_xlfn._xlws.FILTER(#REF!,#REF!&amp;#REF!&amp;#REF!&amp;#REF!=C58&amp;F58&amp;I58&amp;J58,"未发货")</f>
        <v>#REF!</v>
      </c>
      <c r="I58" s="33" t="str">
        <f>VLOOKUP(B58,辅助信息!E:I,3,FALSE)</f>
        <v>（华西酒城南）成都市武侯区火车南站西路8号酒城南项目</v>
      </c>
      <c r="J58" s="33" t="str">
        <f>VLOOKUP(B58,辅助信息!E:I,4,FALSE)</f>
        <v>龙耀宇</v>
      </c>
      <c r="K58" s="33">
        <f>VLOOKUP(J58,辅助信息!H:I,2,FALSE)</f>
        <v>18384145895</v>
      </c>
      <c r="L58" s="71"/>
      <c r="M58" s="70"/>
      <c r="N58" s="70"/>
      <c r="O58" s="70"/>
      <c r="P58" s="70"/>
      <c r="Q58" s="33" t="str">
        <f>VLOOKUP(B58,辅助信息!E:M,9,FALSE)</f>
        <v>ZTWM-CDGS-XS-2024-0189-华西集采-酒城南项目</v>
      </c>
      <c r="R58" s="19"/>
    </row>
    <row r="59" hidden="1" spans="2:18">
      <c r="B59" s="33" t="s">
        <v>44</v>
      </c>
      <c r="C59" s="63">
        <v>45659</v>
      </c>
      <c r="D59" s="33" t="str">
        <f>VLOOKUP(B59,辅助信息!E:K,7,FALSE)</f>
        <v>JWDDCD2025060600053</v>
      </c>
      <c r="E59" s="33" t="str">
        <f>VLOOKUP(F59,辅助信息!A:B,2,FALSE)</f>
        <v>螺纹钢</v>
      </c>
      <c r="F59" s="33" t="s">
        <v>22</v>
      </c>
      <c r="G59" s="29">
        <v>16</v>
      </c>
      <c r="H59" s="29" t="e">
        <f>_xlfn._xlws.FILTER(#REF!,#REF!&amp;#REF!&amp;#REF!&amp;#REF!=C59&amp;F59&amp;I59&amp;J59,"未发货")</f>
        <v>#REF!</v>
      </c>
      <c r="I59" s="33" t="str">
        <f>VLOOKUP(B59,辅助信息!E:I,3,FALSE)</f>
        <v>（华西酒城南）成都市武侯区火车南站西路8号酒城南项目</v>
      </c>
      <c r="J59" s="33" t="str">
        <f>VLOOKUP(B59,辅助信息!E:I,4,FALSE)</f>
        <v>龙耀宇</v>
      </c>
      <c r="K59" s="33">
        <f>VLOOKUP(J59,辅助信息!H:I,2,FALSE)</f>
        <v>18384145895</v>
      </c>
      <c r="L59" s="69"/>
      <c r="M59" s="70"/>
      <c r="N59" s="70"/>
      <c r="O59" s="70"/>
      <c r="P59" s="70"/>
      <c r="Q59" s="33" t="str">
        <f>VLOOKUP(B59,辅助信息!E:M,9,FALSE)</f>
        <v>ZTWM-CDGS-XS-2024-0189-华西集采-酒城南项目</v>
      </c>
      <c r="R59" s="19"/>
    </row>
    <row r="60" ht="22.5" hidden="1" customHeight="1" spans="2:18">
      <c r="B60" s="33" t="s">
        <v>17</v>
      </c>
      <c r="C60" s="63">
        <v>45660</v>
      </c>
      <c r="D60" s="33" t="str">
        <f>VLOOKUP(B60,辅助信息!E:K,7,FALSE)</f>
        <v>JWDDCD2024101600090</v>
      </c>
      <c r="E60" s="33" t="str">
        <f>VLOOKUP(F60,辅助信息!A:B,2,FALSE)</f>
        <v>螺纹钢</v>
      </c>
      <c r="F60" s="33" t="s">
        <v>18</v>
      </c>
      <c r="G60" s="29">
        <v>69</v>
      </c>
      <c r="H60" s="29" t="e">
        <f>_xlfn._xlws.FILTER(#REF!,#REF!&amp;#REF!&amp;#REF!&amp;#REF!=C60&amp;F60&amp;I60&amp;J60,"未发货")</f>
        <v>#REF!</v>
      </c>
      <c r="I60" s="33" t="str">
        <f>VLOOKUP(B60,辅助信息!E:I,3,FALSE)</f>
        <v>（达州市公共卫生临床医疗中心项目-一标-1号制作房）达州市通川区西外复兴镇公共卫生临床医疗中心项目</v>
      </c>
      <c r="J60" s="33" t="str">
        <f>VLOOKUP(B60,辅助信息!E:I,4,FALSE)</f>
        <v>潘建发</v>
      </c>
      <c r="K60" s="33">
        <f>VLOOKUP(J60,辅助信息!H:I,2,FALSE)</f>
        <v>13658059919</v>
      </c>
      <c r="L60" s="70" t="s">
        <v>34</v>
      </c>
      <c r="M60" s="70"/>
      <c r="N60" s="70"/>
      <c r="O60" s="70"/>
      <c r="P60" s="70"/>
      <c r="Q60" s="33" t="str">
        <f>VLOOKUP(B60,辅助信息!E:M,9,FALSE)</f>
        <v>ZTWM-CDGS-XS-2024-0205-五冶钢构-达州市通川区西外复兴镇及临近片区建设项目</v>
      </c>
      <c r="R60" s="19"/>
    </row>
    <row r="61" hidden="1" spans="2:18">
      <c r="B61" s="33" t="s">
        <v>24</v>
      </c>
      <c r="C61" s="63">
        <v>45660</v>
      </c>
      <c r="D61" s="33" t="str">
        <f>VLOOKUP(B61,辅助信息!E:K,7,FALSE)</f>
        <v>JWDDCD2025051000019</v>
      </c>
      <c r="E61" s="33" t="str">
        <f>VLOOKUP(F61,辅助信息!A:B,2,FALSE)</f>
        <v>螺纹钢</v>
      </c>
      <c r="F61" s="33" t="s">
        <v>21</v>
      </c>
      <c r="G61" s="29">
        <v>10</v>
      </c>
      <c r="H61" s="29" t="e">
        <f>_xlfn._xlws.FILTER(#REF!,#REF!&amp;#REF!&amp;#REF!&amp;#REF!=C61&amp;F61&amp;I61&amp;J61,"未发货")</f>
        <v>#REF!</v>
      </c>
      <c r="I61" s="33" t="str">
        <f>VLOOKUP(B61,辅助信息!E:I,3,FALSE)</f>
        <v>(五冶钢构医学科学产业园建设项目房建三部-一标（7-4）)四川省南充市顺庆区搬罾街道学府大道二段</v>
      </c>
      <c r="J61" s="33" t="str">
        <f>VLOOKUP(B61,辅助信息!E:I,4,FALSE)</f>
        <v>郑林</v>
      </c>
      <c r="K61" s="33">
        <f>VLOOKUP(J61,辅助信息!H:I,2,FALSE)</f>
        <v>18349955455</v>
      </c>
      <c r="L61" s="70" t="s">
        <v>35</v>
      </c>
      <c r="M61" s="70"/>
      <c r="N61" s="70"/>
      <c r="O61" s="70"/>
      <c r="P61" s="70"/>
      <c r="Q61" s="33" t="str">
        <f>VLOOKUP(B61,辅助信息!E:M,9,FALSE)</f>
        <v>ZTWM-CDGS-XS-2024-0248-五冶钢构-南充市医学院项目</v>
      </c>
      <c r="R61" s="19"/>
    </row>
    <row r="62" hidden="1" spans="2:18">
      <c r="B62" s="33" t="s">
        <v>24</v>
      </c>
      <c r="C62" s="63">
        <v>45660</v>
      </c>
      <c r="D62" s="33" t="str">
        <f>VLOOKUP(B62,辅助信息!E:K,7,FALSE)</f>
        <v>JWDDCD2025051000019</v>
      </c>
      <c r="E62" s="33" t="str">
        <f>VLOOKUP(F62,辅助信息!A:B,2,FALSE)</f>
        <v>螺纹钢</v>
      </c>
      <c r="F62" s="33" t="s">
        <v>22</v>
      </c>
      <c r="G62" s="29">
        <v>25</v>
      </c>
      <c r="H62" s="29" t="e">
        <f>_xlfn._xlws.FILTER(#REF!,#REF!&amp;#REF!&amp;#REF!&amp;#REF!=C62&amp;F62&amp;I62&amp;J62,"未发货")</f>
        <v>#REF!</v>
      </c>
      <c r="I62" s="33" t="str">
        <f>VLOOKUP(B62,辅助信息!E:I,3,FALSE)</f>
        <v>(五冶钢构医学科学产业园建设项目房建三部-一标（7-4）)四川省南充市顺庆区搬罾街道学府大道二段</v>
      </c>
      <c r="J62" s="33" t="str">
        <f>VLOOKUP(B62,辅助信息!E:I,4,FALSE)</f>
        <v>郑林</v>
      </c>
      <c r="K62" s="33">
        <f>VLOOKUP(J62,辅助信息!H:I,2,FALSE)</f>
        <v>18349955455</v>
      </c>
      <c r="L62" s="69"/>
      <c r="M62" s="70"/>
      <c r="N62" s="70"/>
      <c r="O62" s="70"/>
      <c r="P62" s="70"/>
      <c r="Q62" s="33" t="str">
        <f>VLOOKUP(B62,辅助信息!E:M,9,FALSE)</f>
        <v>ZTWM-CDGS-XS-2024-0248-五冶钢构-南充市医学院项目</v>
      </c>
      <c r="R62" s="19"/>
    </row>
    <row r="63" hidden="1" spans="2:18">
      <c r="B63" s="33" t="s">
        <v>25</v>
      </c>
      <c r="C63" s="63">
        <v>45660</v>
      </c>
      <c r="D63" s="33" t="e">
        <f>VLOOKUP(B63,辅助信息!E:K,7,FALSE)</f>
        <v>#N/A</v>
      </c>
      <c r="E63" s="33" t="str">
        <f>VLOOKUP(F63,辅助信息!A:B,2,FALSE)</f>
        <v>盘螺</v>
      </c>
      <c r="F63" s="33" t="s">
        <v>26</v>
      </c>
      <c r="G63" s="29">
        <v>3</v>
      </c>
      <c r="H63" s="29" t="e">
        <f>_xlfn._xlws.FILTER(#REF!,#REF!&amp;#REF!&amp;#REF!&amp;#REF!=C63&amp;F63&amp;I63&amp;J63,"未发货")</f>
        <v>#REF!</v>
      </c>
      <c r="I63" s="33" t="e">
        <f>VLOOKUP(B63,辅助信息!E:I,3,FALSE)</f>
        <v>#N/A</v>
      </c>
      <c r="J63" s="33" t="e">
        <f>VLOOKUP(B63,辅助信息!E:I,4,FALSE)</f>
        <v>#N/A</v>
      </c>
      <c r="K63" s="33" t="e">
        <f>VLOOKUP(J63,辅助信息!H:I,2,FALSE)</f>
        <v>#N/A</v>
      </c>
      <c r="L63" s="70" t="s">
        <v>36</v>
      </c>
      <c r="M63" s="70"/>
      <c r="N63" s="70"/>
      <c r="O63" s="70"/>
      <c r="P63" s="70"/>
      <c r="Q63" s="33" t="e">
        <f>VLOOKUP(B63,辅助信息!E:M,9,FALSE)</f>
        <v>#N/A</v>
      </c>
      <c r="R63" s="19"/>
    </row>
    <row r="64" hidden="1" spans="2:18">
      <c r="B64" s="33" t="s">
        <v>25</v>
      </c>
      <c r="C64" s="63">
        <v>45660</v>
      </c>
      <c r="D64" s="33" t="e">
        <f>VLOOKUP(B64,辅助信息!E:K,7,FALSE)</f>
        <v>#N/A</v>
      </c>
      <c r="E64" s="33" t="str">
        <f>VLOOKUP(F64,辅助信息!A:B,2,FALSE)</f>
        <v>螺纹钢</v>
      </c>
      <c r="F64" s="33" t="s">
        <v>27</v>
      </c>
      <c r="G64" s="29">
        <v>13</v>
      </c>
      <c r="H64" s="29" t="e">
        <f>_xlfn._xlws.FILTER(#REF!,#REF!&amp;#REF!&amp;#REF!&amp;#REF!=C64&amp;F64&amp;I64&amp;J64,"未发货")</f>
        <v>#REF!</v>
      </c>
      <c r="I64" s="33" t="e">
        <f>VLOOKUP(B64,辅助信息!E:I,3,FALSE)</f>
        <v>#N/A</v>
      </c>
      <c r="J64" s="33" t="e">
        <f>VLOOKUP(B64,辅助信息!E:I,4,FALSE)</f>
        <v>#N/A</v>
      </c>
      <c r="K64" s="33" t="e">
        <f>VLOOKUP(J64,辅助信息!H:I,2,FALSE)</f>
        <v>#N/A</v>
      </c>
      <c r="L64" s="71"/>
      <c r="M64" s="70"/>
      <c r="N64" s="70"/>
      <c r="O64" s="70"/>
      <c r="P64" s="70"/>
      <c r="Q64" s="33" t="e">
        <f>VLOOKUP(B64,辅助信息!E:M,9,FALSE)</f>
        <v>#N/A</v>
      </c>
      <c r="R64" s="19"/>
    </row>
    <row r="65" hidden="1" spans="2:18">
      <c r="B65" s="33" t="s">
        <v>25</v>
      </c>
      <c r="C65" s="63">
        <v>45660</v>
      </c>
      <c r="D65" s="33" t="e">
        <f>VLOOKUP(B65,辅助信息!E:K,7,FALSE)</f>
        <v>#N/A</v>
      </c>
      <c r="E65" s="33" t="str">
        <f>VLOOKUP(F65,辅助信息!A:B,2,FALSE)</f>
        <v>螺纹钢</v>
      </c>
      <c r="F65" s="33" t="s">
        <v>19</v>
      </c>
      <c r="G65" s="29">
        <v>10</v>
      </c>
      <c r="H65" s="29" t="e">
        <f>_xlfn._xlws.FILTER(#REF!,#REF!&amp;#REF!&amp;#REF!&amp;#REF!=C65&amp;F65&amp;I65&amp;J65,"未发货")</f>
        <v>#REF!</v>
      </c>
      <c r="I65" s="33" t="e">
        <f>VLOOKUP(B65,辅助信息!E:I,3,FALSE)</f>
        <v>#N/A</v>
      </c>
      <c r="J65" s="33" t="e">
        <f>VLOOKUP(B65,辅助信息!E:I,4,FALSE)</f>
        <v>#N/A</v>
      </c>
      <c r="K65" s="33" t="e">
        <f>VLOOKUP(J65,辅助信息!H:I,2,FALSE)</f>
        <v>#N/A</v>
      </c>
      <c r="L65" s="71"/>
      <c r="M65" s="70"/>
      <c r="N65" s="70"/>
      <c r="O65" s="70"/>
      <c r="P65" s="70"/>
      <c r="Q65" s="33" t="e">
        <f>VLOOKUP(B65,辅助信息!E:M,9,FALSE)</f>
        <v>#N/A</v>
      </c>
      <c r="R65" s="19"/>
    </row>
    <row r="66" hidden="1" spans="2:18">
      <c r="B66" s="33" t="s">
        <v>25</v>
      </c>
      <c r="C66" s="63">
        <v>45660</v>
      </c>
      <c r="D66" s="33" t="e">
        <f>VLOOKUP(B66,辅助信息!E:K,7,FALSE)</f>
        <v>#N/A</v>
      </c>
      <c r="E66" s="33" t="str">
        <f>VLOOKUP(F66,辅助信息!A:B,2,FALSE)</f>
        <v>螺纹钢</v>
      </c>
      <c r="F66" s="33" t="s">
        <v>28</v>
      </c>
      <c r="G66" s="29">
        <v>10</v>
      </c>
      <c r="H66" s="29" t="e">
        <f>_xlfn._xlws.FILTER(#REF!,#REF!&amp;#REF!&amp;#REF!&amp;#REF!=C66&amp;F66&amp;I66&amp;J66,"未发货")</f>
        <v>#REF!</v>
      </c>
      <c r="I66" s="33" t="e">
        <f>VLOOKUP(B66,辅助信息!E:I,3,FALSE)</f>
        <v>#N/A</v>
      </c>
      <c r="J66" s="33" t="e">
        <f>VLOOKUP(B66,辅助信息!E:I,4,FALSE)</f>
        <v>#N/A</v>
      </c>
      <c r="K66" s="33" t="e">
        <f>VLOOKUP(J66,辅助信息!H:I,2,FALSE)</f>
        <v>#N/A</v>
      </c>
      <c r="L66" s="69"/>
      <c r="M66" s="70"/>
      <c r="N66" s="70"/>
      <c r="O66" s="70"/>
      <c r="P66" s="70"/>
      <c r="Q66" s="33" t="e">
        <f>VLOOKUP(B66,辅助信息!E:M,9,FALSE)</f>
        <v>#N/A</v>
      </c>
      <c r="R66" s="19"/>
    </row>
    <row r="67" hidden="1" spans="2:18">
      <c r="B67" s="33" t="s">
        <v>39</v>
      </c>
      <c r="C67" s="63">
        <v>45660</v>
      </c>
      <c r="D67" s="33" t="str">
        <f>VLOOKUP(B67,辅助信息!E:K,7,FALSE)</f>
        <v>JWDDCD2024101600090</v>
      </c>
      <c r="E67" s="33" t="str">
        <f>VLOOKUP(F67,辅助信息!A:B,2,FALSE)</f>
        <v>螺纹钢</v>
      </c>
      <c r="F67" s="33" t="s">
        <v>28</v>
      </c>
      <c r="G67" s="29">
        <v>5</v>
      </c>
      <c r="H67" s="29" t="e">
        <f>_xlfn._xlws.FILTER(#REF!,#REF!&amp;#REF!&amp;#REF!&amp;#REF!=C67&amp;F67&amp;I67&amp;J67,"未发货")</f>
        <v>#REF!</v>
      </c>
      <c r="I67" s="33" t="str">
        <f>VLOOKUP(B67,辅助信息!E:I,3,FALSE)</f>
        <v>（达州市公共卫生临床医疗中心项目-一标-2号制作房）达州市通川区西外复兴镇公共卫生临床医疗中心项目</v>
      </c>
      <c r="J67" s="33" t="str">
        <f>VLOOKUP(B67,辅助信息!E:I,4,FALSE)</f>
        <v>潘建发</v>
      </c>
      <c r="K67" s="33">
        <f>VLOOKUP(J67,辅助信息!H:I,2,FALSE)</f>
        <v>13658059919</v>
      </c>
      <c r="L67" s="70" t="s">
        <v>37</v>
      </c>
      <c r="M67" s="70"/>
      <c r="N67" s="70"/>
      <c r="O67" s="70"/>
      <c r="P67" s="70"/>
      <c r="Q67" s="33" t="str">
        <f>VLOOKUP(B67,辅助信息!E:M,9,FALSE)</f>
        <v>ZTWM-CDGS-XS-2024-0205-五冶钢构-达州市通川区西外复兴镇及临近片区建设项目</v>
      </c>
      <c r="R67" s="19"/>
    </row>
    <row r="68" hidden="1" spans="2:18">
      <c r="B68" s="33" t="s">
        <v>39</v>
      </c>
      <c r="C68" s="63">
        <v>45660</v>
      </c>
      <c r="D68" s="33" t="str">
        <f>VLOOKUP(B68,辅助信息!E:K,7,FALSE)</f>
        <v>JWDDCD2024101600090</v>
      </c>
      <c r="E68" s="33" t="str">
        <f>VLOOKUP(F68,辅助信息!A:B,2,FALSE)</f>
        <v>螺纹钢</v>
      </c>
      <c r="F68" s="33" t="s">
        <v>18</v>
      </c>
      <c r="G68" s="29">
        <v>55</v>
      </c>
      <c r="H68" s="29" t="e">
        <f>_xlfn._xlws.FILTER(#REF!,#REF!&amp;#REF!&amp;#REF!&amp;#REF!=C68&amp;F68&amp;I68&amp;J68,"未发货")</f>
        <v>#REF!</v>
      </c>
      <c r="I68" s="33" t="str">
        <f>VLOOKUP(B68,辅助信息!E:I,3,FALSE)</f>
        <v>（达州市公共卫生临床医疗中心项目-一标-2号制作房）达州市通川区西外复兴镇公共卫生临床医疗中心项目</v>
      </c>
      <c r="J68" s="33" t="str">
        <f>VLOOKUP(B68,辅助信息!E:I,4,FALSE)</f>
        <v>潘建发</v>
      </c>
      <c r="K68" s="33">
        <f>VLOOKUP(J68,辅助信息!H:I,2,FALSE)</f>
        <v>13658059919</v>
      </c>
      <c r="L68" s="71"/>
      <c r="M68" s="70"/>
      <c r="N68" s="70"/>
      <c r="O68" s="70"/>
      <c r="P68" s="70"/>
      <c r="Q68" s="33" t="str">
        <f>VLOOKUP(B68,辅助信息!E:M,9,FALSE)</f>
        <v>ZTWM-CDGS-XS-2024-0205-五冶钢构-达州市通川区西外复兴镇及临近片区建设项目</v>
      </c>
      <c r="R68" s="19"/>
    </row>
    <row r="69" hidden="1" spans="2:18">
      <c r="B69" s="33" t="s">
        <v>17</v>
      </c>
      <c r="C69" s="63">
        <v>45660</v>
      </c>
      <c r="D69" s="33" t="str">
        <f>VLOOKUP(B69,辅助信息!E:K,7,FALSE)</f>
        <v>JWDDCD2024101600090</v>
      </c>
      <c r="E69" s="33" t="str">
        <f>VLOOKUP(F69,辅助信息!A:B,2,FALSE)</f>
        <v>螺纹钢</v>
      </c>
      <c r="F69" s="33" t="s">
        <v>33</v>
      </c>
      <c r="G69" s="29">
        <v>3</v>
      </c>
      <c r="H69" s="29" t="e">
        <f>_xlfn._xlws.FILTER(#REF!,#REF!&amp;#REF!&amp;#REF!&amp;#REF!=C69&amp;F69&amp;I69&amp;J69,"未发货")</f>
        <v>#REF!</v>
      </c>
      <c r="I69" s="33" t="str">
        <f>VLOOKUP(B69,辅助信息!E:I,3,FALSE)</f>
        <v>（达州市公共卫生临床医疗中心项目-一标-1号制作房）达州市通川区西外复兴镇公共卫生临床医疗中心项目</v>
      </c>
      <c r="J69" s="33" t="str">
        <f>VLOOKUP(B69,辅助信息!E:I,4,FALSE)</f>
        <v>潘建发</v>
      </c>
      <c r="K69" s="33">
        <f>VLOOKUP(J69,辅助信息!H:I,2,FALSE)</f>
        <v>13658059919</v>
      </c>
      <c r="L69" s="71"/>
      <c r="M69" s="70"/>
      <c r="N69" s="70"/>
      <c r="O69" s="70"/>
      <c r="P69" s="70"/>
      <c r="Q69" s="33" t="str">
        <f>VLOOKUP(B69,辅助信息!E:M,9,FALSE)</f>
        <v>ZTWM-CDGS-XS-2024-0205-五冶钢构-达州市通川区西外复兴镇及临近片区建设项目</v>
      </c>
      <c r="R69" s="19"/>
    </row>
    <row r="70" hidden="1" spans="2:18">
      <c r="B70" s="33" t="s">
        <v>17</v>
      </c>
      <c r="C70" s="63">
        <v>45660</v>
      </c>
      <c r="D70" s="33" t="str">
        <f>VLOOKUP(B70,辅助信息!E:K,7,FALSE)</f>
        <v>JWDDCD2024101600090</v>
      </c>
      <c r="E70" s="33" t="str">
        <f>VLOOKUP(F70,辅助信息!A:B,2,FALSE)</f>
        <v>螺纹钢</v>
      </c>
      <c r="F70" s="33" t="s">
        <v>28</v>
      </c>
      <c r="G70" s="29">
        <v>3</v>
      </c>
      <c r="H70" s="29" t="e">
        <f>_xlfn._xlws.FILTER(#REF!,#REF!&amp;#REF!&amp;#REF!&amp;#REF!=C70&amp;F70&amp;I70&amp;J70,"未发货")</f>
        <v>#REF!</v>
      </c>
      <c r="I70" s="33" t="str">
        <f>VLOOKUP(B70,辅助信息!E:I,3,FALSE)</f>
        <v>（达州市公共卫生临床医疗中心项目-一标-1号制作房）达州市通川区西外复兴镇公共卫生临床医疗中心项目</v>
      </c>
      <c r="J70" s="33" t="str">
        <f>VLOOKUP(B70,辅助信息!E:I,4,FALSE)</f>
        <v>潘建发</v>
      </c>
      <c r="K70" s="33">
        <f>VLOOKUP(J70,辅助信息!H:I,2,FALSE)</f>
        <v>13658059919</v>
      </c>
      <c r="L70" s="71"/>
      <c r="M70" s="70"/>
      <c r="N70" s="70"/>
      <c r="O70" s="70"/>
      <c r="P70" s="70"/>
      <c r="Q70" s="33" t="str">
        <f>VLOOKUP(B70,辅助信息!E:M,9,FALSE)</f>
        <v>ZTWM-CDGS-XS-2024-0205-五冶钢构-达州市通川区西外复兴镇及临近片区建设项目</v>
      </c>
      <c r="R70" s="19"/>
    </row>
    <row r="71" hidden="1" spans="2:18">
      <c r="B71" s="33" t="s">
        <v>17</v>
      </c>
      <c r="C71" s="63">
        <v>45660</v>
      </c>
      <c r="D71" s="33" t="str">
        <f>VLOOKUP(B71,辅助信息!E:K,7,FALSE)</f>
        <v>JWDDCD2024101600090</v>
      </c>
      <c r="E71" s="33" t="str">
        <f>VLOOKUP(F71,辅助信息!A:B,2,FALSE)</f>
        <v>螺纹钢</v>
      </c>
      <c r="F71" s="33" t="s">
        <v>18</v>
      </c>
      <c r="G71" s="29">
        <v>25</v>
      </c>
      <c r="H71" s="29" t="e">
        <f>_xlfn._xlws.FILTER(#REF!,#REF!&amp;#REF!&amp;#REF!&amp;#REF!=C71&amp;F71&amp;I71&amp;J71,"未发货")</f>
        <v>#REF!</v>
      </c>
      <c r="I71" s="33" t="str">
        <f>VLOOKUP(B71,辅助信息!E:I,3,FALSE)</f>
        <v>（达州市公共卫生临床医疗中心项目-一标-1号制作房）达州市通川区西外复兴镇公共卫生临床医疗中心项目</v>
      </c>
      <c r="J71" s="33" t="str">
        <f>VLOOKUP(B71,辅助信息!E:I,4,FALSE)</f>
        <v>潘建发</v>
      </c>
      <c r="K71" s="33">
        <f>VLOOKUP(J71,辅助信息!H:I,2,FALSE)</f>
        <v>13658059919</v>
      </c>
      <c r="L71" s="71"/>
      <c r="M71" s="70"/>
      <c r="N71" s="70"/>
      <c r="O71" s="70"/>
      <c r="P71" s="70"/>
      <c r="Q71" s="33" t="str">
        <f>VLOOKUP(B71,辅助信息!E:M,9,FALSE)</f>
        <v>ZTWM-CDGS-XS-2024-0205-五冶钢构-达州市通川区西外复兴镇及临近片区建设项目</v>
      </c>
      <c r="R71" s="19"/>
    </row>
    <row r="72" hidden="1" spans="2:18">
      <c r="B72" s="33" t="s">
        <v>17</v>
      </c>
      <c r="C72" s="63">
        <v>45660</v>
      </c>
      <c r="D72" s="33" t="str">
        <f>VLOOKUP(B72,辅助信息!E:K,7,FALSE)</f>
        <v>JWDDCD2024101600090</v>
      </c>
      <c r="E72" s="33" t="str">
        <f>VLOOKUP(F72,辅助信息!A:B,2,FALSE)</f>
        <v>螺纹钢</v>
      </c>
      <c r="F72" s="33" t="s">
        <v>27</v>
      </c>
      <c r="G72" s="29">
        <v>24</v>
      </c>
      <c r="H72" s="29" t="e">
        <f>_xlfn._xlws.FILTER(#REF!,#REF!&amp;#REF!&amp;#REF!&amp;#REF!=C72&amp;F72&amp;I72&amp;J72,"未发货")</f>
        <v>#REF!</v>
      </c>
      <c r="I72" s="33" t="str">
        <f>VLOOKUP(B72,辅助信息!E:I,3,FALSE)</f>
        <v>（达州市公共卫生临床医疗中心项目-一标-1号制作房）达州市通川区西外复兴镇公共卫生临床医疗中心项目</v>
      </c>
      <c r="J72" s="33" t="str">
        <f>VLOOKUP(B72,辅助信息!E:I,4,FALSE)</f>
        <v>潘建发</v>
      </c>
      <c r="K72" s="33">
        <f>VLOOKUP(J72,辅助信息!H:I,2,FALSE)</f>
        <v>13658059919</v>
      </c>
      <c r="L72" s="69"/>
      <c r="M72" s="70"/>
      <c r="N72" s="70"/>
      <c r="O72" s="70"/>
      <c r="P72" s="70"/>
      <c r="Q72" s="33" t="str">
        <f>VLOOKUP(B72,辅助信息!E:M,9,FALSE)</f>
        <v>ZTWM-CDGS-XS-2024-0205-五冶钢构-达州市通川区西外复兴镇及临近片区建设项目</v>
      </c>
      <c r="R72" s="19"/>
    </row>
    <row r="73" hidden="1" spans="2:18">
      <c r="B73" s="33" t="s">
        <v>43</v>
      </c>
      <c r="C73" s="63">
        <v>45660</v>
      </c>
      <c r="D73" s="33" t="str">
        <f>VLOOKUP(B73,辅助信息!E:K,7,FALSE)</f>
        <v>JWDDCD2024101600090</v>
      </c>
      <c r="E73" s="33" t="str">
        <f>VLOOKUP(F73,辅助信息!A:B,2,FALSE)</f>
        <v>螺纹钢</v>
      </c>
      <c r="F73" s="33" t="s">
        <v>28</v>
      </c>
      <c r="G73" s="29">
        <v>13</v>
      </c>
      <c r="H73" s="29" t="e">
        <f>_xlfn._xlws.FILTER(#REF!,#REF!&amp;#REF!&amp;#REF!&amp;#REF!=C73&amp;F73&amp;I73&amp;J73,"未发货")</f>
        <v>#REF!</v>
      </c>
      <c r="I73" s="33" t="str">
        <f>VLOOKUP(B73,辅助信息!E:I,3,FALSE)</f>
        <v>（达州市公共卫生医疗中心项目-二标-3号楼）达州市通川区西外复兴镇公共卫生临床医疗中心项目</v>
      </c>
      <c r="J73" s="33" t="str">
        <f>VLOOKUP(B73,辅助信息!E:I,4,FALSE)</f>
        <v>黄永林</v>
      </c>
      <c r="K73" s="33">
        <f>VLOOKUP(J73,辅助信息!H:I,2,FALSE)</f>
        <v>15982487227</v>
      </c>
      <c r="L73" s="70" t="s">
        <v>34</v>
      </c>
      <c r="M73" s="70"/>
      <c r="N73" s="70"/>
      <c r="O73" s="70"/>
      <c r="P73" s="70"/>
      <c r="Q73" s="33" t="str">
        <f>VLOOKUP(B73,辅助信息!E:M,9,FALSE)</f>
        <v>ZTWM-CDGS-XS-2024-0205-五冶钢构-达州市通川区西外复兴镇及临近片区建设项目</v>
      </c>
      <c r="R73" s="19"/>
    </row>
    <row r="74" hidden="1" spans="2:18">
      <c r="B74" s="33" t="s">
        <v>43</v>
      </c>
      <c r="C74" s="63">
        <v>45660</v>
      </c>
      <c r="D74" s="33" t="str">
        <f>VLOOKUP(B74,辅助信息!E:K,7,FALSE)</f>
        <v>JWDDCD2024101600090</v>
      </c>
      <c r="E74" s="33" t="str">
        <f>VLOOKUP(F74,辅助信息!A:B,2,FALSE)</f>
        <v>螺纹钢</v>
      </c>
      <c r="F74" s="33" t="s">
        <v>18</v>
      </c>
      <c r="G74" s="29">
        <v>26</v>
      </c>
      <c r="H74" s="29" t="e">
        <f>_xlfn._xlws.FILTER(#REF!,#REF!&amp;#REF!&amp;#REF!&amp;#REF!=C74&amp;F74&amp;I74&amp;J74,"未发货")</f>
        <v>#REF!</v>
      </c>
      <c r="I74" s="33" t="str">
        <f>VLOOKUP(B74,辅助信息!E:I,3,FALSE)</f>
        <v>（达州市公共卫生医疗中心项目-二标-3号楼）达州市通川区西外复兴镇公共卫生临床医疗中心项目</v>
      </c>
      <c r="J74" s="33" t="str">
        <f>VLOOKUP(B74,辅助信息!E:I,4,FALSE)</f>
        <v>黄永林</v>
      </c>
      <c r="K74" s="33">
        <f>VLOOKUP(J74,辅助信息!H:I,2,FALSE)</f>
        <v>15982487227</v>
      </c>
      <c r="L74" s="69"/>
      <c r="M74" s="70"/>
      <c r="N74" s="70"/>
      <c r="O74" s="70"/>
      <c r="P74" s="70"/>
      <c r="Q74" s="33" t="str">
        <f>VLOOKUP(B74,辅助信息!E:M,9,FALSE)</f>
        <v>ZTWM-CDGS-XS-2024-0205-五冶钢构-达州市通川区西外复兴镇及临近片区建设项目</v>
      </c>
      <c r="R74" s="19"/>
    </row>
    <row r="75" hidden="1" spans="2:18">
      <c r="B75" s="33" t="s">
        <v>44</v>
      </c>
      <c r="C75" s="63">
        <v>45660</v>
      </c>
      <c r="D75" s="33" t="str">
        <f>VLOOKUP(B75,辅助信息!E:K,7,FALSE)</f>
        <v>JWDDCD2025060600053</v>
      </c>
      <c r="E75" s="33" t="str">
        <f>VLOOKUP(F75,辅助信息!A:B,2,FALSE)</f>
        <v>盘螺</v>
      </c>
      <c r="F75" s="33" t="s">
        <v>40</v>
      </c>
      <c r="G75" s="29">
        <v>30</v>
      </c>
      <c r="H75" s="29" t="e">
        <f>_xlfn._xlws.FILTER(#REF!,#REF!&amp;#REF!&amp;#REF!&amp;#REF!=C75&amp;F75&amp;I75&amp;J75,"未发货")</f>
        <v>#REF!</v>
      </c>
      <c r="I75" s="33" t="str">
        <f>VLOOKUP(B75,辅助信息!E:I,3,FALSE)</f>
        <v>（华西酒城南）成都市武侯区火车南站西路8号酒城南项目</v>
      </c>
      <c r="J75" s="33" t="str">
        <f>VLOOKUP(B75,辅助信息!E:I,4,FALSE)</f>
        <v>龙耀宇</v>
      </c>
      <c r="K75" s="33">
        <f>VLOOKUP(J75,辅助信息!H:I,2,FALSE)</f>
        <v>18384145895</v>
      </c>
      <c r="L75" s="70" t="s">
        <v>34</v>
      </c>
      <c r="M75" s="70"/>
      <c r="N75" s="70"/>
      <c r="O75" s="70"/>
      <c r="P75" s="70"/>
      <c r="Q75" s="33" t="str">
        <f>VLOOKUP(B75,辅助信息!E:M,9,FALSE)</f>
        <v>ZTWM-CDGS-XS-2024-0189-华西集采-酒城南项目</v>
      </c>
      <c r="R75" s="19"/>
    </row>
    <row r="76" hidden="1" spans="2:18">
      <c r="B76" s="33" t="s">
        <v>44</v>
      </c>
      <c r="C76" s="63">
        <v>45660</v>
      </c>
      <c r="D76" s="33" t="str">
        <f>VLOOKUP(B76,辅助信息!E:K,7,FALSE)</f>
        <v>JWDDCD2025060600053</v>
      </c>
      <c r="E76" s="33" t="str">
        <f>VLOOKUP(F76,辅助信息!A:B,2,FALSE)</f>
        <v>盘螺</v>
      </c>
      <c r="F76" s="33" t="s">
        <v>41</v>
      </c>
      <c r="G76" s="29">
        <v>12</v>
      </c>
      <c r="H76" s="29" t="e">
        <f>_xlfn._xlws.FILTER(#REF!,#REF!&amp;#REF!&amp;#REF!&amp;#REF!=C76&amp;F76&amp;I76&amp;J76,"未发货")</f>
        <v>#REF!</v>
      </c>
      <c r="I76" s="33" t="str">
        <f>VLOOKUP(B76,辅助信息!E:I,3,FALSE)</f>
        <v>（华西酒城南）成都市武侯区火车南站西路8号酒城南项目</v>
      </c>
      <c r="J76" s="33" t="str">
        <f>VLOOKUP(B76,辅助信息!E:I,4,FALSE)</f>
        <v>龙耀宇</v>
      </c>
      <c r="K76" s="33">
        <f>VLOOKUP(J76,辅助信息!H:I,2,FALSE)</f>
        <v>18384145895</v>
      </c>
      <c r="L76" s="71"/>
      <c r="M76" s="70"/>
      <c r="N76" s="70"/>
      <c r="O76" s="70"/>
      <c r="P76" s="70"/>
      <c r="Q76" s="33" t="str">
        <f>VLOOKUP(B76,辅助信息!E:M,9,FALSE)</f>
        <v>ZTWM-CDGS-XS-2024-0189-华西集采-酒城南项目</v>
      </c>
      <c r="R76" s="19"/>
    </row>
    <row r="77" hidden="1" spans="2:18">
      <c r="B77" s="33" t="s">
        <v>44</v>
      </c>
      <c r="C77" s="63">
        <v>45660</v>
      </c>
      <c r="D77" s="33" t="str">
        <f>VLOOKUP(B77,辅助信息!E:K,7,FALSE)</f>
        <v>JWDDCD2025060600053</v>
      </c>
      <c r="E77" s="33" t="str">
        <f>VLOOKUP(F77,辅助信息!A:B,2,FALSE)</f>
        <v>盘螺</v>
      </c>
      <c r="F77" s="33" t="s">
        <v>26</v>
      </c>
      <c r="G77" s="29">
        <v>15</v>
      </c>
      <c r="H77" s="29" t="e">
        <f>_xlfn._xlws.FILTER(#REF!,#REF!&amp;#REF!&amp;#REF!&amp;#REF!=C77&amp;F77&amp;I77&amp;J77,"未发货")</f>
        <v>#REF!</v>
      </c>
      <c r="I77" s="33" t="str">
        <f>VLOOKUP(B77,辅助信息!E:I,3,FALSE)</f>
        <v>（华西酒城南）成都市武侯区火车南站西路8号酒城南项目</v>
      </c>
      <c r="J77" s="33" t="str">
        <f>VLOOKUP(B77,辅助信息!E:I,4,FALSE)</f>
        <v>龙耀宇</v>
      </c>
      <c r="K77" s="33">
        <f>VLOOKUP(J77,辅助信息!H:I,2,FALSE)</f>
        <v>18384145895</v>
      </c>
      <c r="L77" s="71"/>
      <c r="M77" s="70"/>
      <c r="N77" s="70"/>
      <c r="O77" s="70"/>
      <c r="P77" s="70"/>
      <c r="Q77" s="33" t="str">
        <f>VLOOKUP(B77,辅助信息!E:M,9,FALSE)</f>
        <v>ZTWM-CDGS-XS-2024-0189-华西集采-酒城南项目</v>
      </c>
      <c r="R77" s="19"/>
    </row>
    <row r="78" hidden="1" spans="2:18">
      <c r="B78" s="33" t="s">
        <v>44</v>
      </c>
      <c r="C78" s="63">
        <v>45660</v>
      </c>
      <c r="D78" s="33" t="str">
        <f>VLOOKUP(B78,辅助信息!E:K,7,FALSE)</f>
        <v>JWDDCD2025060600053</v>
      </c>
      <c r="E78" s="33" t="str">
        <f>VLOOKUP(F78,辅助信息!A:B,2,FALSE)</f>
        <v>螺纹钢</v>
      </c>
      <c r="F78" s="33" t="s">
        <v>19</v>
      </c>
      <c r="G78" s="29">
        <v>25.5</v>
      </c>
      <c r="H78" s="29" t="e">
        <f>_xlfn._xlws.FILTER(#REF!,#REF!&amp;#REF!&amp;#REF!&amp;#REF!=C78&amp;F78&amp;I78&amp;J78,"未发货")</f>
        <v>#REF!</v>
      </c>
      <c r="I78" s="33" t="str">
        <f>VLOOKUP(B78,辅助信息!E:I,3,FALSE)</f>
        <v>（华西酒城南）成都市武侯区火车南站西路8号酒城南项目</v>
      </c>
      <c r="J78" s="33" t="str">
        <f>VLOOKUP(B78,辅助信息!E:I,4,FALSE)</f>
        <v>龙耀宇</v>
      </c>
      <c r="K78" s="33">
        <f>VLOOKUP(J78,辅助信息!H:I,2,FALSE)</f>
        <v>18384145895</v>
      </c>
      <c r="L78" s="71"/>
      <c r="M78" s="70"/>
      <c r="N78" s="70"/>
      <c r="O78" s="70"/>
      <c r="P78" s="70"/>
      <c r="Q78" s="33" t="str">
        <f>VLOOKUP(B78,辅助信息!E:M,9,FALSE)</f>
        <v>ZTWM-CDGS-XS-2024-0189-华西集采-酒城南项目</v>
      </c>
      <c r="R78" s="19"/>
    </row>
    <row r="79" hidden="1" spans="2:18">
      <c r="B79" s="33" t="s">
        <v>44</v>
      </c>
      <c r="C79" s="63">
        <v>45660</v>
      </c>
      <c r="D79" s="33" t="str">
        <f>VLOOKUP(B79,辅助信息!E:K,7,FALSE)</f>
        <v>JWDDCD2025060600053</v>
      </c>
      <c r="E79" s="33" t="str">
        <f>VLOOKUP(F79,辅助信息!A:B,2,FALSE)</f>
        <v>螺纹钢</v>
      </c>
      <c r="F79" s="33" t="s">
        <v>32</v>
      </c>
      <c r="G79" s="29">
        <v>9</v>
      </c>
      <c r="H79" s="29" t="e">
        <f>_xlfn._xlws.FILTER(#REF!,#REF!&amp;#REF!&amp;#REF!&amp;#REF!=C79&amp;F79&amp;I79&amp;J79,"未发货")</f>
        <v>#REF!</v>
      </c>
      <c r="I79" s="33" t="str">
        <f>VLOOKUP(B79,辅助信息!E:I,3,FALSE)</f>
        <v>（华西酒城南）成都市武侯区火车南站西路8号酒城南项目</v>
      </c>
      <c r="J79" s="33" t="str">
        <f>VLOOKUP(B79,辅助信息!E:I,4,FALSE)</f>
        <v>龙耀宇</v>
      </c>
      <c r="K79" s="33">
        <f>VLOOKUP(J79,辅助信息!H:I,2,FALSE)</f>
        <v>18384145895</v>
      </c>
      <c r="L79" s="71"/>
      <c r="M79" s="70"/>
      <c r="N79" s="70"/>
      <c r="O79" s="70"/>
      <c r="P79" s="70"/>
      <c r="Q79" s="33" t="str">
        <f>VLOOKUP(B79,辅助信息!E:M,9,FALSE)</f>
        <v>ZTWM-CDGS-XS-2024-0189-华西集采-酒城南项目</v>
      </c>
      <c r="R79" s="19"/>
    </row>
    <row r="80" hidden="1" spans="2:18">
      <c r="B80" s="33" t="s">
        <v>44</v>
      </c>
      <c r="C80" s="63">
        <v>45660</v>
      </c>
      <c r="D80" s="33" t="str">
        <f>VLOOKUP(B80,辅助信息!E:K,7,FALSE)</f>
        <v>JWDDCD2025060600053</v>
      </c>
      <c r="E80" s="33" t="str">
        <f>VLOOKUP(F80,辅助信息!A:B,2,FALSE)</f>
        <v>螺纹钢</v>
      </c>
      <c r="F80" s="33" t="s">
        <v>30</v>
      </c>
      <c r="G80" s="29">
        <v>8</v>
      </c>
      <c r="H80" s="29" t="e">
        <f>_xlfn._xlws.FILTER(#REF!,#REF!&amp;#REF!&amp;#REF!&amp;#REF!=C80&amp;F80&amp;I80&amp;J80,"未发货")</f>
        <v>#REF!</v>
      </c>
      <c r="I80" s="33" t="str">
        <f>VLOOKUP(B80,辅助信息!E:I,3,FALSE)</f>
        <v>（华西酒城南）成都市武侯区火车南站西路8号酒城南项目</v>
      </c>
      <c r="J80" s="33" t="str">
        <f>VLOOKUP(B80,辅助信息!E:I,4,FALSE)</f>
        <v>龙耀宇</v>
      </c>
      <c r="K80" s="33">
        <f>VLOOKUP(J80,辅助信息!H:I,2,FALSE)</f>
        <v>18384145895</v>
      </c>
      <c r="L80" s="71"/>
      <c r="M80" s="70"/>
      <c r="N80" s="70"/>
      <c r="O80" s="70"/>
      <c r="P80" s="70"/>
      <c r="Q80" s="33" t="str">
        <f>VLOOKUP(B80,辅助信息!E:M,9,FALSE)</f>
        <v>ZTWM-CDGS-XS-2024-0189-华西集采-酒城南项目</v>
      </c>
      <c r="R80" s="19"/>
    </row>
    <row r="81" hidden="1" spans="2:18">
      <c r="B81" s="33" t="s">
        <v>44</v>
      </c>
      <c r="C81" s="63">
        <v>45660</v>
      </c>
      <c r="D81" s="33" t="str">
        <f>VLOOKUP(B81,辅助信息!E:K,7,FALSE)</f>
        <v>JWDDCD2025060600053</v>
      </c>
      <c r="E81" s="33" t="str">
        <f>VLOOKUP(F81,辅助信息!A:B,2,FALSE)</f>
        <v>螺纹钢</v>
      </c>
      <c r="F81" s="33" t="s">
        <v>45</v>
      </c>
      <c r="G81" s="29">
        <v>3</v>
      </c>
      <c r="H81" s="29" t="e">
        <f>_xlfn._xlws.FILTER(#REF!,#REF!&amp;#REF!&amp;#REF!&amp;#REF!=C81&amp;F81&amp;I81&amp;J81,"未发货")</f>
        <v>#REF!</v>
      </c>
      <c r="I81" s="33" t="str">
        <f>VLOOKUP(B81,辅助信息!E:I,3,FALSE)</f>
        <v>（华西酒城南）成都市武侯区火车南站西路8号酒城南项目</v>
      </c>
      <c r="J81" s="33" t="str">
        <f>VLOOKUP(B81,辅助信息!E:I,4,FALSE)</f>
        <v>龙耀宇</v>
      </c>
      <c r="K81" s="33">
        <f>VLOOKUP(J81,辅助信息!H:I,2,FALSE)</f>
        <v>18384145895</v>
      </c>
      <c r="L81" s="71"/>
      <c r="M81" s="70"/>
      <c r="N81" s="70"/>
      <c r="O81" s="70"/>
      <c r="P81" s="70"/>
      <c r="Q81" s="33" t="str">
        <f>VLOOKUP(B81,辅助信息!E:M,9,FALSE)</f>
        <v>ZTWM-CDGS-XS-2024-0189-华西集采-酒城南项目</v>
      </c>
      <c r="R81" s="19"/>
    </row>
    <row r="82" hidden="1" spans="2:18">
      <c r="B82" s="33" t="s">
        <v>44</v>
      </c>
      <c r="C82" s="63">
        <v>45660</v>
      </c>
      <c r="D82" s="33" t="str">
        <f>VLOOKUP(B82,辅助信息!E:K,7,FALSE)</f>
        <v>JWDDCD2025060600053</v>
      </c>
      <c r="E82" s="33" t="str">
        <f>VLOOKUP(F82,辅助信息!A:B,2,FALSE)</f>
        <v>螺纹钢</v>
      </c>
      <c r="F82" s="33" t="s">
        <v>21</v>
      </c>
      <c r="G82" s="29">
        <v>3</v>
      </c>
      <c r="H82" s="29" t="e">
        <f>_xlfn._xlws.FILTER(#REF!,#REF!&amp;#REF!&amp;#REF!&amp;#REF!=C82&amp;F82&amp;I82&amp;J82,"未发货")</f>
        <v>#REF!</v>
      </c>
      <c r="I82" s="33" t="str">
        <f>VLOOKUP(B82,辅助信息!E:I,3,FALSE)</f>
        <v>（华西酒城南）成都市武侯区火车南站西路8号酒城南项目</v>
      </c>
      <c r="J82" s="33" t="str">
        <f>VLOOKUP(B82,辅助信息!E:I,4,FALSE)</f>
        <v>龙耀宇</v>
      </c>
      <c r="K82" s="33">
        <f>VLOOKUP(J82,辅助信息!H:I,2,FALSE)</f>
        <v>18384145895</v>
      </c>
      <c r="L82" s="71"/>
      <c r="M82" s="70"/>
      <c r="N82" s="70"/>
      <c r="O82" s="70"/>
      <c r="P82" s="70"/>
      <c r="Q82" s="33" t="str">
        <f>VLOOKUP(B82,辅助信息!E:M,9,FALSE)</f>
        <v>ZTWM-CDGS-XS-2024-0189-华西集采-酒城南项目</v>
      </c>
      <c r="R82" s="19"/>
    </row>
    <row r="83" hidden="1" spans="2:18">
      <c r="B83" s="33" t="s">
        <v>44</v>
      </c>
      <c r="C83" s="63">
        <v>45660</v>
      </c>
      <c r="D83" s="33" t="str">
        <f>VLOOKUP(B83,辅助信息!E:K,7,FALSE)</f>
        <v>JWDDCD2025060600053</v>
      </c>
      <c r="E83" s="33" t="str">
        <f>VLOOKUP(F83,辅助信息!A:B,2,FALSE)</f>
        <v>螺纹钢</v>
      </c>
      <c r="F83" s="33" t="s">
        <v>46</v>
      </c>
      <c r="G83" s="29">
        <v>11</v>
      </c>
      <c r="H83" s="29" t="e">
        <f>_xlfn._xlws.FILTER(#REF!,#REF!&amp;#REF!&amp;#REF!&amp;#REF!=C83&amp;F83&amp;I83&amp;J83,"未发货")</f>
        <v>#REF!</v>
      </c>
      <c r="I83" s="33" t="str">
        <f>VLOOKUP(B83,辅助信息!E:I,3,FALSE)</f>
        <v>（华西酒城南）成都市武侯区火车南站西路8号酒城南项目</v>
      </c>
      <c r="J83" s="33" t="str">
        <f>VLOOKUP(B83,辅助信息!E:I,4,FALSE)</f>
        <v>龙耀宇</v>
      </c>
      <c r="K83" s="33">
        <f>VLOOKUP(J83,辅助信息!H:I,2,FALSE)</f>
        <v>18384145895</v>
      </c>
      <c r="L83" s="71"/>
      <c r="M83" s="70"/>
      <c r="N83" s="70"/>
      <c r="O83" s="70"/>
      <c r="P83" s="70"/>
      <c r="Q83" s="33" t="str">
        <f>VLOOKUP(B83,辅助信息!E:M,9,FALSE)</f>
        <v>ZTWM-CDGS-XS-2024-0189-华西集采-酒城南项目</v>
      </c>
      <c r="R83" s="19"/>
    </row>
    <row r="84" hidden="1" spans="2:18">
      <c r="B84" s="33" t="s">
        <v>44</v>
      </c>
      <c r="C84" s="63">
        <v>45660</v>
      </c>
      <c r="D84" s="33" t="str">
        <f>VLOOKUP(B84,辅助信息!E:K,7,FALSE)</f>
        <v>JWDDCD2025060600053</v>
      </c>
      <c r="E84" s="33" t="str">
        <f>VLOOKUP(F84,辅助信息!A:B,2,FALSE)</f>
        <v>螺纹钢</v>
      </c>
      <c r="F84" s="33" t="s">
        <v>22</v>
      </c>
      <c r="G84" s="29">
        <v>16</v>
      </c>
      <c r="H84" s="29" t="e">
        <f>_xlfn._xlws.FILTER(#REF!,#REF!&amp;#REF!&amp;#REF!&amp;#REF!=C84&amp;F84&amp;I84&amp;J84,"未发货")</f>
        <v>#REF!</v>
      </c>
      <c r="I84" s="33" t="str">
        <f>VLOOKUP(B84,辅助信息!E:I,3,FALSE)</f>
        <v>（华西酒城南）成都市武侯区火车南站西路8号酒城南项目</v>
      </c>
      <c r="J84" s="33" t="str">
        <f>VLOOKUP(B84,辅助信息!E:I,4,FALSE)</f>
        <v>龙耀宇</v>
      </c>
      <c r="K84" s="33">
        <f>VLOOKUP(J84,辅助信息!H:I,2,FALSE)</f>
        <v>18384145895</v>
      </c>
      <c r="L84" s="69"/>
      <c r="M84" s="70"/>
      <c r="N84" s="70"/>
      <c r="O84" s="70"/>
      <c r="P84" s="70"/>
      <c r="Q84" s="33" t="str">
        <f>VLOOKUP(B84,辅助信息!E:M,9,FALSE)</f>
        <v>ZTWM-CDGS-XS-2024-0189-华西集采-酒城南项目</v>
      </c>
      <c r="R84" s="19"/>
    </row>
    <row r="85" hidden="1" spans="2:18">
      <c r="B85" s="33" t="s">
        <v>47</v>
      </c>
      <c r="C85" s="63">
        <v>45660</v>
      </c>
      <c r="D85" s="33" t="str">
        <f>VLOOKUP(B85,辅助信息!E:K,7,FALSE)</f>
        <v>JWDDCD2025052800131</v>
      </c>
      <c r="E85" s="33" t="str">
        <f>VLOOKUP(F85,辅助信息!A:B,2,FALSE)</f>
        <v>盘螺</v>
      </c>
      <c r="F85" s="33" t="s">
        <v>40</v>
      </c>
      <c r="G85" s="29">
        <v>6</v>
      </c>
      <c r="H85" s="29" t="e">
        <f>_xlfn._xlws.FILTER(#REF!,#REF!&amp;#REF!&amp;#REF!&amp;#REF!=C85&amp;F85&amp;I85&amp;J85,"未发货")</f>
        <v>#REF!</v>
      </c>
      <c r="I85" s="33" t="str">
        <f>VLOOKUP(B85,辅助信息!E:I,3,FALSE)</f>
        <v>（商投建工达州中医药科技园-1工区）达州市通川区达州中医药职业学院犀牛大道北段</v>
      </c>
      <c r="J85" s="33" t="str">
        <f>VLOOKUP(B85,辅助信息!E:I,4,FALSE)</f>
        <v>程黄刚</v>
      </c>
      <c r="K85" s="33">
        <f>VLOOKUP(J85,辅助信息!H:I,2,FALSE)</f>
        <v>15108211617</v>
      </c>
      <c r="L85" s="70" t="s">
        <v>34</v>
      </c>
      <c r="M85" s="70"/>
      <c r="N85" s="70"/>
      <c r="O85" s="70"/>
      <c r="P85" s="70"/>
      <c r="Q85" s="33" t="str">
        <f>VLOOKUP(B85,辅助信息!E:M,9,FALSE)</f>
        <v>ZTWM-CDGS-XS-2024-0134-商投建工达州中医药科技成果示范园项目</v>
      </c>
      <c r="R85" s="19"/>
    </row>
    <row r="86" hidden="1" spans="2:18">
      <c r="B86" s="33" t="s">
        <v>47</v>
      </c>
      <c r="C86" s="63">
        <v>45660</v>
      </c>
      <c r="D86" s="33" t="str">
        <f>VLOOKUP(B86,辅助信息!E:K,7,FALSE)</f>
        <v>JWDDCD2025052800131</v>
      </c>
      <c r="E86" s="33" t="str">
        <f>VLOOKUP(F86,辅助信息!A:B,2,FALSE)</f>
        <v>螺纹钢</v>
      </c>
      <c r="F86" s="33" t="s">
        <v>19</v>
      </c>
      <c r="G86" s="29">
        <v>39</v>
      </c>
      <c r="H86" s="29" t="e">
        <f>_xlfn._xlws.FILTER(#REF!,#REF!&amp;#REF!&amp;#REF!&amp;#REF!=C86&amp;F86&amp;I86&amp;J86,"未发货")</f>
        <v>#REF!</v>
      </c>
      <c r="I86" s="33" t="str">
        <f>VLOOKUP(B86,辅助信息!E:I,3,FALSE)</f>
        <v>（商投建工达州中医药科技园-1工区）达州市通川区达州中医药职业学院犀牛大道北段</v>
      </c>
      <c r="J86" s="33" t="str">
        <f>VLOOKUP(B86,辅助信息!E:I,4,FALSE)</f>
        <v>程黄刚</v>
      </c>
      <c r="K86" s="33">
        <f>VLOOKUP(J86,辅助信息!H:I,2,FALSE)</f>
        <v>15108211617</v>
      </c>
      <c r="L86" s="71"/>
      <c r="M86" s="70"/>
      <c r="N86" s="70"/>
      <c r="O86" s="70"/>
      <c r="P86" s="70"/>
      <c r="Q86" s="33" t="str">
        <f>VLOOKUP(B86,辅助信息!E:M,9,FALSE)</f>
        <v>ZTWM-CDGS-XS-2024-0134-商投建工达州中医药科技成果示范园项目</v>
      </c>
      <c r="R86" s="19"/>
    </row>
    <row r="87" hidden="1" spans="2:18">
      <c r="B87" s="33" t="s">
        <v>47</v>
      </c>
      <c r="C87" s="63">
        <v>45660</v>
      </c>
      <c r="D87" s="33" t="str">
        <f>VLOOKUP(B87,辅助信息!E:K,7,FALSE)</f>
        <v>JWDDCD2025052800131</v>
      </c>
      <c r="E87" s="33" t="str">
        <f>VLOOKUP(F87,辅助信息!A:B,2,FALSE)</f>
        <v>螺纹钢</v>
      </c>
      <c r="F87" s="33" t="s">
        <v>32</v>
      </c>
      <c r="G87" s="29">
        <v>3</v>
      </c>
      <c r="H87" s="29" t="e">
        <f>_xlfn._xlws.FILTER(#REF!,#REF!&amp;#REF!&amp;#REF!&amp;#REF!=C87&amp;F87&amp;I87&amp;J87,"未发货")</f>
        <v>#REF!</v>
      </c>
      <c r="I87" s="33" t="str">
        <f>VLOOKUP(B87,辅助信息!E:I,3,FALSE)</f>
        <v>（商投建工达州中医药科技园-1工区）达州市通川区达州中医药职业学院犀牛大道北段</v>
      </c>
      <c r="J87" s="33" t="str">
        <f>VLOOKUP(B87,辅助信息!E:I,4,FALSE)</f>
        <v>程黄刚</v>
      </c>
      <c r="K87" s="33">
        <f>VLOOKUP(J87,辅助信息!H:I,2,FALSE)</f>
        <v>15108211617</v>
      </c>
      <c r="L87" s="71"/>
      <c r="M87" s="70"/>
      <c r="N87" s="70"/>
      <c r="O87" s="70"/>
      <c r="P87" s="70"/>
      <c r="Q87" s="33" t="str">
        <f>VLOOKUP(B87,辅助信息!E:M,9,FALSE)</f>
        <v>ZTWM-CDGS-XS-2024-0134-商投建工达州中医药科技成果示范园项目</v>
      </c>
      <c r="R87" s="19"/>
    </row>
    <row r="88" hidden="1" spans="2:18">
      <c r="B88" s="33" t="s">
        <v>47</v>
      </c>
      <c r="C88" s="63">
        <v>45660</v>
      </c>
      <c r="D88" s="33" t="str">
        <f>VLOOKUP(B88,辅助信息!E:K,7,FALSE)</f>
        <v>JWDDCD2025052800131</v>
      </c>
      <c r="E88" s="33" t="str">
        <f>VLOOKUP(F88,辅助信息!A:B,2,FALSE)</f>
        <v>螺纹钢</v>
      </c>
      <c r="F88" s="33" t="s">
        <v>33</v>
      </c>
      <c r="G88" s="29">
        <v>6</v>
      </c>
      <c r="H88" s="29" t="e">
        <f>_xlfn._xlws.FILTER(#REF!,#REF!&amp;#REF!&amp;#REF!&amp;#REF!=C88&amp;F88&amp;I88&amp;J88,"未发货")</f>
        <v>#REF!</v>
      </c>
      <c r="I88" s="33" t="str">
        <f>VLOOKUP(B88,辅助信息!E:I,3,FALSE)</f>
        <v>（商投建工达州中医药科技园-1工区）达州市通川区达州中医药职业学院犀牛大道北段</v>
      </c>
      <c r="J88" s="33" t="str">
        <f>VLOOKUP(B88,辅助信息!E:I,4,FALSE)</f>
        <v>程黄刚</v>
      </c>
      <c r="K88" s="33">
        <f>VLOOKUP(J88,辅助信息!H:I,2,FALSE)</f>
        <v>15108211617</v>
      </c>
      <c r="L88" s="69"/>
      <c r="M88" s="70"/>
      <c r="N88" s="70"/>
      <c r="O88" s="70"/>
      <c r="P88" s="70"/>
      <c r="Q88" s="33" t="str">
        <f>VLOOKUP(B88,辅助信息!E:M,9,FALSE)</f>
        <v>ZTWM-CDGS-XS-2024-0134-商投建工达州中医药科技成果示范园项目</v>
      </c>
      <c r="R88" s="19"/>
    </row>
    <row r="89" hidden="1" spans="2:18">
      <c r="B89" s="33" t="s">
        <v>48</v>
      </c>
      <c r="C89" s="63">
        <v>45660</v>
      </c>
      <c r="D89" s="33" t="str">
        <f>VLOOKUP(B89,辅助信息!E:K,7,FALSE)</f>
        <v>ZTWM-CDGS-YL-20240529-006</v>
      </c>
      <c r="E89" s="33" t="str">
        <f>VLOOKUP(F89,辅助信息!A:B,2,FALSE)</f>
        <v>盘螺</v>
      </c>
      <c r="F89" s="33" t="s">
        <v>40</v>
      </c>
      <c r="G89" s="29">
        <v>6</v>
      </c>
      <c r="H89" s="29" t="e">
        <f>_xlfn._xlws.FILTER(#REF!,#REF!&amp;#REF!&amp;#REF!&amp;#REF!=C89&amp;F89&amp;I89&amp;J89,"未发货")</f>
        <v>#REF!</v>
      </c>
      <c r="I89" s="33" t="str">
        <f>VLOOKUP(B89,辅助信息!E:I,3,FALSE)</f>
        <v>(华西颐海-科创农业生态谷-1号钢筋房)成都市简阳市白金山水库</v>
      </c>
      <c r="J89" s="33" t="str">
        <f>VLOOKUP(B89,辅助信息!E:I,4,FALSE)</f>
        <v>石清国</v>
      </c>
      <c r="K89" s="33">
        <f>VLOOKUP(J89,辅助信息!H:I,2,FALSE)</f>
        <v>13458642015</v>
      </c>
      <c r="L89" s="70" t="s">
        <v>34</v>
      </c>
      <c r="M89" s="70"/>
      <c r="N89" s="70"/>
      <c r="O89" s="70"/>
      <c r="P89" s="70"/>
      <c r="Q89" s="33" t="str">
        <f>VLOOKUP(B89,辅助信息!E:M,9,FALSE)</f>
        <v>ZTWM-CDGS-XS-2024-0093-华西-颐海科创农业生态谷</v>
      </c>
      <c r="R89" s="19"/>
    </row>
    <row r="90" hidden="1" spans="2:18">
      <c r="B90" s="33" t="s">
        <v>48</v>
      </c>
      <c r="C90" s="63">
        <v>45660</v>
      </c>
      <c r="D90" s="33" t="str">
        <f>VLOOKUP(B90,辅助信息!E:K,7,FALSE)</f>
        <v>ZTWM-CDGS-YL-20240529-006</v>
      </c>
      <c r="E90" s="33" t="str">
        <f>VLOOKUP(F90,辅助信息!A:B,2,FALSE)</f>
        <v>盘螺</v>
      </c>
      <c r="F90" s="33" t="s">
        <v>41</v>
      </c>
      <c r="G90" s="29">
        <v>4</v>
      </c>
      <c r="H90" s="29" t="e">
        <f>_xlfn._xlws.FILTER(#REF!,#REF!&amp;#REF!&amp;#REF!&amp;#REF!=C90&amp;F90&amp;I90&amp;J90,"未发货")</f>
        <v>#REF!</v>
      </c>
      <c r="I90" s="33" t="str">
        <f>VLOOKUP(B90,辅助信息!E:I,3,FALSE)</f>
        <v>(华西颐海-科创农业生态谷-1号钢筋房)成都市简阳市白金山水库</v>
      </c>
      <c r="J90" s="33" t="str">
        <f>VLOOKUP(B90,辅助信息!E:I,4,FALSE)</f>
        <v>石清国</v>
      </c>
      <c r="K90" s="33">
        <f>VLOOKUP(J90,辅助信息!H:I,2,FALSE)</f>
        <v>13458642015</v>
      </c>
      <c r="L90" s="71"/>
      <c r="M90" s="70"/>
      <c r="N90" s="70"/>
      <c r="O90" s="70"/>
      <c r="P90" s="70"/>
      <c r="Q90" s="33" t="str">
        <f>VLOOKUP(B90,辅助信息!E:M,9,FALSE)</f>
        <v>ZTWM-CDGS-XS-2024-0093-华西-颐海科创农业生态谷</v>
      </c>
      <c r="R90" s="19"/>
    </row>
    <row r="91" hidden="1" spans="2:18">
      <c r="B91" s="33" t="s">
        <v>48</v>
      </c>
      <c r="C91" s="63">
        <v>45660</v>
      </c>
      <c r="D91" s="33" t="str">
        <f>VLOOKUP(B91,辅助信息!E:K,7,FALSE)</f>
        <v>ZTWM-CDGS-YL-20240529-006</v>
      </c>
      <c r="E91" s="33" t="str">
        <f>VLOOKUP(F91,辅助信息!A:B,2,FALSE)</f>
        <v>螺纹钢</v>
      </c>
      <c r="F91" s="33" t="s">
        <v>18</v>
      </c>
      <c r="G91" s="29">
        <v>25</v>
      </c>
      <c r="H91" s="29" t="e">
        <f>_xlfn._xlws.FILTER(#REF!,#REF!&amp;#REF!&amp;#REF!&amp;#REF!=C91&amp;F91&amp;I91&amp;J91,"未发货")</f>
        <v>#REF!</v>
      </c>
      <c r="I91" s="33" t="str">
        <f>VLOOKUP(B91,辅助信息!E:I,3,FALSE)</f>
        <v>(华西颐海-科创农业生态谷-1号钢筋房)成都市简阳市白金山水库</v>
      </c>
      <c r="J91" s="33" t="str">
        <f>VLOOKUP(B91,辅助信息!E:I,4,FALSE)</f>
        <v>石清国</v>
      </c>
      <c r="K91" s="33">
        <f>VLOOKUP(J91,辅助信息!H:I,2,FALSE)</f>
        <v>13458642015</v>
      </c>
      <c r="L91" s="69"/>
      <c r="M91" s="70"/>
      <c r="N91" s="70"/>
      <c r="O91" s="70"/>
      <c r="P91" s="70"/>
      <c r="Q91" s="33" t="str">
        <f>VLOOKUP(B91,辅助信息!E:M,9,FALSE)</f>
        <v>ZTWM-CDGS-XS-2024-0093-华西-颐海科创农业生态谷</v>
      </c>
      <c r="R91" s="19"/>
    </row>
    <row r="92" ht="22.5" hidden="1" customHeight="1" spans="2:18">
      <c r="B92" s="33" t="s">
        <v>17</v>
      </c>
      <c r="C92" s="63">
        <v>45661</v>
      </c>
      <c r="D92" s="33" t="str">
        <f>VLOOKUP(B92,辅助信息!E:K,7,FALSE)</f>
        <v>JWDDCD2024101600090</v>
      </c>
      <c r="E92" s="33" t="str">
        <f>VLOOKUP(F92,辅助信息!A:B,2,FALSE)</f>
        <v>螺纹钢</v>
      </c>
      <c r="F92" s="33" t="s">
        <v>18</v>
      </c>
      <c r="G92" s="29">
        <v>69</v>
      </c>
      <c r="H92" s="29" t="e">
        <f>_xlfn._xlws.FILTER(#REF!,#REF!&amp;#REF!&amp;#REF!&amp;#REF!=C92&amp;F92&amp;I92&amp;J92,"未发货")</f>
        <v>#REF!</v>
      </c>
      <c r="I92" s="33" t="str">
        <f>VLOOKUP(B92,辅助信息!E:I,3,FALSE)</f>
        <v>（达州市公共卫生临床医疗中心项目-一标-1号制作房）达州市通川区西外复兴镇公共卫生临床医疗中心项目</v>
      </c>
      <c r="J92" s="33" t="str">
        <f>VLOOKUP(B92,辅助信息!E:I,4,FALSE)</f>
        <v>潘建发</v>
      </c>
      <c r="K92" s="33">
        <f>VLOOKUP(J92,辅助信息!H:I,2,FALSE)</f>
        <v>13658059919</v>
      </c>
      <c r="L92" s="70" t="str">
        <f>VLOOKUP(B92,辅助信息!E:J,6,FALSE)</f>
        <v>提前联系到场规格,一天到场车辆不低于2车</v>
      </c>
      <c r="M92" s="70"/>
      <c r="N92" s="70"/>
      <c r="O92" s="70"/>
      <c r="P92" s="70"/>
      <c r="Q92" s="33" t="str">
        <f>VLOOKUP(B92,辅助信息!E:M,9,FALSE)</f>
        <v>ZTWM-CDGS-XS-2024-0205-五冶钢构-达州市通川区西外复兴镇及临近片区建设项目</v>
      </c>
      <c r="R92" s="19"/>
    </row>
    <row r="93" hidden="1" spans="2:18">
      <c r="B93" s="33" t="s">
        <v>24</v>
      </c>
      <c r="C93" s="63">
        <v>45661</v>
      </c>
      <c r="D93" s="33" t="str">
        <f>VLOOKUP(B93,辅助信息!E:K,7,FALSE)</f>
        <v>JWDDCD2025051000019</v>
      </c>
      <c r="E93" s="33" t="str">
        <f>VLOOKUP(F93,辅助信息!A:B,2,FALSE)</f>
        <v>螺纹钢</v>
      </c>
      <c r="F93" s="33" t="s">
        <v>21</v>
      </c>
      <c r="G93" s="29">
        <v>10</v>
      </c>
      <c r="H93" s="29" t="e">
        <f>_xlfn._xlws.FILTER(#REF!,#REF!&amp;#REF!&amp;#REF!&amp;#REF!=C93&amp;F93&amp;I93&amp;J93,"未发货")</f>
        <v>#REF!</v>
      </c>
      <c r="I93" s="33" t="str">
        <f>VLOOKUP(B93,辅助信息!E:I,3,FALSE)</f>
        <v>(五冶钢构医学科学产业园建设项目房建三部-一标（7-4）)四川省南充市顺庆区搬罾街道学府大道二段</v>
      </c>
      <c r="J93" s="33" t="str">
        <f>VLOOKUP(B93,辅助信息!E:I,4,FALSE)</f>
        <v>郑林</v>
      </c>
      <c r="K93" s="33">
        <f>VLOOKUP(J93,辅助信息!H:I,2,FALSE)</f>
        <v>18349955455</v>
      </c>
      <c r="L93" s="70" t="str">
        <f>VLOOKUP(B93,辅助信息!E:J,6,FALSE)</f>
        <v>送货单：送货单位：南充思临新材料科技有限公司,收货单位：五冶集团川北(南充)建设有限公司,项目名称：南充医学科学产业园,送货车型13米,装货前联系收货人核实到场规格</v>
      </c>
      <c r="M93" s="70"/>
      <c r="N93" s="70"/>
      <c r="O93" s="70"/>
      <c r="P93" s="70"/>
      <c r="Q93" s="33" t="str">
        <f>VLOOKUP(B93,辅助信息!E:M,9,FALSE)</f>
        <v>ZTWM-CDGS-XS-2024-0248-五冶钢构-南充市医学院项目</v>
      </c>
      <c r="R93" s="19"/>
    </row>
    <row r="94" hidden="1" spans="2:18">
      <c r="B94" s="33" t="s">
        <v>24</v>
      </c>
      <c r="C94" s="63">
        <v>45661</v>
      </c>
      <c r="D94" s="33" t="str">
        <f>VLOOKUP(B94,辅助信息!E:K,7,FALSE)</f>
        <v>JWDDCD2025051000019</v>
      </c>
      <c r="E94" s="33" t="str">
        <f>VLOOKUP(F94,辅助信息!A:B,2,FALSE)</f>
        <v>螺纹钢</v>
      </c>
      <c r="F94" s="33" t="s">
        <v>22</v>
      </c>
      <c r="G94" s="29">
        <v>25</v>
      </c>
      <c r="H94" s="29" t="e">
        <f>_xlfn._xlws.FILTER(#REF!,#REF!&amp;#REF!&amp;#REF!&amp;#REF!=C94&amp;F94&amp;I94&amp;J94,"未发货")</f>
        <v>#REF!</v>
      </c>
      <c r="I94" s="33" t="str">
        <f>VLOOKUP(B94,辅助信息!E:I,3,FALSE)</f>
        <v>(五冶钢构医学科学产业园建设项目房建三部-一标（7-4）)四川省南充市顺庆区搬罾街道学府大道二段</v>
      </c>
      <c r="J94" s="33" t="str">
        <f>VLOOKUP(B94,辅助信息!E:I,4,FALSE)</f>
        <v>郑林</v>
      </c>
      <c r="K94" s="33">
        <f>VLOOKUP(J94,辅助信息!H:I,2,FALSE)</f>
        <v>18349955455</v>
      </c>
      <c r="L94" s="69"/>
      <c r="M94" s="70"/>
      <c r="N94" s="70"/>
      <c r="O94" s="70"/>
      <c r="P94" s="70"/>
      <c r="Q94" s="33" t="str">
        <f>VLOOKUP(B94,辅助信息!E:M,9,FALSE)</f>
        <v>ZTWM-CDGS-XS-2024-0248-五冶钢构-南充市医学院项目</v>
      </c>
      <c r="R94" s="19"/>
    </row>
    <row r="95" hidden="1" spans="2:18">
      <c r="B95" s="33" t="s">
        <v>25</v>
      </c>
      <c r="C95" s="63">
        <v>45661</v>
      </c>
      <c r="D95" s="33" t="e">
        <f>VLOOKUP(B95,辅助信息!E:K,7,FALSE)</f>
        <v>#N/A</v>
      </c>
      <c r="E95" s="33" t="str">
        <f>VLOOKUP(F95,辅助信息!A:B,2,FALSE)</f>
        <v>盘螺</v>
      </c>
      <c r="F95" s="33" t="s">
        <v>26</v>
      </c>
      <c r="G95" s="29">
        <v>3</v>
      </c>
      <c r="H95" s="29" t="e">
        <f>_xlfn._xlws.FILTER(#REF!,#REF!&amp;#REF!&amp;#REF!&amp;#REF!=C95&amp;F95&amp;I95&amp;J95,"未发货")</f>
        <v>#REF!</v>
      </c>
      <c r="I95" s="33" t="e">
        <f>VLOOKUP(B95,辅助信息!E:I,3,FALSE)</f>
        <v>#N/A</v>
      </c>
      <c r="J95" s="33" t="e">
        <f>VLOOKUP(B95,辅助信息!E:I,4,FALSE)</f>
        <v>#N/A</v>
      </c>
      <c r="K95" s="33" t="e">
        <f>VLOOKUP(J95,辅助信息!H:I,2,FALSE)</f>
        <v>#N/A</v>
      </c>
      <c r="L95" s="70" t="e">
        <f>VLOOKUP(B95,辅助信息!E:J,6,FALSE)</f>
        <v>#N/A</v>
      </c>
      <c r="M95" s="70"/>
      <c r="N95" s="70"/>
      <c r="O95" s="70"/>
      <c r="P95" s="70"/>
      <c r="Q95" s="33" t="e">
        <f>VLOOKUP(B95,辅助信息!E:M,9,FALSE)</f>
        <v>#N/A</v>
      </c>
      <c r="R95" s="19"/>
    </row>
    <row r="96" hidden="1" spans="2:18">
      <c r="B96" s="33" t="s">
        <v>25</v>
      </c>
      <c r="C96" s="63">
        <v>45661</v>
      </c>
      <c r="D96" s="33" t="e">
        <f>VLOOKUP(B96,辅助信息!E:K,7,FALSE)</f>
        <v>#N/A</v>
      </c>
      <c r="E96" s="33" t="str">
        <f>VLOOKUP(F96,辅助信息!A:B,2,FALSE)</f>
        <v>螺纹钢</v>
      </c>
      <c r="F96" s="33" t="s">
        <v>27</v>
      </c>
      <c r="G96" s="29">
        <v>13</v>
      </c>
      <c r="H96" s="29" t="e">
        <f>_xlfn._xlws.FILTER(#REF!,#REF!&amp;#REF!&amp;#REF!&amp;#REF!=C96&amp;F96&amp;I96&amp;J96,"未发货")</f>
        <v>#REF!</v>
      </c>
      <c r="I96" s="33" t="e">
        <f>VLOOKUP(B96,辅助信息!E:I,3,FALSE)</f>
        <v>#N/A</v>
      </c>
      <c r="J96" s="33" t="e">
        <f>VLOOKUP(B96,辅助信息!E:I,4,FALSE)</f>
        <v>#N/A</v>
      </c>
      <c r="K96" s="33" t="e">
        <f>VLOOKUP(J96,辅助信息!H:I,2,FALSE)</f>
        <v>#N/A</v>
      </c>
      <c r="L96" s="71"/>
      <c r="M96" s="70"/>
      <c r="N96" s="70"/>
      <c r="O96" s="70"/>
      <c r="P96" s="70"/>
      <c r="Q96" s="33" t="e">
        <f>VLOOKUP(B96,辅助信息!E:M,9,FALSE)</f>
        <v>#N/A</v>
      </c>
      <c r="R96" s="19"/>
    </row>
    <row r="97" hidden="1" spans="2:18">
      <c r="B97" s="33" t="s">
        <v>25</v>
      </c>
      <c r="C97" s="63">
        <v>45661</v>
      </c>
      <c r="D97" s="33" t="e">
        <f>VLOOKUP(B97,辅助信息!E:K,7,FALSE)</f>
        <v>#N/A</v>
      </c>
      <c r="E97" s="33" t="str">
        <f>VLOOKUP(F97,辅助信息!A:B,2,FALSE)</f>
        <v>螺纹钢</v>
      </c>
      <c r="F97" s="33" t="s">
        <v>19</v>
      </c>
      <c r="G97" s="29">
        <v>10</v>
      </c>
      <c r="H97" s="29" t="e">
        <f>_xlfn._xlws.FILTER(#REF!,#REF!&amp;#REF!&amp;#REF!&amp;#REF!=C97&amp;F97&amp;I97&amp;J97,"未发货")</f>
        <v>#REF!</v>
      </c>
      <c r="I97" s="33" t="e">
        <f>VLOOKUP(B97,辅助信息!E:I,3,FALSE)</f>
        <v>#N/A</v>
      </c>
      <c r="J97" s="33" t="e">
        <f>VLOOKUP(B97,辅助信息!E:I,4,FALSE)</f>
        <v>#N/A</v>
      </c>
      <c r="K97" s="33" t="e">
        <f>VLOOKUP(J97,辅助信息!H:I,2,FALSE)</f>
        <v>#N/A</v>
      </c>
      <c r="L97" s="71"/>
      <c r="M97" s="70"/>
      <c r="N97" s="70"/>
      <c r="O97" s="70"/>
      <c r="P97" s="70"/>
      <c r="Q97" s="33" t="e">
        <f>VLOOKUP(B97,辅助信息!E:M,9,FALSE)</f>
        <v>#N/A</v>
      </c>
      <c r="R97" s="19"/>
    </row>
    <row r="98" hidden="1" spans="2:18">
      <c r="B98" s="33" t="s">
        <v>25</v>
      </c>
      <c r="C98" s="63">
        <v>45661</v>
      </c>
      <c r="D98" s="33" t="e">
        <f>VLOOKUP(B98,辅助信息!E:K,7,FALSE)</f>
        <v>#N/A</v>
      </c>
      <c r="E98" s="33" t="str">
        <f>VLOOKUP(F98,辅助信息!A:B,2,FALSE)</f>
        <v>螺纹钢</v>
      </c>
      <c r="F98" s="33" t="s">
        <v>28</v>
      </c>
      <c r="G98" s="29">
        <v>10</v>
      </c>
      <c r="H98" s="29" t="e">
        <f>_xlfn._xlws.FILTER(#REF!,#REF!&amp;#REF!&amp;#REF!&amp;#REF!=C98&amp;F98&amp;I98&amp;J98,"未发货")</f>
        <v>#REF!</v>
      </c>
      <c r="I98" s="33" t="e">
        <f>VLOOKUP(B98,辅助信息!E:I,3,FALSE)</f>
        <v>#N/A</v>
      </c>
      <c r="J98" s="33" t="e">
        <f>VLOOKUP(B98,辅助信息!E:I,4,FALSE)</f>
        <v>#N/A</v>
      </c>
      <c r="K98" s="33" t="e">
        <f>VLOOKUP(J98,辅助信息!H:I,2,FALSE)</f>
        <v>#N/A</v>
      </c>
      <c r="L98" s="69"/>
      <c r="M98" s="70"/>
      <c r="N98" s="70"/>
      <c r="O98" s="70"/>
      <c r="P98" s="70"/>
      <c r="Q98" s="33" t="e">
        <f>VLOOKUP(B98,辅助信息!E:M,9,FALSE)</f>
        <v>#N/A</v>
      </c>
      <c r="R98" s="19"/>
    </row>
    <row r="99" hidden="1" spans="2:18">
      <c r="B99" s="33" t="s">
        <v>39</v>
      </c>
      <c r="C99" s="63">
        <v>45661</v>
      </c>
      <c r="D99" s="33" t="str">
        <f>VLOOKUP(B99,辅助信息!E:K,7,FALSE)</f>
        <v>JWDDCD2024101600090</v>
      </c>
      <c r="E99" s="33" t="str">
        <f>VLOOKUP(F99,辅助信息!A:B,2,FALSE)</f>
        <v>螺纹钢</v>
      </c>
      <c r="F99" s="33" t="s">
        <v>28</v>
      </c>
      <c r="G99" s="29">
        <v>5</v>
      </c>
      <c r="H99" s="29" t="e">
        <f>_xlfn._xlws.FILTER(#REF!,#REF!&amp;#REF!&amp;#REF!&amp;#REF!=C99&amp;F99&amp;I99&amp;J99,"未发货")</f>
        <v>#REF!</v>
      </c>
      <c r="I99" s="33" t="str">
        <f>VLOOKUP(B99,辅助信息!E:I,3,FALSE)</f>
        <v>（达州市公共卫生临床医疗中心项目-一标-2号制作房）达州市通川区西外复兴镇公共卫生临床医疗中心项目</v>
      </c>
      <c r="J99" s="33" t="str">
        <f>VLOOKUP(B99,辅助信息!E:I,4,FALSE)</f>
        <v>潘建发</v>
      </c>
      <c r="K99" s="33">
        <f>VLOOKUP(J99,辅助信息!H:I,2,FALSE)</f>
        <v>13658059919</v>
      </c>
      <c r="L99" s="70" t="str">
        <f>VLOOKUP(B99,辅助信息!E:J,6,FALSE)</f>
        <v>提前联系到场规格,一天到场车辆不低于2车</v>
      </c>
      <c r="M99" s="70"/>
      <c r="N99" s="70"/>
      <c r="O99" s="70"/>
      <c r="P99" s="70"/>
      <c r="Q99" s="33" t="str">
        <f>VLOOKUP(B99,辅助信息!E:M,9,FALSE)</f>
        <v>ZTWM-CDGS-XS-2024-0205-五冶钢构-达州市通川区西外复兴镇及临近片区建设项目</v>
      </c>
      <c r="R99" s="19"/>
    </row>
    <row r="100" hidden="1" spans="2:18">
      <c r="B100" s="33" t="s">
        <v>39</v>
      </c>
      <c r="C100" s="63">
        <v>45661</v>
      </c>
      <c r="D100" s="33" t="str">
        <f>VLOOKUP(B100,辅助信息!E:K,7,FALSE)</f>
        <v>JWDDCD2024101600090</v>
      </c>
      <c r="E100" s="33" t="str">
        <f>VLOOKUP(F100,辅助信息!A:B,2,FALSE)</f>
        <v>螺纹钢</v>
      </c>
      <c r="F100" s="33" t="s">
        <v>18</v>
      </c>
      <c r="G100" s="29">
        <v>55</v>
      </c>
      <c r="H100" s="29" t="e">
        <f>_xlfn._xlws.FILTER(#REF!,#REF!&amp;#REF!&amp;#REF!&amp;#REF!=C100&amp;F100&amp;I100&amp;J100,"未发货")</f>
        <v>#REF!</v>
      </c>
      <c r="I100" s="33" t="str">
        <f>VLOOKUP(B100,辅助信息!E:I,3,FALSE)</f>
        <v>（达州市公共卫生临床医疗中心项目-一标-2号制作房）达州市通川区西外复兴镇公共卫生临床医疗中心项目</v>
      </c>
      <c r="J100" s="33" t="str">
        <f>VLOOKUP(B100,辅助信息!E:I,4,FALSE)</f>
        <v>潘建发</v>
      </c>
      <c r="K100" s="33">
        <f>VLOOKUP(J100,辅助信息!H:I,2,FALSE)</f>
        <v>13658059919</v>
      </c>
      <c r="L100" s="71"/>
      <c r="M100" s="70"/>
      <c r="N100" s="70"/>
      <c r="O100" s="70"/>
      <c r="P100" s="70"/>
      <c r="Q100" s="33" t="str">
        <f>VLOOKUP(B100,辅助信息!E:M,9,FALSE)</f>
        <v>ZTWM-CDGS-XS-2024-0205-五冶钢构-达州市通川区西外复兴镇及临近片区建设项目</v>
      </c>
      <c r="R100" s="19"/>
    </row>
    <row r="101" hidden="1" spans="2:18">
      <c r="B101" s="33" t="s">
        <v>17</v>
      </c>
      <c r="C101" s="63">
        <v>45661</v>
      </c>
      <c r="D101" s="33" t="str">
        <f>VLOOKUP(B101,辅助信息!E:K,7,FALSE)</f>
        <v>JWDDCD2024101600090</v>
      </c>
      <c r="E101" s="33" t="str">
        <f>VLOOKUP(F101,辅助信息!A:B,2,FALSE)</f>
        <v>螺纹钢</v>
      </c>
      <c r="F101" s="33" t="s">
        <v>33</v>
      </c>
      <c r="G101" s="29">
        <v>3</v>
      </c>
      <c r="H101" s="29" t="e">
        <f>_xlfn._xlws.FILTER(#REF!,#REF!&amp;#REF!&amp;#REF!&amp;#REF!=C101&amp;F101&amp;I101&amp;J101,"未发货")</f>
        <v>#REF!</v>
      </c>
      <c r="I101" s="33" t="str">
        <f>VLOOKUP(B101,辅助信息!E:I,3,FALSE)</f>
        <v>（达州市公共卫生临床医疗中心项目-一标-1号制作房）达州市通川区西外复兴镇公共卫生临床医疗中心项目</v>
      </c>
      <c r="J101" s="33" t="str">
        <f>VLOOKUP(B101,辅助信息!E:I,4,FALSE)</f>
        <v>潘建发</v>
      </c>
      <c r="K101" s="33">
        <f>VLOOKUP(J101,辅助信息!H:I,2,FALSE)</f>
        <v>13658059919</v>
      </c>
      <c r="L101" s="71"/>
      <c r="M101" s="70"/>
      <c r="N101" s="70"/>
      <c r="O101" s="70"/>
      <c r="P101" s="70"/>
      <c r="Q101" s="33" t="str">
        <f>VLOOKUP(B101,辅助信息!E:M,9,FALSE)</f>
        <v>ZTWM-CDGS-XS-2024-0205-五冶钢构-达州市通川区西外复兴镇及临近片区建设项目</v>
      </c>
      <c r="R101" s="19"/>
    </row>
    <row r="102" hidden="1" spans="2:18">
      <c r="B102" s="33" t="s">
        <v>17</v>
      </c>
      <c r="C102" s="63">
        <v>45661</v>
      </c>
      <c r="D102" s="33" t="str">
        <f>VLOOKUP(B102,辅助信息!E:K,7,FALSE)</f>
        <v>JWDDCD2024101600090</v>
      </c>
      <c r="E102" s="33" t="str">
        <f>VLOOKUP(F102,辅助信息!A:B,2,FALSE)</f>
        <v>螺纹钢</v>
      </c>
      <c r="F102" s="33" t="s">
        <v>28</v>
      </c>
      <c r="G102" s="29">
        <v>3</v>
      </c>
      <c r="H102" s="29" t="e">
        <f>_xlfn._xlws.FILTER(#REF!,#REF!&amp;#REF!&amp;#REF!&amp;#REF!=C102&amp;F102&amp;I102&amp;J102,"未发货")</f>
        <v>#REF!</v>
      </c>
      <c r="I102" s="33" t="str">
        <f>VLOOKUP(B102,辅助信息!E:I,3,FALSE)</f>
        <v>（达州市公共卫生临床医疗中心项目-一标-1号制作房）达州市通川区西外复兴镇公共卫生临床医疗中心项目</v>
      </c>
      <c r="J102" s="33" t="str">
        <f>VLOOKUP(B102,辅助信息!E:I,4,FALSE)</f>
        <v>潘建发</v>
      </c>
      <c r="K102" s="33">
        <f>VLOOKUP(J102,辅助信息!H:I,2,FALSE)</f>
        <v>13658059919</v>
      </c>
      <c r="L102" s="71"/>
      <c r="M102" s="70"/>
      <c r="N102" s="70"/>
      <c r="O102" s="70"/>
      <c r="P102" s="70"/>
      <c r="Q102" s="33" t="str">
        <f>VLOOKUP(B102,辅助信息!E:M,9,FALSE)</f>
        <v>ZTWM-CDGS-XS-2024-0205-五冶钢构-达州市通川区西外复兴镇及临近片区建设项目</v>
      </c>
      <c r="R102" s="19"/>
    </row>
    <row r="103" hidden="1" spans="2:18">
      <c r="B103" s="33" t="s">
        <v>17</v>
      </c>
      <c r="C103" s="63">
        <v>45661</v>
      </c>
      <c r="D103" s="33" t="str">
        <f>VLOOKUP(B103,辅助信息!E:K,7,FALSE)</f>
        <v>JWDDCD2024101600090</v>
      </c>
      <c r="E103" s="33" t="str">
        <f>VLOOKUP(F103,辅助信息!A:B,2,FALSE)</f>
        <v>螺纹钢</v>
      </c>
      <c r="F103" s="33" t="s">
        <v>18</v>
      </c>
      <c r="G103" s="29">
        <v>25</v>
      </c>
      <c r="H103" s="29" t="e">
        <f>_xlfn._xlws.FILTER(#REF!,#REF!&amp;#REF!&amp;#REF!&amp;#REF!=C103&amp;F103&amp;I103&amp;J103,"未发货")</f>
        <v>#REF!</v>
      </c>
      <c r="I103" s="33" t="str">
        <f>VLOOKUP(B103,辅助信息!E:I,3,FALSE)</f>
        <v>（达州市公共卫生临床医疗中心项目-一标-1号制作房）达州市通川区西外复兴镇公共卫生临床医疗中心项目</v>
      </c>
      <c r="J103" s="33" t="str">
        <f>VLOOKUP(B103,辅助信息!E:I,4,FALSE)</f>
        <v>潘建发</v>
      </c>
      <c r="K103" s="33">
        <f>VLOOKUP(J103,辅助信息!H:I,2,FALSE)</f>
        <v>13658059919</v>
      </c>
      <c r="L103" s="71"/>
      <c r="M103" s="70"/>
      <c r="N103" s="70"/>
      <c r="O103" s="70"/>
      <c r="P103" s="70"/>
      <c r="Q103" s="33" t="str">
        <f>VLOOKUP(B103,辅助信息!E:M,9,FALSE)</f>
        <v>ZTWM-CDGS-XS-2024-0205-五冶钢构-达州市通川区西外复兴镇及临近片区建设项目</v>
      </c>
      <c r="R103" s="19"/>
    </row>
    <row r="104" hidden="1" spans="2:18">
      <c r="B104" s="33" t="s">
        <v>17</v>
      </c>
      <c r="C104" s="63">
        <v>45661</v>
      </c>
      <c r="D104" s="33" t="str">
        <f>VLOOKUP(B104,辅助信息!E:K,7,FALSE)</f>
        <v>JWDDCD2024101600090</v>
      </c>
      <c r="E104" s="33" t="str">
        <f>VLOOKUP(F104,辅助信息!A:B,2,FALSE)</f>
        <v>螺纹钢</v>
      </c>
      <c r="F104" s="33" t="s">
        <v>27</v>
      </c>
      <c r="G104" s="29">
        <v>24</v>
      </c>
      <c r="H104" s="29" t="e">
        <f>_xlfn._xlws.FILTER(#REF!,#REF!&amp;#REF!&amp;#REF!&amp;#REF!=C104&amp;F104&amp;I104&amp;J104,"未发货")</f>
        <v>#REF!</v>
      </c>
      <c r="I104" s="33" t="str">
        <f>VLOOKUP(B104,辅助信息!E:I,3,FALSE)</f>
        <v>（达州市公共卫生临床医疗中心项目-一标-1号制作房）达州市通川区西外复兴镇公共卫生临床医疗中心项目</v>
      </c>
      <c r="J104" s="33" t="str">
        <f>VLOOKUP(B104,辅助信息!E:I,4,FALSE)</f>
        <v>潘建发</v>
      </c>
      <c r="K104" s="33">
        <f>VLOOKUP(J104,辅助信息!H:I,2,FALSE)</f>
        <v>13658059919</v>
      </c>
      <c r="L104" s="69"/>
      <c r="M104" s="70"/>
      <c r="N104" s="70"/>
      <c r="O104" s="70"/>
      <c r="P104" s="70"/>
      <c r="Q104" s="33" t="str">
        <f>VLOOKUP(B104,辅助信息!E:M,9,FALSE)</f>
        <v>ZTWM-CDGS-XS-2024-0205-五冶钢构-达州市通川区西外复兴镇及临近片区建设项目</v>
      </c>
      <c r="R104" s="19"/>
    </row>
    <row r="105" hidden="1" spans="2:18">
      <c r="B105" s="33" t="s">
        <v>44</v>
      </c>
      <c r="C105" s="63">
        <v>45661</v>
      </c>
      <c r="D105" s="33" t="str">
        <f>VLOOKUP(B105,辅助信息!E:K,7,FALSE)</f>
        <v>JWDDCD2025060600053</v>
      </c>
      <c r="E105" s="33" t="str">
        <f>VLOOKUP(F105,辅助信息!A:B,2,FALSE)</f>
        <v>盘螺</v>
      </c>
      <c r="F105" s="33" t="s">
        <v>41</v>
      </c>
      <c r="G105" s="29">
        <v>10</v>
      </c>
      <c r="H105" s="29" t="e">
        <f>_xlfn._xlws.FILTER(#REF!,#REF!&amp;#REF!&amp;#REF!&amp;#REF!=C105&amp;F105&amp;I105&amp;J105,"未发货")</f>
        <v>#REF!</v>
      </c>
      <c r="I105" s="33" t="str">
        <f>VLOOKUP(B105,辅助信息!E:I,3,FALSE)</f>
        <v>（华西酒城南）成都市武侯区火车南站西路8号酒城南项目</v>
      </c>
      <c r="J105" s="33" t="str">
        <f>VLOOKUP(B105,辅助信息!E:I,4,FALSE)</f>
        <v>龙耀宇</v>
      </c>
      <c r="K105" s="33">
        <f>VLOOKUP(J105,辅助信息!H:I,2,FALSE)</f>
        <v>18384145895</v>
      </c>
      <c r="L105" s="70" t="str">
        <f>VLOOKUP(B105,辅助信息!E:J,6,FALSE)</f>
        <v>对方卸车</v>
      </c>
      <c r="M105" s="70"/>
      <c r="N105" s="70"/>
      <c r="O105" s="70"/>
      <c r="P105" s="70"/>
      <c r="Q105" s="33" t="str">
        <f>VLOOKUP(B105,辅助信息!E:M,9,FALSE)</f>
        <v>ZTWM-CDGS-XS-2024-0189-华西集采-酒城南项目</v>
      </c>
      <c r="R105" s="19"/>
    </row>
    <row r="106" hidden="1" spans="2:18">
      <c r="B106" s="33" t="s">
        <v>44</v>
      </c>
      <c r="C106" s="63">
        <v>45661</v>
      </c>
      <c r="D106" s="33" t="str">
        <f>VLOOKUP(B106,辅助信息!E:K,7,FALSE)</f>
        <v>JWDDCD2025060600053</v>
      </c>
      <c r="E106" s="33" t="str">
        <f>VLOOKUP(F106,辅助信息!A:B,2,FALSE)</f>
        <v>盘螺</v>
      </c>
      <c r="F106" s="33" t="s">
        <v>26</v>
      </c>
      <c r="G106" s="29">
        <v>10</v>
      </c>
      <c r="H106" s="29" t="e">
        <f>_xlfn._xlws.FILTER(#REF!,#REF!&amp;#REF!&amp;#REF!&amp;#REF!=C106&amp;F106&amp;I106&amp;J106,"未发货")</f>
        <v>#REF!</v>
      </c>
      <c r="I106" s="33" t="str">
        <f>VLOOKUP(B106,辅助信息!E:I,3,FALSE)</f>
        <v>（华西酒城南）成都市武侯区火车南站西路8号酒城南项目</v>
      </c>
      <c r="J106" s="33" t="str">
        <f>VLOOKUP(B106,辅助信息!E:I,4,FALSE)</f>
        <v>龙耀宇</v>
      </c>
      <c r="K106" s="33">
        <f>VLOOKUP(J106,辅助信息!H:I,2,FALSE)</f>
        <v>18384145895</v>
      </c>
      <c r="L106" s="71"/>
      <c r="M106" s="70"/>
      <c r="N106" s="70"/>
      <c r="O106" s="70"/>
      <c r="P106" s="70"/>
      <c r="Q106" s="33" t="str">
        <f>VLOOKUP(B106,辅助信息!E:M,9,FALSE)</f>
        <v>ZTWM-CDGS-XS-2024-0189-华西集采-酒城南项目</v>
      </c>
      <c r="R106" s="19"/>
    </row>
    <row r="107" hidden="1" spans="2:18">
      <c r="B107" s="33" t="s">
        <v>44</v>
      </c>
      <c r="C107" s="63">
        <v>45661</v>
      </c>
      <c r="D107" s="33" t="str">
        <f>VLOOKUP(B107,辅助信息!E:K,7,FALSE)</f>
        <v>JWDDCD2025060600053</v>
      </c>
      <c r="E107" s="33" t="str">
        <f>VLOOKUP(F107,辅助信息!A:B,2,FALSE)</f>
        <v>螺纹钢</v>
      </c>
      <c r="F107" s="33" t="s">
        <v>22</v>
      </c>
      <c r="G107" s="29">
        <v>16</v>
      </c>
      <c r="H107" s="29" t="e">
        <f>_xlfn._xlws.FILTER(#REF!,#REF!&amp;#REF!&amp;#REF!&amp;#REF!=C107&amp;F107&amp;I107&amp;J107,"未发货")</f>
        <v>#REF!</v>
      </c>
      <c r="I107" s="33" t="str">
        <f>VLOOKUP(B107,辅助信息!E:I,3,FALSE)</f>
        <v>（华西酒城南）成都市武侯区火车南站西路8号酒城南项目</v>
      </c>
      <c r="J107" s="33" t="str">
        <f>VLOOKUP(B107,辅助信息!E:I,4,FALSE)</f>
        <v>龙耀宇</v>
      </c>
      <c r="K107" s="33">
        <f>VLOOKUP(J107,辅助信息!H:I,2,FALSE)</f>
        <v>18384145895</v>
      </c>
      <c r="L107" s="69"/>
      <c r="M107" s="70"/>
      <c r="N107" s="70"/>
      <c r="O107" s="70"/>
      <c r="P107" s="70"/>
      <c r="Q107" s="33" t="str">
        <f>VLOOKUP(B107,辅助信息!E:M,9,FALSE)</f>
        <v>ZTWM-CDGS-XS-2024-0189-华西集采-酒城南项目</v>
      </c>
      <c r="R107" s="19"/>
    </row>
    <row r="108" hidden="1" spans="2:18">
      <c r="B108" s="33" t="s">
        <v>31</v>
      </c>
      <c r="C108" s="63">
        <v>45661</v>
      </c>
      <c r="D108" s="33" t="str">
        <f>VLOOKUP(B108,辅助信息!E:K,7,FALSE)</f>
        <v>JWDDCD2024121000136</v>
      </c>
      <c r="E108" s="33" t="str">
        <f>VLOOKUP(F108,辅助信息!A:B,2,FALSE)</f>
        <v>盘螺</v>
      </c>
      <c r="F108" s="33" t="s">
        <v>49</v>
      </c>
      <c r="G108" s="29">
        <v>6</v>
      </c>
      <c r="H108" s="29" t="e">
        <f>_xlfn._xlws.FILTER(#REF!,#REF!&amp;#REF!&amp;#REF!&amp;#REF!=C108&amp;F108&amp;I108&amp;J108,"未发货")</f>
        <v>#REF!</v>
      </c>
      <c r="I108" s="33" t="str">
        <f>VLOOKUP(B108,辅助信息!E:I,3,FALSE)</f>
        <v>（四川商建-射洪城乡一体化项目）遂宁市射洪市忠新幼儿园北侧约220米新溪小区</v>
      </c>
      <c r="J108" s="33" t="str">
        <f>VLOOKUP(B108,辅助信息!E:I,4,FALSE)</f>
        <v>柏子刚</v>
      </c>
      <c r="K108" s="33">
        <f>VLOOKUP(J108,辅助信息!H:I,2,FALSE)</f>
        <v>15692885305</v>
      </c>
      <c r="L108" s="70" t="str">
        <f>VLOOKUP(B108,辅助信息!E:J,6,FALSE)</f>
        <v>提前联系到场规格及数量</v>
      </c>
      <c r="M108" s="70"/>
      <c r="N108" s="70"/>
      <c r="O108" s="70"/>
      <c r="P108" s="70"/>
      <c r="Q108" s="33" t="str">
        <f>VLOOKUP(B108,辅助信息!E:M,9,FALSE)</f>
        <v>ZTWM-CDGS-XS-2024-0179-四川商投-射洪城乡一体化建设项目</v>
      </c>
      <c r="R108" s="19"/>
    </row>
    <row r="109" hidden="1" spans="2:18">
      <c r="B109" s="33" t="s">
        <v>31</v>
      </c>
      <c r="C109" s="63">
        <v>45661</v>
      </c>
      <c r="D109" s="33" t="str">
        <f>VLOOKUP(B109,辅助信息!E:K,7,FALSE)</f>
        <v>JWDDCD2024121000136</v>
      </c>
      <c r="E109" s="33" t="str">
        <f>VLOOKUP(F109,辅助信息!A:B,2,FALSE)</f>
        <v>盘螺</v>
      </c>
      <c r="F109" s="33" t="s">
        <v>40</v>
      </c>
      <c r="G109" s="29">
        <v>9</v>
      </c>
      <c r="H109" s="29" t="e">
        <f>_xlfn._xlws.FILTER(#REF!,#REF!&amp;#REF!&amp;#REF!&amp;#REF!=C109&amp;F109&amp;I109&amp;J109,"未发货")</f>
        <v>#REF!</v>
      </c>
      <c r="I109" s="33" t="str">
        <f>VLOOKUP(B109,辅助信息!E:I,3,FALSE)</f>
        <v>（四川商建-射洪城乡一体化项目）遂宁市射洪市忠新幼儿园北侧约220米新溪小区</v>
      </c>
      <c r="J109" s="33" t="str">
        <f>VLOOKUP(B109,辅助信息!E:I,4,FALSE)</f>
        <v>柏子刚</v>
      </c>
      <c r="K109" s="33">
        <f>VLOOKUP(J109,辅助信息!H:I,2,FALSE)</f>
        <v>15692885305</v>
      </c>
      <c r="L109" s="71"/>
      <c r="M109" s="70"/>
      <c r="N109" s="70"/>
      <c r="O109" s="70"/>
      <c r="P109" s="70"/>
      <c r="Q109" s="33" t="str">
        <f>VLOOKUP(B109,辅助信息!E:M,9,FALSE)</f>
        <v>ZTWM-CDGS-XS-2024-0179-四川商投-射洪城乡一体化建设项目</v>
      </c>
      <c r="R109" s="19"/>
    </row>
    <row r="110" hidden="1" spans="2:18">
      <c r="B110" s="33" t="s">
        <v>31</v>
      </c>
      <c r="C110" s="63">
        <v>45661</v>
      </c>
      <c r="D110" s="33" t="str">
        <f>VLOOKUP(B110,辅助信息!E:K,7,FALSE)</f>
        <v>JWDDCD2024121000136</v>
      </c>
      <c r="E110" s="33" t="str">
        <f>VLOOKUP(F110,辅助信息!A:B,2,FALSE)</f>
        <v>盘螺</v>
      </c>
      <c r="F110" s="33" t="s">
        <v>41</v>
      </c>
      <c r="G110" s="29">
        <v>21</v>
      </c>
      <c r="H110" s="29" t="e">
        <f>_xlfn._xlws.FILTER(#REF!,#REF!&amp;#REF!&amp;#REF!&amp;#REF!=C110&amp;F110&amp;I110&amp;J110,"未发货")</f>
        <v>#REF!</v>
      </c>
      <c r="I110" s="33" t="str">
        <f>VLOOKUP(B110,辅助信息!E:I,3,FALSE)</f>
        <v>（四川商建-射洪城乡一体化项目）遂宁市射洪市忠新幼儿园北侧约220米新溪小区</v>
      </c>
      <c r="J110" s="33" t="str">
        <f>VLOOKUP(B110,辅助信息!E:I,4,FALSE)</f>
        <v>柏子刚</v>
      </c>
      <c r="K110" s="33">
        <f>VLOOKUP(J110,辅助信息!H:I,2,FALSE)</f>
        <v>15692885305</v>
      </c>
      <c r="L110" s="71"/>
      <c r="M110" s="70"/>
      <c r="N110" s="70"/>
      <c r="O110" s="70"/>
      <c r="P110" s="70"/>
      <c r="Q110" s="33" t="str">
        <f>VLOOKUP(B110,辅助信息!E:M,9,FALSE)</f>
        <v>ZTWM-CDGS-XS-2024-0179-四川商投-射洪城乡一体化建设项目</v>
      </c>
      <c r="R110" s="19"/>
    </row>
    <row r="111" hidden="1" spans="2:18">
      <c r="B111" s="33" t="s">
        <v>31</v>
      </c>
      <c r="C111" s="63">
        <v>45661</v>
      </c>
      <c r="D111" s="33" t="str">
        <f>VLOOKUP(B111,辅助信息!E:K,7,FALSE)</f>
        <v>JWDDCD2024121000136</v>
      </c>
      <c r="E111" s="33" t="str">
        <f>VLOOKUP(F111,辅助信息!A:B,2,FALSE)</f>
        <v>螺纹钢</v>
      </c>
      <c r="F111" s="33" t="s">
        <v>27</v>
      </c>
      <c r="G111" s="29">
        <v>3</v>
      </c>
      <c r="H111" s="29" t="e">
        <f>_xlfn._xlws.FILTER(#REF!,#REF!&amp;#REF!&amp;#REF!&amp;#REF!=C111&amp;F111&amp;I111&amp;J111,"未发货")</f>
        <v>#REF!</v>
      </c>
      <c r="I111" s="33" t="str">
        <f>VLOOKUP(B111,辅助信息!E:I,3,FALSE)</f>
        <v>（四川商建-射洪城乡一体化项目）遂宁市射洪市忠新幼儿园北侧约220米新溪小区</v>
      </c>
      <c r="J111" s="33" t="str">
        <f>VLOOKUP(B111,辅助信息!E:I,4,FALSE)</f>
        <v>柏子刚</v>
      </c>
      <c r="K111" s="33">
        <f>VLOOKUP(J111,辅助信息!H:I,2,FALSE)</f>
        <v>15692885305</v>
      </c>
      <c r="L111" s="71"/>
      <c r="M111" s="70"/>
      <c r="N111" s="70"/>
      <c r="O111" s="70"/>
      <c r="P111" s="70"/>
      <c r="Q111" s="33" t="str">
        <f>VLOOKUP(B111,辅助信息!E:M,9,FALSE)</f>
        <v>ZTWM-CDGS-XS-2024-0179-四川商投-射洪城乡一体化建设项目</v>
      </c>
      <c r="R111" s="19"/>
    </row>
    <row r="112" hidden="1" spans="2:18">
      <c r="B112" s="33" t="s">
        <v>31</v>
      </c>
      <c r="C112" s="63">
        <v>45661</v>
      </c>
      <c r="D112" s="33" t="str">
        <f>VLOOKUP(B112,辅助信息!E:K,7,FALSE)</f>
        <v>JWDDCD2024121000136</v>
      </c>
      <c r="E112" s="33" t="str">
        <f>VLOOKUP(F112,辅助信息!A:B,2,FALSE)</f>
        <v>螺纹钢</v>
      </c>
      <c r="F112" s="33" t="s">
        <v>19</v>
      </c>
      <c r="G112" s="29">
        <v>6</v>
      </c>
      <c r="H112" s="29" t="e">
        <f>_xlfn._xlws.FILTER(#REF!,#REF!&amp;#REF!&amp;#REF!&amp;#REF!=C112&amp;F112&amp;I112&amp;J112,"未发货")</f>
        <v>#REF!</v>
      </c>
      <c r="I112" s="33" t="str">
        <f>VLOOKUP(B112,辅助信息!E:I,3,FALSE)</f>
        <v>（四川商建-射洪城乡一体化项目）遂宁市射洪市忠新幼儿园北侧约220米新溪小区</v>
      </c>
      <c r="J112" s="33" t="str">
        <f>VLOOKUP(B112,辅助信息!E:I,4,FALSE)</f>
        <v>柏子刚</v>
      </c>
      <c r="K112" s="33">
        <f>VLOOKUP(J112,辅助信息!H:I,2,FALSE)</f>
        <v>15692885305</v>
      </c>
      <c r="L112" s="71"/>
      <c r="M112" s="70"/>
      <c r="N112" s="70"/>
      <c r="O112" s="70"/>
      <c r="P112" s="70"/>
      <c r="Q112" s="33" t="str">
        <f>VLOOKUP(B112,辅助信息!E:M,9,FALSE)</f>
        <v>ZTWM-CDGS-XS-2024-0179-四川商投-射洪城乡一体化建设项目</v>
      </c>
      <c r="R112" s="19"/>
    </row>
    <row r="113" hidden="1" spans="2:18">
      <c r="B113" s="33" t="s">
        <v>31</v>
      </c>
      <c r="C113" s="63">
        <v>45661</v>
      </c>
      <c r="D113" s="33" t="str">
        <f>VLOOKUP(B113,辅助信息!E:K,7,FALSE)</f>
        <v>JWDDCD2024121000136</v>
      </c>
      <c r="E113" s="33" t="str">
        <f>VLOOKUP(F113,辅助信息!A:B,2,FALSE)</f>
        <v>螺纹钢</v>
      </c>
      <c r="F113" s="33" t="s">
        <v>32</v>
      </c>
      <c r="G113" s="29">
        <v>9</v>
      </c>
      <c r="H113" s="29" t="e">
        <f>_xlfn._xlws.FILTER(#REF!,#REF!&amp;#REF!&amp;#REF!&amp;#REF!=C113&amp;F113&amp;I113&amp;J113,"未发货")</f>
        <v>#REF!</v>
      </c>
      <c r="I113" s="33" t="str">
        <f>VLOOKUP(B113,辅助信息!E:I,3,FALSE)</f>
        <v>（四川商建-射洪城乡一体化项目）遂宁市射洪市忠新幼儿园北侧约220米新溪小区</v>
      </c>
      <c r="J113" s="33" t="str">
        <f>VLOOKUP(B113,辅助信息!E:I,4,FALSE)</f>
        <v>柏子刚</v>
      </c>
      <c r="K113" s="33">
        <f>VLOOKUP(J113,辅助信息!H:I,2,FALSE)</f>
        <v>15692885305</v>
      </c>
      <c r="L113" s="71"/>
      <c r="M113" s="70"/>
      <c r="N113" s="70"/>
      <c r="O113" s="70"/>
      <c r="P113" s="70"/>
      <c r="Q113" s="33" t="str">
        <f>VLOOKUP(B113,辅助信息!E:M,9,FALSE)</f>
        <v>ZTWM-CDGS-XS-2024-0179-四川商投-射洪城乡一体化建设项目</v>
      </c>
      <c r="R113" s="19"/>
    </row>
    <row r="114" hidden="1" spans="2:18">
      <c r="B114" s="33" t="s">
        <v>31</v>
      </c>
      <c r="C114" s="63">
        <v>45661</v>
      </c>
      <c r="D114" s="33" t="str">
        <f>VLOOKUP(B114,辅助信息!E:K,7,FALSE)</f>
        <v>JWDDCD2024121000136</v>
      </c>
      <c r="E114" s="33" t="str">
        <f>VLOOKUP(F114,辅助信息!A:B,2,FALSE)</f>
        <v>螺纹钢</v>
      </c>
      <c r="F114" s="33" t="s">
        <v>30</v>
      </c>
      <c r="G114" s="29">
        <v>6</v>
      </c>
      <c r="H114" s="29" t="e">
        <f>_xlfn._xlws.FILTER(#REF!,#REF!&amp;#REF!&amp;#REF!&amp;#REF!=C114&amp;F114&amp;I114&amp;J114,"未发货")</f>
        <v>#REF!</v>
      </c>
      <c r="I114" s="33" t="str">
        <f>VLOOKUP(B114,辅助信息!E:I,3,FALSE)</f>
        <v>（四川商建-射洪城乡一体化项目）遂宁市射洪市忠新幼儿园北侧约220米新溪小区</v>
      </c>
      <c r="J114" s="33" t="str">
        <f>VLOOKUP(B114,辅助信息!E:I,4,FALSE)</f>
        <v>柏子刚</v>
      </c>
      <c r="K114" s="33">
        <f>VLOOKUP(J114,辅助信息!H:I,2,FALSE)</f>
        <v>15692885305</v>
      </c>
      <c r="L114" s="71"/>
      <c r="M114" s="70"/>
      <c r="N114" s="70"/>
      <c r="O114" s="70"/>
      <c r="P114" s="70"/>
      <c r="Q114" s="33" t="str">
        <f>VLOOKUP(B114,辅助信息!E:M,9,FALSE)</f>
        <v>ZTWM-CDGS-XS-2024-0179-四川商投-射洪城乡一体化建设项目</v>
      </c>
      <c r="R114" s="19"/>
    </row>
    <row r="115" hidden="1" spans="2:18">
      <c r="B115" s="33" t="s">
        <v>31</v>
      </c>
      <c r="C115" s="63">
        <v>45661</v>
      </c>
      <c r="D115" s="33" t="str">
        <f>VLOOKUP(B115,辅助信息!E:K,7,FALSE)</f>
        <v>JWDDCD2024121000136</v>
      </c>
      <c r="E115" s="33" t="str">
        <f>VLOOKUP(F115,辅助信息!A:B,2,FALSE)</f>
        <v>螺纹钢</v>
      </c>
      <c r="F115" s="33" t="s">
        <v>33</v>
      </c>
      <c r="G115" s="29">
        <v>35</v>
      </c>
      <c r="H115" s="29" t="e">
        <f>_xlfn._xlws.FILTER(#REF!,#REF!&amp;#REF!&amp;#REF!&amp;#REF!=C115&amp;F115&amp;I115&amp;J115,"未发货")</f>
        <v>#REF!</v>
      </c>
      <c r="I115" s="33" t="str">
        <f>VLOOKUP(B115,辅助信息!E:I,3,FALSE)</f>
        <v>（四川商建-射洪城乡一体化项目）遂宁市射洪市忠新幼儿园北侧约220米新溪小区</v>
      </c>
      <c r="J115" s="33" t="str">
        <f>VLOOKUP(B115,辅助信息!E:I,4,FALSE)</f>
        <v>柏子刚</v>
      </c>
      <c r="K115" s="33">
        <f>VLOOKUP(J115,辅助信息!H:I,2,FALSE)</f>
        <v>15692885305</v>
      </c>
      <c r="L115" s="71"/>
      <c r="M115" s="70"/>
      <c r="N115" s="70"/>
      <c r="O115" s="70"/>
      <c r="P115" s="70"/>
      <c r="Q115" s="33" t="str">
        <f>VLOOKUP(B115,辅助信息!E:M,9,FALSE)</f>
        <v>ZTWM-CDGS-XS-2024-0179-四川商投-射洪城乡一体化建设项目</v>
      </c>
      <c r="R115" s="19"/>
    </row>
    <row r="116" hidden="1" spans="2:18">
      <c r="B116" s="33" t="s">
        <v>31</v>
      </c>
      <c r="C116" s="63">
        <v>45661</v>
      </c>
      <c r="D116" s="33" t="str">
        <f>VLOOKUP(B116,辅助信息!E:K,7,FALSE)</f>
        <v>JWDDCD2024121000136</v>
      </c>
      <c r="E116" s="33" t="str">
        <f>VLOOKUP(F116,辅助信息!A:B,2,FALSE)</f>
        <v>螺纹钢</v>
      </c>
      <c r="F116" s="33" t="s">
        <v>46</v>
      </c>
      <c r="G116" s="29">
        <v>15</v>
      </c>
      <c r="H116" s="29" t="e">
        <f>_xlfn._xlws.FILTER(#REF!,#REF!&amp;#REF!&amp;#REF!&amp;#REF!=C116&amp;F116&amp;I116&amp;J116,"未发货")</f>
        <v>#REF!</v>
      </c>
      <c r="I116" s="33" t="str">
        <f>VLOOKUP(B116,辅助信息!E:I,3,FALSE)</f>
        <v>（四川商建-射洪城乡一体化项目）遂宁市射洪市忠新幼儿园北侧约220米新溪小区</v>
      </c>
      <c r="J116" s="33" t="str">
        <f>VLOOKUP(B116,辅助信息!E:I,4,FALSE)</f>
        <v>柏子刚</v>
      </c>
      <c r="K116" s="33">
        <f>VLOOKUP(J116,辅助信息!H:I,2,FALSE)</f>
        <v>15692885305</v>
      </c>
      <c r="L116" s="71"/>
      <c r="M116" s="70"/>
      <c r="N116" s="70"/>
      <c r="O116" s="70"/>
      <c r="P116" s="70"/>
      <c r="Q116" s="33" t="str">
        <f>VLOOKUP(B116,辅助信息!E:M,9,FALSE)</f>
        <v>ZTWM-CDGS-XS-2024-0179-四川商投-射洪城乡一体化建设项目</v>
      </c>
      <c r="R116" s="19"/>
    </row>
    <row r="117" hidden="1" spans="2:18">
      <c r="B117" s="33" t="s">
        <v>31</v>
      </c>
      <c r="C117" s="63">
        <v>45661</v>
      </c>
      <c r="D117" s="33" t="str">
        <f>VLOOKUP(B117,辅助信息!E:K,7,FALSE)</f>
        <v>JWDDCD2024121000136</v>
      </c>
      <c r="E117" s="33" t="str">
        <f>VLOOKUP(F117,辅助信息!A:B,2,FALSE)</f>
        <v>螺纹钢</v>
      </c>
      <c r="F117" s="33" t="s">
        <v>22</v>
      </c>
      <c r="G117" s="29">
        <v>35</v>
      </c>
      <c r="H117" s="29" t="e">
        <f>_xlfn._xlws.FILTER(#REF!,#REF!&amp;#REF!&amp;#REF!&amp;#REF!=C117&amp;F117&amp;I117&amp;J117,"未发货")</f>
        <v>#REF!</v>
      </c>
      <c r="I117" s="33" t="str">
        <f>VLOOKUP(B117,辅助信息!E:I,3,FALSE)</f>
        <v>（四川商建-射洪城乡一体化项目）遂宁市射洪市忠新幼儿园北侧约220米新溪小区</v>
      </c>
      <c r="J117" s="33" t="str">
        <f>VLOOKUP(B117,辅助信息!E:I,4,FALSE)</f>
        <v>柏子刚</v>
      </c>
      <c r="K117" s="33">
        <f>VLOOKUP(J117,辅助信息!H:I,2,FALSE)</f>
        <v>15692885305</v>
      </c>
      <c r="L117" s="69"/>
      <c r="M117" s="70"/>
      <c r="N117" s="70"/>
      <c r="O117" s="70"/>
      <c r="P117" s="70"/>
      <c r="Q117" s="33" t="str">
        <f>VLOOKUP(B117,辅助信息!E:M,9,FALSE)</f>
        <v>ZTWM-CDGS-XS-2024-0179-四川商投-射洪城乡一体化建设项目</v>
      </c>
      <c r="R117" s="19"/>
    </row>
    <row r="118" hidden="1" spans="2:18">
      <c r="B118" s="33" t="s">
        <v>50</v>
      </c>
      <c r="C118" s="63">
        <v>45661</v>
      </c>
      <c r="D118" s="33" t="e">
        <f>VLOOKUP(B118,辅助信息!E:K,7,FALSE)</f>
        <v>#N/A</v>
      </c>
      <c r="E118" s="33" t="str">
        <f>VLOOKUP(F118,辅助信息!A:B,2,FALSE)</f>
        <v>高线</v>
      </c>
      <c r="F118" s="33" t="s">
        <v>51</v>
      </c>
      <c r="G118" s="29">
        <v>2</v>
      </c>
      <c r="H118" s="29" t="e">
        <f>_xlfn._xlws.FILTER(#REF!,#REF!&amp;#REF!&amp;#REF!&amp;#REF!=C118&amp;F118&amp;I118&amp;J118,"未发货")</f>
        <v>#REF!</v>
      </c>
      <c r="I118" s="33" t="e">
        <f>VLOOKUP(B118,辅助信息!E:I,3,FALSE)</f>
        <v>#N/A</v>
      </c>
      <c r="J118" s="33" t="e">
        <f>VLOOKUP(B118,辅助信息!E:I,4,FALSE)</f>
        <v>#N/A</v>
      </c>
      <c r="K118" s="33" t="e">
        <f>VLOOKUP(J118,辅助信息!H:I,2,FALSE)</f>
        <v>#N/A</v>
      </c>
      <c r="L118" s="70" t="e">
        <f>VLOOKUP(B118,辅助信息!E:J,6,FALSE)</f>
        <v>#N/A</v>
      </c>
      <c r="M118" s="70"/>
      <c r="N118" s="70"/>
      <c r="O118" s="70"/>
      <c r="P118" s="70"/>
      <c r="Q118" s="33" t="e">
        <f>VLOOKUP(B118,辅助信息!E:M,9,FALSE)</f>
        <v>#N/A</v>
      </c>
      <c r="R118" s="19"/>
    </row>
    <row r="119" hidden="1" spans="2:18">
      <c r="B119" s="33" t="s">
        <v>50</v>
      </c>
      <c r="C119" s="63">
        <v>45661</v>
      </c>
      <c r="D119" s="33" t="e">
        <f>VLOOKUP(B119,辅助信息!E:K,7,FALSE)</f>
        <v>#N/A</v>
      </c>
      <c r="E119" s="33" t="str">
        <f>VLOOKUP(F119,辅助信息!A:B,2,FALSE)</f>
        <v>螺纹钢</v>
      </c>
      <c r="F119" s="33" t="s">
        <v>32</v>
      </c>
      <c r="G119" s="29">
        <v>12</v>
      </c>
      <c r="H119" s="29" t="e">
        <f>_xlfn._xlws.FILTER(#REF!,#REF!&amp;#REF!&amp;#REF!&amp;#REF!=C119&amp;F119&amp;I119&amp;J119,"未发货")</f>
        <v>#REF!</v>
      </c>
      <c r="I119" s="33" t="e">
        <f>VLOOKUP(B119,辅助信息!E:I,3,FALSE)</f>
        <v>#N/A</v>
      </c>
      <c r="J119" s="33" t="e">
        <f>VLOOKUP(B119,辅助信息!E:I,4,FALSE)</f>
        <v>#N/A</v>
      </c>
      <c r="K119" s="33" t="e">
        <f>VLOOKUP(J119,辅助信息!H:I,2,FALSE)</f>
        <v>#N/A</v>
      </c>
      <c r="L119" s="71"/>
      <c r="M119" s="70"/>
      <c r="N119" s="70"/>
      <c r="O119" s="70"/>
      <c r="P119" s="70"/>
      <c r="Q119" s="33" t="e">
        <f>VLOOKUP(B119,辅助信息!E:M,9,FALSE)</f>
        <v>#N/A</v>
      </c>
      <c r="R119" s="19"/>
    </row>
    <row r="120" hidden="1" spans="2:18">
      <c r="B120" s="33" t="s">
        <v>50</v>
      </c>
      <c r="C120" s="63">
        <v>45661</v>
      </c>
      <c r="D120" s="33" t="e">
        <f>VLOOKUP(B120,辅助信息!E:K,7,FALSE)</f>
        <v>#N/A</v>
      </c>
      <c r="E120" s="33" t="str">
        <f>VLOOKUP(F120,辅助信息!A:B,2,FALSE)</f>
        <v>螺纹钢</v>
      </c>
      <c r="F120" s="33" t="s">
        <v>52</v>
      </c>
      <c r="G120" s="29">
        <v>21</v>
      </c>
      <c r="H120" s="29" t="e">
        <f>_xlfn._xlws.FILTER(#REF!,#REF!&amp;#REF!&amp;#REF!&amp;#REF!=C120&amp;F120&amp;I120&amp;J120,"未发货")</f>
        <v>#REF!</v>
      </c>
      <c r="I120" s="33" t="e">
        <f>VLOOKUP(B120,辅助信息!E:I,3,FALSE)</f>
        <v>#N/A</v>
      </c>
      <c r="J120" s="33" t="e">
        <f>VLOOKUP(B120,辅助信息!E:I,4,FALSE)</f>
        <v>#N/A</v>
      </c>
      <c r="K120" s="33" t="e">
        <f>VLOOKUP(J120,辅助信息!H:I,2,FALSE)</f>
        <v>#N/A</v>
      </c>
      <c r="L120" s="69"/>
      <c r="M120" s="70"/>
      <c r="N120" s="70"/>
      <c r="O120" s="70"/>
      <c r="P120" s="70"/>
      <c r="Q120" s="33" t="e">
        <f>VLOOKUP(B120,辅助信息!E:M,9,FALSE)</f>
        <v>#N/A</v>
      </c>
      <c r="R120" s="19"/>
    </row>
    <row r="121" hidden="1" spans="2:18">
      <c r="B121" s="33" t="s">
        <v>29</v>
      </c>
      <c r="C121" s="63">
        <v>45661</v>
      </c>
      <c r="D121" s="33" t="e">
        <f>VLOOKUP(B121,辅助信息!E:K,7,FALSE)</f>
        <v>#N/A</v>
      </c>
      <c r="E121" s="33" t="str">
        <f>VLOOKUP(F121,辅助信息!A:B,2,FALSE)</f>
        <v>高线</v>
      </c>
      <c r="F121" s="33" t="s">
        <v>53</v>
      </c>
      <c r="G121" s="29">
        <v>70</v>
      </c>
      <c r="H121" s="29" t="e">
        <f>_xlfn._xlws.FILTER(#REF!,#REF!&amp;#REF!&amp;#REF!&amp;#REF!=C121&amp;F121&amp;I121&amp;J121,"未发货")</f>
        <v>#REF!</v>
      </c>
      <c r="I121" s="33" t="e">
        <f>VLOOKUP(B121,辅助信息!E:I,3,FALSE)</f>
        <v>#N/A</v>
      </c>
      <c r="J121" s="33" t="e">
        <f>VLOOKUP(B121,辅助信息!E:I,4,FALSE)</f>
        <v>#N/A</v>
      </c>
      <c r="K121" s="33" t="e">
        <f>VLOOKUP(J121,辅助信息!H:I,2,FALSE)</f>
        <v>#N/A</v>
      </c>
      <c r="L121" s="70" t="e">
        <f>VLOOKUP(B121,辅助信息!E:J,6,FALSE)</f>
        <v>#N/A</v>
      </c>
      <c r="M121" s="70"/>
      <c r="N121" s="70"/>
      <c r="O121" s="70"/>
      <c r="P121" s="70"/>
      <c r="Q121" s="33" t="e">
        <f>VLOOKUP(B121,辅助信息!E:M,9,FALSE)</f>
        <v>#N/A</v>
      </c>
      <c r="R121" s="19"/>
    </row>
    <row r="122" hidden="1" spans="2:18">
      <c r="B122" s="33" t="s">
        <v>29</v>
      </c>
      <c r="C122" s="63">
        <v>45661</v>
      </c>
      <c r="D122" s="33" t="e">
        <f>VLOOKUP(B122,辅助信息!E:K,7,FALSE)</f>
        <v>#N/A</v>
      </c>
      <c r="E122" s="33" t="str">
        <f>VLOOKUP(F122,辅助信息!A:B,2,FALSE)</f>
        <v>螺纹钢</v>
      </c>
      <c r="F122" s="33" t="s">
        <v>28</v>
      </c>
      <c r="G122" s="29">
        <v>70</v>
      </c>
      <c r="H122" s="29" t="e">
        <f>_xlfn._xlws.FILTER(#REF!,#REF!&amp;#REF!&amp;#REF!&amp;#REF!=C122&amp;F122&amp;I122&amp;J122,"未发货")</f>
        <v>#REF!</v>
      </c>
      <c r="I122" s="33" t="e">
        <f>VLOOKUP(B122,辅助信息!E:I,3,FALSE)</f>
        <v>#N/A</v>
      </c>
      <c r="J122" s="33" t="e">
        <f>VLOOKUP(B122,辅助信息!E:I,4,FALSE)</f>
        <v>#N/A</v>
      </c>
      <c r="K122" s="33" t="e">
        <f>VLOOKUP(J122,辅助信息!H:I,2,FALSE)</f>
        <v>#N/A</v>
      </c>
      <c r="L122" s="69"/>
      <c r="M122" s="70"/>
      <c r="N122" s="70"/>
      <c r="O122" s="70"/>
      <c r="P122" s="70"/>
      <c r="Q122" s="33" t="e">
        <f>VLOOKUP(B122,辅助信息!E:M,9,FALSE)</f>
        <v>#N/A</v>
      </c>
      <c r="R122" s="19"/>
    </row>
    <row r="123" hidden="1" spans="2:18">
      <c r="B123" s="33" t="s">
        <v>54</v>
      </c>
      <c r="C123" s="63">
        <v>45661</v>
      </c>
      <c r="D123" s="33" t="e">
        <f>VLOOKUP(B123,辅助信息!E:K,7,FALSE)</f>
        <v>#N/A</v>
      </c>
      <c r="E123" s="33" t="str">
        <f>VLOOKUP(F123,辅助信息!A:B,2,FALSE)</f>
        <v>螺纹钢</v>
      </c>
      <c r="F123" s="33" t="s">
        <v>32</v>
      </c>
      <c r="G123" s="29">
        <v>15</v>
      </c>
      <c r="H123" s="29" t="e">
        <f>_xlfn._xlws.FILTER(#REF!,#REF!&amp;#REF!&amp;#REF!&amp;#REF!=C123&amp;F123&amp;I123&amp;J123,"未发货")</f>
        <v>#REF!</v>
      </c>
      <c r="I123" s="33" t="e">
        <f>VLOOKUP(B123,辅助信息!E:I,3,FALSE)</f>
        <v>#N/A</v>
      </c>
      <c r="J123" s="33" t="e">
        <f>VLOOKUP(B123,辅助信息!E:I,4,FALSE)</f>
        <v>#N/A</v>
      </c>
      <c r="K123" s="33" t="e">
        <f>VLOOKUP(J123,辅助信息!H:I,2,FALSE)</f>
        <v>#N/A</v>
      </c>
      <c r="L123" s="70" t="e">
        <f>VLOOKUP(B123,辅助信息!E:J,6,FALSE)</f>
        <v>#N/A</v>
      </c>
      <c r="M123" s="70"/>
      <c r="N123" s="70"/>
      <c r="O123" s="70"/>
      <c r="P123" s="70"/>
      <c r="Q123" s="33" t="e">
        <f>VLOOKUP(B123,辅助信息!E:M,9,FALSE)</f>
        <v>#N/A</v>
      </c>
      <c r="R123" s="19"/>
    </row>
    <row r="124" hidden="1" spans="2:18">
      <c r="B124" s="33" t="s">
        <v>54</v>
      </c>
      <c r="C124" s="63">
        <v>45661</v>
      </c>
      <c r="D124" s="33" t="e">
        <f>VLOOKUP(B124,辅助信息!E:K,7,FALSE)</f>
        <v>#N/A</v>
      </c>
      <c r="E124" s="33" t="str">
        <f>VLOOKUP(F124,辅助信息!A:B,2,FALSE)</f>
        <v>螺纹钢</v>
      </c>
      <c r="F124" s="33" t="s">
        <v>33</v>
      </c>
      <c r="G124" s="29">
        <v>60</v>
      </c>
      <c r="H124" s="29" t="e">
        <f>_xlfn._xlws.FILTER(#REF!,#REF!&amp;#REF!&amp;#REF!&amp;#REF!=C124&amp;F124&amp;I124&amp;J124,"未发货")</f>
        <v>#REF!</v>
      </c>
      <c r="I124" s="33" t="e">
        <f>VLOOKUP(B124,辅助信息!E:I,3,FALSE)</f>
        <v>#N/A</v>
      </c>
      <c r="J124" s="33" t="e">
        <f>VLOOKUP(B124,辅助信息!E:I,4,FALSE)</f>
        <v>#N/A</v>
      </c>
      <c r="K124" s="33" t="e">
        <f>VLOOKUP(J124,辅助信息!H:I,2,FALSE)</f>
        <v>#N/A</v>
      </c>
      <c r="L124" s="71"/>
      <c r="M124" s="70"/>
      <c r="N124" s="70"/>
      <c r="O124" s="70"/>
      <c r="P124" s="70"/>
      <c r="Q124" s="33" t="e">
        <f>VLOOKUP(B124,辅助信息!E:M,9,FALSE)</f>
        <v>#N/A</v>
      </c>
      <c r="R124" s="19"/>
    </row>
    <row r="125" hidden="1" spans="2:18">
      <c r="B125" s="33" t="s">
        <v>54</v>
      </c>
      <c r="C125" s="63">
        <v>45661</v>
      </c>
      <c r="D125" s="33" t="e">
        <f>VLOOKUP(B125,辅助信息!E:K,7,FALSE)</f>
        <v>#N/A</v>
      </c>
      <c r="E125" s="33" t="str">
        <f>VLOOKUP(F125,辅助信息!A:B,2,FALSE)</f>
        <v>螺纹钢</v>
      </c>
      <c r="F125" s="33" t="s">
        <v>28</v>
      </c>
      <c r="G125" s="29">
        <v>15</v>
      </c>
      <c r="H125" s="29" t="e">
        <f>_xlfn._xlws.FILTER(#REF!,#REF!&amp;#REF!&amp;#REF!&amp;#REF!=C125&amp;F125&amp;I125&amp;J125,"未发货")</f>
        <v>#REF!</v>
      </c>
      <c r="I125" s="33" t="e">
        <f>VLOOKUP(B125,辅助信息!E:I,3,FALSE)</f>
        <v>#N/A</v>
      </c>
      <c r="J125" s="33" t="e">
        <f>VLOOKUP(B125,辅助信息!E:I,4,FALSE)</f>
        <v>#N/A</v>
      </c>
      <c r="K125" s="33" t="e">
        <f>VLOOKUP(J125,辅助信息!H:I,2,FALSE)</f>
        <v>#N/A</v>
      </c>
      <c r="L125" s="69"/>
      <c r="M125" s="70"/>
      <c r="N125" s="70"/>
      <c r="O125" s="70"/>
      <c r="P125" s="70"/>
      <c r="Q125" s="33" t="e">
        <f>VLOOKUP(B125,辅助信息!E:M,9,FALSE)</f>
        <v>#N/A</v>
      </c>
      <c r="R125" s="19"/>
    </row>
    <row r="126" hidden="1" spans="1:18">
      <c r="A126" s="75" t="s">
        <v>55</v>
      </c>
      <c r="B126" s="33" t="s">
        <v>56</v>
      </c>
      <c r="C126" s="63">
        <v>45661</v>
      </c>
      <c r="D126" s="33" t="str">
        <f>VLOOKUP(B126,辅助信息!E:K,7,FALSE)</f>
        <v>JWDDCD2025052800131</v>
      </c>
      <c r="E126" s="33" t="str">
        <f>VLOOKUP(F126,辅助信息!A:B,2,FALSE)</f>
        <v>高线</v>
      </c>
      <c r="F126" s="33" t="s">
        <v>57</v>
      </c>
      <c r="G126" s="29">
        <v>6</v>
      </c>
      <c r="H126" s="29" t="e">
        <f>_xlfn._xlws.FILTER(#REF!,#REF!&amp;#REF!&amp;#REF!&amp;#REF!=C126&amp;F126&amp;I126&amp;J126,"未发货")</f>
        <v>#REF!</v>
      </c>
      <c r="I126" s="33" t="str">
        <f>VLOOKUP(B126,辅助信息!E:I,3,FALSE)</f>
        <v>（商投建工达州中医药科技园-4工区-7号楼）达州市通川区达州中医药职业学院犀牛大道北段</v>
      </c>
      <c r="J126" s="33" t="str">
        <f>VLOOKUP(B126,辅助信息!E:I,4,FALSE)</f>
        <v>张扬</v>
      </c>
      <c r="K126" s="33">
        <f>VLOOKUP(J126,辅助信息!H:I,2,FALSE)</f>
        <v>18381904567</v>
      </c>
      <c r="L126" s="50"/>
      <c r="M126" s="50"/>
      <c r="N126" s="50"/>
      <c r="O126" s="50"/>
      <c r="P126" s="50"/>
      <c r="Q126" s="19"/>
      <c r="R126" s="19"/>
    </row>
    <row r="127" hidden="1" spans="1:18">
      <c r="A127" s="71"/>
      <c r="B127" s="33" t="s">
        <v>56</v>
      </c>
      <c r="C127" s="63">
        <v>45661</v>
      </c>
      <c r="D127" s="33" t="str">
        <f>VLOOKUP(B127,辅助信息!E:K,7,FALSE)</f>
        <v>JWDDCD2025052800131</v>
      </c>
      <c r="E127" s="33" t="str">
        <f>VLOOKUP(F127,辅助信息!A:B,2,FALSE)</f>
        <v>盘螺</v>
      </c>
      <c r="F127" s="33" t="s">
        <v>49</v>
      </c>
      <c r="G127" s="29">
        <v>9</v>
      </c>
      <c r="H127" s="29" t="e">
        <f>_xlfn._xlws.FILTER(#REF!,#REF!&amp;#REF!&amp;#REF!&amp;#REF!=C127&amp;F127&amp;I127&amp;J127,"未发货")</f>
        <v>#REF!</v>
      </c>
      <c r="I127" s="33" t="str">
        <f>VLOOKUP(B127,辅助信息!E:I,3,FALSE)</f>
        <v>（商投建工达州中医药科技园-4工区-7号楼）达州市通川区达州中医药职业学院犀牛大道北段</v>
      </c>
      <c r="J127" s="33" t="str">
        <f>VLOOKUP(B127,辅助信息!E:I,4,FALSE)</f>
        <v>张扬</v>
      </c>
      <c r="K127" s="33">
        <f>VLOOKUP(J127,辅助信息!H:I,2,FALSE)</f>
        <v>18381904567</v>
      </c>
      <c r="L127" s="50"/>
      <c r="M127" s="50"/>
      <c r="N127" s="50"/>
      <c r="O127" s="50"/>
      <c r="P127" s="50"/>
      <c r="Q127" s="19"/>
      <c r="R127" s="19"/>
    </row>
    <row r="128" hidden="1" spans="1:18">
      <c r="A128" s="71"/>
      <c r="B128" s="33" t="s">
        <v>56</v>
      </c>
      <c r="C128" s="63">
        <v>45661</v>
      </c>
      <c r="D128" s="33" t="str">
        <f>VLOOKUP(B128,辅助信息!E:K,7,FALSE)</f>
        <v>JWDDCD2025052800131</v>
      </c>
      <c r="E128" s="33" t="str">
        <f>VLOOKUP(F128,辅助信息!A:B,2,FALSE)</f>
        <v>螺纹钢</v>
      </c>
      <c r="F128" s="33" t="s">
        <v>30</v>
      </c>
      <c r="G128" s="29">
        <v>3</v>
      </c>
      <c r="H128" s="29" t="e">
        <f>_xlfn._xlws.FILTER(#REF!,#REF!&amp;#REF!&amp;#REF!&amp;#REF!=C128&amp;F128&amp;I128&amp;J128,"未发货")</f>
        <v>#REF!</v>
      </c>
      <c r="I128" s="33" t="str">
        <f>VLOOKUP(B128,辅助信息!E:I,3,FALSE)</f>
        <v>（商投建工达州中医药科技园-4工区-7号楼）达州市通川区达州中医药职业学院犀牛大道北段</v>
      </c>
      <c r="J128" s="33" t="str">
        <f>VLOOKUP(B128,辅助信息!E:I,4,FALSE)</f>
        <v>张扬</v>
      </c>
      <c r="K128" s="33">
        <f>VLOOKUP(J128,辅助信息!H:I,2,FALSE)</f>
        <v>18381904567</v>
      </c>
      <c r="L128" s="50"/>
      <c r="M128" s="50"/>
      <c r="N128" s="50"/>
      <c r="O128" s="50"/>
      <c r="P128" s="50"/>
      <c r="Q128" s="19"/>
      <c r="R128" s="19"/>
    </row>
    <row r="129" hidden="1" spans="1:18">
      <c r="A129" s="71"/>
      <c r="B129" s="33" t="s">
        <v>56</v>
      </c>
      <c r="C129" s="63">
        <v>45661</v>
      </c>
      <c r="D129" s="33" t="str">
        <f>VLOOKUP(B129,辅助信息!E:K,7,FALSE)</f>
        <v>JWDDCD2025052800131</v>
      </c>
      <c r="E129" s="33" t="str">
        <f>VLOOKUP(F129,辅助信息!A:B,2,FALSE)</f>
        <v>螺纹钢</v>
      </c>
      <c r="F129" s="33" t="s">
        <v>28</v>
      </c>
      <c r="G129" s="29">
        <v>15</v>
      </c>
      <c r="H129" s="29" t="e">
        <f>_xlfn._xlws.FILTER(#REF!,#REF!&amp;#REF!&amp;#REF!&amp;#REF!=C129&amp;F129&amp;I129&amp;J129,"未发货")</f>
        <v>#REF!</v>
      </c>
      <c r="I129" s="33" t="str">
        <f>VLOOKUP(B129,辅助信息!E:I,3,FALSE)</f>
        <v>（商投建工达州中医药科技园-4工区-7号楼）达州市通川区达州中医药职业学院犀牛大道北段</v>
      </c>
      <c r="J129" s="33" t="str">
        <f>VLOOKUP(B129,辅助信息!E:I,4,FALSE)</f>
        <v>张扬</v>
      </c>
      <c r="K129" s="33">
        <f>VLOOKUP(J129,辅助信息!H:I,2,FALSE)</f>
        <v>18381904567</v>
      </c>
      <c r="L129" s="50"/>
      <c r="M129" s="50"/>
      <c r="N129" s="50"/>
      <c r="O129" s="50"/>
      <c r="P129" s="50"/>
      <c r="Q129" s="19"/>
      <c r="R129" s="19"/>
    </row>
    <row r="130" hidden="1" spans="1:18">
      <c r="A130" s="71"/>
      <c r="B130" s="33" t="s">
        <v>56</v>
      </c>
      <c r="C130" s="63">
        <v>45661</v>
      </c>
      <c r="D130" s="33" t="str">
        <f>VLOOKUP(B130,辅助信息!E:K,7,FALSE)</f>
        <v>JWDDCD2025052800131</v>
      </c>
      <c r="E130" s="33" t="str">
        <f>VLOOKUP(F130,辅助信息!A:B,2,FALSE)</f>
        <v>螺纹钢</v>
      </c>
      <c r="F130" s="33" t="s">
        <v>21</v>
      </c>
      <c r="G130" s="29">
        <v>6</v>
      </c>
      <c r="H130" s="29" t="e">
        <f>_xlfn._xlws.FILTER(#REF!,#REF!&amp;#REF!&amp;#REF!&amp;#REF!=C130&amp;F130&amp;I130&amp;J130,"未发货")</f>
        <v>#REF!</v>
      </c>
      <c r="I130" s="33" t="str">
        <f>VLOOKUP(B130,辅助信息!E:I,3,FALSE)</f>
        <v>（商投建工达州中医药科技园-4工区-7号楼）达州市通川区达州中医药职业学院犀牛大道北段</v>
      </c>
      <c r="J130" s="33" t="str">
        <f>VLOOKUP(B130,辅助信息!E:I,4,FALSE)</f>
        <v>张扬</v>
      </c>
      <c r="K130" s="33">
        <f>VLOOKUP(J130,辅助信息!H:I,2,FALSE)</f>
        <v>18381904567</v>
      </c>
      <c r="L130" s="50"/>
      <c r="M130" s="50"/>
      <c r="N130" s="50"/>
      <c r="O130" s="50"/>
      <c r="P130" s="50"/>
      <c r="Q130" s="19"/>
      <c r="R130" s="19"/>
    </row>
    <row r="131" hidden="1" spans="1:18">
      <c r="A131" s="71"/>
      <c r="B131" s="33" t="s">
        <v>56</v>
      </c>
      <c r="C131" s="63">
        <v>45661</v>
      </c>
      <c r="D131" s="33" t="str">
        <f>VLOOKUP(B131,辅助信息!E:K,7,FALSE)</f>
        <v>JWDDCD2025052800131</v>
      </c>
      <c r="E131" s="33" t="str">
        <f>VLOOKUP(F131,辅助信息!A:B,2,FALSE)</f>
        <v>螺纹钢</v>
      </c>
      <c r="F131" s="33" t="s">
        <v>58</v>
      </c>
      <c r="G131" s="29">
        <v>27</v>
      </c>
      <c r="H131" s="29" t="e">
        <f>_xlfn._xlws.FILTER(#REF!,#REF!&amp;#REF!&amp;#REF!&amp;#REF!=C131&amp;F131&amp;I131&amp;J131,"未发货")</f>
        <v>#REF!</v>
      </c>
      <c r="I131" s="33" t="str">
        <f>VLOOKUP(B131,辅助信息!E:I,3,FALSE)</f>
        <v>（商投建工达州中医药科技园-4工区-7号楼）达州市通川区达州中医药职业学院犀牛大道北段</v>
      </c>
      <c r="J131" s="33" t="str">
        <f>VLOOKUP(B131,辅助信息!E:I,4,FALSE)</f>
        <v>张扬</v>
      </c>
      <c r="K131" s="33">
        <f>VLOOKUP(J131,辅助信息!H:I,2,FALSE)</f>
        <v>18381904567</v>
      </c>
      <c r="L131" s="50"/>
      <c r="M131" s="50"/>
      <c r="N131" s="50"/>
      <c r="O131" s="50"/>
      <c r="P131" s="50"/>
      <c r="Q131" s="19"/>
      <c r="R131" s="19"/>
    </row>
    <row r="132" hidden="1" spans="1:18">
      <c r="A132" s="71"/>
      <c r="B132" s="33" t="s">
        <v>56</v>
      </c>
      <c r="C132" s="63">
        <v>45661</v>
      </c>
      <c r="D132" s="33" t="str">
        <f>VLOOKUP(B132,辅助信息!E:K,7,FALSE)</f>
        <v>JWDDCD2025052800131</v>
      </c>
      <c r="E132" s="33" t="str">
        <f>VLOOKUP(F132,辅助信息!A:B,2,FALSE)</f>
        <v>螺纹钢</v>
      </c>
      <c r="F132" s="33" t="s">
        <v>46</v>
      </c>
      <c r="G132" s="29">
        <v>9</v>
      </c>
      <c r="H132" s="29" t="e">
        <f>_xlfn._xlws.FILTER(#REF!,#REF!&amp;#REF!&amp;#REF!&amp;#REF!=C132&amp;F132&amp;I132&amp;J132,"未发货")</f>
        <v>#REF!</v>
      </c>
      <c r="I132" s="33" t="str">
        <f>VLOOKUP(B132,辅助信息!E:I,3,FALSE)</f>
        <v>（商投建工达州中医药科技园-4工区-7号楼）达州市通川区达州中医药职业学院犀牛大道北段</v>
      </c>
      <c r="J132" s="33" t="str">
        <f>VLOOKUP(B132,辅助信息!E:I,4,FALSE)</f>
        <v>张扬</v>
      </c>
      <c r="K132" s="33">
        <f>VLOOKUP(J132,辅助信息!H:I,2,FALSE)</f>
        <v>18381904567</v>
      </c>
      <c r="L132" s="50"/>
      <c r="M132" s="50"/>
      <c r="N132" s="50"/>
      <c r="O132" s="50"/>
      <c r="P132" s="50"/>
      <c r="Q132" s="19"/>
      <c r="R132" s="19"/>
    </row>
    <row r="133" hidden="1" spans="1:18">
      <c r="A133" s="69"/>
      <c r="B133" s="76" t="s">
        <v>56</v>
      </c>
      <c r="C133" s="77">
        <v>45661</v>
      </c>
      <c r="D133" s="76" t="str">
        <f>VLOOKUP(B133,辅助信息!E:K,7,FALSE)</f>
        <v>JWDDCD2025052800131</v>
      </c>
      <c r="E133" s="76" t="str">
        <f>VLOOKUP(F133,辅助信息!A:B,2,FALSE)</f>
        <v>螺纹钢</v>
      </c>
      <c r="F133" s="76" t="s">
        <v>22</v>
      </c>
      <c r="G133" s="78">
        <v>12</v>
      </c>
      <c r="H133" s="78" t="e">
        <f>_xlfn._xlws.FILTER(#REF!,#REF!&amp;#REF!&amp;#REF!&amp;#REF!=C133&amp;F133&amp;I133&amp;J133,"未发货")</f>
        <v>#REF!</v>
      </c>
      <c r="I133" s="76" t="str">
        <f>VLOOKUP(B133,辅助信息!E:I,3,FALSE)</f>
        <v>（商投建工达州中医药科技园-4工区-7号楼）达州市通川区达州中医药职业学院犀牛大道北段</v>
      </c>
      <c r="J133" s="76" t="str">
        <f>VLOOKUP(B133,辅助信息!E:I,4,FALSE)</f>
        <v>张扬</v>
      </c>
      <c r="K133" s="76">
        <f>VLOOKUP(J133,辅助信息!H:I,2,FALSE)</f>
        <v>18381904567</v>
      </c>
      <c r="L133" s="50"/>
      <c r="M133" s="50"/>
      <c r="N133" s="50"/>
      <c r="O133" s="50"/>
      <c r="P133" s="50"/>
      <c r="Q133" s="19"/>
      <c r="R133" s="19"/>
    </row>
    <row r="134" ht="78.75" hidden="1" customHeight="1" spans="1:18">
      <c r="A134" s="64"/>
      <c r="B134" s="33" t="s">
        <v>59</v>
      </c>
      <c r="C134" s="63">
        <v>45662</v>
      </c>
      <c r="D134" s="33" t="str">
        <f>VLOOKUP(B134,辅助信息!E:K,7,FALSE)</f>
        <v>JWDDCD2025051000019</v>
      </c>
      <c r="E134" s="33" t="str">
        <f>VLOOKUP(F134,辅助信息!A:B,2,FALSE)</f>
        <v>盘螺</v>
      </c>
      <c r="F134" s="33" t="s">
        <v>49</v>
      </c>
      <c r="G134" s="29">
        <v>35</v>
      </c>
      <c r="H134" s="29" t="e">
        <f>_xlfn._xlws.FILTER(#REF!,#REF!&amp;#REF!&amp;#REF!&amp;#REF!=C134&amp;F134&amp;I134&amp;J134,"未发货")</f>
        <v>#REF!</v>
      </c>
      <c r="I134" s="33" t="str">
        <f>VLOOKUP(B134,辅助信息!E:I,3,FALSE)</f>
        <v>(五冶钢构医学科学产业园建设项目房建二部-三标（1-2）)四川省南充市顺庆区搬罾街道学府大道二段</v>
      </c>
      <c r="J134" s="33" t="str">
        <f>VLOOKUP(B134,辅助信息!E:I,4,FALSE)</f>
        <v>安南</v>
      </c>
      <c r="K134" s="33">
        <f>VLOOKUP(J134,辅助信息!H:I,2,FALSE)</f>
        <v>19950525030</v>
      </c>
      <c r="L134" s="79" t="str">
        <f>VLOOKUP(B134,辅助信息!E:J,6,FALSE)</f>
        <v>送货单：送货单位：南充思临新材料科技有限公司,收货单位：五冶集团川北(南充)建设有限公司,项目名称：南充医学科学产业园,送货车型13米,装货前联系收货人核实到场规格</v>
      </c>
      <c r="M134" s="79"/>
      <c r="N134" s="79"/>
      <c r="O134" s="79"/>
      <c r="P134" s="79"/>
      <c r="Q134" s="33" t="str">
        <f>VLOOKUP(B134,辅助信息!E:M,9,FALSE)</f>
        <v>ZTWM-CDGS-XS-2024-0248-五冶钢构-南充市医学院项目</v>
      </c>
      <c r="R134" s="19"/>
    </row>
    <row r="135" hidden="1" spans="2:18">
      <c r="B135" s="33" t="s">
        <v>24</v>
      </c>
      <c r="C135" s="63">
        <v>45662</v>
      </c>
      <c r="D135" s="33" t="str">
        <f>VLOOKUP(B135,辅助信息!E:K,7,FALSE)</f>
        <v>JWDDCD2025051000019</v>
      </c>
      <c r="E135" s="33" t="str">
        <f>VLOOKUP(F135,辅助信息!A:B,2,FALSE)</f>
        <v>螺纹钢</v>
      </c>
      <c r="F135" s="33" t="s">
        <v>21</v>
      </c>
      <c r="G135" s="29">
        <v>10</v>
      </c>
      <c r="H135" s="29" t="e">
        <f>_xlfn._xlws.FILTER(#REF!,#REF!&amp;#REF!&amp;#REF!&amp;#REF!=C135&amp;F135&amp;I135&amp;J135,"未发货")</f>
        <v>#REF!</v>
      </c>
      <c r="I135" s="33" t="str">
        <f>VLOOKUP(B135,辅助信息!E:I,3,FALSE)</f>
        <v>(五冶钢构医学科学产业园建设项目房建三部-一标（7-4）)四川省南充市顺庆区搬罾街道学府大道二段</v>
      </c>
      <c r="J135" s="33" t="str">
        <f>VLOOKUP(B135,辅助信息!E:I,4,FALSE)</f>
        <v>郑林</v>
      </c>
      <c r="K135" s="33">
        <f>VLOOKUP(J135,辅助信息!H:I,2,FALSE)</f>
        <v>18349955455</v>
      </c>
      <c r="L135" s="70" t="str">
        <f>VLOOKUP(B135,辅助信息!E:J,6,FALSE)</f>
        <v>送货单：送货单位：南充思临新材料科技有限公司,收货单位：五冶集团川北(南充)建设有限公司,项目名称：南充医学科学产业园,送货车型13米,装货前联系收货人核实到场规格</v>
      </c>
      <c r="M135" s="70"/>
      <c r="N135" s="70"/>
      <c r="O135" s="70"/>
      <c r="P135" s="70"/>
      <c r="Q135" s="33" t="str">
        <f>VLOOKUP(B135,辅助信息!E:M,9,FALSE)</f>
        <v>ZTWM-CDGS-XS-2024-0248-五冶钢构-南充市医学院项目</v>
      </c>
      <c r="R135" s="19"/>
    </row>
    <row r="136" hidden="1" spans="2:18">
      <c r="B136" s="33" t="s">
        <v>24</v>
      </c>
      <c r="C136" s="63">
        <v>45662</v>
      </c>
      <c r="D136" s="33" t="str">
        <f>VLOOKUP(B136,辅助信息!E:K,7,FALSE)</f>
        <v>JWDDCD2025051000019</v>
      </c>
      <c r="E136" s="33" t="str">
        <f>VLOOKUP(F136,辅助信息!A:B,2,FALSE)</f>
        <v>螺纹钢</v>
      </c>
      <c r="F136" s="33" t="s">
        <v>22</v>
      </c>
      <c r="G136" s="29">
        <v>25</v>
      </c>
      <c r="H136" s="29" t="e">
        <f>_xlfn._xlws.FILTER(#REF!,#REF!&amp;#REF!&amp;#REF!&amp;#REF!=C136&amp;F136&amp;I136&amp;J136,"未发货")</f>
        <v>#REF!</v>
      </c>
      <c r="I136" s="33" t="str">
        <f>VLOOKUP(B136,辅助信息!E:I,3,FALSE)</f>
        <v>(五冶钢构医学科学产业园建设项目房建三部-一标（7-4）)四川省南充市顺庆区搬罾街道学府大道二段</v>
      </c>
      <c r="J136" s="33" t="str">
        <f>VLOOKUP(B136,辅助信息!E:I,4,FALSE)</f>
        <v>郑林</v>
      </c>
      <c r="K136" s="33">
        <f>VLOOKUP(J136,辅助信息!H:I,2,FALSE)</f>
        <v>18349955455</v>
      </c>
      <c r="L136" s="69"/>
      <c r="M136" s="70"/>
      <c r="N136" s="70"/>
      <c r="O136" s="70"/>
      <c r="P136" s="70"/>
      <c r="Q136" s="33" t="str">
        <f>VLOOKUP(B136,辅助信息!E:M,9,FALSE)</f>
        <v>ZTWM-CDGS-XS-2024-0248-五冶钢构-南充市医学院项目</v>
      </c>
      <c r="R136" s="19"/>
    </row>
    <row r="137" hidden="1" spans="2:18">
      <c r="B137" s="33" t="s">
        <v>25</v>
      </c>
      <c r="C137" s="63">
        <v>45662</v>
      </c>
      <c r="D137" s="33" t="e">
        <f>VLOOKUP(B137,辅助信息!E:K,7,FALSE)</f>
        <v>#N/A</v>
      </c>
      <c r="E137" s="33" t="str">
        <f>VLOOKUP(F137,辅助信息!A:B,2,FALSE)</f>
        <v>盘螺</v>
      </c>
      <c r="F137" s="33" t="s">
        <v>26</v>
      </c>
      <c r="G137" s="29">
        <v>3</v>
      </c>
      <c r="H137" s="29" t="e">
        <f>_xlfn._xlws.FILTER(#REF!,#REF!&amp;#REF!&amp;#REF!&amp;#REF!=C137&amp;F137&amp;I137&amp;J137,"未发货")</f>
        <v>#REF!</v>
      </c>
      <c r="I137" s="33" t="e">
        <f>VLOOKUP(B137,辅助信息!E:I,3,FALSE)</f>
        <v>#N/A</v>
      </c>
      <c r="J137" s="33" t="e">
        <f>VLOOKUP(B137,辅助信息!E:I,4,FALSE)</f>
        <v>#N/A</v>
      </c>
      <c r="K137" s="33" t="e">
        <f>VLOOKUP(J137,辅助信息!H:I,2,FALSE)</f>
        <v>#N/A</v>
      </c>
      <c r="L137" s="70" t="e">
        <f>VLOOKUP(B137,辅助信息!E:J,6,FALSE)</f>
        <v>#N/A</v>
      </c>
      <c r="M137" s="70"/>
      <c r="N137" s="70"/>
      <c r="O137" s="70"/>
      <c r="P137" s="70"/>
      <c r="Q137" s="33" t="e">
        <f>VLOOKUP(B137,辅助信息!E:M,9,FALSE)</f>
        <v>#N/A</v>
      </c>
      <c r="R137" s="19"/>
    </row>
    <row r="138" hidden="1" spans="2:18">
      <c r="B138" s="33" t="s">
        <v>25</v>
      </c>
      <c r="C138" s="63">
        <v>45662</v>
      </c>
      <c r="D138" s="33" t="e">
        <f>VLOOKUP(B138,辅助信息!E:K,7,FALSE)</f>
        <v>#N/A</v>
      </c>
      <c r="E138" s="33" t="str">
        <f>VLOOKUP(F138,辅助信息!A:B,2,FALSE)</f>
        <v>螺纹钢</v>
      </c>
      <c r="F138" s="33" t="s">
        <v>27</v>
      </c>
      <c r="G138" s="29">
        <v>13</v>
      </c>
      <c r="H138" s="29" t="e">
        <f>_xlfn._xlws.FILTER(#REF!,#REF!&amp;#REF!&amp;#REF!&amp;#REF!=C138&amp;F138&amp;I138&amp;J138,"未发货")</f>
        <v>#REF!</v>
      </c>
      <c r="I138" s="33" t="e">
        <f>VLOOKUP(B138,辅助信息!E:I,3,FALSE)</f>
        <v>#N/A</v>
      </c>
      <c r="J138" s="33" t="e">
        <f>VLOOKUP(B138,辅助信息!E:I,4,FALSE)</f>
        <v>#N/A</v>
      </c>
      <c r="K138" s="33" t="e">
        <f>VLOOKUP(J138,辅助信息!H:I,2,FALSE)</f>
        <v>#N/A</v>
      </c>
      <c r="L138" s="71"/>
      <c r="M138" s="70"/>
      <c r="N138" s="70"/>
      <c r="O138" s="70"/>
      <c r="P138" s="70"/>
      <c r="Q138" s="33" t="e">
        <f>VLOOKUP(B138,辅助信息!E:M,9,FALSE)</f>
        <v>#N/A</v>
      </c>
      <c r="R138" s="19"/>
    </row>
    <row r="139" hidden="1" spans="2:18">
      <c r="B139" s="33" t="s">
        <v>25</v>
      </c>
      <c r="C139" s="63">
        <v>45662</v>
      </c>
      <c r="D139" s="33" t="e">
        <f>VLOOKUP(B139,辅助信息!E:K,7,FALSE)</f>
        <v>#N/A</v>
      </c>
      <c r="E139" s="33" t="str">
        <f>VLOOKUP(F139,辅助信息!A:B,2,FALSE)</f>
        <v>螺纹钢</v>
      </c>
      <c r="F139" s="33" t="s">
        <v>19</v>
      </c>
      <c r="G139" s="29">
        <v>10</v>
      </c>
      <c r="H139" s="29" t="e">
        <f>_xlfn._xlws.FILTER(#REF!,#REF!&amp;#REF!&amp;#REF!&amp;#REF!=C139&amp;F139&amp;I139&amp;J139,"未发货")</f>
        <v>#REF!</v>
      </c>
      <c r="I139" s="33" t="e">
        <f>VLOOKUP(B139,辅助信息!E:I,3,FALSE)</f>
        <v>#N/A</v>
      </c>
      <c r="J139" s="33" t="e">
        <f>VLOOKUP(B139,辅助信息!E:I,4,FALSE)</f>
        <v>#N/A</v>
      </c>
      <c r="K139" s="33" t="e">
        <f>VLOOKUP(J139,辅助信息!H:I,2,FALSE)</f>
        <v>#N/A</v>
      </c>
      <c r="L139" s="71"/>
      <c r="M139" s="70"/>
      <c r="N139" s="70"/>
      <c r="O139" s="70"/>
      <c r="P139" s="70"/>
      <c r="Q139" s="33" t="e">
        <f>VLOOKUP(B139,辅助信息!E:M,9,FALSE)</f>
        <v>#N/A</v>
      </c>
      <c r="R139" s="19"/>
    </row>
    <row r="140" hidden="1" spans="2:18">
      <c r="B140" s="33" t="s">
        <v>25</v>
      </c>
      <c r="C140" s="63">
        <v>45662</v>
      </c>
      <c r="D140" s="33" t="e">
        <f>VLOOKUP(B140,辅助信息!E:K,7,FALSE)</f>
        <v>#N/A</v>
      </c>
      <c r="E140" s="33" t="str">
        <f>VLOOKUP(F140,辅助信息!A:B,2,FALSE)</f>
        <v>螺纹钢</v>
      </c>
      <c r="F140" s="33" t="s">
        <v>28</v>
      </c>
      <c r="G140" s="29">
        <v>10</v>
      </c>
      <c r="H140" s="29" t="e">
        <f>_xlfn._xlws.FILTER(#REF!,#REF!&amp;#REF!&amp;#REF!&amp;#REF!=C140&amp;F140&amp;I140&amp;J140,"未发货")</f>
        <v>#REF!</v>
      </c>
      <c r="I140" s="33" t="e">
        <f>VLOOKUP(B140,辅助信息!E:I,3,FALSE)</f>
        <v>#N/A</v>
      </c>
      <c r="J140" s="33" t="e">
        <f>VLOOKUP(B140,辅助信息!E:I,4,FALSE)</f>
        <v>#N/A</v>
      </c>
      <c r="K140" s="33" t="e">
        <f>VLOOKUP(J140,辅助信息!H:I,2,FALSE)</f>
        <v>#N/A</v>
      </c>
      <c r="L140" s="69"/>
      <c r="M140" s="70"/>
      <c r="N140" s="70"/>
      <c r="O140" s="70"/>
      <c r="P140" s="70"/>
      <c r="Q140" s="33" t="e">
        <f>VLOOKUP(B140,辅助信息!E:M,9,FALSE)</f>
        <v>#N/A</v>
      </c>
      <c r="R140" s="19"/>
    </row>
    <row r="141" hidden="1" spans="2:18">
      <c r="B141" s="33" t="s">
        <v>17</v>
      </c>
      <c r="C141" s="63">
        <v>45662</v>
      </c>
      <c r="D141" s="33" t="str">
        <f>VLOOKUP(B141,辅助信息!E:K,7,FALSE)</f>
        <v>JWDDCD2024101600090</v>
      </c>
      <c r="E141" s="33" t="str">
        <f>VLOOKUP(F141,辅助信息!A:B,2,FALSE)</f>
        <v>螺纹钢</v>
      </c>
      <c r="F141" s="33" t="s">
        <v>28</v>
      </c>
      <c r="G141" s="29">
        <v>8</v>
      </c>
      <c r="H141" s="29" t="e">
        <f>_xlfn._xlws.FILTER(#REF!,#REF!&amp;#REF!&amp;#REF!&amp;#REF!=C141&amp;F141&amp;I141&amp;J141,"未发货")</f>
        <v>#REF!</v>
      </c>
      <c r="I141" s="33" t="str">
        <f>VLOOKUP(B141,辅助信息!E:I,3,FALSE)</f>
        <v>（达州市公共卫生临床医疗中心项目-一标-1号制作房）达州市通川区西外复兴镇公共卫生临床医疗中心项目</v>
      </c>
      <c r="J141" s="33" t="str">
        <f>VLOOKUP(B141,辅助信息!E:I,4,FALSE)</f>
        <v>潘建发</v>
      </c>
      <c r="K141" s="33">
        <f>VLOOKUP(J141,辅助信息!H:I,2,FALSE)</f>
        <v>13658059919</v>
      </c>
      <c r="L141" s="70" t="str">
        <f>VLOOKUP(B141,辅助信息!E:J,6,FALSE)</f>
        <v>提前联系到场规格,一天到场车辆不低于2车</v>
      </c>
      <c r="M141" s="70"/>
      <c r="N141" s="70"/>
      <c r="O141" s="70"/>
      <c r="P141" s="70"/>
      <c r="Q141" s="33" t="str">
        <f>VLOOKUP(B141,辅助信息!E:M,9,FALSE)</f>
        <v>ZTWM-CDGS-XS-2024-0205-五冶钢构-达州市通川区西外复兴镇及临近片区建设项目</v>
      </c>
      <c r="R141" s="19"/>
    </row>
    <row r="142" hidden="1" spans="2:18">
      <c r="B142" s="33" t="s">
        <v>17</v>
      </c>
      <c r="C142" s="63">
        <v>45662</v>
      </c>
      <c r="D142" s="33" t="str">
        <f>VLOOKUP(B142,辅助信息!E:K,7,FALSE)</f>
        <v>JWDDCD2024101600090</v>
      </c>
      <c r="E142" s="33" t="str">
        <f>VLOOKUP(F142,辅助信息!A:B,2,FALSE)</f>
        <v>螺纹钢</v>
      </c>
      <c r="F142" s="33" t="s">
        <v>18</v>
      </c>
      <c r="G142" s="29">
        <v>149</v>
      </c>
      <c r="H142" s="29">
        <v>108</v>
      </c>
      <c r="I142" s="33" t="str">
        <f>VLOOKUP(B142,辅助信息!E:I,3,FALSE)</f>
        <v>（达州市公共卫生临床医疗中心项目-一标-1号制作房）达州市通川区西外复兴镇公共卫生临床医疗中心项目</v>
      </c>
      <c r="J142" s="33" t="str">
        <f>VLOOKUP(B142,辅助信息!E:I,4,FALSE)</f>
        <v>潘建发</v>
      </c>
      <c r="K142" s="33">
        <f>VLOOKUP(J142,辅助信息!H:I,2,FALSE)</f>
        <v>13658059919</v>
      </c>
      <c r="L142" s="71"/>
      <c r="M142" s="70"/>
      <c r="N142" s="70"/>
      <c r="O142" s="70"/>
      <c r="P142" s="70"/>
      <c r="Q142" s="33" t="str">
        <f>VLOOKUP(B142,辅助信息!E:M,9,FALSE)</f>
        <v>ZTWM-CDGS-XS-2024-0205-五冶钢构-达州市通川区西外复兴镇及临近片区建设项目</v>
      </c>
      <c r="R142" s="19"/>
    </row>
    <row r="143" hidden="1" spans="2:18">
      <c r="B143" s="33" t="s">
        <v>17</v>
      </c>
      <c r="C143" s="63">
        <v>45662</v>
      </c>
      <c r="D143" s="33" t="str">
        <f>VLOOKUP(B143,辅助信息!E:K,7,FALSE)</f>
        <v>JWDDCD2024101600090</v>
      </c>
      <c r="E143" s="33" t="str">
        <f>VLOOKUP(F143,辅助信息!A:B,2,FALSE)</f>
        <v>螺纹钢</v>
      </c>
      <c r="F143" s="33" t="s">
        <v>27</v>
      </c>
      <c r="G143" s="29">
        <v>31</v>
      </c>
      <c r="H143" s="29" t="e">
        <f>_xlfn._xlws.FILTER(#REF!,#REF!&amp;#REF!&amp;#REF!&amp;#REF!=C143&amp;F143&amp;I143&amp;J143,"未发货")</f>
        <v>#REF!</v>
      </c>
      <c r="I143" s="33" t="str">
        <f>VLOOKUP(B143,辅助信息!E:I,3,FALSE)</f>
        <v>（达州市公共卫生临床医疗中心项目-一标-1号制作房）达州市通川区西外复兴镇公共卫生临床医疗中心项目</v>
      </c>
      <c r="J143" s="33" t="str">
        <f>VLOOKUP(B143,辅助信息!E:I,4,FALSE)</f>
        <v>潘建发</v>
      </c>
      <c r="K143" s="33">
        <f>VLOOKUP(J143,辅助信息!H:I,2,FALSE)</f>
        <v>13658059919</v>
      </c>
      <c r="L143" s="69"/>
      <c r="M143" s="70"/>
      <c r="N143" s="70"/>
      <c r="O143" s="70"/>
      <c r="P143" s="70"/>
      <c r="Q143" s="33" t="str">
        <f>VLOOKUP(B143,辅助信息!E:M,9,FALSE)</f>
        <v>ZTWM-CDGS-XS-2024-0205-五冶钢构-达州市通川区西外复兴镇及临近片区建设项目</v>
      </c>
      <c r="R143" s="19"/>
    </row>
    <row r="144" hidden="1" spans="2:18">
      <c r="B144" s="33" t="s">
        <v>44</v>
      </c>
      <c r="C144" s="63">
        <v>45662</v>
      </c>
      <c r="D144" s="33" t="str">
        <f>VLOOKUP(B144,辅助信息!E:K,7,FALSE)</f>
        <v>JWDDCD2025060600053</v>
      </c>
      <c r="E144" s="33" t="str">
        <f>VLOOKUP(F144,辅助信息!A:B,2,FALSE)</f>
        <v>盘螺</v>
      </c>
      <c r="F144" s="33" t="s">
        <v>41</v>
      </c>
      <c r="G144" s="29">
        <v>10</v>
      </c>
      <c r="H144" s="29" t="e">
        <f>_xlfn._xlws.FILTER(#REF!,#REF!&amp;#REF!&amp;#REF!&amp;#REF!=C144&amp;F144&amp;I144&amp;J144,"未发货")</f>
        <v>#REF!</v>
      </c>
      <c r="I144" s="33" t="str">
        <f>VLOOKUP(B144,辅助信息!E:I,3,FALSE)</f>
        <v>（华西酒城南）成都市武侯区火车南站西路8号酒城南项目</v>
      </c>
      <c r="J144" s="33" t="str">
        <f>VLOOKUP(B144,辅助信息!E:I,4,FALSE)</f>
        <v>龙耀宇</v>
      </c>
      <c r="K144" s="33">
        <f>VLOOKUP(J144,辅助信息!H:I,2,FALSE)</f>
        <v>18384145895</v>
      </c>
      <c r="L144" s="70" t="str">
        <f>VLOOKUP(B144,辅助信息!E:J,6,FALSE)</f>
        <v>对方卸车</v>
      </c>
      <c r="M144" s="70"/>
      <c r="N144" s="70"/>
      <c r="O144" s="70"/>
      <c r="P144" s="70"/>
      <c r="Q144" s="33" t="str">
        <f>VLOOKUP(B144,辅助信息!E:M,9,FALSE)</f>
        <v>ZTWM-CDGS-XS-2024-0189-华西集采-酒城南项目</v>
      </c>
      <c r="R144" s="19"/>
    </row>
    <row r="145" hidden="1" spans="2:18">
      <c r="B145" s="33" t="s">
        <v>44</v>
      </c>
      <c r="C145" s="63">
        <v>45662</v>
      </c>
      <c r="D145" s="33" t="str">
        <f>VLOOKUP(B145,辅助信息!E:K,7,FALSE)</f>
        <v>JWDDCD2025060600053</v>
      </c>
      <c r="E145" s="33" t="str">
        <f>VLOOKUP(F145,辅助信息!A:B,2,FALSE)</f>
        <v>盘螺</v>
      </c>
      <c r="F145" s="33" t="s">
        <v>26</v>
      </c>
      <c r="G145" s="29">
        <v>10</v>
      </c>
      <c r="H145" s="29" t="e">
        <f>_xlfn._xlws.FILTER(#REF!,#REF!&amp;#REF!&amp;#REF!&amp;#REF!=C145&amp;F145&amp;I145&amp;J145,"未发货")</f>
        <v>#REF!</v>
      </c>
      <c r="I145" s="33" t="str">
        <f>VLOOKUP(B145,辅助信息!E:I,3,FALSE)</f>
        <v>（华西酒城南）成都市武侯区火车南站西路8号酒城南项目</v>
      </c>
      <c r="J145" s="33" t="str">
        <f>VLOOKUP(B145,辅助信息!E:I,4,FALSE)</f>
        <v>龙耀宇</v>
      </c>
      <c r="K145" s="33">
        <f>VLOOKUP(J145,辅助信息!H:I,2,FALSE)</f>
        <v>18384145895</v>
      </c>
      <c r="L145" s="71"/>
      <c r="M145" s="70"/>
      <c r="N145" s="70"/>
      <c r="O145" s="70"/>
      <c r="P145" s="70"/>
      <c r="Q145" s="33" t="str">
        <f>VLOOKUP(B145,辅助信息!E:M,9,FALSE)</f>
        <v>ZTWM-CDGS-XS-2024-0189-华西集采-酒城南项目</v>
      </c>
      <c r="R145" s="19"/>
    </row>
    <row r="146" hidden="1" spans="2:18">
      <c r="B146" s="33" t="s">
        <v>44</v>
      </c>
      <c r="C146" s="63">
        <v>45662</v>
      </c>
      <c r="D146" s="33" t="str">
        <f>VLOOKUP(B146,辅助信息!E:K,7,FALSE)</f>
        <v>JWDDCD2025060600053</v>
      </c>
      <c r="E146" s="33" t="str">
        <f>VLOOKUP(F146,辅助信息!A:B,2,FALSE)</f>
        <v>螺纹钢</v>
      </c>
      <c r="F146" s="33" t="s">
        <v>22</v>
      </c>
      <c r="G146" s="29">
        <v>16</v>
      </c>
      <c r="H146" s="29" t="e">
        <f>_xlfn._xlws.FILTER(#REF!,#REF!&amp;#REF!&amp;#REF!&amp;#REF!=C146&amp;F146&amp;I146&amp;J146,"未发货")</f>
        <v>#REF!</v>
      </c>
      <c r="I146" s="33" t="str">
        <f>VLOOKUP(B146,辅助信息!E:I,3,FALSE)</f>
        <v>（华西酒城南）成都市武侯区火车南站西路8号酒城南项目</v>
      </c>
      <c r="J146" s="33" t="str">
        <f>VLOOKUP(B146,辅助信息!E:I,4,FALSE)</f>
        <v>龙耀宇</v>
      </c>
      <c r="K146" s="33">
        <f>VLOOKUP(J146,辅助信息!H:I,2,FALSE)</f>
        <v>18384145895</v>
      </c>
      <c r="L146" s="69"/>
      <c r="M146" s="70"/>
      <c r="N146" s="70"/>
      <c r="O146" s="70"/>
      <c r="P146" s="70"/>
      <c r="Q146" s="33" t="str">
        <f>VLOOKUP(B146,辅助信息!E:M,9,FALSE)</f>
        <v>ZTWM-CDGS-XS-2024-0189-华西集采-酒城南项目</v>
      </c>
      <c r="R146" s="19"/>
    </row>
    <row r="147" hidden="1" spans="2:18">
      <c r="B147" s="33" t="s">
        <v>31</v>
      </c>
      <c r="C147" s="63">
        <v>45662</v>
      </c>
      <c r="D147" s="33" t="str">
        <f>VLOOKUP(B147,辅助信息!E:K,7,FALSE)</f>
        <v>JWDDCD2024121000136</v>
      </c>
      <c r="E147" s="33" t="str">
        <f>VLOOKUP(F147,辅助信息!A:B,2,FALSE)</f>
        <v>螺纹钢</v>
      </c>
      <c r="F147" s="33" t="s">
        <v>33</v>
      </c>
      <c r="G147" s="29">
        <v>35</v>
      </c>
      <c r="H147" s="29" t="e">
        <f>_xlfn._xlws.FILTER(#REF!,#REF!&amp;#REF!&amp;#REF!&amp;#REF!=C147&amp;F147&amp;I147&amp;J147,"未发货")</f>
        <v>#REF!</v>
      </c>
      <c r="I147" s="33" t="str">
        <f>VLOOKUP(B147,辅助信息!E:I,3,FALSE)</f>
        <v>（四川商建-射洪城乡一体化项目）遂宁市射洪市忠新幼儿园北侧约220米新溪小区</v>
      </c>
      <c r="J147" s="33" t="str">
        <f>VLOOKUP(B147,辅助信息!E:I,4,FALSE)</f>
        <v>柏子刚</v>
      </c>
      <c r="K147" s="33">
        <f>VLOOKUP(J147,辅助信息!H:I,2,FALSE)</f>
        <v>15692885305</v>
      </c>
      <c r="L147" s="70" t="str">
        <f>VLOOKUP(B147,辅助信息!E:J,6,FALSE)</f>
        <v>提前联系到场规格及数量</v>
      </c>
      <c r="M147" s="70"/>
      <c r="N147" s="70"/>
      <c r="O147" s="70"/>
      <c r="P147" s="70"/>
      <c r="Q147" s="33" t="str">
        <f>VLOOKUP(B147,辅助信息!E:M,9,FALSE)</f>
        <v>ZTWM-CDGS-XS-2024-0179-四川商投-射洪城乡一体化建设项目</v>
      </c>
      <c r="R147" s="19"/>
    </row>
    <row r="148" hidden="1" spans="2:18">
      <c r="B148" s="33" t="s">
        <v>31</v>
      </c>
      <c r="C148" s="63">
        <v>45662</v>
      </c>
      <c r="D148" s="33" t="str">
        <f>VLOOKUP(B148,辅助信息!E:K,7,FALSE)</f>
        <v>JWDDCD2024121000136</v>
      </c>
      <c r="E148" s="33" t="str">
        <f>VLOOKUP(F148,辅助信息!A:B,2,FALSE)</f>
        <v>螺纹钢</v>
      </c>
      <c r="F148" s="33" t="s">
        <v>46</v>
      </c>
      <c r="G148" s="29">
        <v>15</v>
      </c>
      <c r="H148" s="29" t="e">
        <f>_xlfn._xlws.FILTER(#REF!,#REF!&amp;#REF!&amp;#REF!&amp;#REF!=C148&amp;F148&amp;I148&amp;J148,"未发货")</f>
        <v>#REF!</v>
      </c>
      <c r="I148" s="33" t="str">
        <f>VLOOKUP(B148,辅助信息!E:I,3,FALSE)</f>
        <v>（四川商建-射洪城乡一体化项目）遂宁市射洪市忠新幼儿园北侧约220米新溪小区</v>
      </c>
      <c r="J148" s="33" t="str">
        <f>VLOOKUP(B148,辅助信息!E:I,4,FALSE)</f>
        <v>柏子刚</v>
      </c>
      <c r="K148" s="33">
        <f>VLOOKUP(J148,辅助信息!H:I,2,FALSE)</f>
        <v>15692885305</v>
      </c>
      <c r="L148" s="71"/>
      <c r="M148" s="70"/>
      <c r="N148" s="70"/>
      <c r="O148" s="70"/>
      <c r="P148" s="70"/>
      <c r="Q148" s="33" t="str">
        <f>VLOOKUP(B148,辅助信息!E:M,9,FALSE)</f>
        <v>ZTWM-CDGS-XS-2024-0179-四川商投-射洪城乡一体化建设项目</v>
      </c>
      <c r="R148" s="19"/>
    </row>
    <row r="149" hidden="1" spans="2:18">
      <c r="B149" s="33" t="s">
        <v>31</v>
      </c>
      <c r="C149" s="63">
        <v>45662</v>
      </c>
      <c r="D149" s="33" t="str">
        <f>VLOOKUP(B149,辅助信息!E:K,7,FALSE)</f>
        <v>JWDDCD2024121000136</v>
      </c>
      <c r="E149" s="33" t="str">
        <f>VLOOKUP(F149,辅助信息!A:B,2,FALSE)</f>
        <v>螺纹钢</v>
      </c>
      <c r="F149" s="33" t="s">
        <v>22</v>
      </c>
      <c r="G149" s="29">
        <v>35</v>
      </c>
      <c r="H149" s="29" t="e">
        <f>_xlfn._xlws.FILTER(#REF!,#REF!&amp;#REF!&amp;#REF!&amp;#REF!=C149&amp;F149&amp;I149&amp;J149,"未发货")</f>
        <v>#REF!</v>
      </c>
      <c r="I149" s="33" t="str">
        <f>VLOOKUP(B149,辅助信息!E:I,3,FALSE)</f>
        <v>（四川商建-射洪城乡一体化项目）遂宁市射洪市忠新幼儿园北侧约220米新溪小区</v>
      </c>
      <c r="J149" s="33" t="str">
        <f>VLOOKUP(B149,辅助信息!E:I,4,FALSE)</f>
        <v>柏子刚</v>
      </c>
      <c r="K149" s="33">
        <f>VLOOKUP(J149,辅助信息!H:I,2,FALSE)</f>
        <v>15692885305</v>
      </c>
      <c r="L149" s="69"/>
      <c r="M149" s="70"/>
      <c r="N149" s="70"/>
      <c r="O149" s="70"/>
      <c r="P149" s="70"/>
      <c r="Q149" s="33" t="str">
        <f>VLOOKUP(B149,辅助信息!E:M,9,FALSE)</f>
        <v>ZTWM-CDGS-XS-2024-0179-四川商投-射洪城乡一体化建设项目</v>
      </c>
      <c r="R149" s="19"/>
    </row>
    <row r="150" hidden="1" spans="2:18">
      <c r="B150" s="33" t="s">
        <v>50</v>
      </c>
      <c r="C150" s="63">
        <v>45662</v>
      </c>
      <c r="D150" s="33" t="e">
        <f>VLOOKUP(B150,辅助信息!E:K,7,FALSE)</f>
        <v>#N/A</v>
      </c>
      <c r="E150" s="33" t="str">
        <f>VLOOKUP(F150,辅助信息!A:B,2,FALSE)</f>
        <v>高线</v>
      </c>
      <c r="F150" s="33" t="s">
        <v>51</v>
      </c>
      <c r="G150" s="29">
        <v>2</v>
      </c>
      <c r="H150" s="29" t="e">
        <f>_xlfn._xlws.FILTER(#REF!,#REF!&amp;#REF!&amp;#REF!&amp;#REF!=C150&amp;F150&amp;I150&amp;J150,"未发货")</f>
        <v>#REF!</v>
      </c>
      <c r="I150" s="33" t="e">
        <f>VLOOKUP(B150,辅助信息!E:I,3,FALSE)</f>
        <v>#N/A</v>
      </c>
      <c r="J150" s="33" t="e">
        <f>VLOOKUP(B150,辅助信息!E:I,4,FALSE)</f>
        <v>#N/A</v>
      </c>
      <c r="K150" s="33" t="e">
        <f>VLOOKUP(J150,辅助信息!H:I,2,FALSE)</f>
        <v>#N/A</v>
      </c>
      <c r="L150" s="70" t="e">
        <f>VLOOKUP(B150,辅助信息!E:J,6,FALSE)</f>
        <v>#N/A</v>
      </c>
      <c r="M150" s="70"/>
      <c r="N150" s="70"/>
      <c r="O150" s="70"/>
      <c r="P150" s="70"/>
      <c r="Q150" s="33" t="e">
        <f>VLOOKUP(B150,辅助信息!E:M,9,FALSE)</f>
        <v>#N/A</v>
      </c>
      <c r="R150" s="19"/>
    </row>
    <row r="151" hidden="1" spans="2:18">
      <c r="B151" s="33" t="s">
        <v>50</v>
      </c>
      <c r="C151" s="63">
        <v>45662</v>
      </c>
      <c r="D151" s="33" t="e">
        <f>VLOOKUP(B151,辅助信息!E:K,7,FALSE)</f>
        <v>#N/A</v>
      </c>
      <c r="E151" s="33" t="str">
        <f>VLOOKUP(F151,辅助信息!A:B,2,FALSE)</f>
        <v>螺纹钢</v>
      </c>
      <c r="F151" s="33" t="s">
        <v>32</v>
      </c>
      <c r="G151" s="29">
        <v>12</v>
      </c>
      <c r="H151" s="29" t="e">
        <f>_xlfn._xlws.FILTER(#REF!,#REF!&amp;#REF!&amp;#REF!&amp;#REF!=C151&amp;F151&amp;I151&amp;J151,"未发货")</f>
        <v>#REF!</v>
      </c>
      <c r="I151" s="33" t="e">
        <f>VLOOKUP(B151,辅助信息!E:I,3,FALSE)</f>
        <v>#N/A</v>
      </c>
      <c r="J151" s="33" t="e">
        <f>VLOOKUP(B151,辅助信息!E:I,4,FALSE)</f>
        <v>#N/A</v>
      </c>
      <c r="K151" s="33" t="e">
        <f>VLOOKUP(J151,辅助信息!H:I,2,FALSE)</f>
        <v>#N/A</v>
      </c>
      <c r="L151" s="71"/>
      <c r="M151" s="70"/>
      <c r="N151" s="70"/>
      <c r="O151" s="70"/>
      <c r="P151" s="70"/>
      <c r="Q151" s="33" t="e">
        <f>VLOOKUP(B151,辅助信息!E:M,9,FALSE)</f>
        <v>#N/A</v>
      </c>
      <c r="R151" s="19"/>
    </row>
    <row r="152" hidden="1" spans="2:18">
      <c r="B152" s="33" t="s">
        <v>50</v>
      </c>
      <c r="C152" s="63">
        <v>45662</v>
      </c>
      <c r="D152" s="33" t="e">
        <f>VLOOKUP(B152,辅助信息!E:K,7,FALSE)</f>
        <v>#N/A</v>
      </c>
      <c r="E152" s="33" t="str">
        <f>VLOOKUP(F152,辅助信息!A:B,2,FALSE)</f>
        <v>螺纹钢</v>
      </c>
      <c r="F152" s="33" t="s">
        <v>52</v>
      </c>
      <c r="G152" s="29">
        <v>21</v>
      </c>
      <c r="H152" s="29" t="e">
        <f>_xlfn._xlws.FILTER(#REF!,#REF!&amp;#REF!&amp;#REF!&amp;#REF!=C152&amp;F152&amp;I152&amp;J152,"未发货")</f>
        <v>#REF!</v>
      </c>
      <c r="I152" s="33" t="e">
        <f>VLOOKUP(B152,辅助信息!E:I,3,FALSE)</f>
        <v>#N/A</v>
      </c>
      <c r="J152" s="33" t="e">
        <f>VLOOKUP(B152,辅助信息!E:I,4,FALSE)</f>
        <v>#N/A</v>
      </c>
      <c r="K152" s="33" t="e">
        <f>VLOOKUP(J152,辅助信息!H:I,2,FALSE)</f>
        <v>#N/A</v>
      </c>
      <c r="L152" s="69"/>
      <c r="M152" s="70"/>
      <c r="N152" s="70"/>
      <c r="O152" s="70"/>
      <c r="P152" s="70"/>
      <c r="Q152" s="33" t="e">
        <f>VLOOKUP(B152,辅助信息!E:M,9,FALSE)</f>
        <v>#N/A</v>
      </c>
      <c r="R152" s="19"/>
    </row>
    <row r="153" hidden="1" spans="2:18">
      <c r="B153" s="33" t="s">
        <v>29</v>
      </c>
      <c r="C153" s="63">
        <v>45662</v>
      </c>
      <c r="D153" s="33" t="e">
        <f>VLOOKUP(B153,辅助信息!E:K,7,FALSE)</f>
        <v>#N/A</v>
      </c>
      <c r="E153" s="33" t="str">
        <f>VLOOKUP(F153,辅助信息!A:B,2,FALSE)</f>
        <v>高线</v>
      </c>
      <c r="F153" s="33" t="s">
        <v>53</v>
      </c>
      <c r="G153" s="29">
        <v>70</v>
      </c>
      <c r="H153" s="29" t="e">
        <f>_xlfn._xlws.FILTER(#REF!,#REF!&amp;#REF!&amp;#REF!&amp;#REF!=C153&amp;F153&amp;I153&amp;J153,"未发货")</f>
        <v>#REF!</v>
      </c>
      <c r="I153" s="33" t="e">
        <f>VLOOKUP(B153,辅助信息!E:I,3,FALSE)</f>
        <v>#N/A</v>
      </c>
      <c r="J153" s="33" t="e">
        <f>VLOOKUP(B153,辅助信息!E:I,4,FALSE)</f>
        <v>#N/A</v>
      </c>
      <c r="K153" s="33" t="e">
        <f>VLOOKUP(J153,辅助信息!H:I,2,FALSE)</f>
        <v>#N/A</v>
      </c>
      <c r="L153" s="70" t="e">
        <f>VLOOKUP(B153,辅助信息!E:J,6,FALSE)</f>
        <v>#N/A</v>
      </c>
      <c r="M153" s="70"/>
      <c r="N153" s="70"/>
      <c r="O153" s="70"/>
      <c r="P153" s="70"/>
      <c r="Q153" s="33" t="e">
        <f>VLOOKUP(B153,辅助信息!E:M,9,FALSE)</f>
        <v>#N/A</v>
      </c>
      <c r="R153" s="19"/>
    </row>
    <row r="154" hidden="1" spans="2:18">
      <c r="B154" s="33" t="s">
        <v>29</v>
      </c>
      <c r="C154" s="63">
        <v>45662</v>
      </c>
      <c r="D154" s="33" t="e">
        <f>VLOOKUP(B154,辅助信息!E:K,7,FALSE)</f>
        <v>#N/A</v>
      </c>
      <c r="E154" s="33" t="str">
        <f>VLOOKUP(F154,辅助信息!A:B,2,FALSE)</f>
        <v>螺纹钢</v>
      </c>
      <c r="F154" s="33" t="s">
        <v>28</v>
      </c>
      <c r="G154" s="29">
        <v>70</v>
      </c>
      <c r="H154" s="29" t="e">
        <f>_xlfn._xlws.FILTER(#REF!,#REF!&amp;#REF!&amp;#REF!&amp;#REF!=C154&amp;F154&amp;I154&amp;J154,"未发货")</f>
        <v>#REF!</v>
      </c>
      <c r="I154" s="33" t="e">
        <f>VLOOKUP(B154,辅助信息!E:I,3,FALSE)</f>
        <v>#N/A</v>
      </c>
      <c r="J154" s="33" t="e">
        <f>VLOOKUP(B154,辅助信息!E:I,4,FALSE)</f>
        <v>#N/A</v>
      </c>
      <c r="K154" s="33" t="e">
        <f>VLOOKUP(J154,辅助信息!H:I,2,FALSE)</f>
        <v>#N/A</v>
      </c>
      <c r="L154" s="69"/>
      <c r="M154" s="70"/>
      <c r="N154" s="70"/>
      <c r="O154" s="70"/>
      <c r="P154" s="70"/>
      <c r="Q154" s="33" t="e">
        <f>VLOOKUP(B154,辅助信息!E:M,9,FALSE)</f>
        <v>#N/A</v>
      </c>
      <c r="R154" s="19"/>
    </row>
    <row r="155" hidden="1" spans="2:18">
      <c r="B155" s="33" t="s">
        <v>54</v>
      </c>
      <c r="C155" s="63">
        <v>45662</v>
      </c>
      <c r="D155" s="33" t="e">
        <f>VLOOKUP(B155,辅助信息!E:K,7,FALSE)</f>
        <v>#N/A</v>
      </c>
      <c r="E155" s="33" t="str">
        <f>VLOOKUP(F155,辅助信息!A:B,2,FALSE)</f>
        <v>螺纹钢</v>
      </c>
      <c r="F155" s="33" t="s">
        <v>32</v>
      </c>
      <c r="G155" s="29">
        <v>15</v>
      </c>
      <c r="H155" s="29" t="e">
        <f>_xlfn._xlws.FILTER(#REF!,#REF!&amp;#REF!&amp;#REF!&amp;#REF!=C155&amp;F155&amp;I155&amp;J155,"未发货")</f>
        <v>#REF!</v>
      </c>
      <c r="I155" s="33" t="e">
        <f>VLOOKUP(B155,辅助信息!E:I,3,FALSE)</f>
        <v>#N/A</v>
      </c>
      <c r="J155" s="33" t="e">
        <f>VLOOKUP(B155,辅助信息!E:I,4,FALSE)</f>
        <v>#N/A</v>
      </c>
      <c r="K155" s="33" t="e">
        <f>VLOOKUP(J155,辅助信息!H:I,2,FALSE)</f>
        <v>#N/A</v>
      </c>
      <c r="L155" s="70" t="e">
        <f>VLOOKUP(B155,辅助信息!E:J,6,FALSE)</f>
        <v>#N/A</v>
      </c>
      <c r="M155" s="70"/>
      <c r="N155" s="70"/>
      <c r="O155" s="70"/>
      <c r="P155" s="70"/>
      <c r="Q155" s="33" t="e">
        <f>VLOOKUP(B155,辅助信息!E:M,9,FALSE)</f>
        <v>#N/A</v>
      </c>
      <c r="R155" s="19"/>
    </row>
    <row r="156" hidden="1" spans="2:18">
      <c r="B156" s="33" t="s">
        <v>54</v>
      </c>
      <c r="C156" s="63">
        <v>45662</v>
      </c>
      <c r="D156" s="33" t="e">
        <f>VLOOKUP(B156,辅助信息!E:K,7,FALSE)</f>
        <v>#N/A</v>
      </c>
      <c r="E156" s="33" t="str">
        <f>VLOOKUP(F156,辅助信息!A:B,2,FALSE)</f>
        <v>螺纹钢</v>
      </c>
      <c r="F156" s="33" t="s">
        <v>33</v>
      </c>
      <c r="G156" s="29">
        <v>60</v>
      </c>
      <c r="H156" s="29" t="e">
        <f>_xlfn._xlws.FILTER(#REF!,#REF!&amp;#REF!&amp;#REF!&amp;#REF!=C156&amp;F156&amp;I156&amp;J156,"未发货")</f>
        <v>#REF!</v>
      </c>
      <c r="I156" s="33" t="e">
        <f>VLOOKUP(B156,辅助信息!E:I,3,FALSE)</f>
        <v>#N/A</v>
      </c>
      <c r="J156" s="33" t="e">
        <f>VLOOKUP(B156,辅助信息!E:I,4,FALSE)</f>
        <v>#N/A</v>
      </c>
      <c r="K156" s="33" t="e">
        <f>VLOOKUP(J156,辅助信息!H:I,2,FALSE)</f>
        <v>#N/A</v>
      </c>
      <c r="L156" s="71"/>
      <c r="M156" s="70"/>
      <c r="N156" s="70"/>
      <c r="O156" s="70"/>
      <c r="P156" s="70"/>
      <c r="Q156" s="33" t="e">
        <f>VLOOKUP(B156,辅助信息!E:M,9,FALSE)</f>
        <v>#N/A</v>
      </c>
      <c r="R156" s="19"/>
    </row>
    <row r="157" hidden="1" spans="2:18">
      <c r="B157" s="33" t="s">
        <v>54</v>
      </c>
      <c r="C157" s="63">
        <v>45662</v>
      </c>
      <c r="D157" s="33" t="e">
        <f>VLOOKUP(B157,辅助信息!E:K,7,FALSE)</f>
        <v>#N/A</v>
      </c>
      <c r="E157" s="33" t="str">
        <f>VLOOKUP(F157,辅助信息!A:B,2,FALSE)</f>
        <v>螺纹钢</v>
      </c>
      <c r="F157" s="33" t="s">
        <v>28</v>
      </c>
      <c r="G157" s="29">
        <v>15</v>
      </c>
      <c r="H157" s="29" t="e">
        <f>_xlfn._xlws.FILTER(#REF!,#REF!&amp;#REF!&amp;#REF!&amp;#REF!=C157&amp;F157&amp;I157&amp;J157,"未发货")</f>
        <v>#REF!</v>
      </c>
      <c r="I157" s="33" t="e">
        <f>VLOOKUP(B157,辅助信息!E:I,3,FALSE)</f>
        <v>#N/A</v>
      </c>
      <c r="J157" s="33" t="e">
        <f>VLOOKUP(B157,辅助信息!E:I,4,FALSE)</f>
        <v>#N/A</v>
      </c>
      <c r="K157" s="33" t="e">
        <f>VLOOKUP(J157,辅助信息!H:I,2,FALSE)</f>
        <v>#N/A</v>
      </c>
      <c r="L157" s="69"/>
      <c r="M157" s="70"/>
      <c r="N157" s="70"/>
      <c r="O157" s="70"/>
      <c r="P157" s="70"/>
      <c r="Q157" s="33" t="e">
        <f>VLOOKUP(B157,辅助信息!E:M,9,FALSE)</f>
        <v>#N/A</v>
      </c>
      <c r="R157" s="19"/>
    </row>
    <row r="158" hidden="1" spans="1:18">
      <c r="A158" s="50" t="s">
        <v>55</v>
      </c>
      <c r="B158" s="33" t="s">
        <v>56</v>
      </c>
      <c r="C158" s="63">
        <v>45662</v>
      </c>
      <c r="D158" s="33" t="str">
        <f>VLOOKUP(B158,辅助信息!E:K,7,FALSE)</f>
        <v>JWDDCD2025052800131</v>
      </c>
      <c r="E158" s="33" t="str">
        <f>VLOOKUP(F158,辅助信息!A:B,2,FALSE)</f>
        <v>高线</v>
      </c>
      <c r="F158" s="33" t="s">
        <v>57</v>
      </c>
      <c r="G158" s="29">
        <v>6</v>
      </c>
      <c r="H158" s="29" t="e">
        <f>_xlfn._xlws.FILTER(#REF!,#REF!&amp;#REF!&amp;#REF!&amp;#REF!=C158&amp;F158&amp;I158&amp;J158,"未发货")</f>
        <v>#REF!</v>
      </c>
      <c r="I158" s="33" t="str">
        <f>VLOOKUP(B158,辅助信息!E:I,3,FALSE)</f>
        <v>（商投建工达州中医药科技园-4工区-7号楼）达州市通川区达州中医药职业学院犀牛大道北段</v>
      </c>
      <c r="J158" s="33" t="str">
        <f>VLOOKUP(B158,辅助信息!E:I,4,FALSE)</f>
        <v>张扬</v>
      </c>
      <c r="K158" s="33">
        <f>VLOOKUP(J158,辅助信息!H:I,2,FALSE)</f>
        <v>18381904567</v>
      </c>
      <c r="L158" s="70" t="str">
        <f>VLOOKUP(B158,辅助信息!E:J,6,FALSE)</f>
        <v>控制炉批号！多了现场不收！,优先安排达钢,提前联系到场规格及数量</v>
      </c>
      <c r="M158" s="70"/>
      <c r="N158" s="70"/>
      <c r="O158" s="70"/>
      <c r="P158" s="70"/>
      <c r="Q158" s="33" t="str">
        <f>VLOOKUP(B158,辅助信息!E:M,9,FALSE)</f>
        <v>ZTWM-CDGS-XS-2024-0134-商投建工达州中医药科技成果示范园项目</v>
      </c>
      <c r="R158" s="19"/>
    </row>
    <row r="159" hidden="1" spans="2:18">
      <c r="B159" s="33" t="s">
        <v>56</v>
      </c>
      <c r="C159" s="63">
        <v>45662</v>
      </c>
      <c r="D159" s="33" t="str">
        <f>VLOOKUP(B159,辅助信息!E:K,7,FALSE)</f>
        <v>JWDDCD2025052800131</v>
      </c>
      <c r="E159" s="33" t="str">
        <f>VLOOKUP(F159,辅助信息!A:B,2,FALSE)</f>
        <v>盘螺</v>
      </c>
      <c r="F159" s="33" t="s">
        <v>49</v>
      </c>
      <c r="G159" s="29">
        <v>9</v>
      </c>
      <c r="H159" s="29" t="e">
        <f>_xlfn._xlws.FILTER(#REF!,#REF!&amp;#REF!&amp;#REF!&amp;#REF!=C159&amp;F159&amp;I159&amp;J159,"未发货")</f>
        <v>#REF!</v>
      </c>
      <c r="I159" s="33" t="str">
        <f>VLOOKUP(B159,辅助信息!E:I,3,FALSE)</f>
        <v>（商投建工达州中医药科技园-4工区-7号楼）达州市通川区达州中医药职业学院犀牛大道北段</v>
      </c>
      <c r="J159" s="33" t="str">
        <f>VLOOKUP(B159,辅助信息!E:I,4,FALSE)</f>
        <v>张扬</v>
      </c>
      <c r="K159" s="33">
        <f>VLOOKUP(J159,辅助信息!H:I,2,FALSE)</f>
        <v>18381904567</v>
      </c>
      <c r="L159" s="71"/>
      <c r="M159" s="70"/>
      <c r="N159" s="70"/>
      <c r="O159" s="70"/>
      <c r="P159" s="70"/>
      <c r="Q159" s="33" t="str">
        <f>VLOOKUP(B159,辅助信息!E:M,9,FALSE)</f>
        <v>ZTWM-CDGS-XS-2024-0134-商投建工达州中医药科技成果示范园项目</v>
      </c>
      <c r="R159" s="19"/>
    </row>
    <row r="160" hidden="1" spans="2:18">
      <c r="B160" s="33" t="s">
        <v>56</v>
      </c>
      <c r="C160" s="63">
        <v>45662</v>
      </c>
      <c r="D160" s="33" t="str">
        <f>VLOOKUP(B160,辅助信息!E:K,7,FALSE)</f>
        <v>JWDDCD2025052800131</v>
      </c>
      <c r="E160" s="33" t="str">
        <f>VLOOKUP(F160,辅助信息!A:B,2,FALSE)</f>
        <v>螺纹钢</v>
      </c>
      <c r="F160" s="33" t="s">
        <v>30</v>
      </c>
      <c r="G160" s="29">
        <v>3</v>
      </c>
      <c r="H160" s="29" t="e">
        <f>_xlfn._xlws.FILTER(#REF!,#REF!&amp;#REF!&amp;#REF!&amp;#REF!=C160&amp;F160&amp;I160&amp;J160,"未发货")</f>
        <v>#REF!</v>
      </c>
      <c r="I160" s="33" t="str">
        <f>VLOOKUP(B160,辅助信息!E:I,3,FALSE)</f>
        <v>（商投建工达州中医药科技园-4工区-7号楼）达州市通川区达州中医药职业学院犀牛大道北段</v>
      </c>
      <c r="J160" s="33" t="str">
        <f>VLOOKUP(B160,辅助信息!E:I,4,FALSE)</f>
        <v>张扬</v>
      </c>
      <c r="K160" s="33">
        <f>VLOOKUP(J160,辅助信息!H:I,2,FALSE)</f>
        <v>18381904567</v>
      </c>
      <c r="L160" s="71"/>
      <c r="M160" s="70"/>
      <c r="N160" s="70"/>
      <c r="O160" s="70"/>
      <c r="P160" s="70"/>
      <c r="Q160" s="33" t="str">
        <f>VLOOKUP(B160,辅助信息!E:M,9,FALSE)</f>
        <v>ZTWM-CDGS-XS-2024-0134-商投建工达州中医药科技成果示范园项目</v>
      </c>
      <c r="R160" s="19"/>
    </row>
    <row r="161" hidden="1" spans="2:18">
      <c r="B161" s="33" t="s">
        <v>56</v>
      </c>
      <c r="C161" s="63">
        <v>45662</v>
      </c>
      <c r="D161" s="33" t="str">
        <f>VLOOKUP(B161,辅助信息!E:K,7,FALSE)</f>
        <v>JWDDCD2025052800131</v>
      </c>
      <c r="E161" s="33" t="str">
        <f>VLOOKUP(F161,辅助信息!A:B,2,FALSE)</f>
        <v>螺纹钢</v>
      </c>
      <c r="F161" s="33" t="s">
        <v>28</v>
      </c>
      <c r="G161" s="29">
        <v>15</v>
      </c>
      <c r="H161" s="29" t="e">
        <f>_xlfn._xlws.FILTER(#REF!,#REF!&amp;#REF!&amp;#REF!&amp;#REF!=C161&amp;F161&amp;I161&amp;J161,"未发货")</f>
        <v>#REF!</v>
      </c>
      <c r="I161" s="33" t="str">
        <f>VLOOKUP(B161,辅助信息!E:I,3,FALSE)</f>
        <v>（商投建工达州中医药科技园-4工区-7号楼）达州市通川区达州中医药职业学院犀牛大道北段</v>
      </c>
      <c r="J161" s="33" t="str">
        <f>VLOOKUP(B161,辅助信息!E:I,4,FALSE)</f>
        <v>张扬</v>
      </c>
      <c r="K161" s="33">
        <f>VLOOKUP(J161,辅助信息!H:I,2,FALSE)</f>
        <v>18381904567</v>
      </c>
      <c r="L161" s="71"/>
      <c r="M161" s="70"/>
      <c r="N161" s="70"/>
      <c r="O161" s="70"/>
      <c r="P161" s="70"/>
      <c r="Q161" s="33" t="str">
        <f>VLOOKUP(B161,辅助信息!E:M,9,FALSE)</f>
        <v>ZTWM-CDGS-XS-2024-0134-商投建工达州中医药科技成果示范园项目</v>
      </c>
      <c r="R161" s="19"/>
    </row>
    <row r="162" hidden="1" spans="2:18">
      <c r="B162" s="33" t="s">
        <v>56</v>
      </c>
      <c r="C162" s="63">
        <v>45662</v>
      </c>
      <c r="D162" s="33" t="str">
        <f>VLOOKUP(B162,辅助信息!E:K,7,FALSE)</f>
        <v>JWDDCD2025052800131</v>
      </c>
      <c r="E162" s="33" t="str">
        <f>VLOOKUP(F162,辅助信息!A:B,2,FALSE)</f>
        <v>螺纹钢</v>
      </c>
      <c r="F162" s="33" t="s">
        <v>21</v>
      </c>
      <c r="G162" s="29">
        <v>6</v>
      </c>
      <c r="H162" s="29" t="e">
        <f>_xlfn._xlws.FILTER(#REF!,#REF!&amp;#REF!&amp;#REF!&amp;#REF!=C162&amp;F162&amp;I162&amp;J162,"未发货")</f>
        <v>#REF!</v>
      </c>
      <c r="I162" s="33" t="str">
        <f>VLOOKUP(B162,辅助信息!E:I,3,FALSE)</f>
        <v>（商投建工达州中医药科技园-4工区-7号楼）达州市通川区达州中医药职业学院犀牛大道北段</v>
      </c>
      <c r="J162" s="33" t="str">
        <f>VLOOKUP(B162,辅助信息!E:I,4,FALSE)</f>
        <v>张扬</v>
      </c>
      <c r="K162" s="33">
        <f>VLOOKUP(J162,辅助信息!H:I,2,FALSE)</f>
        <v>18381904567</v>
      </c>
      <c r="L162" s="71"/>
      <c r="M162" s="70"/>
      <c r="N162" s="70"/>
      <c r="O162" s="70"/>
      <c r="P162" s="70"/>
      <c r="Q162" s="33" t="str">
        <f>VLOOKUP(B162,辅助信息!E:M,9,FALSE)</f>
        <v>ZTWM-CDGS-XS-2024-0134-商投建工达州中医药科技成果示范园项目</v>
      </c>
      <c r="R162" s="19"/>
    </row>
    <row r="163" hidden="1" spans="2:18">
      <c r="B163" s="33" t="s">
        <v>56</v>
      </c>
      <c r="C163" s="63">
        <v>45662</v>
      </c>
      <c r="D163" s="33" t="str">
        <f>VLOOKUP(B163,辅助信息!E:K,7,FALSE)</f>
        <v>JWDDCD2025052800131</v>
      </c>
      <c r="E163" s="33" t="str">
        <f>VLOOKUP(F163,辅助信息!A:B,2,FALSE)</f>
        <v>螺纹钢</v>
      </c>
      <c r="F163" s="33" t="s">
        <v>58</v>
      </c>
      <c r="G163" s="29">
        <v>27</v>
      </c>
      <c r="H163" s="29" t="e">
        <f>_xlfn._xlws.FILTER(#REF!,#REF!&amp;#REF!&amp;#REF!&amp;#REF!=C163&amp;F163&amp;I163&amp;J163,"未发货")</f>
        <v>#REF!</v>
      </c>
      <c r="I163" s="33" t="str">
        <f>VLOOKUP(B163,辅助信息!E:I,3,FALSE)</f>
        <v>（商投建工达州中医药科技园-4工区-7号楼）达州市通川区达州中医药职业学院犀牛大道北段</v>
      </c>
      <c r="J163" s="33" t="str">
        <f>VLOOKUP(B163,辅助信息!E:I,4,FALSE)</f>
        <v>张扬</v>
      </c>
      <c r="K163" s="33">
        <f>VLOOKUP(J163,辅助信息!H:I,2,FALSE)</f>
        <v>18381904567</v>
      </c>
      <c r="L163" s="71"/>
      <c r="M163" s="70"/>
      <c r="N163" s="70"/>
      <c r="O163" s="70"/>
      <c r="P163" s="70"/>
      <c r="Q163" s="33" t="str">
        <f>VLOOKUP(B163,辅助信息!E:M,9,FALSE)</f>
        <v>ZTWM-CDGS-XS-2024-0134-商投建工达州中医药科技成果示范园项目</v>
      </c>
      <c r="R163" s="19"/>
    </row>
    <row r="164" hidden="1" spans="2:18">
      <c r="B164" s="33" t="s">
        <v>56</v>
      </c>
      <c r="C164" s="63">
        <v>45662</v>
      </c>
      <c r="D164" s="33" t="str">
        <f>VLOOKUP(B164,辅助信息!E:K,7,FALSE)</f>
        <v>JWDDCD2025052800131</v>
      </c>
      <c r="E164" s="33" t="str">
        <f>VLOOKUP(F164,辅助信息!A:B,2,FALSE)</f>
        <v>螺纹钢</v>
      </c>
      <c r="F164" s="33" t="s">
        <v>46</v>
      </c>
      <c r="G164" s="29">
        <v>9</v>
      </c>
      <c r="H164" s="29" t="e">
        <f>_xlfn._xlws.FILTER(#REF!,#REF!&amp;#REF!&amp;#REF!&amp;#REF!=C164&amp;F164&amp;I164&amp;J164,"未发货")</f>
        <v>#REF!</v>
      </c>
      <c r="I164" s="33" t="str">
        <f>VLOOKUP(B164,辅助信息!E:I,3,FALSE)</f>
        <v>（商投建工达州中医药科技园-4工区-7号楼）达州市通川区达州中医药职业学院犀牛大道北段</v>
      </c>
      <c r="J164" s="33" t="str">
        <f>VLOOKUP(B164,辅助信息!E:I,4,FALSE)</f>
        <v>张扬</v>
      </c>
      <c r="K164" s="33">
        <f>VLOOKUP(J164,辅助信息!H:I,2,FALSE)</f>
        <v>18381904567</v>
      </c>
      <c r="L164" s="71"/>
      <c r="M164" s="70"/>
      <c r="N164" s="70"/>
      <c r="O164" s="70"/>
      <c r="P164" s="70"/>
      <c r="Q164" s="33" t="str">
        <f>VLOOKUP(B164,辅助信息!E:M,9,FALSE)</f>
        <v>ZTWM-CDGS-XS-2024-0134-商投建工达州中医药科技成果示范园项目</v>
      </c>
      <c r="R164" s="19"/>
    </row>
    <row r="165" hidden="1" spans="2:18">
      <c r="B165" s="33" t="s">
        <v>56</v>
      </c>
      <c r="C165" s="63">
        <v>45662</v>
      </c>
      <c r="D165" s="33" t="str">
        <f>VLOOKUP(B165,辅助信息!E:K,7,FALSE)</f>
        <v>JWDDCD2025052800131</v>
      </c>
      <c r="E165" s="33" t="str">
        <f>VLOOKUP(F165,辅助信息!A:B,2,FALSE)</f>
        <v>螺纹钢</v>
      </c>
      <c r="F165" s="33" t="s">
        <v>22</v>
      </c>
      <c r="G165" s="29">
        <v>12</v>
      </c>
      <c r="H165" s="29" t="e">
        <f>_xlfn._xlws.FILTER(#REF!,#REF!&amp;#REF!&amp;#REF!&amp;#REF!=C165&amp;F165&amp;I165&amp;J165,"未发货")</f>
        <v>#REF!</v>
      </c>
      <c r="I165" s="33" t="str">
        <f>VLOOKUP(B165,辅助信息!E:I,3,FALSE)</f>
        <v>（商投建工达州中医药科技园-4工区-7号楼）达州市通川区达州中医药职业学院犀牛大道北段</v>
      </c>
      <c r="J165" s="33" t="str">
        <f>VLOOKUP(B165,辅助信息!E:I,4,FALSE)</f>
        <v>张扬</v>
      </c>
      <c r="K165" s="33">
        <f>VLOOKUP(J165,辅助信息!H:I,2,FALSE)</f>
        <v>18381904567</v>
      </c>
      <c r="L165" s="69"/>
      <c r="M165" s="70"/>
      <c r="N165" s="70"/>
      <c r="O165" s="70"/>
      <c r="P165" s="70"/>
      <c r="Q165" s="33" t="str">
        <f>VLOOKUP(B165,辅助信息!E:M,9,FALSE)</f>
        <v>ZTWM-CDGS-XS-2024-0134-商投建工达州中医药科技成果示范园项目</v>
      </c>
      <c r="R165" s="19"/>
    </row>
    <row r="166" hidden="1" spans="2:18">
      <c r="B166" s="33" t="s">
        <v>59</v>
      </c>
      <c r="C166" s="63">
        <v>45665</v>
      </c>
      <c r="D166" s="33" t="str">
        <f>VLOOKUP(B166,辅助信息!E:K,7,FALSE)</f>
        <v>JWDDCD2025051000019</v>
      </c>
      <c r="E166" s="33" t="str">
        <f>VLOOKUP(F166,辅助信息!A:B,2,FALSE)</f>
        <v>盘螺</v>
      </c>
      <c r="F166" s="33" t="s">
        <v>49</v>
      </c>
      <c r="G166" s="29">
        <v>35</v>
      </c>
      <c r="H166" s="29" t="e">
        <f>_xlfn._xlws.FILTER(#REF!,#REF!&amp;#REF!&amp;#REF!&amp;#REF!=C166&amp;F166&amp;I166&amp;J166,"未发货")</f>
        <v>#REF!</v>
      </c>
      <c r="I166" s="33" t="str">
        <f>VLOOKUP(B166,辅助信息!E:I,3,FALSE)</f>
        <v>(五冶钢构医学科学产业园建设项目房建二部-三标（1-2）)四川省南充市顺庆区搬罾街道学府大道二段</v>
      </c>
      <c r="J166" s="33" t="str">
        <f>VLOOKUP(B166,辅助信息!E:I,4,FALSE)</f>
        <v>安南</v>
      </c>
      <c r="K166" s="33">
        <f>VLOOKUP(J166,辅助信息!H:I,2,FALSE)</f>
        <v>19950525030</v>
      </c>
      <c r="L166" s="70" t="str">
        <f>VLOOKUP(B166,辅助信息!E:J,6,FALSE)</f>
        <v>送货单：送货单位：南充思临新材料科技有限公司,收货单位：五冶集团川北(南充)建设有限公司,项目名称：南充医学科学产业园,送货车型13米,装货前联系收货人核实到场规格</v>
      </c>
      <c r="M166" s="70"/>
      <c r="N166" s="70"/>
      <c r="O166" s="70"/>
      <c r="P166" s="70"/>
      <c r="Q166" s="33" t="str">
        <f>VLOOKUP(B166,辅助信息!E:M,9,FALSE)</f>
        <v>ZTWM-CDGS-XS-2024-0248-五冶钢构-南充市医学院项目</v>
      </c>
      <c r="R166" s="19"/>
    </row>
    <row r="167" hidden="1" spans="2:18">
      <c r="B167" s="33" t="s">
        <v>59</v>
      </c>
      <c r="C167" s="63">
        <v>45665</v>
      </c>
      <c r="D167" s="33" t="str">
        <f>VLOOKUP(B167,辅助信息!E:K,7,FALSE)</f>
        <v>JWDDCD2025051000019</v>
      </c>
      <c r="E167" s="33" t="str">
        <f>VLOOKUP(F167,辅助信息!A:B,2,FALSE)</f>
        <v>盘螺</v>
      </c>
      <c r="F167" s="33" t="s">
        <v>40</v>
      </c>
      <c r="G167" s="29">
        <v>25</v>
      </c>
      <c r="H167" s="29" t="e">
        <f>_xlfn._xlws.FILTER(#REF!,#REF!&amp;#REF!&amp;#REF!&amp;#REF!=C167&amp;F167&amp;I167&amp;J167,"未发货")</f>
        <v>#REF!</v>
      </c>
      <c r="I167" s="33" t="str">
        <f>VLOOKUP(B167,辅助信息!E:I,3,FALSE)</f>
        <v>(五冶钢构医学科学产业园建设项目房建二部-三标（1-2）)四川省南充市顺庆区搬罾街道学府大道二段</v>
      </c>
      <c r="J167" s="33" t="str">
        <f>VLOOKUP(B167,辅助信息!E:I,4,FALSE)</f>
        <v>安南</v>
      </c>
      <c r="K167" s="33">
        <f>VLOOKUP(J167,辅助信息!H:I,2,FALSE)</f>
        <v>19950525030</v>
      </c>
      <c r="L167" s="71"/>
      <c r="M167" s="70"/>
      <c r="N167" s="70"/>
      <c r="O167" s="70"/>
      <c r="P167" s="70"/>
      <c r="Q167" s="33" t="str">
        <f>VLOOKUP(B167,辅助信息!E:M,9,FALSE)</f>
        <v>ZTWM-CDGS-XS-2024-0248-五冶钢构-南充市医学院项目</v>
      </c>
      <c r="R167" s="19"/>
    </row>
    <row r="168" hidden="1" spans="2:18">
      <c r="B168" s="33" t="s">
        <v>59</v>
      </c>
      <c r="C168" s="63">
        <v>45665</v>
      </c>
      <c r="D168" s="33" t="str">
        <f>VLOOKUP(B168,辅助信息!E:K,7,FALSE)</f>
        <v>JWDDCD2025051000019</v>
      </c>
      <c r="E168" s="33" t="str">
        <f>VLOOKUP(F168,辅助信息!A:B,2,FALSE)</f>
        <v>盘螺</v>
      </c>
      <c r="F168" s="33" t="s">
        <v>41</v>
      </c>
      <c r="G168" s="29">
        <v>10</v>
      </c>
      <c r="H168" s="29" t="e">
        <f>_xlfn._xlws.FILTER(#REF!,#REF!&amp;#REF!&amp;#REF!&amp;#REF!=C168&amp;F168&amp;I168&amp;J168,"未发货")</f>
        <v>#REF!</v>
      </c>
      <c r="I168" s="33" t="str">
        <f>VLOOKUP(B168,辅助信息!E:I,3,FALSE)</f>
        <v>(五冶钢构医学科学产业园建设项目房建二部-三标（1-2）)四川省南充市顺庆区搬罾街道学府大道二段</v>
      </c>
      <c r="J168" s="33" t="str">
        <f>VLOOKUP(B168,辅助信息!E:I,4,FALSE)</f>
        <v>安南</v>
      </c>
      <c r="K168" s="33">
        <f>VLOOKUP(J168,辅助信息!H:I,2,FALSE)</f>
        <v>19950525030</v>
      </c>
      <c r="L168" s="71"/>
      <c r="M168" s="70"/>
      <c r="N168" s="70"/>
      <c r="O168" s="70"/>
      <c r="P168" s="70"/>
      <c r="Q168" s="33" t="str">
        <f>VLOOKUP(B168,辅助信息!E:M,9,FALSE)</f>
        <v>ZTWM-CDGS-XS-2024-0248-五冶钢构-南充市医学院项目</v>
      </c>
      <c r="R168" s="19"/>
    </row>
    <row r="169" hidden="1" spans="2:18">
      <c r="B169" s="33" t="s">
        <v>60</v>
      </c>
      <c r="C169" s="63">
        <v>45665</v>
      </c>
      <c r="D169" s="33" t="str">
        <f>VLOOKUP(B169,辅助信息!E:K,7,FALSE)</f>
        <v>JWDDCD2025051000019</v>
      </c>
      <c r="E169" s="33" t="str">
        <f>VLOOKUP(F169,辅助信息!A:B,2,FALSE)</f>
        <v>高线</v>
      </c>
      <c r="F169" s="33" t="s">
        <v>53</v>
      </c>
      <c r="G169" s="29">
        <v>2</v>
      </c>
      <c r="H169" s="29" t="e">
        <f>_xlfn._xlws.FILTER(#REF!,#REF!&amp;#REF!&amp;#REF!&amp;#REF!=C169&amp;F169&amp;I169&amp;J169,"未发货")</f>
        <v>#REF!</v>
      </c>
      <c r="I169" s="33" t="str">
        <f>VLOOKUP(B169,辅助信息!E:I,3,FALSE)</f>
        <v>(五冶钢构医学科学产业园建设项目房建二部-六标)四川省南充市顺庆区搬罾街道学府大道二段</v>
      </c>
      <c r="J169" s="33" t="str">
        <f>VLOOKUP(B169,辅助信息!E:I,4,FALSE)</f>
        <v>安南</v>
      </c>
      <c r="K169" s="33">
        <f>VLOOKUP(J169,辅助信息!H:I,2,FALSE)</f>
        <v>19950525030</v>
      </c>
      <c r="L169" s="71"/>
      <c r="M169" s="70"/>
      <c r="N169" s="70"/>
      <c r="O169" s="70"/>
      <c r="P169" s="70"/>
      <c r="Q169" s="33" t="str">
        <f>VLOOKUP(B169,辅助信息!E:M,9,FALSE)</f>
        <v>ZTWM-CDGS-XS-2024-0248-五冶钢构-南充市医学院项目</v>
      </c>
      <c r="R169" s="19"/>
    </row>
    <row r="170" hidden="1" spans="2:18">
      <c r="B170" s="33" t="s">
        <v>60</v>
      </c>
      <c r="C170" s="63">
        <v>45665</v>
      </c>
      <c r="D170" s="33" t="str">
        <f>VLOOKUP(B170,辅助信息!E:K,7,FALSE)</f>
        <v>JWDDCD2025051000019</v>
      </c>
      <c r="E170" s="33" t="str">
        <f>VLOOKUP(F170,辅助信息!A:B,2,FALSE)</f>
        <v>高线</v>
      </c>
      <c r="F170" s="33" t="s">
        <v>61</v>
      </c>
      <c r="G170" s="29">
        <v>8</v>
      </c>
      <c r="H170" s="29" t="e">
        <f>_xlfn._xlws.FILTER(#REF!,#REF!&amp;#REF!&amp;#REF!&amp;#REF!=C170&amp;F170&amp;I170&amp;J170,"未发货")</f>
        <v>#REF!</v>
      </c>
      <c r="I170" s="33" t="str">
        <f>VLOOKUP(B170,辅助信息!E:I,3,FALSE)</f>
        <v>(五冶钢构医学科学产业园建设项目房建二部-六标)四川省南充市顺庆区搬罾街道学府大道二段</v>
      </c>
      <c r="J170" s="33" t="str">
        <f>VLOOKUP(B170,辅助信息!E:I,4,FALSE)</f>
        <v>安南</v>
      </c>
      <c r="K170" s="33">
        <f>VLOOKUP(J170,辅助信息!H:I,2,FALSE)</f>
        <v>19950525030</v>
      </c>
      <c r="L170" s="71"/>
      <c r="M170" s="70"/>
      <c r="N170" s="70"/>
      <c r="O170" s="70"/>
      <c r="P170" s="70"/>
      <c r="Q170" s="33" t="str">
        <f>VLOOKUP(B170,辅助信息!E:M,9,FALSE)</f>
        <v>ZTWM-CDGS-XS-2024-0248-五冶钢构-南充市医学院项目</v>
      </c>
      <c r="R170" s="19"/>
    </row>
    <row r="171" hidden="1" spans="2:18">
      <c r="B171" s="33" t="s">
        <v>60</v>
      </c>
      <c r="C171" s="63">
        <v>45665</v>
      </c>
      <c r="D171" s="33" t="str">
        <f>VLOOKUP(B171,辅助信息!E:K,7,FALSE)</f>
        <v>JWDDCD2025051000019</v>
      </c>
      <c r="E171" s="33" t="str">
        <f>VLOOKUP(F171,辅助信息!A:B,2,FALSE)</f>
        <v>盘螺</v>
      </c>
      <c r="F171" s="33" t="s">
        <v>40</v>
      </c>
      <c r="G171" s="29">
        <v>2</v>
      </c>
      <c r="H171" s="29" t="e">
        <f>_xlfn._xlws.FILTER(#REF!,#REF!&amp;#REF!&amp;#REF!&amp;#REF!=C171&amp;F171&amp;I171&amp;J171,"未发货")</f>
        <v>#REF!</v>
      </c>
      <c r="I171" s="33" t="str">
        <f>VLOOKUP(B171,辅助信息!E:I,3,FALSE)</f>
        <v>(五冶钢构医学科学产业园建设项目房建二部-六标)四川省南充市顺庆区搬罾街道学府大道二段</v>
      </c>
      <c r="J171" s="33" t="str">
        <f>VLOOKUP(B171,辅助信息!E:I,4,FALSE)</f>
        <v>安南</v>
      </c>
      <c r="K171" s="33">
        <f>VLOOKUP(J171,辅助信息!H:I,2,FALSE)</f>
        <v>19950525030</v>
      </c>
      <c r="L171" s="71"/>
      <c r="M171" s="70"/>
      <c r="N171" s="70"/>
      <c r="O171" s="70"/>
      <c r="P171" s="70"/>
      <c r="Q171" s="33" t="str">
        <f>VLOOKUP(B171,辅助信息!E:M,9,FALSE)</f>
        <v>ZTWM-CDGS-XS-2024-0248-五冶钢构-南充市医学院项目</v>
      </c>
      <c r="R171" s="19"/>
    </row>
    <row r="172" hidden="1" spans="2:18">
      <c r="B172" s="33" t="s">
        <v>60</v>
      </c>
      <c r="C172" s="63">
        <v>45665</v>
      </c>
      <c r="D172" s="33" t="str">
        <f>VLOOKUP(B172,辅助信息!E:K,7,FALSE)</f>
        <v>JWDDCD2025051000019</v>
      </c>
      <c r="E172" s="33" t="str">
        <f>VLOOKUP(F172,辅助信息!A:B,2,FALSE)</f>
        <v>螺纹钢</v>
      </c>
      <c r="F172" s="33" t="s">
        <v>27</v>
      </c>
      <c r="G172" s="29">
        <v>20</v>
      </c>
      <c r="H172" s="29" t="e">
        <f>_xlfn._xlws.FILTER(#REF!,#REF!&amp;#REF!&amp;#REF!&amp;#REF!=C172&amp;F172&amp;I172&amp;J172,"未发货")</f>
        <v>#REF!</v>
      </c>
      <c r="I172" s="33" t="str">
        <f>VLOOKUP(B172,辅助信息!E:I,3,FALSE)</f>
        <v>(五冶钢构医学科学产业园建设项目房建二部-六标)四川省南充市顺庆区搬罾街道学府大道二段</v>
      </c>
      <c r="J172" s="33" t="str">
        <f>VLOOKUP(B172,辅助信息!E:I,4,FALSE)</f>
        <v>安南</v>
      </c>
      <c r="K172" s="33">
        <f>VLOOKUP(J172,辅助信息!H:I,2,FALSE)</f>
        <v>19950525030</v>
      </c>
      <c r="L172" s="71"/>
      <c r="M172" s="70"/>
      <c r="N172" s="70"/>
      <c r="O172" s="70"/>
      <c r="P172" s="70"/>
      <c r="Q172" s="33" t="str">
        <f>VLOOKUP(B172,辅助信息!E:M,9,FALSE)</f>
        <v>ZTWM-CDGS-XS-2024-0248-五冶钢构-南充市医学院项目</v>
      </c>
      <c r="R172" s="19"/>
    </row>
    <row r="173" hidden="1" spans="2:18">
      <c r="B173" s="33" t="s">
        <v>60</v>
      </c>
      <c r="C173" s="63">
        <v>45665</v>
      </c>
      <c r="D173" s="33" t="str">
        <f>VLOOKUP(B173,辅助信息!E:K,7,FALSE)</f>
        <v>JWDDCD2025051000019</v>
      </c>
      <c r="E173" s="33" t="str">
        <f>VLOOKUP(F173,辅助信息!A:B,2,FALSE)</f>
        <v>螺纹钢</v>
      </c>
      <c r="F173" s="33" t="s">
        <v>32</v>
      </c>
      <c r="G173" s="29">
        <v>3</v>
      </c>
      <c r="H173" s="29" t="e">
        <f>_xlfn._xlws.FILTER(#REF!,#REF!&amp;#REF!&amp;#REF!&amp;#REF!=C173&amp;F173&amp;I173&amp;J173,"未发货")</f>
        <v>#REF!</v>
      </c>
      <c r="I173" s="33" t="str">
        <f>VLOOKUP(B173,辅助信息!E:I,3,FALSE)</f>
        <v>(五冶钢构医学科学产业园建设项目房建二部-六标)四川省南充市顺庆区搬罾街道学府大道二段</v>
      </c>
      <c r="J173" s="33" t="str">
        <f>VLOOKUP(B173,辅助信息!E:I,4,FALSE)</f>
        <v>安南</v>
      </c>
      <c r="K173" s="33">
        <f>VLOOKUP(J173,辅助信息!H:I,2,FALSE)</f>
        <v>19950525030</v>
      </c>
      <c r="L173" s="69"/>
      <c r="M173" s="70"/>
      <c r="N173" s="70"/>
      <c r="O173" s="70"/>
      <c r="P173" s="70"/>
      <c r="Q173" s="33" t="str">
        <f>VLOOKUP(B173,辅助信息!E:M,9,FALSE)</f>
        <v>ZTWM-CDGS-XS-2024-0248-五冶钢构-南充市医学院项目</v>
      </c>
      <c r="R173" s="19"/>
    </row>
    <row r="174" ht="78.75" hidden="1" customHeight="1" spans="2:18">
      <c r="B174" s="33" t="s">
        <v>20</v>
      </c>
      <c r="C174" s="63">
        <v>45665</v>
      </c>
      <c r="D174" s="33" t="str">
        <f>VLOOKUP(B174,辅助信息!E:K,7,FALSE)</f>
        <v>JWDDCD2025051000019</v>
      </c>
      <c r="E174" s="33" t="str">
        <f>VLOOKUP(F174,辅助信息!A:B,2,FALSE)</f>
        <v>螺纹钢</v>
      </c>
      <c r="F174" s="33" t="s">
        <v>27</v>
      </c>
      <c r="G174" s="29">
        <v>35</v>
      </c>
      <c r="H174" s="29" t="e">
        <f>_xlfn._xlws.FILTER(#REF!,#REF!&amp;#REF!&amp;#REF!&amp;#REF!=C174&amp;F174&amp;I174&amp;J174,"未发货")</f>
        <v>#REF!</v>
      </c>
      <c r="I174" s="33" t="str">
        <f>VLOOKUP(B174,辅助信息!E:I,3,FALSE)</f>
        <v>(五冶钢构医学科学产业园建设项目房建三部-一标（7-2）)四川省南充市顺庆区搬罾街道学府大道二段</v>
      </c>
      <c r="J174" s="33" t="str">
        <f>VLOOKUP(B174,辅助信息!E:I,4,FALSE)</f>
        <v>郑林</v>
      </c>
      <c r="K174" s="33">
        <f>VLOOKUP(J174,辅助信息!H:I,2,FALSE)</f>
        <v>18349955455</v>
      </c>
      <c r="L174" s="79" t="str">
        <f>VLOOKUP(B174,辅助信息!E:J,6,FALSE)</f>
        <v>送货单：送货单位：南充思临新材料科技有限公司,收货单位：五冶集团川北(南充)建设有限公司,项目名称：南充医学科学产业园,送货车型13米,装货前联系收货人核实到场规格</v>
      </c>
      <c r="M174" s="79"/>
      <c r="N174" s="79"/>
      <c r="O174" s="79"/>
      <c r="P174" s="79"/>
      <c r="Q174" s="33" t="str">
        <f>VLOOKUP(B174,辅助信息!E:M,9,FALSE)</f>
        <v>ZTWM-CDGS-XS-2024-0248-五冶钢构-南充市医学院项目</v>
      </c>
      <c r="R174" s="19"/>
    </row>
    <row r="175" hidden="1" spans="2:18">
      <c r="B175" s="33" t="s">
        <v>17</v>
      </c>
      <c r="C175" s="63">
        <v>45665</v>
      </c>
      <c r="D175" s="33" t="str">
        <f>VLOOKUP(B175,辅助信息!E:K,7,FALSE)</f>
        <v>JWDDCD2024101600090</v>
      </c>
      <c r="E175" s="33" t="str">
        <f>VLOOKUP(F175,辅助信息!A:B,2,FALSE)</f>
        <v>螺纹钢</v>
      </c>
      <c r="F175" s="33" t="s">
        <v>18</v>
      </c>
      <c r="G175" s="29">
        <f>149-108</f>
        <v>41</v>
      </c>
      <c r="H175" s="29" t="e">
        <f>_xlfn._xlws.FILTER(#REF!,#REF!&amp;#REF!&amp;#REF!&amp;#REF!=C175&amp;F175&amp;I175&amp;J175,"未发货")</f>
        <v>#REF!</v>
      </c>
      <c r="I175" s="33" t="str">
        <f>VLOOKUP(B175,辅助信息!E:I,3,FALSE)</f>
        <v>（达州市公共卫生临床医疗中心项目-一标-1号制作房）达州市通川区西外复兴镇公共卫生临床医疗中心项目</v>
      </c>
      <c r="J175" s="33" t="str">
        <f>VLOOKUP(B175,辅助信息!E:I,4,FALSE)</f>
        <v>潘建发</v>
      </c>
      <c r="K175" s="33">
        <f>VLOOKUP(J175,辅助信息!H:I,2,FALSE)</f>
        <v>13658059919</v>
      </c>
      <c r="L175" s="70" t="str">
        <f>VLOOKUP(B175,辅助信息!E:J,6,FALSE)</f>
        <v>提前联系到场规格,一天到场车辆不低于2车</v>
      </c>
      <c r="M175" s="70"/>
      <c r="N175" s="70"/>
      <c r="O175" s="70"/>
      <c r="P175" s="70"/>
      <c r="Q175" s="33" t="str">
        <f>VLOOKUP(B175,辅助信息!E:M,9,FALSE)</f>
        <v>ZTWM-CDGS-XS-2024-0205-五冶钢构-达州市通川区西外复兴镇及临近片区建设项目</v>
      </c>
      <c r="R175" s="19"/>
    </row>
    <row r="176" hidden="1" spans="2:18">
      <c r="B176" s="33" t="s">
        <v>17</v>
      </c>
      <c r="C176" s="63">
        <v>45665</v>
      </c>
      <c r="D176" s="33" t="str">
        <f>VLOOKUP(B176,辅助信息!E:K,7,FALSE)</f>
        <v>JWDDCD2024101600090</v>
      </c>
      <c r="E176" s="33" t="str">
        <f>VLOOKUP(F176,辅助信息!A:B,2,FALSE)</f>
        <v>螺纹钢</v>
      </c>
      <c r="F176" s="33" t="s">
        <v>32</v>
      </c>
      <c r="G176" s="29">
        <v>9</v>
      </c>
      <c r="H176" s="29" t="e">
        <f>_xlfn._xlws.FILTER(#REF!,#REF!&amp;#REF!&amp;#REF!&amp;#REF!=C176&amp;F176&amp;I176&amp;J176,"未发货")</f>
        <v>#REF!</v>
      </c>
      <c r="I176" s="33" t="str">
        <f>VLOOKUP(B176,辅助信息!E:I,3,FALSE)</f>
        <v>（达州市公共卫生临床医疗中心项目-一标-1号制作房）达州市通川区西外复兴镇公共卫生临床医疗中心项目</v>
      </c>
      <c r="J176" s="33" t="str">
        <f>VLOOKUP(B176,辅助信息!E:I,4,FALSE)</f>
        <v>潘建发</v>
      </c>
      <c r="K176" s="33">
        <f>VLOOKUP(J176,辅助信息!H:I,2,FALSE)</f>
        <v>13658059919</v>
      </c>
      <c r="L176" s="71"/>
      <c r="M176" s="70"/>
      <c r="N176" s="70"/>
      <c r="O176" s="70"/>
      <c r="P176" s="70"/>
      <c r="Q176" s="33"/>
      <c r="R176" s="19"/>
    </row>
    <row r="177" hidden="1" spans="2:18">
      <c r="B177" s="33" t="s">
        <v>17</v>
      </c>
      <c r="C177" s="63">
        <v>45665</v>
      </c>
      <c r="D177" s="33" t="str">
        <f>VLOOKUP(B177,辅助信息!E:K,7,FALSE)</f>
        <v>JWDDCD2024101600090</v>
      </c>
      <c r="E177" s="33" t="str">
        <f>VLOOKUP(F177,辅助信息!A:B,2,FALSE)</f>
        <v>盘螺</v>
      </c>
      <c r="F177" s="33" t="s">
        <v>41</v>
      </c>
      <c r="G177" s="29">
        <v>5</v>
      </c>
      <c r="H177" s="29" t="e">
        <f>_xlfn._xlws.FILTER(#REF!,#REF!&amp;#REF!&amp;#REF!&amp;#REF!=C177&amp;F177&amp;I177&amp;J177,"未发货")</f>
        <v>#REF!</v>
      </c>
      <c r="I177" s="33" t="str">
        <f>VLOOKUP(B177,辅助信息!E:I,3,FALSE)</f>
        <v>（达州市公共卫生临床医疗中心项目-一标-1号制作房）达州市通川区西外复兴镇公共卫生临床医疗中心项目</v>
      </c>
      <c r="J177" s="33" t="str">
        <f>VLOOKUP(B177,辅助信息!E:I,4,FALSE)</f>
        <v>潘建发</v>
      </c>
      <c r="K177" s="33">
        <f>VLOOKUP(J177,辅助信息!H:I,2,FALSE)</f>
        <v>13658059919</v>
      </c>
      <c r="L177" s="69"/>
      <c r="M177" s="70"/>
      <c r="N177" s="70"/>
      <c r="O177" s="70"/>
      <c r="P177" s="70"/>
      <c r="Q177" s="33" t="str">
        <f>VLOOKUP(B177,辅助信息!E:M,9,FALSE)</f>
        <v>ZTWM-CDGS-XS-2024-0205-五冶钢构-达州市通川区西外复兴镇及临近片区建设项目</v>
      </c>
      <c r="R177" s="19"/>
    </row>
    <row r="178" hidden="1" spans="2:18">
      <c r="B178" s="33" t="s">
        <v>31</v>
      </c>
      <c r="C178" s="63">
        <v>45665</v>
      </c>
      <c r="D178" s="33" t="str">
        <f>VLOOKUP(B178,辅助信息!E:K,7,FALSE)</f>
        <v>JWDDCD2024121000136</v>
      </c>
      <c r="E178" s="33" t="str">
        <f>VLOOKUP(F178,辅助信息!A:B,2,FALSE)</f>
        <v>螺纹钢</v>
      </c>
      <c r="F178" s="33" t="s">
        <v>33</v>
      </c>
      <c r="G178" s="29">
        <v>15</v>
      </c>
      <c r="H178" s="29">
        <v>15</v>
      </c>
      <c r="I178" s="33" t="str">
        <f>VLOOKUP(B178,辅助信息!E:I,3,FALSE)</f>
        <v>（四川商建-射洪城乡一体化项目）遂宁市射洪市忠新幼儿园北侧约220米新溪小区</v>
      </c>
      <c r="J178" s="33" t="str">
        <f>VLOOKUP(B178,辅助信息!E:I,4,FALSE)</f>
        <v>柏子刚</v>
      </c>
      <c r="K178" s="33">
        <f>VLOOKUP(J178,辅助信息!H:I,2,FALSE)</f>
        <v>15692885305</v>
      </c>
      <c r="L178" s="70" t="str">
        <f>VLOOKUP(B178,辅助信息!E:J,6,FALSE)</f>
        <v>提前联系到场规格及数量</v>
      </c>
      <c r="M178" s="70"/>
      <c r="N178" s="70"/>
      <c r="O178" s="70"/>
      <c r="P178" s="70"/>
      <c r="Q178" s="33" t="str">
        <f>VLOOKUP(B178,辅助信息!E:M,9,FALSE)</f>
        <v>ZTWM-CDGS-XS-2024-0179-四川商投-射洪城乡一体化建设项目</v>
      </c>
      <c r="R178" s="19"/>
    </row>
    <row r="179" hidden="1" spans="2:18">
      <c r="B179" s="33" t="s">
        <v>31</v>
      </c>
      <c r="C179" s="63">
        <v>45665</v>
      </c>
      <c r="D179" s="33" t="str">
        <f>VLOOKUP(B179,辅助信息!E:K,7,FALSE)</f>
        <v>JWDDCD2024121000136</v>
      </c>
      <c r="E179" s="33" t="str">
        <f>VLOOKUP(F179,辅助信息!A:B,2,FALSE)</f>
        <v>盘螺</v>
      </c>
      <c r="F179" s="33" t="s">
        <v>40</v>
      </c>
      <c r="G179" s="29">
        <v>5</v>
      </c>
      <c r="H179" s="29">
        <v>5</v>
      </c>
      <c r="I179" s="33" t="str">
        <f>VLOOKUP(B179,辅助信息!E:I,3,FALSE)</f>
        <v>（四川商建-射洪城乡一体化项目）遂宁市射洪市忠新幼儿园北侧约220米新溪小区</v>
      </c>
      <c r="J179" s="33" t="str">
        <f>VLOOKUP(B179,辅助信息!E:I,4,FALSE)</f>
        <v>柏子刚</v>
      </c>
      <c r="K179" s="33">
        <f>VLOOKUP(J179,辅助信息!H:I,2,FALSE)</f>
        <v>15692885305</v>
      </c>
      <c r="L179" s="71"/>
      <c r="M179" s="70"/>
      <c r="N179" s="70"/>
      <c r="O179" s="70"/>
      <c r="P179" s="70"/>
      <c r="Q179" s="33" t="str">
        <f>VLOOKUP(B179,辅助信息!E:M,9,FALSE)</f>
        <v>ZTWM-CDGS-XS-2024-0179-四川商投-射洪城乡一体化建设项目</v>
      </c>
      <c r="R179" s="19"/>
    </row>
    <row r="180" hidden="1" spans="2:18">
      <c r="B180" s="33" t="s">
        <v>31</v>
      </c>
      <c r="C180" s="63">
        <v>45665</v>
      </c>
      <c r="D180" s="33" t="str">
        <f>VLOOKUP(B180,辅助信息!E:K,7,FALSE)</f>
        <v>JWDDCD2024121000136</v>
      </c>
      <c r="E180" s="33" t="str">
        <f>VLOOKUP(F180,辅助信息!A:B,2,FALSE)</f>
        <v>盘螺</v>
      </c>
      <c r="F180" s="33" t="s">
        <v>41</v>
      </c>
      <c r="G180" s="29">
        <v>15</v>
      </c>
      <c r="H180" s="29">
        <v>15</v>
      </c>
      <c r="I180" s="33" t="str">
        <f>VLOOKUP(B180,辅助信息!E:I,3,FALSE)</f>
        <v>（四川商建-射洪城乡一体化项目）遂宁市射洪市忠新幼儿园北侧约220米新溪小区</v>
      </c>
      <c r="J180" s="33" t="str">
        <f>VLOOKUP(B180,辅助信息!E:I,4,FALSE)</f>
        <v>柏子刚</v>
      </c>
      <c r="K180" s="33">
        <f>VLOOKUP(J180,辅助信息!H:I,2,FALSE)</f>
        <v>15692885305</v>
      </c>
      <c r="L180" s="71"/>
      <c r="M180" s="70"/>
      <c r="N180" s="70"/>
      <c r="O180" s="70"/>
      <c r="P180" s="70"/>
      <c r="Q180" s="33" t="str">
        <f>VLOOKUP(B180,辅助信息!E:M,9,FALSE)</f>
        <v>ZTWM-CDGS-XS-2024-0179-四川商投-射洪城乡一体化建设项目</v>
      </c>
      <c r="R180" s="19"/>
    </row>
    <row r="181" hidden="1" spans="1:18">
      <c r="A181" s="64" t="s">
        <v>62</v>
      </c>
      <c r="B181" s="33" t="s">
        <v>31</v>
      </c>
      <c r="C181" s="63">
        <v>45665</v>
      </c>
      <c r="D181" s="33" t="str">
        <f>VLOOKUP(B181,辅助信息!E:K,7,FALSE)</f>
        <v>JWDDCD2024121000136</v>
      </c>
      <c r="E181" s="33" t="str">
        <f>VLOOKUP(F181,辅助信息!A:B,2,FALSE)</f>
        <v>盘螺</v>
      </c>
      <c r="F181" s="33" t="s">
        <v>40</v>
      </c>
      <c r="G181" s="29">
        <v>21</v>
      </c>
      <c r="H181" s="29">
        <v>21</v>
      </c>
      <c r="I181" s="33" t="str">
        <f>VLOOKUP(B181,辅助信息!E:I,3,FALSE)</f>
        <v>（四川商建-射洪城乡一体化项目）遂宁市射洪市忠新幼儿园北侧约220米新溪小区</v>
      </c>
      <c r="J181" s="33" t="str">
        <f>VLOOKUP(B181,辅助信息!E:I,4,FALSE)</f>
        <v>柏子刚</v>
      </c>
      <c r="K181" s="33">
        <f>VLOOKUP(J181,辅助信息!H:I,2,FALSE)</f>
        <v>15692885305</v>
      </c>
      <c r="L181" s="71"/>
      <c r="M181" s="70"/>
      <c r="N181" s="70"/>
      <c r="O181" s="70"/>
      <c r="P181" s="70"/>
      <c r="Q181" s="33" t="str">
        <f>VLOOKUP(B181,辅助信息!E:M,9,FALSE)</f>
        <v>ZTWM-CDGS-XS-2024-0179-四川商投-射洪城乡一体化建设项目</v>
      </c>
      <c r="R181" s="19"/>
    </row>
    <row r="182" hidden="1" spans="2:18">
      <c r="B182" s="33" t="s">
        <v>31</v>
      </c>
      <c r="C182" s="63">
        <v>45665</v>
      </c>
      <c r="D182" s="33" t="str">
        <f>VLOOKUP(B182,辅助信息!E:K,7,FALSE)</f>
        <v>JWDDCD2024121000136</v>
      </c>
      <c r="E182" s="33" t="str">
        <f>VLOOKUP(F182,辅助信息!A:B,2,FALSE)</f>
        <v>盘螺</v>
      </c>
      <c r="F182" s="33" t="s">
        <v>41</v>
      </c>
      <c r="G182" s="29">
        <v>30</v>
      </c>
      <c r="H182" s="29">
        <v>30</v>
      </c>
      <c r="I182" s="33" t="str">
        <f>VLOOKUP(B182,辅助信息!E:I,3,FALSE)</f>
        <v>（四川商建-射洪城乡一体化项目）遂宁市射洪市忠新幼儿园北侧约220米新溪小区</v>
      </c>
      <c r="J182" s="33" t="str">
        <f>VLOOKUP(B182,辅助信息!E:I,4,FALSE)</f>
        <v>柏子刚</v>
      </c>
      <c r="K182" s="33">
        <f>VLOOKUP(J182,辅助信息!H:I,2,FALSE)</f>
        <v>15692885305</v>
      </c>
      <c r="L182" s="71"/>
      <c r="M182" s="70"/>
      <c r="N182" s="70"/>
      <c r="O182" s="70"/>
      <c r="P182" s="70"/>
      <c r="Q182" s="33" t="str">
        <f>VLOOKUP(B182,辅助信息!E:M,9,FALSE)</f>
        <v>ZTWM-CDGS-XS-2024-0179-四川商投-射洪城乡一体化建设项目</v>
      </c>
      <c r="R182" s="19"/>
    </row>
    <row r="183" hidden="1" spans="2:18">
      <c r="B183" s="33" t="s">
        <v>31</v>
      </c>
      <c r="C183" s="63">
        <v>45665</v>
      </c>
      <c r="D183" s="33" t="str">
        <f>VLOOKUP(B183,辅助信息!E:K,7,FALSE)</f>
        <v>JWDDCD2024121000136</v>
      </c>
      <c r="E183" s="33" t="str">
        <f>VLOOKUP(F183,辅助信息!A:B,2,FALSE)</f>
        <v>螺纹钢</v>
      </c>
      <c r="F183" s="33" t="s">
        <v>32</v>
      </c>
      <c r="G183" s="29">
        <v>21</v>
      </c>
      <c r="H183" s="29" t="e">
        <f>_xlfn._xlws.FILTER(#REF!,#REF!&amp;#REF!&amp;#REF!&amp;#REF!=C183&amp;F183&amp;I183&amp;J183,"未发货")</f>
        <v>#REF!</v>
      </c>
      <c r="I183" s="33" t="str">
        <f>VLOOKUP(B183,辅助信息!E:I,3,FALSE)</f>
        <v>（四川商建-射洪城乡一体化项目）遂宁市射洪市忠新幼儿园北侧约220米新溪小区</v>
      </c>
      <c r="J183" s="33" t="str">
        <f>VLOOKUP(B183,辅助信息!E:I,4,FALSE)</f>
        <v>柏子刚</v>
      </c>
      <c r="K183" s="33">
        <f>VLOOKUP(J183,辅助信息!H:I,2,FALSE)</f>
        <v>15692885305</v>
      </c>
      <c r="L183" s="71"/>
      <c r="M183" s="70"/>
      <c r="N183" s="70"/>
      <c r="O183" s="70"/>
      <c r="P183" s="70"/>
      <c r="Q183" s="33" t="str">
        <f>VLOOKUP(B183,辅助信息!E:M,9,FALSE)</f>
        <v>ZTWM-CDGS-XS-2024-0179-四川商投-射洪城乡一体化建设项目</v>
      </c>
      <c r="R183" s="19"/>
    </row>
    <row r="184" hidden="1" spans="2:18">
      <c r="B184" s="33" t="s">
        <v>31</v>
      </c>
      <c r="C184" s="63">
        <v>45665</v>
      </c>
      <c r="D184" s="33" t="str">
        <f>VLOOKUP(B184,辅助信息!E:K,7,FALSE)</f>
        <v>JWDDCD2024121000136</v>
      </c>
      <c r="E184" s="33" t="str">
        <f>VLOOKUP(F184,辅助信息!A:B,2,FALSE)</f>
        <v>螺纹钢</v>
      </c>
      <c r="F184" s="33" t="s">
        <v>33</v>
      </c>
      <c r="G184" s="29">
        <v>30</v>
      </c>
      <c r="H184" s="29">
        <v>30</v>
      </c>
      <c r="I184" s="33" t="str">
        <f>VLOOKUP(B184,辅助信息!E:I,3,FALSE)</f>
        <v>（四川商建-射洪城乡一体化项目）遂宁市射洪市忠新幼儿园北侧约220米新溪小区</v>
      </c>
      <c r="J184" s="33" t="str">
        <f>VLOOKUP(B184,辅助信息!E:I,4,FALSE)</f>
        <v>柏子刚</v>
      </c>
      <c r="K184" s="33">
        <f>VLOOKUP(J184,辅助信息!H:I,2,FALSE)</f>
        <v>15692885305</v>
      </c>
      <c r="L184" s="69"/>
      <c r="M184" s="70"/>
      <c r="N184" s="70"/>
      <c r="O184" s="70"/>
      <c r="P184" s="70"/>
      <c r="Q184" s="33" t="str">
        <f>VLOOKUP(B184,辅助信息!E:M,9,FALSE)</f>
        <v>ZTWM-CDGS-XS-2024-0179-四川商投-射洪城乡一体化建设项目</v>
      </c>
      <c r="R184" s="19"/>
    </row>
    <row r="185" ht="56.25" hidden="1" customHeight="1" spans="2:18">
      <c r="B185" s="33" t="s">
        <v>29</v>
      </c>
      <c r="C185" s="63">
        <v>45665</v>
      </c>
      <c r="D185" s="33" t="e">
        <f>VLOOKUP(B185,辅助信息!E:K,7,FALSE)</f>
        <v>#N/A</v>
      </c>
      <c r="E185" s="33" t="str">
        <f>VLOOKUP(F185,辅助信息!A:B,2,FALSE)</f>
        <v>螺纹钢</v>
      </c>
      <c r="F185" s="33" t="s">
        <v>28</v>
      </c>
      <c r="G185" s="29">
        <v>70</v>
      </c>
      <c r="H185" s="29" t="e">
        <f>_xlfn._xlws.FILTER(#REF!,#REF!&amp;#REF!&amp;#REF!&amp;#REF!=C185&amp;F185&amp;I185&amp;J185,"未发货")</f>
        <v>#REF!</v>
      </c>
      <c r="I185" s="33" t="e">
        <f>VLOOKUP(B185,辅助信息!E:I,3,FALSE)</f>
        <v>#N/A</v>
      </c>
      <c r="J185" s="33" t="e">
        <f>VLOOKUP(B185,辅助信息!E:I,4,FALSE)</f>
        <v>#N/A</v>
      </c>
      <c r="K185" s="33" t="e">
        <f>VLOOKUP(J185,辅助信息!H:I,2,FALSE)</f>
        <v>#N/A</v>
      </c>
      <c r="L185" s="79" t="e">
        <f>VLOOKUP(B185,辅助信息!E:J,6,FALSE)</f>
        <v>#N/A</v>
      </c>
      <c r="M185" s="79"/>
      <c r="N185" s="79"/>
      <c r="O185" s="79"/>
      <c r="P185" s="79"/>
      <c r="Q185" s="33" t="e">
        <f>VLOOKUP(B185,辅助信息!E:M,9,FALSE)</f>
        <v>#N/A</v>
      </c>
      <c r="R185" s="19"/>
    </row>
    <row r="186" ht="56.25" hidden="1" customHeight="1" spans="2:18">
      <c r="B186" s="33" t="s">
        <v>54</v>
      </c>
      <c r="C186" s="63">
        <v>45665</v>
      </c>
      <c r="D186" s="33" t="e">
        <f>VLOOKUP(B186,辅助信息!E:K,7,FALSE)</f>
        <v>#N/A</v>
      </c>
      <c r="E186" s="33" t="str">
        <f>VLOOKUP(F186,辅助信息!A:B,2,FALSE)</f>
        <v>螺纹钢</v>
      </c>
      <c r="F186" s="33" t="s">
        <v>33</v>
      </c>
      <c r="G186" s="29">
        <v>54</v>
      </c>
      <c r="H186" s="29" t="e">
        <f>_xlfn._xlws.FILTER(#REF!,#REF!&amp;#REF!&amp;#REF!&amp;#REF!=C186&amp;F186&amp;I186&amp;J186,"未发货")</f>
        <v>#REF!</v>
      </c>
      <c r="I186" s="33" t="e">
        <f>VLOOKUP(B186,辅助信息!E:I,3,FALSE)</f>
        <v>#N/A</v>
      </c>
      <c r="J186" s="33" t="e">
        <f>VLOOKUP(B186,辅助信息!E:I,4,FALSE)</f>
        <v>#N/A</v>
      </c>
      <c r="K186" s="33" t="e">
        <f>VLOOKUP(J186,辅助信息!H:I,2,FALSE)</f>
        <v>#N/A</v>
      </c>
      <c r="L186" s="79" t="e">
        <f>VLOOKUP(B186,辅助信息!E:J,6,FALSE)</f>
        <v>#N/A</v>
      </c>
      <c r="M186" s="79"/>
      <c r="N186" s="79"/>
      <c r="O186" s="79"/>
      <c r="P186" s="79"/>
      <c r="Q186" s="33" t="e">
        <f>VLOOKUP(B186,辅助信息!E:M,9,FALSE)</f>
        <v>#N/A</v>
      </c>
      <c r="R186" s="19"/>
    </row>
    <row r="187" ht="45" hidden="1" customHeight="1" spans="2:18">
      <c r="B187" s="33" t="s">
        <v>63</v>
      </c>
      <c r="C187" s="63">
        <v>45665</v>
      </c>
      <c r="D187" s="33" t="e">
        <f>VLOOKUP(B187,辅助信息!E:K,7,FALSE)</f>
        <v>#N/A</v>
      </c>
      <c r="E187" s="33" t="str">
        <f>VLOOKUP(F187,辅助信息!A:B,2,FALSE)</f>
        <v>螺纹钢</v>
      </c>
      <c r="F187" s="33" t="s">
        <v>52</v>
      </c>
      <c r="G187" s="29">
        <v>26</v>
      </c>
      <c r="H187" s="29" t="e">
        <f>_xlfn._xlws.FILTER(#REF!,#REF!&amp;#REF!&amp;#REF!&amp;#REF!=C187&amp;F187&amp;I187&amp;J187,"未发货")</f>
        <v>#REF!</v>
      </c>
      <c r="I187" s="33" t="e">
        <f>VLOOKUP(B187,辅助信息!E:I,3,FALSE)</f>
        <v>#N/A</v>
      </c>
      <c r="J187" s="33" t="e">
        <f>VLOOKUP(B187,辅助信息!E:I,4,FALSE)</f>
        <v>#N/A</v>
      </c>
      <c r="K187" s="33" t="e">
        <f>VLOOKUP(J187,辅助信息!H:I,2,FALSE)</f>
        <v>#N/A</v>
      </c>
      <c r="L187" s="70" t="e">
        <f>VLOOKUP(B187,辅助信息!E:J,6,FALSE)</f>
        <v>#N/A</v>
      </c>
      <c r="M187" s="70"/>
      <c r="N187" s="70"/>
      <c r="O187" s="70"/>
      <c r="P187" s="70"/>
      <c r="Q187" s="33" t="e">
        <f>VLOOKUP(B187,辅助信息!E:M,9,FALSE)</f>
        <v>#N/A</v>
      </c>
      <c r="R187" s="19"/>
    </row>
    <row r="188" hidden="1" spans="2:18">
      <c r="B188" s="33" t="s">
        <v>64</v>
      </c>
      <c r="C188" s="63">
        <v>45665</v>
      </c>
      <c r="D188" s="33" t="e">
        <f>VLOOKUP(B188,辅助信息!E:K,7,FALSE)</f>
        <v>#N/A</v>
      </c>
      <c r="E188" s="33" t="str">
        <f>VLOOKUP(F188,辅助信息!A:B,2,FALSE)</f>
        <v>螺纹钢</v>
      </c>
      <c r="F188" s="33" t="s">
        <v>27</v>
      </c>
      <c r="G188" s="29">
        <v>15</v>
      </c>
      <c r="H188" s="29" t="e">
        <f>_xlfn._xlws.FILTER(#REF!,#REF!&amp;#REF!&amp;#REF!&amp;#REF!=C188&amp;F188&amp;I188&amp;J188,"未发货")</f>
        <v>#REF!</v>
      </c>
      <c r="I188" s="33" t="e">
        <f>VLOOKUP(B188,辅助信息!E:I,3,FALSE)</f>
        <v>#N/A</v>
      </c>
      <c r="J188" s="33" t="e">
        <f>VLOOKUP(B188,辅助信息!E:I,4,FALSE)</f>
        <v>#N/A</v>
      </c>
      <c r="K188" s="33" t="e">
        <f>VLOOKUP(J188,辅助信息!H:I,2,FALSE)</f>
        <v>#N/A</v>
      </c>
      <c r="L188" s="70" t="e">
        <f>VLOOKUP(B188,辅助信息!E:J,6,FALSE)</f>
        <v>#N/A</v>
      </c>
      <c r="M188" s="70"/>
      <c r="N188" s="70"/>
      <c r="O188" s="70"/>
      <c r="P188" s="70"/>
      <c r="Q188" s="33" t="e">
        <f>VLOOKUP(B188,辅助信息!E:M,9,FALSE)</f>
        <v>#N/A</v>
      </c>
      <c r="R188" s="19"/>
    </row>
    <row r="189" hidden="1" spans="2:18">
      <c r="B189" s="33" t="s">
        <v>64</v>
      </c>
      <c r="C189" s="63">
        <v>45665</v>
      </c>
      <c r="D189" s="33" t="e">
        <f>VLOOKUP(B189,辅助信息!E:K,7,FALSE)</f>
        <v>#N/A</v>
      </c>
      <c r="E189" s="33" t="str">
        <f>VLOOKUP(F189,辅助信息!A:B,2,FALSE)</f>
        <v>螺纹钢</v>
      </c>
      <c r="F189" s="33" t="s">
        <v>32</v>
      </c>
      <c r="G189" s="29">
        <v>18</v>
      </c>
      <c r="H189" s="29" t="e">
        <f>_xlfn._xlws.FILTER(#REF!,#REF!&amp;#REF!&amp;#REF!&amp;#REF!=C189&amp;F189&amp;I189&amp;J189,"未发货")</f>
        <v>#REF!</v>
      </c>
      <c r="I189" s="33" t="e">
        <f>VLOOKUP(B189,辅助信息!E:I,3,FALSE)</f>
        <v>#N/A</v>
      </c>
      <c r="J189" s="33" t="e">
        <f>VLOOKUP(B189,辅助信息!E:I,4,FALSE)</f>
        <v>#N/A</v>
      </c>
      <c r="K189" s="33" t="e">
        <f>VLOOKUP(J189,辅助信息!H:I,2,FALSE)</f>
        <v>#N/A</v>
      </c>
      <c r="L189" s="71"/>
      <c r="M189" s="70"/>
      <c r="N189" s="70"/>
      <c r="O189" s="70"/>
      <c r="P189" s="70"/>
      <c r="Q189" s="33" t="e">
        <f>VLOOKUP(B189,辅助信息!E:M,9,FALSE)</f>
        <v>#N/A</v>
      </c>
      <c r="R189" s="19"/>
    </row>
    <row r="190" hidden="1" spans="2:18">
      <c r="B190" s="33" t="s">
        <v>64</v>
      </c>
      <c r="C190" s="63">
        <v>45665</v>
      </c>
      <c r="D190" s="33" t="e">
        <f>VLOOKUP(B190,辅助信息!E:K,7,FALSE)</f>
        <v>#N/A</v>
      </c>
      <c r="E190" s="33" t="str">
        <f>VLOOKUP(F190,辅助信息!A:B,2,FALSE)</f>
        <v>螺纹钢</v>
      </c>
      <c r="F190" s="33" t="s">
        <v>28</v>
      </c>
      <c r="G190" s="29">
        <v>6</v>
      </c>
      <c r="H190" s="29" t="e">
        <f>_xlfn._xlws.FILTER(#REF!,#REF!&amp;#REF!&amp;#REF!&amp;#REF!=C190&amp;F190&amp;I190&amp;J190,"未发货")</f>
        <v>#REF!</v>
      </c>
      <c r="I190" s="33" t="e">
        <f>VLOOKUP(B190,辅助信息!E:I,3,FALSE)</f>
        <v>#N/A</v>
      </c>
      <c r="J190" s="33" t="e">
        <f>VLOOKUP(B190,辅助信息!E:I,4,FALSE)</f>
        <v>#N/A</v>
      </c>
      <c r="K190" s="33" t="e">
        <f>VLOOKUP(J190,辅助信息!H:I,2,FALSE)</f>
        <v>#N/A</v>
      </c>
      <c r="L190" s="71"/>
      <c r="M190" s="70"/>
      <c r="N190" s="70"/>
      <c r="O190" s="70"/>
      <c r="P190" s="70"/>
      <c r="Q190" s="33" t="e">
        <f>VLOOKUP(B190,辅助信息!E:M,9,FALSE)</f>
        <v>#N/A</v>
      </c>
      <c r="R190" s="19"/>
    </row>
    <row r="191" hidden="1" spans="2:18">
      <c r="B191" s="33" t="s">
        <v>64</v>
      </c>
      <c r="C191" s="63">
        <v>45665</v>
      </c>
      <c r="D191" s="33" t="e">
        <f>VLOOKUP(B191,辅助信息!E:K,7,FALSE)</f>
        <v>#N/A</v>
      </c>
      <c r="E191" s="33" t="str">
        <f>VLOOKUP(F191,辅助信息!A:B,2,FALSE)</f>
        <v>螺纹钢</v>
      </c>
      <c r="F191" s="33" t="s">
        <v>65</v>
      </c>
      <c r="G191" s="29">
        <v>38</v>
      </c>
      <c r="H191" s="29" t="e">
        <f>_xlfn._xlws.FILTER(#REF!,#REF!&amp;#REF!&amp;#REF!&amp;#REF!=C191&amp;F191&amp;I191&amp;J191,"未发货")</f>
        <v>#REF!</v>
      </c>
      <c r="I191" s="33" t="e">
        <f>VLOOKUP(B191,辅助信息!E:I,3,FALSE)</f>
        <v>#N/A</v>
      </c>
      <c r="J191" s="33" t="e">
        <f>VLOOKUP(B191,辅助信息!E:I,4,FALSE)</f>
        <v>#N/A</v>
      </c>
      <c r="K191" s="33" t="e">
        <f>VLOOKUP(J191,辅助信息!H:I,2,FALSE)</f>
        <v>#N/A</v>
      </c>
      <c r="L191" s="71"/>
      <c r="M191" s="70"/>
      <c r="N191" s="70"/>
      <c r="O191" s="70"/>
      <c r="P191" s="70"/>
      <c r="Q191" s="33" t="e">
        <f>VLOOKUP(B191,辅助信息!E:M,9,FALSE)</f>
        <v>#N/A</v>
      </c>
      <c r="R191" s="19"/>
    </row>
    <row r="192" hidden="1" spans="2:18">
      <c r="B192" s="33" t="s">
        <v>64</v>
      </c>
      <c r="C192" s="63">
        <v>45665</v>
      </c>
      <c r="D192" s="33" t="e">
        <f>VLOOKUP(B192,辅助信息!E:K,7,FALSE)</f>
        <v>#N/A</v>
      </c>
      <c r="E192" s="33" t="str">
        <f>VLOOKUP(F192,辅助信息!A:B,2,FALSE)</f>
        <v>螺纹钢</v>
      </c>
      <c r="F192" s="33" t="s">
        <v>52</v>
      </c>
      <c r="G192" s="29">
        <v>6</v>
      </c>
      <c r="H192" s="29" t="e">
        <f>_xlfn._xlws.FILTER(#REF!,#REF!&amp;#REF!&amp;#REF!&amp;#REF!=C192&amp;F192&amp;I192&amp;J192,"未发货")</f>
        <v>#REF!</v>
      </c>
      <c r="I192" s="33" t="e">
        <f>VLOOKUP(B192,辅助信息!E:I,3,FALSE)</f>
        <v>#N/A</v>
      </c>
      <c r="J192" s="33" t="e">
        <f>VLOOKUP(B192,辅助信息!E:I,4,FALSE)</f>
        <v>#N/A</v>
      </c>
      <c r="K192" s="33" t="e">
        <f>VLOOKUP(J192,辅助信息!H:I,2,FALSE)</f>
        <v>#N/A</v>
      </c>
      <c r="L192" s="69"/>
      <c r="M192" s="70"/>
      <c r="N192" s="70"/>
      <c r="O192" s="70"/>
      <c r="P192" s="70"/>
      <c r="Q192" s="33" t="e">
        <f>VLOOKUP(B192,辅助信息!E:M,9,FALSE)</f>
        <v>#N/A</v>
      </c>
      <c r="R192" s="19"/>
    </row>
    <row r="193" hidden="1" spans="1:18">
      <c r="A193" s="75"/>
      <c r="B193" s="33" t="s">
        <v>56</v>
      </c>
      <c r="C193" s="63">
        <v>45665</v>
      </c>
      <c r="D193" s="33" t="str">
        <f>VLOOKUP(B193,辅助信息!E:K,7,FALSE)</f>
        <v>JWDDCD2025052800131</v>
      </c>
      <c r="E193" s="33" t="str">
        <f>VLOOKUP(F193,辅助信息!A:B,2,FALSE)</f>
        <v>螺纹钢</v>
      </c>
      <c r="F193" s="33" t="s">
        <v>30</v>
      </c>
      <c r="G193" s="29">
        <v>3</v>
      </c>
      <c r="H193" s="29" t="e">
        <f>_xlfn._xlws.FILTER(#REF!,#REF!&amp;#REF!&amp;#REF!&amp;#REF!=C193&amp;F193&amp;I193&amp;J193,"未发货")</f>
        <v>#REF!</v>
      </c>
      <c r="I193" s="33" t="str">
        <f>VLOOKUP(B193,辅助信息!E:I,3,FALSE)</f>
        <v>（商投建工达州中医药科技园-4工区-7号楼）达州市通川区达州中医药职业学院犀牛大道北段</v>
      </c>
      <c r="J193" s="33" t="str">
        <f>VLOOKUP(B193,辅助信息!E:I,4,FALSE)</f>
        <v>张扬</v>
      </c>
      <c r="K193" s="33">
        <f>VLOOKUP(J193,辅助信息!H:I,2,FALSE)</f>
        <v>18381904567</v>
      </c>
      <c r="L193" s="70" t="str">
        <f>VLOOKUP(B193,辅助信息!E:J,6,FALSE)</f>
        <v>控制炉批号！多了现场不收！,优先安排达钢,提前联系到场规格及数量</v>
      </c>
      <c r="M193" s="70"/>
      <c r="N193" s="70"/>
      <c r="O193" s="70"/>
      <c r="P193" s="70"/>
      <c r="Q193" s="33" t="str">
        <f>VLOOKUP(B193,辅助信息!E:M,9,FALSE)</f>
        <v>ZTWM-CDGS-XS-2024-0134-商投建工达州中医药科技成果示范园项目</v>
      </c>
      <c r="R193" s="19"/>
    </row>
    <row r="194" hidden="1" spans="1:18">
      <c r="A194" s="71"/>
      <c r="B194" s="33" t="s">
        <v>56</v>
      </c>
      <c r="C194" s="63">
        <v>45665</v>
      </c>
      <c r="D194" s="33" t="str">
        <f>VLOOKUP(B194,辅助信息!E:K,7,FALSE)</f>
        <v>JWDDCD2025052800131</v>
      </c>
      <c r="E194" s="33" t="str">
        <f>VLOOKUP(F194,辅助信息!A:B,2,FALSE)</f>
        <v>螺纹钢</v>
      </c>
      <c r="F194" s="33" t="s">
        <v>28</v>
      </c>
      <c r="G194" s="29">
        <v>15</v>
      </c>
      <c r="H194" s="29" t="e">
        <f>_xlfn._xlws.FILTER(#REF!,#REF!&amp;#REF!&amp;#REF!&amp;#REF!=C194&amp;F194&amp;I194&amp;J194,"未发货")</f>
        <v>#REF!</v>
      </c>
      <c r="I194" s="33" t="str">
        <f>VLOOKUP(B194,辅助信息!E:I,3,FALSE)</f>
        <v>（商投建工达州中医药科技园-4工区-7号楼）达州市通川区达州中医药职业学院犀牛大道北段</v>
      </c>
      <c r="J194" s="33" t="str">
        <f>VLOOKUP(B194,辅助信息!E:I,4,FALSE)</f>
        <v>张扬</v>
      </c>
      <c r="K194" s="33">
        <f>VLOOKUP(J194,辅助信息!H:I,2,FALSE)</f>
        <v>18381904567</v>
      </c>
      <c r="L194" s="71"/>
      <c r="M194" s="70"/>
      <c r="N194" s="70"/>
      <c r="O194" s="70"/>
      <c r="P194" s="70"/>
      <c r="Q194" s="33" t="str">
        <f>VLOOKUP(B194,辅助信息!E:M,9,FALSE)</f>
        <v>ZTWM-CDGS-XS-2024-0134-商投建工达州中医药科技成果示范园项目</v>
      </c>
      <c r="R194" s="19"/>
    </row>
    <row r="195" hidden="1" spans="1:18">
      <c r="A195" s="71"/>
      <c r="B195" s="33" t="s">
        <v>56</v>
      </c>
      <c r="C195" s="63">
        <v>45665</v>
      </c>
      <c r="D195" s="33" t="str">
        <f>VLOOKUP(B195,辅助信息!E:K,7,FALSE)</f>
        <v>JWDDCD2025052800131</v>
      </c>
      <c r="E195" s="33" t="str">
        <f>VLOOKUP(F195,辅助信息!A:B,2,FALSE)</f>
        <v>螺纹钢</v>
      </c>
      <c r="F195" s="33" t="s">
        <v>21</v>
      </c>
      <c r="G195" s="29">
        <v>6</v>
      </c>
      <c r="H195" s="29" t="e">
        <f>_xlfn._xlws.FILTER(#REF!,#REF!&amp;#REF!&amp;#REF!&amp;#REF!=C195&amp;F195&amp;I195&amp;J195,"未发货")</f>
        <v>#REF!</v>
      </c>
      <c r="I195" s="33" t="str">
        <f>VLOOKUP(B195,辅助信息!E:I,3,FALSE)</f>
        <v>（商投建工达州中医药科技园-4工区-7号楼）达州市通川区达州中医药职业学院犀牛大道北段</v>
      </c>
      <c r="J195" s="33" t="str">
        <f>VLOOKUP(B195,辅助信息!E:I,4,FALSE)</f>
        <v>张扬</v>
      </c>
      <c r="K195" s="33">
        <f>VLOOKUP(J195,辅助信息!H:I,2,FALSE)</f>
        <v>18381904567</v>
      </c>
      <c r="L195" s="71"/>
      <c r="M195" s="70"/>
      <c r="N195" s="70"/>
      <c r="O195" s="70"/>
      <c r="P195" s="70"/>
      <c r="Q195" s="33" t="str">
        <f>VLOOKUP(B195,辅助信息!E:M,9,FALSE)</f>
        <v>ZTWM-CDGS-XS-2024-0134-商投建工达州中医药科技成果示范园项目</v>
      </c>
      <c r="R195" s="19"/>
    </row>
    <row r="196" hidden="1" spans="1:18">
      <c r="A196" s="69"/>
      <c r="B196" s="33" t="s">
        <v>56</v>
      </c>
      <c r="C196" s="63">
        <v>45665</v>
      </c>
      <c r="D196" s="33" t="str">
        <f>VLOOKUP(B196,辅助信息!E:K,7,FALSE)</f>
        <v>JWDDCD2025052800131</v>
      </c>
      <c r="E196" s="33" t="str">
        <f>VLOOKUP(F196,辅助信息!A:B,2,FALSE)</f>
        <v>螺纹钢</v>
      </c>
      <c r="F196" s="33" t="s">
        <v>46</v>
      </c>
      <c r="G196" s="29">
        <v>9</v>
      </c>
      <c r="H196" s="29" t="e">
        <f>_xlfn._xlws.FILTER(#REF!,#REF!&amp;#REF!&amp;#REF!&amp;#REF!=C196&amp;F196&amp;I196&amp;J196,"未发货")</f>
        <v>#REF!</v>
      </c>
      <c r="I196" s="33" t="str">
        <f>VLOOKUP(B196,辅助信息!E:I,3,FALSE)</f>
        <v>（商投建工达州中医药科技园-4工区-7号楼）达州市通川区达州中医药职业学院犀牛大道北段</v>
      </c>
      <c r="J196" s="33" t="str">
        <f>VLOOKUP(B196,辅助信息!E:I,4,FALSE)</f>
        <v>张扬</v>
      </c>
      <c r="K196" s="33">
        <f>VLOOKUP(J196,辅助信息!H:I,2,FALSE)</f>
        <v>18381904567</v>
      </c>
      <c r="L196" s="69"/>
      <c r="M196" s="70"/>
      <c r="N196" s="70"/>
      <c r="O196" s="70"/>
      <c r="P196" s="70"/>
      <c r="Q196" s="33" t="str">
        <f>VLOOKUP(B196,辅助信息!E:M,9,FALSE)</f>
        <v>ZTWM-CDGS-XS-2024-0134-商投建工达州中医药科技成果示范园项目</v>
      </c>
      <c r="R196" s="19"/>
    </row>
    <row r="197" hidden="1" spans="2:18">
      <c r="B197" s="33" t="s">
        <v>48</v>
      </c>
      <c r="C197" s="63">
        <v>45665</v>
      </c>
      <c r="D197" s="33" t="str">
        <f>VLOOKUP(B197,辅助信息!E:K,7,FALSE)</f>
        <v>ZTWM-CDGS-YL-20240529-006</v>
      </c>
      <c r="E197" s="33" t="str">
        <f>VLOOKUP(F197,辅助信息!A:B,2,FALSE)</f>
        <v>螺纹钢</v>
      </c>
      <c r="F197" s="33" t="s">
        <v>66</v>
      </c>
      <c r="G197" s="29">
        <f>40-12</f>
        <v>28</v>
      </c>
      <c r="H197" s="29" t="e">
        <f>_xlfn._xlws.FILTER(#REF!,#REF!&amp;#REF!&amp;#REF!&amp;#REF!=C197&amp;F197&amp;I197&amp;J197,"未发货")</f>
        <v>#REF!</v>
      </c>
      <c r="I197" s="33" t="str">
        <f>VLOOKUP(B197,辅助信息!E:I,3,FALSE)</f>
        <v>(华西颐海-科创农业生态谷-1号钢筋房)成都市简阳市白金山水库</v>
      </c>
      <c r="J197" s="33" t="str">
        <f>VLOOKUP(B197,辅助信息!E:I,4,FALSE)</f>
        <v>石清国</v>
      </c>
      <c r="K197" s="33">
        <f>VLOOKUP(J197,辅助信息!H:I,2,FALSE)</f>
        <v>13458642015</v>
      </c>
      <c r="L197" s="70" t="str">
        <f>VLOOKUP(B197,辅助信息!E:J,6,FALSE)</f>
        <v>优先威钢,我方卸车,新老国标钢厂不加价可直发</v>
      </c>
      <c r="M197" s="70"/>
      <c r="N197" s="70"/>
      <c r="O197" s="70"/>
      <c r="P197" s="70"/>
      <c r="Q197" s="33" t="str">
        <f>VLOOKUP(B197,辅助信息!E:M,9,FALSE)</f>
        <v>ZTWM-CDGS-XS-2024-0093-华西-颐海科创农业生态谷</v>
      </c>
      <c r="R197" s="19"/>
    </row>
    <row r="198" hidden="1" spans="2:18">
      <c r="B198" s="33" t="s">
        <v>48</v>
      </c>
      <c r="C198" s="63">
        <v>45665</v>
      </c>
      <c r="D198" s="33" t="str">
        <f>VLOOKUP(B198,辅助信息!E:K,7,FALSE)</f>
        <v>ZTWM-CDGS-YL-20240529-006</v>
      </c>
      <c r="E198" s="33" t="str">
        <f>VLOOKUP(F198,辅助信息!A:B,2,FALSE)</f>
        <v>螺纹钢</v>
      </c>
      <c r="F198" s="33" t="s">
        <v>46</v>
      </c>
      <c r="G198" s="29">
        <v>6</v>
      </c>
      <c r="H198" s="29" t="e">
        <f>_xlfn._xlws.FILTER(#REF!,#REF!&amp;#REF!&amp;#REF!&amp;#REF!=C198&amp;F198&amp;I198&amp;J198,"未发货")</f>
        <v>#REF!</v>
      </c>
      <c r="I198" s="33" t="str">
        <f>VLOOKUP(B198,辅助信息!E:I,3,FALSE)</f>
        <v>(华西颐海-科创农业生态谷-1号钢筋房)成都市简阳市白金山水库</v>
      </c>
      <c r="J198" s="33" t="str">
        <f>VLOOKUP(B198,辅助信息!E:I,4,FALSE)</f>
        <v>石清国</v>
      </c>
      <c r="K198" s="33">
        <f>VLOOKUP(J198,辅助信息!H:I,2,FALSE)</f>
        <v>13458642015</v>
      </c>
      <c r="L198" s="71"/>
      <c r="M198" s="70"/>
      <c r="N198" s="70"/>
      <c r="O198" s="70"/>
      <c r="P198" s="70"/>
      <c r="Q198" s="33" t="str">
        <f>VLOOKUP(B198,辅助信息!E:M,9,FALSE)</f>
        <v>ZTWM-CDGS-XS-2024-0093-华西-颐海科创农业生态谷</v>
      </c>
      <c r="R198" s="19"/>
    </row>
    <row r="199" hidden="1" spans="2:18">
      <c r="B199" s="33" t="s">
        <v>48</v>
      </c>
      <c r="C199" s="63">
        <v>45665</v>
      </c>
      <c r="D199" s="33" t="str">
        <f>VLOOKUP(B199,辅助信息!E:K,7,FALSE)</f>
        <v>ZTWM-CDGS-YL-20240529-006</v>
      </c>
      <c r="E199" s="33" t="str">
        <f>VLOOKUP(F199,辅助信息!A:B,2,FALSE)</f>
        <v>螺纹钢</v>
      </c>
      <c r="F199" s="33" t="s">
        <v>22</v>
      </c>
      <c r="G199" s="29">
        <v>10</v>
      </c>
      <c r="H199" s="29" t="e">
        <f>_xlfn._xlws.FILTER(#REF!,#REF!&amp;#REF!&amp;#REF!&amp;#REF!=C199&amp;F199&amp;I199&amp;J199,"未发货")</f>
        <v>#REF!</v>
      </c>
      <c r="I199" s="33" t="str">
        <f>VLOOKUP(B199,辅助信息!E:I,3,FALSE)</f>
        <v>(华西颐海-科创农业生态谷-1号钢筋房)成都市简阳市白金山水库</v>
      </c>
      <c r="J199" s="33" t="str">
        <f>VLOOKUP(B199,辅助信息!E:I,4,FALSE)</f>
        <v>石清国</v>
      </c>
      <c r="K199" s="33">
        <f>VLOOKUP(J199,辅助信息!H:I,2,FALSE)</f>
        <v>13458642015</v>
      </c>
      <c r="L199" s="69"/>
      <c r="M199" s="70"/>
      <c r="N199" s="70"/>
      <c r="O199" s="70"/>
      <c r="P199" s="70"/>
      <c r="Q199" s="33" t="str">
        <f>VLOOKUP(B199,辅助信息!E:M,9,FALSE)</f>
        <v>ZTWM-CDGS-XS-2024-0093-华西-颐海科创农业生态谷</v>
      </c>
      <c r="R199" s="19"/>
    </row>
    <row r="200" hidden="1" spans="2:18">
      <c r="B200" s="33" t="s">
        <v>44</v>
      </c>
      <c r="C200" s="63">
        <v>45665</v>
      </c>
      <c r="D200" s="33" t="str">
        <f>VLOOKUP(B200,辅助信息!E:K,7,FALSE)</f>
        <v>JWDDCD2025060600053</v>
      </c>
      <c r="E200" s="33" t="str">
        <f>VLOOKUP(F200,辅助信息!A:B,2,FALSE)</f>
        <v>盘螺</v>
      </c>
      <c r="F200" s="33" t="s">
        <v>26</v>
      </c>
      <c r="G200" s="29">
        <v>52</v>
      </c>
      <c r="H200" s="29" t="e">
        <f>_xlfn._xlws.FILTER(#REF!,#REF!&amp;#REF!&amp;#REF!&amp;#REF!=C200&amp;F200&amp;I200&amp;J200,"未发货")</f>
        <v>#REF!</v>
      </c>
      <c r="I200" s="33" t="str">
        <f>VLOOKUP(B200,辅助信息!E:I,3,FALSE)</f>
        <v>（华西酒城南）成都市武侯区火车南站西路8号酒城南项目</v>
      </c>
      <c r="J200" s="33" t="str">
        <f>VLOOKUP(B200,辅助信息!E:I,4,FALSE)</f>
        <v>龙耀宇</v>
      </c>
      <c r="K200" s="33">
        <f>VLOOKUP(J200,辅助信息!H:I,2,FALSE)</f>
        <v>18384145895</v>
      </c>
      <c r="L200" s="79" t="str">
        <f>VLOOKUP(B200,辅助信息!E:J,6,FALSE)</f>
        <v>对方卸车</v>
      </c>
      <c r="M200" s="79"/>
      <c r="N200" s="79"/>
      <c r="O200" s="79"/>
      <c r="P200" s="79"/>
      <c r="Q200" s="33" t="str">
        <f>VLOOKUP(B200,辅助信息!E:M,9,FALSE)</f>
        <v>ZTWM-CDGS-XS-2024-0189-华西集采-酒城南项目</v>
      </c>
      <c r="R200" s="19"/>
    </row>
    <row r="201" hidden="1" spans="1:18">
      <c r="A201" s="64" t="s">
        <v>67</v>
      </c>
      <c r="B201" s="33" t="s">
        <v>17</v>
      </c>
      <c r="C201" s="63">
        <v>45667</v>
      </c>
      <c r="D201" s="33" t="str">
        <f>VLOOKUP(B201,辅助信息!E:K,7,FALSE)</f>
        <v>JWDDCD2024101600090</v>
      </c>
      <c r="E201" s="33" t="str">
        <f>VLOOKUP(F201,辅助信息!A:B,2,FALSE)</f>
        <v>螺纹钢</v>
      </c>
      <c r="F201" s="33" t="s">
        <v>18</v>
      </c>
      <c r="G201" s="29">
        <f>149-108</f>
        <v>41</v>
      </c>
      <c r="H201" s="29" t="e">
        <f>_xlfn._xlws.FILTER(#REF!,#REF!&amp;#REF!&amp;#REF!&amp;#REF!=C201&amp;F201&amp;I201&amp;J201,"未发货")</f>
        <v>#REF!</v>
      </c>
      <c r="I201" s="33" t="str">
        <f>VLOOKUP(B201,辅助信息!E:I,3,FALSE)</f>
        <v>（达州市公共卫生临床医疗中心项目-一标-1号制作房）达州市通川区西外复兴镇公共卫生临床医疗中心项目</v>
      </c>
      <c r="J201" s="33" t="str">
        <f>VLOOKUP(B201,辅助信息!E:I,4,FALSE)</f>
        <v>潘建发</v>
      </c>
      <c r="K201" s="33">
        <f>VLOOKUP(J201,辅助信息!H:I,2,FALSE)</f>
        <v>13658059919</v>
      </c>
      <c r="L201" s="70" t="str">
        <f>VLOOKUP(B201,辅助信息!E:J,6,FALSE)</f>
        <v>提前联系到场规格,一天到场车辆不低于2车</v>
      </c>
      <c r="M201" s="70"/>
      <c r="N201" s="70"/>
      <c r="O201" s="70"/>
      <c r="P201" s="70"/>
      <c r="Q201" s="33" t="str">
        <f>VLOOKUP(B201,辅助信息!E:M,9,FALSE)</f>
        <v>ZTWM-CDGS-XS-2024-0205-五冶钢构-达州市通川区西外复兴镇及临近片区建设项目</v>
      </c>
      <c r="R201" s="19"/>
    </row>
    <row r="202" hidden="1" spans="2:18">
      <c r="B202" s="33" t="s">
        <v>17</v>
      </c>
      <c r="C202" s="63">
        <v>45667</v>
      </c>
      <c r="D202" s="33" t="str">
        <f>VLOOKUP(B202,辅助信息!E:K,7,FALSE)</f>
        <v>JWDDCD2024101600090</v>
      </c>
      <c r="E202" s="33" t="str">
        <f>VLOOKUP(F202,辅助信息!A:B,2,FALSE)</f>
        <v>螺纹钢</v>
      </c>
      <c r="F202" s="33" t="s">
        <v>32</v>
      </c>
      <c r="G202" s="29">
        <v>9</v>
      </c>
      <c r="H202" s="29" t="e">
        <f>_xlfn._xlws.FILTER(#REF!,#REF!&amp;#REF!&amp;#REF!&amp;#REF!=C202&amp;F202&amp;I202&amp;J202,"未发货")</f>
        <v>#REF!</v>
      </c>
      <c r="I202" s="33" t="str">
        <f>VLOOKUP(B202,辅助信息!E:I,3,FALSE)</f>
        <v>（达州市公共卫生临床医疗中心项目-一标-1号制作房）达州市通川区西外复兴镇公共卫生临床医疗中心项目</v>
      </c>
      <c r="J202" s="33" t="str">
        <f>VLOOKUP(B202,辅助信息!E:I,4,FALSE)</f>
        <v>潘建发</v>
      </c>
      <c r="K202" s="33">
        <f>VLOOKUP(J202,辅助信息!H:I,2,FALSE)</f>
        <v>13658059919</v>
      </c>
      <c r="L202" s="71"/>
      <c r="M202" s="70"/>
      <c r="N202" s="70"/>
      <c r="O202" s="70"/>
      <c r="P202" s="70"/>
      <c r="Q202" s="33" t="str">
        <f>VLOOKUP(B202,辅助信息!E:M,9,FALSE)</f>
        <v>ZTWM-CDGS-XS-2024-0205-五冶钢构-达州市通川区西外复兴镇及临近片区建设项目</v>
      </c>
      <c r="R202" s="19"/>
    </row>
    <row r="203" hidden="1" spans="2:18">
      <c r="B203" s="33" t="s">
        <v>17</v>
      </c>
      <c r="C203" s="63">
        <v>45667</v>
      </c>
      <c r="D203" s="33" t="str">
        <f>VLOOKUP(B203,辅助信息!E:K,7,FALSE)</f>
        <v>JWDDCD2024101600090</v>
      </c>
      <c r="E203" s="33" t="str">
        <f>VLOOKUP(F203,辅助信息!A:B,2,FALSE)</f>
        <v>盘螺</v>
      </c>
      <c r="F203" s="33" t="s">
        <v>41</v>
      </c>
      <c r="G203" s="29">
        <v>5</v>
      </c>
      <c r="H203" s="29">
        <v>5.5</v>
      </c>
      <c r="I203" s="33" t="str">
        <f>VLOOKUP(B203,辅助信息!E:I,3,FALSE)</f>
        <v>（达州市公共卫生临床医疗中心项目-一标-1号制作房）达州市通川区西外复兴镇公共卫生临床医疗中心项目</v>
      </c>
      <c r="J203" s="33" t="str">
        <f>VLOOKUP(B203,辅助信息!E:I,4,FALSE)</f>
        <v>潘建发</v>
      </c>
      <c r="K203" s="33">
        <f>VLOOKUP(J203,辅助信息!H:I,2,FALSE)</f>
        <v>13658059919</v>
      </c>
      <c r="L203" s="69"/>
      <c r="M203" s="70"/>
      <c r="N203" s="70"/>
      <c r="O203" s="70"/>
      <c r="P203" s="70"/>
      <c r="Q203" s="33" t="str">
        <f>VLOOKUP(B203,辅助信息!E:M,9,FALSE)</f>
        <v>ZTWM-CDGS-XS-2024-0205-五冶钢构-达州市通川区西外复兴镇及临近片区建设项目</v>
      </c>
      <c r="R203" s="19"/>
    </row>
    <row r="204" ht="56.25" hidden="1" customHeight="1" spans="2:18">
      <c r="B204" s="33" t="s">
        <v>54</v>
      </c>
      <c r="C204" s="63">
        <v>45667</v>
      </c>
      <c r="D204" s="33" t="e">
        <f>VLOOKUP(B204,辅助信息!E:K,7,FALSE)</f>
        <v>#N/A</v>
      </c>
      <c r="E204" s="33" t="str">
        <f>VLOOKUP(F204,辅助信息!A:B,2,FALSE)</f>
        <v>螺纹钢</v>
      </c>
      <c r="F204" s="33" t="s">
        <v>33</v>
      </c>
      <c r="G204" s="29">
        <v>19</v>
      </c>
      <c r="H204" s="29" t="e">
        <f>_xlfn._xlws.FILTER(#REF!,#REF!&amp;#REF!&amp;#REF!&amp;#REF!=C204&amp;F204&amp;I204&amp;J204,"未发货")</f>
        <v>#REF!</v>
      </c>
      <c r="I204" s="33" t="e">
        <f>VLOOKUP(B204,辅助信息!E:I,3,FALSE)</f>
        <v>#N/A</v>
      </c>
      <c r="J204" s="33" t="e">
        <f>VLOOKUP(B204,辅助信息!E:I,4,FALSE)</f>
        <v>#N/A</v>
      </c>
      <c r="K204" s="33" t="e">
        <f>VLOOKUP(J204,辅助信息!H:I,2,FALSE)</f>
        <v>#N/A</v>
      </c>
      <c r="L204" s="70" t="e">
        <f>VLOOKUP(B204,辅助信息!E:J,6,FALSE)</f>
        <v>#N/A</v>
      </c>
      <c r="M204" s="70"/>
      <c r="N204" s="70"/>
      <c r="O204" s="70"/>
      <c r="P204" s="70"/>
      <c r="Q204" s="33" t="e">
        <f>VLOOKUP(B204,辅助信息!E:M,9,FALSE)</f>
        <v>#N/A</v>
      </c>
      <c r="R204" s="19"/>
    </row>
    <row r="205" hidden="1" spans="2:18">
      <c r="B205" s="33" t="s">
        <v>64</v>
      </c>
      <c r="C205" s="63">
        <v>45667</v>
      </c>
      <c r="D205" s="33" t="e">
        <f>VLOOKUP(B205,辅助信息!E:K,7,FALSE)</f>
        <v>#N/A</v>
      </c>
      <c r="E205" s="33" t="str">
        <f>VLOOKUP(F205,辅助信息!A:B,2,FALSE)</f>
        <v>螺纹钢</v>
      </c>
      <c r="F205" s="33" t="s">
        <v>32</v>
      </c>
      <c r="G205" s="29">
        <v>18</v>
      </c>
      <c r="H205" s="29" t="e">
        <f>_xlfn._xlws.FILTER(#REF!,#REF!&amp;#REF!&amp;#REF!&amp;#REF!=C205&amp;F205&amp;I205&amp;J205,"未发货")</f>
        <v>#REF!</v>
      </c>
      <c r="I205" s="33" t="e">
        <f>VLOOKUP(B205,辅助信息!E:I,3,FALSE)</f>
        <v>#N/A</v>
      </c>
      <c r="J205" s="33" t="e">
        <f>VLOOKUP(B205,辅助信息!E:I,4,FALSE)</f>
        <v>#N/A</v>
      </c>
      <c r="K205" s="33" t="e">
        <f>VLOOKUP(J205,辅助信息!H:I,2,FALSE)</f>
        <v>#N/A</v>
      </c>
      <c r="L205" s="70" t="e">
        <f>VLOOKUP(B205,辅助信息!E:J,6,FALSE)</f>
        <v>#N/A</v>
      </c>
      <c r="M205" s="70"/>
      <c r="N205" s="70"/>
      <c r="O205" s="70"/>
      <c r="P205" s="70"/>
      <c r="Q205" s="33" t="e">
        <f>VLOOKUP(B205,辅助信息!E:M,9,FALSE)</f>
        <v>#N/A</v>
      </c>
      <c r="R205" s="19"/>
    </row>
    <row r="206" hidden="1" spans="2:18">
      <c r="B206" s="33" t="s">
        <v>64</v>
      </c>
      <c r="C206" s="63">
        <v>45667</v>
      </c>
      <c r="D206" s="33" t="e">
        <f>VLOOKUP(B206,辅助信息!E:K,7,FALSE)</f>
        <v>#N/A</v>
      </c>
      <c r="E206" s="33" t="str">
        <f>VLOOKUP(F206,辅助信息!A:B,2,FALSE)</f>
        <v>螺纹钢</v>
      </c>
      <c r="F206" s="33" t="s">
        <v>28</v>
      </c>
      <c r="G206" s="29">
        <v>6</v>
      </c>
      <c r="H206" s="29" t="e">
        <f>_xlfn._xlws.FILTER(#REF!,#REF!&amp;#REF!&amp;#REF!&amp;#REF!=C206&amp;F206&amp;I206&amp;J206,"未发货")</f>
        <v>#REF!</v>
      </c>
      <c r="I206" s="33" t="e">
        <f>VLOOKUP(B206,辅助信息!E:I,3,FALSE)</f>
        <v>#N/A</v>
      </c>
      <c r="J206" s="33" t="e">
        <f>VLOOKUP(B206,辅助信息!E:I,4,FALSE)</f>
        <v>#N/A</v>
      </c>
      <c r="K206" s="33" t="e">
        <f>VLOOKUP(J206,辅助信息!H:I,2,FALSE)</f>
        <v>#N/A</v>
      </c>
      <c r="L206" s="71"/>
      <c r="M206" s="70"/>
      <c r="N206" s="70"/>
      <c r="O206" s="70"/>
      <c r="P206" s="70"/>
      <c r="Q206" s="33" t="e">
        <f>VLOOKUP(B206,辅助信息!E:M,9,FALSE)</f>
        <v>#N/A</v>
      </c>
      <c r="R206" s="19"/>
    </row>
    <row r="207" hidden="1" spans="2:18">
      <c r="B207" s="33" t="s">
        <v>64</v>
      </c>
      <c r="C207" s="63">
        <v>45667</v>
      </c>
      <c r="D207" s="33" t="e">
        <f>VLOOKUP(B207,辅助信息!E:K,7,FALSE)</f>
        <v>#N/A</v>
      </c>
      <c r="E207" s="33" t="str">
        <f>VLOOKUP(F207,辅助信息!A:B,2,FALSE)</f>
        <v>螺纹钢</v>
      </c>
      <c r="F207" s="33" t="s">
        <v>65</v>
      </c>
      <c r="G207" s="29">
        <v>38</v>
      </c>
      <c r="H207" s="29" t="e">
        <f>_xlfn._xlws.FILTER(#REF!,#REF!&amp;#REF!&amp;#REF!&amp;#REF!=C207&amp;F207&amp;I207&amp;J207,"未发货")</f>
        <v>#REF!</v>
      </c>
      <c r="I207" s="33" t="e">
        <f>VLOOKUP(B207,辅助信息!E:I,3,FALSE)</f>
        <v>#N/A</v>
      </c>
      <c r="J207" s="33" t="e">
        <f>VLOOKUP(B207,辅助信息!E:I,4,FALSE)</f>
        <v>#N/A</v>
      </c>
      <c r="K207" s="33" t="e">
        <f>VLOOKUP(J207,辅助信息!H:I,2,FALSE)</f>
        <v>#N/A</v>
      </c>
      <c r="L207" s="69"/>
      <c r="M207" s="70"/>
      <c r="N207" s="70"/>
      <c r="O207" s="70"/>
      <c r="P207" s="70"/>
      <c r="Q207" s="33" t="e">
        <f>VLOOKUP(B207,辅助信息!E:M,9,FALSE)</f>
        <v>#N/A</v>
      </c>
      <c r="R207" s="19"/>
    </row>
    <row r="208" hidden="1" spans="2:18">
      <c r="B208" s="33" t="s">
        <v>56</v>
      </c>
      <c r="C208" s="63">
        <v>45667</v>
      </c>
      <c r="D208" s="33" t="str">
        <f>VLOOKUP(B208,辅助信息!E:K,7,FALSE)</f>
        <v>JWDDCD2025052800131</v>
      </c>
      <c r="E208" s="33" t="str">
        <f>VLOOKUP(F208,辅助信息!A:B,2,FALSE)</f>
        <v>螺纹钢</v>
      </c>
      <c r="F208" s="33" t="s">
        <v>30</v>
      </c>
      <c r="G208" s="29">
        <v>3</v>
      </c>
      <c r="H208" s="29" t="e">
        <f>_xlfn._xlws.FILTER(#REF!,#REF!&amp;#REF!&amp;#REF!&amp;#REF!=C208&amp;F208&amp;I208&amp;J208,"未发货")</f>
        <v>#REF!</v>
      </c>
      <c r="I208" s="33" t="str">
        <f>VLOOKUP(B208,辅助信息!E:I,3,FALSE)</f>
        <v>（商投建工达州中医药科技园-4工区-7号楼）达州市通川区达州中医药职业学院犀牛大道北段</v>
      </c>
      <c r="J208" s="33" t="str">
        <f>VLOOKUP(B208,辅助信息!E:I,4,FALSE)</f>
        <v>张扬</v>
      </c>
      <c r="K208" s="33">
        <f>VLOOKUP(J208,辅助信息!H:I,2,FALSE)</f>
        <v>18381904567</v>
      </c>
      <c r="L208" s="70" t="str">
        <f>VLOOKUP(B208,辅助信息!E:J,6,FALSE)</f>
        <v>控制炉批号！多了现场不收！,优先安排达钢,提前联系到场规格及数量</v>
      </c>
      <c r="M208" s="70"/>
      <c r="N208" s="70"/>
      <c r="O208" s="70"/>
      <c r="P208" s="70"/>
      <c r="Q208" s="33" t="str">
        <f>VLOOKUP(B208,辅助信息!E:M,9,FALSE)</f>
        <v>ZTWM-CDGS-XS-2024-0134-商投建工达州中医药科技成果示范园项目</v>
      </c>
      <c r="R208" s="19"/>
    </row>
    <row r="209" hidden="1" spans="2:18">
      <c r="B209" s="33" t="s">
        <v>56</v>
      </c>
      <c r="C209" s="63">
        <v>45667</v>
      </c>
      <c r="D209" s="33" t="str">
        <f>VLOOKUP(B209,辅助信息!E:K,7,FALSE)</f>
        <v>JWDDCD2025052800131</v>
      </c>
      <c r="E209" s="33" t="str">
        <f>VLOOKUP(F209,辅助信息!A:B,2,FALSE)</f>
        <v>螺纹钢</v>
      </c>
      <c r="F209" s="33" t="s">
        <v>28</v>
      </c>
      <c r="G209" s="29">
        <v>15</v>
      </c>
      <c r="H209" s="29" t="e">
        <f>_xlfn._xlws.FILTER(#REF!,#REF!&amp;#REF!&amp;#REF!&amp;#REF!=C209&amp;F209&amp;I209&amp;J209,"未发货")</f>
        <v>#REF!</v>
      </c>
      <c r="I209" s="33" t="str">
        <f>VLOOKUP(B209,辅助信息!E:I,3,FALSE)</f>
        <v>（商投建工达州中医药科技园-4工区-7号楼）达州市通川区达州中医药职业学院犀牛大道北段</v>
      </c>
      <c r="J209" s="33" t="str">
        <f>VLOOKUP(B209,辅助信息!E:I,4,FALSE)</f>
        <v>张扬</v>
      </c>
      <c r="K209" s="33">
        <f>VLOOKUP(J209,辅助信息!H:I,2,FALSE)</f>
        <v>18381904567</v>
      </c>
      <c r="L209" s="71"/>
      <c r="M209" s="70"/>
      <c r="N209" s="70"/>
      <c r="O209" s="70"/>
      <c r="P209" s="70"/>
      <c r="Q209" s="33" t="str">
        <f>VLOOKUP(B209,辅助信息!E:M,9,FALSE)</f>
        <v>ZTWM-CDGS-XS-2024-0134-商投建工达州中医药科技成果示范园项目</v>
      </c>
      <c r="R209" s="19"/>
    </row>
    <row r="210" hidden="1" spans="2:18">
      <c r="B210" s="33" t="s">
        <v>56</v>
      </c>
      <c r="C210" s="63">
        <v>45667</v>
      </c>
      <c r="D210" s="33" t="str">
        <f>VLOOKUP(B210,辅助信息!E:K,7,FALSE)</f>
        <v>JWDDCD2025052800131</v>
      </c>
      <c r="E210" s="33" t="str">
        <f>VLOOKUP(F210,辅助信息!A:B,2,FALSE)</f>
        <v>螺纹钢</v>
      </c>
      <c r="F210" s="33" t="s">
        <v>21</v>
      </c>
      <c r="G210" s="29">
        <v>6</v>
      </c>
      <c r="H210" s="29" t="e">
        <f>_xlfn._xlws.FILTER(#REF!,#REF!&amp;#REF!&amp;#REF!&amp;#REF!=C210&amp;F210&amp;I210&amp;J210,"未发货")</f>
        <v>#REF!</v>
      </c>
      <c r="I210" s="33" t="str">
        <f>VLOOKUP(B210,辅助信息!E:I,3,FALSE)</f>
        <v>（商投建工达州中医药科技园-4工区-7号楼）达州市通川区达州中医药职业学院犀牛大道北段</v>
      </c>
      <c r="J210" s="33" t="str">
        <f>VLOOKUP(B210,辅助信息!E:I,4,FALSE)</f>
        <v>张扬</v>
      </c>
      <c r="K210" s="33">
        <f>VLOOKUP(J210,辅助信息!H:I,2,FALSE)</f>
        <v>18381904567</v>
      </c>
      <c r="L210" s="71"/>
      <c r="M210" s="70"/>
      <c r="N210" s="70"/>
      <c r="O210" s="70"/>
      <c r="P210" s="70"/>
      <c r="Q210" s="33" t="str">
        <f>VLOOKUP(B210,辅助信息!E:M,9,FALSE)</f>
        <v>ZTWM-CDGS-XS-2024-0134-商投建工达州中医药科技成果示范园项目</v>
      </c>
      <c r="R210" s="19"/>
    </row>
    <row r="211" hidden="1" spans="2:18">
      <c r="B211" s="33" t="s">
        <v>56</v>
      </c>
      <c r="C211" s="63">
        <v>45667</v>
      </c>
      <c r="D211" s="33" t="str">
        <f>VLOOKUP(B211,辅助信息!E:K,7,FALSE)</f>
        <v>JWDDCD2025052800131</v>
      </c>
      <c r="E211" s="33" t="str">
        <f>VLOOKUP(F211,辅助信息!A:B,2,FALSE)</f>
        <v>螺纹钢</v>
      </c>
      <c r="F211" s="33" t="s">
        <v>46</v>
      </c>
      <c r="G211" s="29">
        <v>9</v>
      </c>
      <c r="H211" s="29" t="e">
        <f>_xlfn._xlws.FILTER(#REF!,#REF!&amp;#REF!&amp;#REF!&amp;#REF!=C211&amp;F211&amp;I211&amp;J211,"未发货")</f>
        <v>#REF!</v>
      </c>
      <c r="I211" s="33" t="str">
        <f>VLOOKUP(B211,辅助信息!E:I,3,FALSE)</f>
        <v>（商投建工达州中医药科技园-4工区-7号楼）达州市通川区达州中医药职业学院犀牛大道北段</v>
      </c>
      <c r="J211" s="33" t="str">
        <f>VLOOKUP(B211,辅助信息!E:I,4,FALSE)</f>
        <v>张扬</v>
      </c>
      <c r="K211" s="33">
        <f>VLOOKUP(J211,辅助信息!H:I,2,FALSE)</f>
        <v>18381904567</v>
      </c>
      <c r="L211" s="69"/>
      <c r="M211" s="70"/>
      <c r="N211" s="70"/>
      <c r="O211" s="70"/>
      <c r="P211" s="70"/>
      <c r="Q211" s="33" t="str">
        <f>VLOOKUP(B211,辅助信息!E:M,9,FALSE)</f>
        <v>ZTWM-CDGS-XS-2024-0134-商投建工达州中医药科技成果示范园项目</v>
      </c>
      <c r="R211" s="19"/>
    </row>
    <row r="212" hidden="1" spans="2:18">
      <c r="B212" s="33" t="s">
        <v>48</v>
      </c>
      <c r="C212" s="63">
        <v>45667</v>
      </c>
      <c r="D212" s="33" t="str">
        <f>VLOOKUP(B212,辅助信息!E:K,7,FALSE)</f>
        <v>ZTWM-CDGS-YL-20240529-006</v>
      </c>
      <c r="E212" s="33" t="str">
        <f>VLOOKUP(F212,辅助信息!A:B,2,FALSE)</f>
        <v>螺纹钢</v>
      </c>
      <c r="F212" s="33" t="s">
        <v>66</v>
      </c>
      <c r="G212" s="29">
        <f>40-12</f>
        <v>28</v>
      </c>
      <c r="H212" s="29" t="e">
        <f>_xlfn._xlws.FILTER(#REF!,#REF!&amp;#REF!&amp;#REF!&amp;#REF!=C212&amp;F212&amp;I212&amp;J212,"未发货")</f>
        <v>#REF!</v>
      </c>
      <c r="I212" s="33" t="str">
        <f>VLOOKUP(B212,辅助信息!E:I,3,FALSE)</f>
        <v>(华西颐海-科创农业生态谷-1号钢筋房)成都市简阳市白金山水库</v>
      </c>
      <c r="J212" s="33" t="str">
        <f>VLOOKUP(B212,辅助信息!E:I,4,FALSE)</f>
        <v>石清国</v>
      </c>
      <c r="K212" s="33">
        <f>VLOOKUP(J212,辅助信息!H:I,2,FALSE)</f>
        <v>13458642015</v>
      </c>
      <c r="L212" s="70" t="str">
        <f>VLOOKUP(B212,辅助信息!E:J,6,FALSE)</f>
        <v>优先威钢,我方卸车,新老国标钢厂不加价可直发</v>
      </c>
      <c r="M212" s="70"/>
      <c r="N212" s="70"/>
      <c r="O212" s="70"/>
      <c r="P212" s="70"/>
      <c r="Q212" s="33" t="str">
        <f>VLOOKUP(B212,辅助信息!E:M,9,FALSE)</f>
        <v>ZTWM-CDGS-XS-2024-0093-华西-颐海科创农业生态谷</v>
      </c>
      <c r="R212" s="19"/>
    </row>
    <row r="213" hidden="1" spans="2:18">
      <c r="B213" s="33" t="s">
        <v>48</v>
      </c>
      <c r="C213" s="63">
        <v>45667</v>
      </c>
      <c r="D213" s="33" t="str">
        <f>VLOOKUP(B213,辅助信息!E:K,7,FALSE)</f>
        <v>ZTWM-CDGS-YL-20240529-006</v>
      </c>
      <c r="E213" s="33" t="str">
        <f>VLOOKUP(F213,辅助信息!A:B,2,FALSE)</f>
        <v>螺纹钢</v>
      </c>
      <c r="F213" s="33" t="s">
        <v>46</v>
      </c>
      <c r="G213" s="29">
        <v>6</v>
      </c>
      <c r="H213" s="29" t="e">
        <f>_xlfn._xlws.FILTER(#REF!,#REF!&amp;#REF!&amp;#REF!&amp;#REF!=C213&amp;F213&amp;I213&amp;J213,"未发货")</f>
        <v>#REF!</v>
      </c>
      <c r="I213" s="33" t="str">
        <f>VLOOKUP(B213,辅助信息!E:I,3,FALSE)</f>
        <v>(华西颐海-科创农业生态谷-1号钢筋房)成都市简阳市白金山水库</v>
      </c>
      <c r="J213" s="33" t="str">
        <f>VLOOKUP(B213,辅助信息!E:I,4,FALSE)</f>
        <v>石清国</v>
      </c>
      <c r="K213" s="33">
        <f>VLOOKUP(J213,辅助信息!H:I,2,FALSE)</f>
        <v>13458642015</v>
      </c>
      <c r="L213" s="71"/>
      <c r="M213" s="70"/>
      <c r="N213" s="70"/>
      <c r="O213" s="70"/>
      <c r="P213" s="70"/>
      <c r="Q213" s="33" t="str">
        <f>VLOOKUP(B213,辅助信息!E:M,9,FALSE)</f>
        <v>ZTWM-CDGS-XS-2024-0093-华西-颐海科创农业生态谷</v>
      </c>
      <c r="R213" s="19"/>
    </row>
    <row r="214" hidden="1" spans="2:18">
      <c r="B214" s="33" t="s">
        <v>48</v>
      </c>
      <c r="C214" s="63">
        <v>45667</v>
      </c>
      <c r="D214" s="33" t="str">
        <f>VLOOKUP(B214,辅助信息!E:K,7,FALSE)</f>
        <v>ZTWM-CDGS-YL-20240529-006</v>
      </c>
      <c r="E214" s="33" t="str">
        <f>VLOOKUP(F214,辅助信息!A:B,2,FALSE)</f>
        <v>螺纹钢</v>
      </c>
      <c r="F214" s="33" t="s">
        <v>22</v>
      </c>
      <c r="G214" s="29">
        <v>10</v>
      </c>
      <c r="H214" s="29" t="e">
        <f>_xlfn._xlws.FILTER(#REF!,#REF!&amp;#REF!&amp;#REF!&amp;#REF!=C214&amp;F214&amp;I214&amp;J214,"未发货")</f>
        <v>#REF!</v>
      </c>
      <c r="I214" s="33" t="str">
        <f>VLOOKUP(B214,辅助信息!E:I,3,FALSE)</f>
        <v>(华西颐海-科创农业生态谷-1号钢筋房)成都市简阳市白金山水库</v>
      </c>
      <c r="J214" s="33" t="str">
        <f>VLOOKUP(B214,辅助信息!E:I,4,FALSE)</f>
        <v>石清国</v>
      </c>
      <c r="K214" s="33">
        <f>VLOOKUP(J214,辅助信息!H:I,2,FALSE)</f>
        <v>13458642015</v>
      </c>
      <c r="L214" s="69"/>
      <c r="M214" s="70"/>
      <c r="N214" s="70"/>
      <c r="O214" s="70"/>
      <c r="P214" s="70"/>
      <c r="Q214" s="33" t="str">
        <f>VLOOKUP(B214,辅助信息!E:M,9,FALSE)</f>
        <v>ZTWM-CDGS-XS-2024-0093-华西-颐海科创农业生态谷</v>
      </c>
      <c r="R214" s="19"/>
    </row>
    <row r="215" hidden="1" spans="2:18">
      <c r="B215" s="33" t="s">
        <v>44</v>
      </c>
      <c r="C215" s="63">
        <v>45667</v>
      </c>
      <c r="D215" s="33" t="str">
        <f>VLOOKUP(B215,辅助信息!E:K,7,FALSE)</f>
        <v>JWDDCD2025060600053</v>
      </c>
      <c r="E215" s="33" t="str">
        <f>VLOOKUP(F215,辅助信息!A:B,2,FALSE)</f>
        <v>盘螺</v>
      </c>
      <c r="F215" s="33" t="s">
        <v>26</v>
      </c>
      <c r="G215" s="80">
        <v>35</v>
      </c>
      <c r="H215" s="29" t="e">
        <f>_xlfn._xlws.FILTER(#REF!,#REF!&amp;#REF!&amp;#REF!&amp;#REF!=C215&amp;F215&amp;I215&amp;J215,"未发货")</f>
        <v>#REF!</v>
      </c>
      <c r="I215" s="33" t="str">
        <f>VLOOKUP(B215,辅助信息!E:I,3,FALSE)</f>
        <v>（华西酒城南）成都市武侯区火车南站西路8号酒城南项目</v>
      </c>
      <c r="J215" s="33" t="str">
        <f>VLOOKUP(B215,辅助信息!E:I,4,FALSE)</f>
        <v>龙耀宇</v>
      </c>
      <c r="K215" s="33">
        <f>VLOOKUP(J215,辅助信息!H:I,2,FALSE)</f>
        <v>18384145895</v>
      </c>
      <c r="L215" s="70" t="str">
        <f>VLOOKUP(B215,辅助信息!E:J,6,FALSE)</f>
        <v>对方卸车</v>
      </c>
      <c r="M215" s="70"/>
      <c r="N215" s="70"/>
      <c r="O215" s="70"/>
      <c r="P215" s="70"/>
      <c r="Q215" s="33" t="str">
        <f>VLOOKUP(B215,辅助信息!E:M,9,FALSE)</f>
        <v>ZTWM-CDGS-XS-2024-0189-华西集采-酒城南项目</v>
      </c>
      <c r="R215" s="19"/>
    </row>
    <row r="216" hidden="1" spans="2:18">
      <c r="B216" s="33" t="s">
        <v>31</v>
      </c>
      <c r="C216" s="63">
        <v>45667</v>
      </c>
      <c r="D216" s="33" t="str">
        <f>VLOOKUP(B216,辅助信息!E:K,7,FALSE)</f>
        <v>JWDDCD2024121000136</v>
      </c>
      <c r="E216" s="33" t="str">
        <f>VLOOKUP(F216,辅助信息!A:B,2,FALSE)</f>
        <v>螺纹钢</v>
      </c>
      <c r="F216" s="33" t="s">
        <v>27</v>
      </c>
      <c r="G216" s="29">
        <v>15</v>
      </c>
      <c r="H216" s="29" t="e">
        <f>_xlfn._xlws.FILTER(#REF!,#REF!&amp;#REF!&amp;#REF!&amp;#REF!=C216&amp;F216&amp;I216&amp;J216,"未发货")</f>
        <v>#REF!</v>
      </c>
      <c r="I216" s="33" t="str">
        <f>VLOOKUP(B216,辅助信息!E:I,3,FALSE)</f>
        <v>（四川商建-射洪城乡一体化项目）遂宁市射洪市忠新幼儿园北侧约220米新溪小区</v>
      </c>
      <c r="J216" s="33" t="str">
        <f>VLOOKUP(B216,辅助信息!E:I,4,FALSE)</f>
        <v>柏子刚</v>
      </c>
      <c r="K216" s="33">
        <f>VLOOKUP(J216,辅助信息!H:I,2,FALSE)</f>
        <v>15692885305</v>
      </c>
      <c r="L216" s="70" t="str">
        <f>VLOOKUP(B216,辅助信息!E:J,6,FALSE)</f>
        <v>提前联系到场规格及数量</v>
      </c>
      <c r="M216" s="70"/>
      <c r="N216" s="70"/>
      <c r="O216" s="70"/>
      <c r="P216" s="70"/>
      <c r="Q216" s="33" t="str">
        <f>VLOOKUP(B216,辅助信息!E:M,9,FALSE)</f>
        <v>ZTWM-CDGS-XS-2024-0179-四川商投-射洪城乡一体化建设项目</v>
      </c>
      <c r="R216" s="19"/>
    </row>
    <row r="217" hidden="1" spans="2:18">
      <c r="B217" s="33" t="s">
        <v>31</v>
      </c>
      <c r="C217" s="63">
        <v>45667</v>
      </c>
      <c r="D217" s="33" t="str">
        <f>VLOOKUP(B217,辅助信息!E:K,7,FALSE)</f>
        <v>JWDDCD2024121000136</v>
      </c>
      <c r="E217" s="33" t="str">
        <f>VLOOKUP(F217,辅助信息!A:B,2,FALSE)</f>
        <v>螺纹钢</v>
      </c>
      <c r="F217" s="33" t="s">
        <v>19</v>
      </c>
      <c r="G217" s="29">
        <v>15</v>
      </c>
      <c r="H217" s="29" t="e">
        <f>_xlfn._xlws.FILTER(#REF!,#REF!&amp;#REF!&amp;#REF!&amp;#REF!=C217&amp;F217&amp;I217&amp;J217,"未发货")</f>
        <v>#REF!</v>
      </c>
      <c r="I217" s="33" t="str">
        <f>VLOOKUP(B217,辅助信息!E:I,3,FALSE)</f>
        <v>（四川商建-射洪城乡一体化项目）遂宁市射洪市忠新幼儿园北侧约220米新溪小区</v>
      </c>
      <c r="J217" s="33" t="str">
        <f>VLOOKUP(B217,辅助信息!E:I,4,FALSE)</f>
        <v>柏子刚</v>
      </c>
      <c r="K217" s="33">
        <f>VLOOKUP(J217,辅助信息!H:I,2,FALSE)</f>
        <v>15692885305</v>
      </c>
      <c r="L217" s="71"/>
      <c r="M217" s="70"/>
      <c r="N217" s="70"/>
      <c r="O217" s="70"/>
      <c r="P217" s="70"/>
      <c r="Q217" s="33" t="str">
        <f>VLOOKUP(B217,辅助信息!E:M,9,FALSE)</f>
        <v>ZTWM-CDGS-XS-2024-0179-四川商投-射洪城乡一体化建设项目</v>
      </c>
      <c r="R217" s="19"/>
    </row>
    <row r="218" hidden="1" spans="2:18">
      <c r="B218" s="33" t="s">
        <v>31</v>
      </c>
      <c r="C218" s="63">
        <v>45667</v>
      </c>
      <c r="D218" s="33" t="str">
        <f>VLOOKUP(B218,辅助信息!E:K,7,FALSE)</f>
        <v>JWDDCD2024121000136</v>
      </c>
      <c r="E218" s="33" t="str">
        <f>VLOOKUP(F218,辅助信息!A:B,2,FALSE)</f>
        <v>螺纹钢</v>
      </c>
      <c r="F218" s="33" t="s">
        <v>32</v>
      </c>
      <c r="G218" s="29">
        <v>54</v>
      </c>
      <c r="H218" s="29" t="e">
        <f>_xlfn._xlws.FILTER(#REF!,#REF!&amp;#REF!&amp;#REF!&amp;#REF!=C218&amp;F218&amp;I218&amp;J218,"未发货")</f>
        <v>#REF!</v>
      </c>
      <c r="I218" s="33" t="str">
        <f>VLOOKUP(B218,辅助信息!E:I,3,FALSE)</f>
        <v>（四川商建-射洪城乡一体化项目）遂宁市射洪市忠新幼儿园北侧约220米新溪小区</v>
      </c>
      <c r="J218" s="33" t="str">
        <f>VLOOKUP(B218,辅助信息!E:I,4,FALSE)</f>
        <v>柏子刚</v>
      </c>
      <c r="K218" s="33">
        <f>VLOOKUP(J218,辅助信息!H:I,2,FALSE)</f>
        <v>15692885305</v>
      </c>
      <c r="L218" s="71"/>
      <c r="M218" s="70"/>
      <c r="N218" s="70"/>
      <c r="O218" s="70"/>
      <c r="P218" s="70"/>
      <c r="Q218" s="33" t="str">
        <f>VLOOKUP(B218,辅助信息!E:M,9,FALSE)</f>
        <v>ZTWM-CDGS-XS-2024-0179-四川商投-射洪城乡一体化建设项目</v>
      </c>
      <c r="R218" s="19"/>
    </row>
    <row r="219" hidden="1" spans="2:18">
      <c r="B219" s="33" t="s">
        <v>31</v>
      </c>
      <c r="C219" s="63">
        <v>45667</v>
      </c>
      <c r="D219" s="33" t="str">
        <f>VLOOKUP(B219,辅助信息!E:K,7,FALSE)</f>
        <v>JWDDCD2024121000136</v>
      </c>
      <c r="E219" s="33" t="str">
        <f>VLOOKUP(F219,辅助信息!A:B,2,FALSE)</f>
        <v>螺纹钢</v>
      </c>
      <c r="F219" s="33" t="s">
        <v>30</v>
      </c>
      <c r="G219" s="29">
        <v>21</v>
      </c>
      <c r="H219" s="29" t="e">
        <f>_xlfn._xlws.FILTER(#REF!,#REF!&amp;#REF!&amp;#REF!&amp;#REF!=C219&amp;F219&amp;I219&amp;J219,"未发货")</f>
        <v>#REF!</v>
      </c>
      <c r="I219" s="33" t="str">
        <f>VLOOKUP(B219,辅助信息!E:I,3,FALSE)</f>
        <v>（四川商建-射洪城乡一体化项目）遂宁市射洪市忠新幼儿园北侧约220米新溪小区</v>
      </c>
      <c r="J219" s="33" t="str">
        <f>VLOOKUP(B219,辅助信息!E:I,4,FALSE)</f>
        <v>柏子刚</v>
      </c>
      <c r="K219" s="33">
        <f>VLOOKUP(J219,辅助信息!H:I,2,FALSE)</f>
        <v>15692885305</v>
      </c>
      <c r="L219" s="69"/>
      <c r="M219" s="70"/>
      <c r="N219" s="70"/>
      <c r="O219" s="70"/>
      <c r="P219" s="70"/>
      <c r="Q219" s="33" t="str">
        <f>VLOOKUP(B219,辅助信息!E:M,9,FALSE)</f>
        <v>ZTWM-CDGS-XS-2024-0179-四川商投-射洪城乡一体化建设项目</v>
      </c>
      <c r="R219" s="19"/>
    </row>
    <row r="220" hidden="1" spans="2:18">
      <c r="B220" s="33" t="s">
        <v>43</v>
      </c>
      <c r="C220" s="63">
        <v>45667</v>
      </c>
      <c r="D220" s="33" t="str">
        <f>VLOOKUP(B220,辅助信息!E:K,7,FALSE)</f>
        <v>JWDDCD2024101600090</v>
      </c>
      <c r="E220" s="33" t="str">
        <f>VLOOKUP(F220,辅助信息!A:B,2,FALSE)</f>
        <v>盘螺</v>
      </c>
      <c r="F220" s="33" t="s">
        <v>40</v>
      </c>
      <c r="G220" s="29">
        <v>16</v>
      </c>
      <c r="H220" s="29" t="e">
        <f>_xlfn._xlws.FILTER(#REF!,#REF!&amp;#REF!&amp;#REF!&amp;#REF!=C220&amp;F220&amp;I220&amp;J220,"未发货")</f>
        <v>#REF!</v>
      </c>
      <c r="I220" s="33" t="str">
        <f>VLOOKUP(B220,辅助信息!E:I,3,FALSE)</f>
        <v>（达州市公共卫生医疗中心项目-二标-3号楼）达州市通川区西外复兴镇公共卫生临床医疗中心项目</v>
      </c>
      <c r="J220" s="33" t="str">
        <f>VLOOKUP(B220,辅助信息!E:I,4,FALSE)</f>
        <v>黄永林</v>
      </c>
      <c r="K220" s="33">
        <f>VLOOKUP(J220,辅助信息!H:I,2,FALSE)</f>
        <v>15982487227</v>
      </c>
      <c r="L220" s="50"/>
      <c r="M220" s="50"/>
      <c r="N220" s="50"/>
      <c r="O220" s="50"/>
      <c r="P220" s="50"/>
      <c r="Q220" s="19"/>
      <c r="R220" s="19"/>
    </row>
    <row r="221" hidden="1" spans="2:18">
      <c r="B221" s="33" t="s">
        <v>43</v>
      </c>
      <c r="C221" s="63">
        <v>45667</v>
      </c>
      <c r="D221" s="33" t="str">
        <f>VLOOKUP(B221,辅助信息!E:K,7,FALSE)</f>
        <v>JWDDCD2024101600090</v>
      </c>
      <c r="E221" s="33" t="str">
        <f>VLOOKUP(F221,辅助信息!A:B,2,FALSE)</f>
        <v>盘螺</v>
      </c>
      <c r="F221" s="33" t="s">
        <v>41</v>
      </c>
      <c r="G221" s="29">
        <v>12</v>
      </c>
      <c r="H221" s="29">
        <v>12</v>
      </c>
      <c r="I221" s="33" t="str">
        <f>VLOOKUP(B221,辅助信息!E:I,3,FALSE)</f>
        <v>（达州市公共卫生医疗中心项目-二标-3号楼）达州市通川区西外复兴镇公共卫生临床医疗中心项目</v>
      </c>
      <c r="J221" s="33" t="str">
        <f>VLOOKUP(B221,辅助信息!E:I,4,FALSE)</f>
        <v>黄永林</v>
      </c>
      <c r="K221" s="33">
        <f>VLOOKUP(J221,辅助信息!H:I,2,FALSE)</f>
        <v>15982487227</v>
      </c>
      <c r="L221" s="50"/>
      <c r="M221" s="50"/>
      <c r="N221" s="50"/>
      <c r="O221" s="50"/>
      <c r="P221" s="50"/>
      <c r="Q221" s="19"/>
      <c r="R221" s="19"/>
    </row>
    <row r="222" hidden="1" spans="2:18">
      <c r="B222" s="33" t="s">
        <v>43</v>
      </c>
      <c r="C222" s="63">
        <v>45667</v>
      </c>
      <c r="D222" s="33" t="str">
        <f>VLOOKUP(B222,辅助信息!E:K,7,FALSE)</f>
        <v>JWDDCD2024101600090</v>
      </c>
      <c r="E222" s="33" t="str">
        <f>VLOOKUP(F222,辅助信息!A:B,2,FALSE)</f>
        <v>螺纹钢</v>
      </c>
      <c r="F222" s="33" t="s">
        <v>27</v>
      </c>
      <c r="G222" s="29">
        <v>25</v>
      </c>
      <c r="H222" s="29" t="e">
        <f>_xlfn._xlws.FILTER(#REF!,#REF!&amp;#REF!&amp;#REF!&amp;#REF!=C222&amp;F222&amp;I222&amp;J222,"未发货")</f>
        <v>#REF!</v>
      </c>
      <c r="I222" s="33" t="str">
        <f>VLOOKUP(B222,辅助信息!E:I,3,FALSE)</f>
        <v>（达州市公共卫生医疗中心项目-二标-3号楼）达州市通川区西外复兴镇公共卫生临床医疗中心项目</v>
      </c>
      <c r="J222" s="33" t="str">
        <f>VLOOKUP(B222,辅助信息!E:I,4,FALSE)</f>
        <v>黄永林</v>
      </c>
      <c r="K222" s="33">
        <f>VLOOKUP(J222,辅助信息!H:I,2,FALSE)</f>
        <v>15982487227</v>
      </c>
      <c r="L222" s="50"/>
      <c r="M222" s="50"/>
      <c r="N222" s="50"/>
      <c r="O222" s="50"/>
      <c r="P222" s="50"/>
      <c r="Q222" s="19"/>
      <c r="R222" s="19"/>
    </row>
    <row r="223" hidden="1" spans="2:18">
      <c r="B223" s="33" t="s">
        <v>68</v>
      </c>
      <c r="C223" s="63">
        <v>45667</v>
      </c>
      <c r="D223" s="33" t="str">
        <f>VLOOKUP(B223,辅助信息!E:K,7,FALSE)</f>
        <v>JWDDCD2025052800131</v>
      </c>
      <c r="E223" s="33" t="str">
        <f>VLOOKUP(F223,辅助信息!A:B,2,FALSE)</f>
        <v>盘螺</v>
      </c>
      <c r="F223" s="33" t="s">
        <v>26</v>
      </c>
      <c r="G223" s="29">
        <v>9</v>
      </c>
      <c r="H223" s="29" t="e">
        <f>_xlfn._xlws.FILTER(#REF!,#REF!&amp;#REF!&amp;#REF!&amp;#REF!=C223&amp;F223&amp;I223&amp;J223,"未发货")</f>
        <v>#REF!</v>
      </c>
      <c r="I223" s="33" t="str">
        <f>VLOOKUP(B223,辅助信息!E:I,3,FALSE)</f>
        <v>（商投建工达州中医药科技园-2工区-景观桥）达州市通川区达州中医药职业学院犀牛大道北段</v>
      </c>
      <c r="J223" s="33" t="str">
        <f>VLOOKUP(B223,辅助信息!E:I,4,FALSE)</f>
        <v>李波</v>
      </c>
      <c r="K223" s="33">
        <f>VLOOKUP(J223,辅助信息!H:I,2,FALSE)</f>
        <v>18381899787</v>
      </c>
      <c r="L223" s="50"/>
      <c r="M223" s="50"/>
      <c r="N223" s="50"/>
      <c r="O223" s="50"/>
      <c r="P223" s="50"/>
      <c r="Q223" s="19"/>
      <c r="R223" s="19"/>
    </row>
    <row r="224" hidden="1" spans="2:18">
      <c r="B224" s="33" t="s">
        <v>68</v>
      </c>
      <c r="C224" s="63">
        <v>45667</v>
      </c>
      <c r="D224" s="33" t="str">
        <f>VLOOKUP(B224,辅助信息!E:K,7,FALSE)</f>
        <v>JWDDCD2025052800131</v>
      </c>
      <c r="E224" s="33" t="str">
        <f>VLOOKUP(F224,辅助信息!A:B,2,FALSE)</f>
        <v>螺纹钢</v>
      </c>
      <c r="F224" s="33" t="s">
        <v>32</v>
      </c>
      <c r="G224" s="29">
        <v>3</v>
      </c>
      <c r="H224" s="29" t="e">
        <f>_xlfn._xlws.FILTER(#REF!,#REF!&amp;#REF!&amp;#REF!&amp;#REF!=C224&amp;F224&amp;I224&amp;J224,"未发货")</f>
        <v>#REF!</v>
      </c>
      <c r="I224" s="33" t="str">
        <f>VLOOKUP(B224,辅助信息!E:I,3,FALSE)</f>
        <v>（商投建工达州中医药科技园-2工区-景观桥）达州市通川区达州中医药职业学院犀牛大道北段</v>
      </c>
      <c r="J224" s="33" t="str">
        <f>VLOOKUP(B224,辅助信息!E:I,4,FALSE)</f>
        <v>李波</v>
      </c>
      <c r="K224" s="33">
        <f>VLOOKUP(J224,辅助信息!H:I,2,FALSE)</f>
        <v>18381899787</v>
      </c>
      <c r="L224" s="50"/>
      <c r="M224" s="50"/>
      <c r="N224" s="50"/>
      <c r="O224" s="50"/>
      <c r="P224" s="50"/>
      <c r="Q224" s="19"/>
      <c r="R224" s="19"/>
    </row>
    <row r="225" hidden="1" spans="2:18">
      <c r="B225" s="33" t="s">
        <v>68</v>
      </c>
      <c r="C225" s="63">
        <v>45667</v>
      </c>
      <c r="D225" s="33" t="str">
        <f>VLOOKUP(B225,辅助信息!E:K,7,FALSE)</f>
        <v>JWDDCD2025052800131</v>
      </c>
      <c r="E225" s="33" t="str">
        <f>VLOOKUP(F225,辅助信息!A:B,2,FALSE)</f>
        <v>螺纹钢</v>
      </c>
      <c r="F225" s="33" t="s">
        <v>65</v>
      </c>
      <c r="G225" s="29">
        <v>115</v>
      </c>
      <c r="H225" s="29" t="e">
        <f>_xlfn._xlws.FILTER(#REF!,#REF!&amp;#REF!&amp;#REF!&amp;#REF!=C225&amp;F225&amp;I225&amp;J225,"未发货")</f>
        <v>#REF!</v>
      </c>
      <c r="I225" s="33" t="str">
        <f>VLOOKUP(B225,辅助信息!E:I,3,FALSE)</f>
        <v>（商投建工达州中医药科技园-2工区-景观桥）达州市通川区达州中医药职业学院犀牛大道北段</v>
      </c>
      <c r="J225" s="33" t="str">
        <f>VLOOKUP(B225,辅助信息!E:I,4,FALSE)</f>
        <v>李波</v>
      </c>
      <c r="K225" s="33">
        <f>VLOOKUP(J225,辅助信息!H:I,2,FALSE)</f>
        <v>18381899787</v>
      </c>
      <c r="L225" s="50"/>
      <c r="M225" s="50"/>
      <c r="N225" s="50"/>
      <c r="O225" s="50"/>
      <c r="P225" s="50"/>
      <c r="Q225" s="19"/>
      <c r="R225" s="19"/>
    </row>
    <row r="226" hidden="1" spans="2:18">
      <c r="B226" s="33" t="s">
        <v>69</v>
      </c>
      <c r="C226" s="63">
        <v>45667</v>
      </c>
      <c r="D226" s="33" t="str">
        <f>VLOOKUP(B226,辅助信息!E:K,7,FALSE)</f>
        <v>JWDDCD2025052800131</v>
      </c>
      <c r="E226" s="33" t="str">
        <f>VLOOKUP(F226,辅助信息!A:B,2,FALSE)</f>
        <v>盘螺</v>
      </c>
      <c r="F226" s="33" t="s">
        <v>49</v>
      </c>
      <c r="G226" s="29">
        <v>9</v>
      </c>
      <c r="H226" s="29" t="e">
        <f>_xlfn._xlws.FILTER(#REF!,#REF!&amp;#REF!&amp;#REF!&amp;#REF!=C226&amp;F226&amp;I226&amp;J226,"未发货")</f>
        <v>#REF!</v>
      </c>
      <c r="I226" s="33" t="str">
        <f>VLOOKUP(B226,辅助信息!E:I,3,FALSE)</f>
        <v>（商投建工达州中医药科技园-4工区-2号楼）达州市通川区达州中医药职业学院犀牛大道北段</v>
      </c>
      <c r="J226" s="33" t="str">
        <f>VLOOKUP(B226,辅助信息!E:I,4,FALSE)</f>
        <v>张扬</v>
      </c>
      <c r="K226" s="33">
        <f>VLOOKUP(J226,辅助信息!H:I,2,FALSE)</f>
        <v>18381904567</v>
      </c>
      <c r="L226" s="50"/>
      <c r="M226" s="50"/>
      <c r="N226" s="50"/>
      <c r="O226" s="50"/>
      <c r="P226" s="50"/>
      <c r="Q226" s="19"/>
      <c r="R226" s="19"/>
    </row>
    <row r="227" hidden="1" spans="2:18">
      <c r="B227" s="33" t="s">
        <v>69</v>
      </c>
      <c r="C227" s="63">
        <v>45667</v>
      </c>
      <c r="D227" s="33" t="str">
        <f>VLOOKUP(B227,辅助信息!E:K,7,FALSE)</f>
        <v>JWDDCD2025052800131</v>
      </c>
      <c r="E227" s="33" t="str">
        <f>VLOOKUP(F227,辅助信息!A:B,2,FALSE)</f>
        <v>盘螺</v>
      </c>
      <c r="F227" s="33" t="s">
        <v>40</v>
      </c>
      <c r="G227" s="29">
        <v>45</v>
      </c>
      <c r="H227" s="29" t="e">
        <f>_xlfn._xlws.FILTER(#REF!,#REF!&amp;#REF!&amp;#REF!&amp;#REF!=C227&amp;F227&amp;I227&amp;J227,"未发货")</f>
        <v>#REF!</v>
      </c>
      <c r="I227" s="33" t="str">
        <f>VLOOKUP(B227,辅助信息!E:I,3,FALSE)</f>
        <v>（商投建工达州中医药科技园-4工区-2号楼）达州市通川区达州中医药职业学院犀牛大道北段</v>
      </c>
      <c r="J227" s="33" t="str">
        <f>VLOOKUP(B227,辅助信息!E:I,4,FALSE)</f>
        <v>张扬</v>
      </c>
      <c r="K227" s="33">
        <f>VLOOKUP(J227,辅助信息!H:I,2,FALSE)</f>
        <v>18381904567</v>
      </c>
      <c r="L227" s="50"/>
      <c r="M227" s="50"/>
      <c r="N227" s="50"/>
      <c r="O227" s="50"/>
      <c r="P227" s="50"/>
      <c r="Q227" s="19"/>
      <c r="R227" s="19"/>
    </row>
    <row r="228" hidden="1" spans="2:18">
      <c r="B228" s="33" t="s">
        <v>69</v>
      </c>
      <c r="C228" s="63">
        <v>45667</v>
      </c>
      <c r="D228" s="33" t="str">
        <f>VLOOKUP(B228,辅助信息!E:K,7,FALSE)</f>
        <v>JWDDCD2025052800131</v>
      </c>
      <c r="E228" s="33" t="str">
        <f>VLOOKUP(F228,辅助信息!A:B,2,FALSE)</f>
        <v>盘螺</v>
      </c>
      <c r="F228" s="33" t="s">
        <v>41</v>
      </c>
      <c r="G228" s="29">
        <v>15</v>
      </c>
      <c r="H228" s="29" t="e">
        <f>_xlfn._xlws.FILTER(#REF!,#REF!&amp;#REF!&amp;#REF!&amp;#REF!=C228&amp;F228&amp;I228&amp;J228,"未发货")</f>
        <v>#REF!</v>
      </c>
      <c r="I228" s="33" t="str">
        <f>VLOOKUP(B228,辅助信息!E:I,3,FALSE)</f>
        <v>（商投建工达州中医药科技园-4工区-2号楼）达州市通川区达州中医药职业学院犀牛大道北段</v>
      </c>
      <c r="J228" s="33" t="str">
        <f>VLOOKUP(B228,辅助信息!E:I,4,FALSE)</f>
        <v>张扬</v>
      </c>
      <c r="K228" s="33">
        <f>VLOOKUP(J228,辅助信息!H:I,2,FALSE)</f>
        <v>18381904567</v>
      </c>
      <c r="L228" s="50"/>
      <c r="M228" s="50"/>
      <c r="N228" s="50"/>
      <c r="O228" s="50"/>
      <c r="P228" s="50"/>
      <c r="Q228" s="19"/>
      <c r="R228" s="19"/>
    </row>
    <row r="229" hidden="1" spans="2:18">
      <c r="B229" s="33" t="s">
        <v>56</v>
      </c>
      <c r="C229" s="63">
        <v>45667</v>
      </c>
      <c r="D229" s="33" t="str">
        <f>VLOOKUP(B229,辅助信息!E:K,7,FALSE)</f>
        <v>JWDDCD2025052800131</v>
      </c>
      <c r="E229" s="33" t="str">
        <f>VLOOKUP(F229,辅助信息!A:B,2,FALSE)</f>
        <v>螺纹钢</v>
      </c>
      <c r="F229" s="33" t="s">
        <v>30</v>
      </c>
      <c r="G229" s="29">
        <v>3</v>
      </c>
      <c r="H229" s="29" t="e">
        <f>_xlfn._xlws.FILTER(#REF!,#REF!&amp;#REF!&amp;#REF!&amp;#REF!=C229&amp;F229&amp;I229&amp;J229,"未发货")</f>
        <v>#REF!</v>
      </c>
      <c r="I229" s="33" t="str">
        <f>VLOOKUP(B229,辅助信息!E:I,3,FALSE)</f>
        <v>（商投建工达州中医药科技园-4工区-7号楼）达州市通川区达州中医药职业学院犀牛大道北段</v>
      </c>
      <c r="J229" s="33" t="str">
        <f>VLOOKUP(B229,辅助信息!E:I,4,FALSE)</f>
        <v>张扬</v>
      </c>
      <c r="K229" s="33">
        <f>VLOOKUP(J229,辅助信息!H:I,2,FALSE)</f>
        <v>18381904567</v>
      </c>
      <c r="L229" s="50"/>
      <c r="M229" s="50"/>
      <c r="N229" s="50"/>
      <c r="O229" s="50"/>
      <c r="P229" s="50"/>
      <c r="Q229" s="19"/>
      <c r="R229" s="19"/>
    </row>
    <row r="230" hidden="1" spans="2:18">
      <c r="B230" s="33" t="s">
        <v>56</v>
      </c>
      <c r="C230" s="63">
        <v>45667</v>
      </c>
      <c r="D230" s="33" t="str">
        <f>VLOOKUP(B230,辅助信息!E:K,7,FALSE)</f>
        <v>JWDDCD2025052800131</v>
      </c>
      <c r="E230" s="33" t="str">
        <f>VLOOKUP(F230,辅助信息!A:B,2,FALSE)</f>
        <v>螺纹钢</v>
      </c>
      <c r="F230" s="33" t="s">
        <v>28</v>
      </c>
      <c r="G230" s="29">
        <v>15</v>
      </c>
      <c r="H230" s="29" t="e">
        <f>_xlfn._xlws.FILTER(#REF!,#REF!&amp;#REF!&amp;#REF!&amp;#REF!=C230&amp;F230&amp;I230&amp;J230,"未发货")</f>
        <v>#REF!</v>
      </c>
      <c r="I230" s="33" t="str">
        <f>VLOOKUP(B230,辅助信息!E:I,3,FALSE)</f>
        <v>（商投建工达州中医药科技园-4工区-7号楼）达州市通川区达州中医药职业学院犀牛大道北段</v>
      </c>
      <c r="J230" s="33" t="str">
        <f>VLOOKUP(B230,辅助信息!E:I,4,FALSE)</f>
        <v>张扬</v>
      </c>
      <c r="K230" s="33">
        <f>VLOOKUP(J230,辅助信息!H:I,2,FALSE)</f>
        <v>18381904567</v>
      </c>
      <c r="L230" s="50"/>
      <c r="M230" s="50"/>
      <c r="N230" s="50"/>
      <c r="O230" s="50"/>
      <c r="P230" s="50"/>
      <c r="Q230" s="19"/>
      <c r="R230" s="19"/>
    </row>
    <row r="231" hidden="1" spans="2:18">
      <c r="B231" s="33" t="s">
        <v>56</v>
      </c>
      <c r="C231" s="63">
        <v>45667</v>
      </c>
      <c r="D231" s="33" t="str">
        <f>VLOOKUP(B231,辅助信息!E:K,7,FALSE)</f>
        <v>JWDDCD2025052800131</v>
      </c>
      <c r="E231" s="33" t="str">
        <f>VLOOKUP(F231,辅助信息!A:B,2,FALSE)</f>
        <v>螺纹钢</v>
      </c>
      <c r="F231" s="33" t="s">
        <v>21</v>
      </c>
      <c r="G231" s="29">
        <v>6</v>
      </c>
      <c r="H231" s="29" t="e">
        <f>_xlfn._xlws.FILTER(#REF!,#REF!&amp;#REF!&amp;#REF!&amp;#REF!=C231&amp;F231&amp;I231&amp;J231,"未发货")</f>
        <v>#REF!</v>
      </c>
      <c r="I231" s="33" t="str">
        <f>VLOOKUP(B231,辅助信息!E:I,3,FALSE)</f>
        <v>（商投建工达州中医药科技园-4工区-7号楼）达州市通川区达州中医药职业学院犀牛大道北段</v>
      </c>
      <c r="J231" s="33" t="str">
        <f>VLOOKUP(B231,辅助信息!E:I,4,FALSE)</f>
        <v>张扬</v>
      </c>
      <c r="K231" s="33">
        <f>VLOOKUP(J231,辅助信息!H:I,2,FALSE)</f>
        <v>18381904567</v>
      </c>
      <c r="L231" s="50"/>
      <c r="M231" s="50"/>
      <c r="N231" s="50"/>
      <c r="O231" s="50"/>
      <c r="P231" s="50"/>
      <c r="Q231" s="19"/>
      <c r="R231" s="19"/>
    </row>
    <row r="232" hidden="1" spans="2:18">
      <c r="B232" s="76" t="s">
        <v>56</v>
      </c>
      <c r="C232" s="77">
        <v>45667</v>
      </c>
      <c r="D232" s="76" t="str">
        <f>VLOOKUP(B232,辅助信息!E:K,7,FALSE)</f>
        <v>JWDDCD2025052800131</v>
      </c>
      <c r="E232" s="76" t="str">
        <f>VLOOKUP(F232,辅助信息!A:B,2,FALSE)</f>
        <v>螺纹钢</v>
      </c>
      <c r="F232" s="76" t="s">
        <v>46</v>
      </c>
      <c r="G232" s="78">
        <v>9</v>
      </c>
      <c r="H232" s="78" t="e">
        <f>_xlfn._xlws.FILTER(#REF!,#REF!&amp;#REF!&amp;#REF!&amp;#REF!=C232&amp;F232&amp;I232&amp;J232,"未发货")</f>
        <v>#REF!</v>
      </c>
      <c r="I232" s="76" t="str">
        <f>VLOOKUP(B232,辅助信息!E:I,3,FALSE)</f>
        <v>（商投建工达州中医药科技园-4工区-7号楼）达州市通川区达州中医药职业学院犀牛大道北段</v>
      </c>
      <c r="J232" s="76" t="str">
        <f>VLOOKUP(B232,辅助信息!E:I,4,FALSE)</f>
        <v>张扬</v>
      </c>
      <c r="K232" s="76">
        <f>VLOOKUP(J232,辅助信息!H:I,2,FALSE)</f>
        <v>18381904567</v>
      </c>
      <c r="L232" s="50"/>
      <c r="M232" s="50"/>
      <c r="N232" s="50"/>
      <c r="O232" s="50"/>
      <c r="P232" s="50"/>
      <c r="Q232" s="19"/>
      <c r="R232" s="19"/>
    </row>
    <row r="233" hidden="1" spans="2:18">
      <c r="B233" s="33" t="s">
        <v>17</v>
      </c>
      <c r="C233" s="63">
        <v>45668</v>
      </c>
      <c r="D233" s="33" t="str">
        <f>VLOOKUP(B233,辅助信息!E:K,7,FALSE)</f>
        <v>JWDDCD2024101600090</v>
      </c>
      <c r="E233" s="33" t="str">
        <f>VLOOKUP(F233,辅助信息!A:B,2,FALSE)</f>
        <v>螺纹钢</v>
      </c>
      <c r="F233" s="33" t="s">
        <v>18</v>
      </c>
      <c r="G233" s="29">
        <f>149-108</f>
        <v>41</v>
      </c>
      <c r="H233" s="29">
        <v>41</v>
      </c>
      <c r="I233" s="33" t="str">
        <f>VLOOKUP(B233,辅助信息!E:I,3,FALSE)</f>
        <v>（达州市公共卫生临床医疗中心项目-一标-1号制作房）达州市通川区西外复兴镇公共卫生临床医疗中心项目</v>
      </c>
      <c r="J233" s="33" t="str">
        <f>VLOOKUP(B233,辅助信息!E:I,4,FALSE)</f>
        <v>潘建发</v>
      </c>
      <c r="K233" s="72">
        <f>VLOOKUP(J233,辅助信息!H:I,2,FALSE)</f>
        <v>13658059919</v>
      </c>
      <c r="L233" s="81"/>
      <c r="M233" s="50"/>
      <c r="N233" s="50"/>
      <c r="O233" s="50"/>
      <c r="P233" s="50"/>
      <c r="Q233" s="19" t="str">
        <f>VLOOKUP(B233,辅助信息!E:M,9,FALSE)</f>
        <v>ZTWM-CDGS-XS-2024-0205-五冶钢构-达州市通川区西外复兴镇及临近片区建设项目</v>
      </c>
      <c r="R233" s="19"/>
    </row>
    <row r="234" hidden="1" spans="2:18">
      <c r="B234" s="33" t="s">
        <v>48</v>
      </c>
      <c r="C234" s="63">
        <v>45668</v>
      </c>
      <c r="D234" s="33" t="str">
        <f>VLOOKUP(B234,辅助信息!E:K,7,FALSE)</f>
        <v>ZTWM-CDGS-YL-20240529-006</v>
      </c>
      <c r="E234" s="33" t="str">
        <f>VLOOKUP(F234,辅助信息!A:B,2,FALSE)</f>
        <v>螺纹钢</v>
      </c>
      <c r="F234" s="33" t="s">
        <v>66</v>
      </c>
      <c r="G234" s="29">
        <f>40-12</f>
        <v>28</v>
      </c>
      <c r="H234" s="29" t="e">
        <f>_xlfn._xlws.FILTER(#REF!,#REF!&amp;#REF!&amp;#REF!&amp;#REF!=C234&amp;F234&amp;I234&amp;J234,"未发货")</f>
        <v>#REF!</v>
      </c>
      <c r="I234" s="33" t="str">
        <f>VLOOKUP(B234,辅助信息!E:I,3,FALSE)</f>
        <v>(华西颐海-科创农业生态谷-1号钢筋房)成都市简阳市白金山水库</v>
      </c>
      <c r="J234" s="33" t="str">
        <f>VLOOKUP(B234,辅助信息!E:I,4,FALSE)</f>
        <v>石清国</v>
      </c>
      <c r="K234" s="33">
        <f>VLOOKUP(J234,辅助信息!H:I,2,FALSE)</f>
        <v>13458642015</v>
      </c>
      <c r="L234" s="70" t="str">
        <f>VLOOKUP(B234,辅助信息!E:J,6,FALSE)</f>
        <v>优先威钢,我方卸车,新老国标钢厂不加价可直发</v>
      </c>
      <c r="M234" s="50"/>
      <c r="N234" s="50"/>
      <c r="O234" s="50"/>
      <c r="P234" s="50"/>
      <c r="Q234" s="19" t="str">
        <f>VLOOKUP(B234,辅助信息!E:M,9,FALSE)</f>
        <v>ZTWM-CDGS-XS-2024-0093-华西-颐海科创农业生态谷</v>
      </c>
      <c r="R234" s="19"/>
    </row>
    <row r="235" hidden="1" spans="2:18">
      <c r="B235" s="33" t="s">
        <v>48</v>
      </c>
      <c r="C235" s="63">
        <v>45668</v>
      </c>
      <c r="D235" s="33" t="str">
        <f>VLOOKUP(B235,辅助信息!E:K,7,FALSE)</f>
        <v>ZTWM-CDGS-YL-20240529-006</v>
      </c>
      <c r="E235" s="33" t="str">
        <f>VLOOKUP(F235,辅助信息!A:B,2,FALSE)</f>
        <v>螺纹钢</v>
      </c>
      <c r="F235" s="33" t="s">
        <v>46</v>
      </c>
      <c r="G235" s="29">
        <v>6</v>
      </c>
      <c r="H235" s="29" t="e">
        <f>_xlfn._xlws.FILTER(#REF!,#REF!&amp;#REF!&amp;#REF!&amp;#REF!=C235&amp;F235&amp;I235&amp;J235,"未发货")</f>
        <v>#REF!</v>
      </c>
      <c r="I235" s="33" t="str">
        <f>VLOOKUP(B235,辅助信息!E:I,3,FALSE)</f>
        <v>(华西颐海-科创农业生态谷-1号钢筋房)成都市简阳市白金山水库</v>
      </c>
      <c r="J235" s="33" t="str">
        <f>VLOOKUP(B235,辅助信息!E:I,4,FALSE)</f>
        <v>石清国</v>
      </c>
      <c r="K235" s="33">
        <f>VLOOKUP(J235,辅助信息!H:I,2,FALSE)</f>
        <v>13458642015</v>
      </c>
      <c r="L235" s="71"/>
      <c r="M235" s="50"/>
      <c r="N235" s="50"/>
      <c r="O235" s="50"/>
      <c r="P235" s="50"/>
      <c r="Q235" s="19" t="str">
        <f>VLOOKUP(B235,辅助信息!E:M,9,FALSE)</f>
        <v>ZTWM-CDGS-XS-2024-0093-华西-颐海科创农业生态谷</v>
      </c>
      <c r="R235" s="19"/>
    </row>
    <row r="236" hidden="1" spans="2:18">
      <c r="B236" s="33" t="s">
        <v>48</v>
      </c>
      <c r="C236" s="63">
        <v>45668</v>
      </c>
      <c r="D236" s="33" t="str">
        <f>VLOOKUP(B236,辅助信息!E:K,7,FALSE)</f>
        <v>ZTWM-CDGS-YL-20240529-006</v>
      </c>
      <c r="E236" s="33" t="str">
        <f>VLOOKUP(F236,辅助信息!A:B,2,FALSE)</f>
        <v>螺纹钢</v>
      </c>
      <c r="F236" s="33" t="s">
        <v>22</v>
      </c>
      <c r="G236" s="29">
        <v>10</v>
      </c>
      <c r="H236" s="29" t="e">
        <f>_xlfn._xlws.FILTER(#REF!,#REF!&amp;#REF!&amp;#REF!&amp;#REF!=C236&amp;F236&amp;I236&amp;J236,"未发货")</f>
        <v>#REF!</v>
      </c>
      <c r="I236" s="33" t="str">
        <f>VLOOKUP(B236,辅助信息!E:I,3,FALSE)</f>
        <v>(华西颐海-科创农业生态谷-1号钢筋房)成都市简阳市白金山水库</v>
      </c>
      <c r="J236" s="33" t="str">
        <f>VLOOKUP(B236,辅助信息!E:I,4,FALSE)</f>
        <v>石清国</v>
      </c>
      <c r="K236" s="33">
        <f>VLOOKUP(J236,辅助信息!H:I,2,FALSE)</f>
        <v>13458642015</v>
      </c>
      <c r="L236" s="69"/>
      <c r="M236" s="50"/>
      <c r="N236" s="50"/>
      <c r="O236" s="50"/>
      <c r="P236" s="50"/>
      <c r="Q236" s="19" t="str">
        <f>VLOOKUP(B236,辅助信息!E:M,9,FALSE)</f>
        <v>ZTWM-CDGS-XS-2024-0093-华西-颐海科创农业生态谷</v>
      </c>
      <c r="R236" s="19"/>
    </row>
    <row r="237" hidden="1" spans="2:18">
      <c r="B237" s="33" t="s">
        <v>44</v>
      </c>
      <c r="C237" s="63">
        <v>45668</v>
      </c>
      <c r="D237" s="33" t="str">
        <f>VLOOKUP(B237,辅助信息!E:K,7,FALSE)</f>
        <v>JWDDCD2025060600053</v>
      </c>
      <c r="E237" s="33" t="str">
        <f>VLOOKUP(F237,辅助信息!A:B,2,FALSE)</f>
        <v>盘螺</v>
      </c>
      <c r="F237" s="33" t="s">
        <v>26</v>
      </c>
      <c r="G237" s="29">
        <v>35</v>
      </c>
      <c r="H237" s="29" t="e">
        <f>_xlfn._xlws.FILTER(#REF!,#REF!&amp;#REF!&amp;#REF!&amp;#REF!=C237&amp;F237&amp;I237&amp;J237,"未发货")</f>
        <v>#REF!</v>
      </c>
      <c r="I237" s="33" t="str">
        <f>VLOOKUP(B237,辅助信息!E:I,3,FALSE)</f>
        <v>（华西酒城南）成都市武侯区火车南站西路8号酒城南项目</v>
      </c>
      <c r="J237" s="33" t="str">
        <f>VLOOKUP(B237,辅助信息!E:I,4,FALSE)</f>
        <v>龙耀宇</v>
      </c>
      <c r="K237" s="33">
        <f>VLOOKUP(J237,辅助信息!H:I,2,FALSE)</f>
        <v>18384145895</v>
      </c>
      <c r="L237" s="70" t="str">
        <f>VLOOKUP(B237,辅助信息!E:J,6,FALSE)</f>
        <v>对方卸车</v>
      </c>
      <c r="M237" s="50"/>
      <c r="N237" s="50"/>
      <c r="O237" s="50"/>
      <c r="P237" s="50"/>
      <c r="Q237" s="19" t="str">
        <f>VLOOKUP(B237,辅助信息!E:M,9,FALSE)</f>
        <v>ZTWM-CDGS-XS-2024-0189-华西集采-酒城南项目</v>
      </c>
      <c r="R237" s="19"/>
    </row>
    <row r="238" hidden="1" spans="2:18">
      <c r="B238" s="33" t="s">
        <v>31</v>
      </c>
      <c r="C238" s="63">
        <v>45668</v>
      </c>
      <c r="D238" s="33" t="str">
        <f>VLOOKUP(B238,辅助信息!E:K,7,FALSE)</f>
        <v>JWDDCD2024121000136</v>
      </c>
      <c r="E238" s="33" t="str">
        <f>VLOOKUP(F238,辅助信息!A:B,2,FALSE)</f>
        <v>螺纹钢</v>
      </c>
      <c r="F238" s="33" t="s">
        <v>27</v>
      </c>
      <c r="G238" s="29">
        <v>15</v>
      </c>
      <c r="H238" s="29" t="e">
        <f>_xlfn._xlws.FILTER(#REF!,#REF!&amp;#REF!&amp;#REF!&amp;#REF!=C238&amp;F238&amp;I238&amp;J238,"未发货")</f>
        <v>#REF!</v>
      </c>
      <c r="I238" s="33" t="str">
        <f>VLOOKUP(B238,辅助信息!E:I,3,FALSE)</f>
        <v>（四川商建-射洪城乡一体化项目）遂宁市射洪市忠新幼儿园北侧约220米新溪小区</v>
      </c>
      <c r="J238" s="33" t="str">
        <f>VLOOKUP(B238,辅助信息!E:I,4,FALSE)</f>
        <v>柏子刚</v>
      </c>
      <c r="K238" s="33">
        <f>VLOOKUP(J238,辅助信息!H:I,2,FALSE)</f>
        <v>15692885305</v>
      </c>
      <c r="L238" s="70" t="str">
        <f>VLOOKUP(B238,辅助信息!E:J,6,FALSE)</f>
        <v>提前联系到场规格及数量</v>
      </c>
      <c r="M238" s="50"/>
      <c r="N238" s="50"/>
      <c r="O238" s="50"/>
      <c r="P238" s="50"/>
      <c r="Q238" s="19" t="str">
        <f>VLOOKUP(B238,辅助信息!E:M,9,FALSE)</f>
        <v>ZTWM-CDGS-XS-2024-0179-四川商投-射洪城乡一体化建设项目</v>
      </c>
      <c r="R238" s="19"/>
    </row>
    <row r="239" hidden="1" spans="2:18">
      <c r="B239" s="33" t="s">
        <v>31</v>
      </c>
      <c r="C239" s="63">
        <v>45668</v>
      </c>
      <c r="D239" s="33" t="str">
        <f>VLOOKUP(B239,辅助信息!E:K,7,FALSE)</f>
        <v>JWDDCD2024121000136</v>
      </c>
      <c r="E239" s="33" t="str">
        <f>VLOOKUP(F239,辅助信息!A:B,2,FALSE)</f>
        <v>螺纹钢</v>
      </c>
      <c r="F239" s="33" t="s">
        <v>32</v>
      </c>
      <c r="G239" s="29">
        <v>20</v>
      </c>
      <c r="H239" s="29" t="e">
        <f>_xlfn._xlws.FILTER(#REF!,#REF!&amp;#REF!&amp;#REF!&amp;#REF!=C239&amp;F239&amp;I239&amp;J239,"未发货")</f>
        <v>#REF!</v>
      </c>
      <c r="I239" s="33" t="str">
        <f>VLOOKUP(B239,辅助信息!E:I,3,FALSE)</f>
        <v>（四川商建-射洪城乡一体化项目）遂宁市射洪市忠新幼儿园北侧约220米新溪小区</v>
      </c>
      <c r="J239" s="33" t="str">
        <f>VLOOKUP(B239,辅助信息!E:I,4,FALSE)</f>
        <v>柏子刚</v>
      </c>
      <c r="K239" s="33">
        <f>VLOOKUP(J239,辅助信息!H:I,2,FALSE)</f>
        <v>15692885305</v>
      </c>
      <c r="L239" s="69"/>
      <c r="M239" s="50"/>
      <c r="N239" s="50"/>
      <c r="O239" s="50"/>
      <c r="P239" s="50"/>
      <c r="Q239" s="19"/>
      <c r="R239" s="19"/>
    </row>
    <row r="240" hidden="1" spans="2:18">
      <c r="B240" s="33" t="s">
        <v>68</v>
      </c>
      <c r="C240" s="63">
        <v>45668</v>
      </c>
      <c r="D240" s="33" t="str">
        <f>VLOOKUP(B240,辅助信息!E:K,7,FALSE)</f>
        <v>JWDDCD2025052800131</v>
      </c>
      <c r="E240" s="33" t="str">
        <f>VLOOKUP(F240,辅助信息!A:B,2,FALSE)</f>
        <v>盘螺</v>
      </c>
      <c r="F240" s="33" t="s">
        <v>26</v>
      </c>
      <c r="G240" s="29">
        <v>9</v>
      </c>
      <c r="H240" s="29" t="e">
        <f>_xlfn._xlws.FILTER(#REF!,#REF!&amp;#REF!&amp;#REF!&amp;#REF!=C240&amp;F240&amp;I240&amp;J240,"未发货")</f>
        <v>#REF!</v>
      </c>
      <c r="I240" s="33" t="str">
        <f>VLOOKUP(B240,辅助信息!E:I,3,FALSE)</f>
        <v>（商投建工达州中医药科技园-2工区-景观桥）达州市通川区达州中医药职业学院犀牛大道北段</v>
      </c>
      <c r="J240" s="33" t="str">
        <f>VLOOKUP(B240,辅助信息!E:I,4,FALSE)</f>
        <v>李波</v>
      </c>
      <c r="K240" s="33">
        <f>VLOOKUP(J240,辅助信息!H:I,2,FALSE)</f>
        <v>18381899787</v>
      </c>
      <c r="L240" s="70" t="str">
        <f>VLOOKUP(B240,辅助信息!E:J,6,FALSE)</f>
        <v>控制炉批号！多了现场不收！,优先安排达钢,提前联系到场规格及数量</v>
      </c>
      <c r="M240" s="50"/>
      <c r="N240" s="50"/>
      <c r="O240" s="50"/>
      <c r="P240" s="50"/>
      <c r="Q240" s="19" t="str">
        <f>VLOOKUP(B240,辅助信息!E:M,9,FALSE)</f>
        <v>ZTWM-CDGS-XS-2024-0134-商投建工达州中医药科技成果示范园项目</v>
      </c>
      <c r="R240" s="19"/>
    </row>
    <row r="241" hidden="1" spans="2:18">
      <c r="B241" s="33" t="s">
        <v>68</v>
      </c>
      <c r="C241" s="63">
        <v>45668</v>
      </c>
      <c r="D241" s="33" t="str">
        <f>VLOOKUP(B241,辅助信息!E:K,7,FALSE)</f>
        <v>JWDDCD2025052800131</v>
      </c>
      <c r="E241" s="33" t="str">
        <f>VLOOKUP(F241,辅助信息!A:B,2,FALSE)</f>
        <v>螺纹钢</v>
      </c>
      <c r="F241" s="33" t="s">
        <v>32</v>
      </c>
      <c r="G241" s="29">
        <v>3</v>
      </c>
      <c r="H241" s="29" t="e">
        <f>_xlfn._xlws.FILTER(#REF!,#REF!&amp;#REF!&amp;#REF!&amp;#REF!=C241&amp;F241&amp;I241&amp;J241,"未发货")</f>
        <v>#REF!</v>
      </c>
      <c r="I241" s="33" t="str">
        <f>VLOOKUP(B241,辅助信息!E:I,3,FALSE)</f>
        <v>（商投建工达州中医药科技园-2工区-景观桥）达州市通川区达州中医药职业学院犀牛大道北段</v>
      </c>
      <c r="J241" s="33" t="str">
        <f>VLOOKUP(B241,辅助信息!E:I,4,FALSE)</f>
        <v>李波</v>
      </c>
      <c r="K241" s="33">
        <f>VLOOKUP(J241,辅助信息!H:I,2,FALSE)</f>
        <v>18381899787</v>
      </c>
      <c r="L241" s="71"/>
      <c r="M241" s="50"/>
      <c r="N241" s="50"/>
      <c r="O241" s="50"/>
      <c r="P241" s="50"/>
      <c r="Q241" s="19" t="str">
        <f>VLOOKUP(B241,辅助信息!E:M,9,FALSE)</f>
        <v>ZTWM-CDGS-XS-2024-0134-商投建工达州中医药科技成果示范园项目</v>
      </c>
      <c r="R241" s="19"/>
    </row>
    <row r="242" hidden="1" spans="2:18">
      <c r="B242" s="33" t="s">
        <v>68</v>
      </c>
      <c r="C242" s="63">
        <v>45668</v>
      </c>
      <c r="D242" s="33" t="str">
        <f>VLOOKUP(B242,辅助信息!E:K,7,FALSE)</f>
        <v>JWDDCD2025052800131</v>
      </c>
      <c r="E242" s="33" t="str">
        <f>VLOOKUP(F242,辅助信息!A:B,2,FALSE)</f>
        <v>螺纹钢</v>
      </c>
      <c r="F242" s="33" t="s">
        <v>65</v>
      </c>
      <c r="G242" s="29">
        <f>115-51</f>
        <v>64</v>
      </c>
      <c r="H242" s="29" t="e">
        <f>_xlfn._xlws.FILTER(#REF!,#REF!&amp;#REF!&amp;#REF!&amp;#REF!=C242&amp;F242&amp;I242&amp;J242,"未发货")</f>
        <v>#REF!</v>
      </c>
      <c r="I242" s="33" t="str">
        <f>VLOOKUP(B242,辅助信息!E:I,3,FALSE)</f>
        <v>（商投建工达州中医药科技园-2工区-景观桥）达州市通川区达州中医药职业学院犀牛大道北段</v>
      </c>
      <c r="J242" s="33" t="str">
        <f>VLOOKUP(B242,辅助信息!E:I,4,FALSE)</f>
        <v>李波</v>
      </c>
      <c r="K242" s="33">
        <f>VLOOKUP(J242,辅助信息!H:I,2,FALSE)</f>
        <v>18381899787</v>
      </c>
      <c r="L242" s="69"/>
      <c r="M242" s="50"/>
      <c r="N242" s="50"/>
      <c r="O242" s="50"/>
      <c r="P242" s="50"/>
      <c r="Q242" s="19" t="str">
        <f>VLOOKUP(B242,辅助信息!E:M,9,FALSE)</f>
        <v>ZTWM-CDGS-XS-2024-0134-商投建工达州中医药科技成果示范园项目</v>
      </c>
      <c r="R242" s="19"/>
    </row>
    <row r="243" hidden="1" spans="2:18">
      <c r="B243" s="33" t="s">
        <v>69</v>
      </c>
      <c r="C243" s="63">
        <v>45668</v>
      </c>
      <c r="D243" s="33" t="str">
        <f>VLOOKUP(B243,辅助信息!E:K,7,FALSE)</f>
        <v>JWDDCD2025052800131</v>
      </c>
      <c r="E243" s="33" t="str">
        <f>VLOOKUP(F243,辅助信息!A:B,2,FALSE)</f>
        <v>盘螺</v>
      </c>
      <c r="F243" s="33" t="s">
        <v>49</v>
      </c>
      <c r="G243" s="29">
        <v>9</v>
      </c>
      <c r="H243" s="29" t="e">
        <f>_xlfn._xlws.FILTER(#REF!,#REF!&amp;#REF!&amp;#REF!&amp;#REF!=C243&amp;F243&amp;I243&amp;J243,"未发货")</f>
        <v>#REF!</v>
      </c>
      <c r="I243" s="33" t="str">
        <f>VLOOKUP(B243,辅助信息!E:I,3,FALSE)</f>
        <v>（商投建工达州中医药科技园-4工区-2号楼）达州市通川区达州中医药职业学院犀牛大道北段</v>
      </c>
      <c r="J243" s="33" t="str">
        <f>VLOOKUP(B243,辅助信息!E:I,4,FALSE)</f>
        <v>张扬</v>
      </c>
      <c r="K243" s="33">
        <f>VLOOKUP(J243,辅助信息!H:I,2,FALSE)</f>
        <v>18381904567</v>
      </c>
      <c r="L243" s="70" t="str">
        <f>VLOOKUP(B243,辅助信息!E:J,6,FALSE)</f>
        <v>控制炉批号！多了现场不收！,优先安排达钢,提前联系到场规格及数量</v>
      </c>
      <c r="M243" s="50"/>
      <c r="N243" s="50"/>
      <c r="O243" s="50"/>
      <c r="P243" s="50"/>
      <c r="Q243" s="19" t="str">
        <f>VLOOKUP(B243,辅助信息!E:M,9,FALSE)</f>
        <v>ZTWM-CDGS-XS-2024-0134-商投建工达州中医药科技成果示范园项目</v>
      </c>
      <c r="R243" s="19"/>
    </row>
    <row r="244" hidden="1" spans="2:18">
      <c r="B244" s="33" t="s">
        <v>69</v>
      </c>
      <c r="C244" s="63">
        <v>45668</v>
      </c>
      <c r="D244" s="33" t="str">
        <f>VLOOKUP(B244,辅助信息!E:K,7,FALSE)</f>
        <v>JWDDCD2025052800131</v>
      </c>
      <c r="E244" s="33" t="str">
        <f>VLOOKUP(F244,辅助信息!A:B,2,FALSE)</f>
        <v>盘螺</v>
      </c>
      <c r="F244" s="33" t="s">
        <v>40</v>
      </c>
      <c r="G244" s="29">
        <v>45</v>
      </c>
      <c r="H244" s="29" t="e">
        <f>_xlfn._xlws.FILTER(#REF!,#REF!&amp;#REF!&amp;#REF!&amp;#REF!=C244&amp;F244&amp;I244&amp;J244,"未发货")</f>
        <v>#REF!</v>
      </c>
      <c r="I244" s="33" t="str">
        <f>VLOOKUP(B244,辅助信息!E:I,3,FALSE)</f>
        <v>（商投建工达州中医药科技园-4工区-2号楼）达州市通川区达州中医药职业学院犀牛大道北段</v>
      </c>
      <c r="J244" s="33" t="str">
        <f>VLOOKUP(B244,辅助信息!E:I,4,FALSE)</f>
        <v>张扬</v>
      </c>
      <c r="K244" s="33">
        <f>VLOOKUP(J244,辅助信息!H:I,2,FALSE)</f>
        <v>18381904567</v>
      </c>
      <c r="L244" s="71"/>
      <c r="M244" s="50"/>
      <c r="N244" s="50"/>
      <c r="O244" s="50"/>
      <c r="P244" s="50"/>
      <c r="Q244" s="19" t="str">
        <f>VLOOKUP(B244,辅助信息!E:M,9,FALSE)</f>
        <v>ZTWM-CDGS-XS-2024-0134-商投建工达州中医药科技成果示范园项目</v>
      </c>
      <c r="R244" s="19"/>
    </row>
    <row r="245" hidden="1" spans="2:18">
      <c r="B245" s="33" t="s">
        <v>69</v>
      </c>
      <c r="C245" s="63">
        <v>45668</v>
      </c>
      <c r="D245" s="33" t="str">
        <f>VLOOKUP(B245,辅助信息!E:K,7,FALSE)</f>
        <v>JWDDCD2025052800131</v>
      </c>
      <c r="E245" s="33" t="str">
        <f>VLOOKUP(F245,辅助信息!A:B,2,FALSE)</f>
        <v>盘螺</v>
      </c>
      <c r="F245" s="33" t="s">
        <v>41</v>
      </c>
      <c r="G245" s="29">
        <v>15</v>
      </c>
      <c r="H245" s="29" t="e">
        <f>_xlfn._xlws.FILTER(#REF!,#REF!&amp;#REF!&amp;#REF!&amp;#REF!=C245&amp;F245&amp;I245&amp;J245,"未发货")</f>
        <v>#REF!</v>
      </c>
      <c r="I245" s="33" t="str">
        <f>VLOOKUP(B245,辅助信息!E:I,3,FALSE)</f>
        <v>（商投建工达州中医药科技园-4工区-2号楼）达州市通川区达州中医药职业学院犀牛大道北段</v>
      </c>
      <c r="J245" s="33" t="str">
        <f>VLOOKUP(B245,辅助信息!E:I,4,FALSE)</f>
        <v>张扬</v>
      </c>
      <c r="K245" s="33">
        <f>VLOOKUP(J245,辅助信息!H:I,2,FALSE)</f>
        <v>18381904567</v>
      </c>
      <c r="L245" s="71"/>
      <c r="M245" s="50"/>
      <c r="N245" s="50"/>
      <c r="O245" s="50"/>
      <c r="P245" s="50"/>
      <c r="Q245" s="19" t="str">
        <f>VLOOKUP(B245,辅助信息!E:M,9,FALSE)</f>
        <v>ZTWM-CDGS-XS-2024-0134-商投建工达州中医药科技成果示范园项目</v>
      </c>
      <c r="R245" s="19"/>
    </row>
    <row r="246" hidden="1" spans="2:18">
      <c r="B246" s="33" t="s">
        <v>56</v>
      </c>
      <c r="C246" s="63">
        <v>45668</v>
      </c>
      <c r="D246" s="33" t="str">
        <f>VLOOKUP(B246,辅助信息!E:K,7,FALSE)</f>
        <v>JWDDCD2025052800131</v>
      </c>
      <c r="E246" s="33" t="str">
        <f>VLOOKUP(F246,辅助信息!A:B,2,FALSE)</f>
        <v>螺纹钢</v>
      </c>
      <c r="F246" s="33" t="s">
        <v>30</v>
      </c>
      <c r="G246" s="29">
        <v>3</v>
      </c>
      <c r="H246" s="29" t="e">
        <f>_xlfn._xlws.FILTER(#REF!,#REF!&amp;#REF!&amp;#REF!&amp;#REF!=C246&amp;F246&amp;I246&amp;J246,"未发货")</f>
        <v>#REF!</v>
      </c>
      <c r="I246" s="33" t="str">
        <f>VLOOKUP(B246,辅助信息!E:I,3,FALSE)</f>
        <v>（商投建工达州中医药科技园-4工区-7号楼）达州市通川区达州中医药职业学院犀牛大道北段</v>
      </c>
      <c r="J246" s="33" t="str">
        <f>VLOOKUP(B246,辅助信息!E:I,4,FALSE)</f>
        <v>张扬</v>
      </c>
      <c r="K246" s="33">
        <f>VLOOKUP(J246,辅助信息!H:I,2,FALSE)</f>
        <v>18381904567</v>
      </c>
      <c r="L246" s="71"/>
      <c r="M246" s="50"/>
      <c r="N246" s="50"/>
      <c r="O246" s="50"/>
      <c r="P246" s="50"/>
      <c r="Q246" s="19" t="str">
        <f>VLOOKUP(B246,辅助信息!E:M,9,FALSE)</f>
        <v>ZTWM-CDGS-XS-2024-0134-商投建工达州中医药科技成果示范园项目</v>
      </c>
      <c r="R246" s="19"/>
    </row>
    <row r="247" hidden="1" spans="2:18">
      <c r="B247" s="33" t="s">
        <v>56</v>
      </c>
      <c r="C247" s="63">
        <v>45668</v>
      </c>
      <c r="D247" s="33" t="str">
        <f>VLOOKUP(B247,辅助信息!E:K,7,FALSE)</f>
        <v>JWDDCD2025052800131</v>
      </c>
      <c r="E247" s="33" t="str">
        <f>VLOOKUP(F247,辅助信息!A:B,2,FALSE)</f>
        <v>螺纹钢</v>
      </c>
      <c r="F247" s="33" t="s">
        <v>28</v>
      </c>
      <c r="G247" s="29">
        <v>15</v>
      </c>
      <c r="H247" s="29" t="e">
        <f>_xlfn._xlws.FILTER(#REF!,#REF!&amp;#REF!&amp;#REF!&amp;#REF!=C247&amp;F247&amp;I247&amp;J247,"未发货")</f>
        <v>#REF!</v>
      </c>
      <c r="I247" s="33" t="str">
        <f>VLOOKUP(B247,辅助信息!E:I,3,FALSE)</f>
        <v>（商投建工达州中医药科技园-4工区-7号楼）达州市通川区达州中医药职业学院犀牛大道北段</v>
      </c>
      <c r="J247" s="33" t="str">
        <f>VLOOKUP(B247,辅助信息!E:I,4,FALSE)</f>
        <v>张扬</v>
      </c>
      <c r="K247" s="33">
        <f>VLOOKUP(J247,辅助信息!H:I,2,FALSE)</f>
        <v>18381904567</v>
      </c>
      <c r="L247" s="71"/>
      <c r="M247" s="50"/>
      <c r="N247" s="50"/>
      <c r="O247" s="50"/>
      <c r="P247" s="50"/>
      <c r="Q247" s="19" t="str">
        <f>VLOOKUP(B247,辅助信息!E:M,9,FALSE)</f>
        <v>ZTWM-CDGS-XS-2024-0134-商投建工达州中医药科技成果示范园项目</v>
      </c>
      <c r="R247" s="19"/>
    </row>
    <row r="248" hidden="1" spans="2:18">
      <c r="B248" s="33" t="s">
        <v>56</v>
      </c>
      <c r="C248" s="63">
        <v>45668</v>
      </c>
      <c r="D248" s="33" t="str">
        <f>VLOOKUP(B248,辅助信息!E:K,7,FALSE)</f>
        <v>JWDDCD2025052800131</v>
      </c>
      <c r="E248" s="33" t="str">
        <f>VLOOKUP(F248,辅助信息!A:B,2,FALSE)</f>
        <v>螺纹钢</v>
      </c>
      <c r="F248" s="33" t="s">
        <v>21</v>
      </c>
      <c r="G248" s="29">
        <v>6</v>
      </c>
      <c r="H248" s="29" t="e">
        <f>_xlfn._xlws.FILTER(#REF!,#REF!&amp;#REF!&amp;#REF!&amp;#REF!=C248&amp;F248&amp;I248&amp;J248,"未发货")</f>
        <v>#REF!</v>
      </c>
      <c r="I248" s="33" t="str">
        <f>VLOOKUP(B248,辅助信息!E:I,3,FALSE)</f>
        <v>（商投建工达州中医药科技园-4工区-7号楼）达州市通川区达州中医药职业学院犀牛大道北段</v>
      </c>
      <c r="J248" s="33" t="str">
        <f>VLOOKUP(B248,辅助信息!E:I,4,FALSE)</f>
        <v>张扬</v>
      </c>
      <c r="K248" s="33">
        <f>VLOOKUP(J248,辅助信息!H:I,2,FALSE)</f>
        <v>18381904567</v>
      </c>
      <c r="L248" s="71"/>
      <c r="M248" s="50"/>
      <c r="N248" s="50"/>
      <c r="O248" s="50"/>
      <c r="P248" s="50"/>
      <c r="Q248" s="19" t="str">
        <f>VLOOKUP(B248,辅助信息!E:M,9,FALSE)</f>
        <v>ZTWM-CDGS-XS-2024-0134-商投建工达州中医药科技成果示范园项目</v>
      </c>
      <c r="R248" s="19"/>
    </row>
    <row r="249" hidden="1" spans="2:18">
      <c r="B249" s="33" t="s">
        <v>56</v>
      </c>
      <c r="C249" s="63">
        <v>45668</v>
      </c>
      <c r="D249" s="33" t="str">
        <f>VLOOKUP(B249,辅助信息!E:K,7,FALSE)</f>
        <v>JWDDCD2025052800131</v>
      </c>
      <c r="E249" s="33" t="str">
        <f>VLOOKUP(F249,辅助信息!A:B,2,FALSE)</f>
        <v>螺纹钢</v>
      </c>
      <c r="F249" s="33" t="s">
        <v>46</v>
      </c>
      <c r="G249" s="29">
        <v>9</v>
      </c>
      <c r="H249" s="29" t="e">
        <f>_xlfn._xlws.FILTER(#REF!,#REF!&amp;#REF!&amp;#REF!&amp;#REF!=C249&amp;F249&amp;I249&amp;J249,"未发货")</f>
        <v>#REF!</v>
      </c>
      <c r="I249" s="33" t="str">
        <f>VLOOKUP(B249,辅助信息!E:I,3,FALSE)</f>
        <v>（商投建工达州中医药科技园-4工区-7号楼）达州市通川区达州中医药职业学院犀牛大道北段</v>
      </c>
      <c r="J249" s="33" t="str">
        <f>VLOOKUP(B249,辅助信息!E:I,4,FALSE)</f>
        <v>张扬</v>
      </c>
      <c r="K249" s="33">
        <f>VLOOKUP(J249,辅助信息!H:I,2,FALSE)</f>
        <v>18381904567</v>
      </c>
      <c r="L249" s="69"/>
      <c r="M249" s="50"/>
      <c r="N249" s="50"/>
      <c r="O249" s="50"/>
      <c r="P249" s="50"/>
      <c r="Q249" s="19" t="str">
        <f>VLOOKUP(B249,辅助信息!E:M,9,FALSE)</f>
        <v>ZTWM-CDGS-XS-2024-0134-商投建工达州中医药科技成果示范园项目</v>
      </c>
      <c r="R249" s="19"/>
    </row>
    <row r="250" hidden="1" spans="2:18">
      <c r="B250" s="33" t="s">
        <v>17</v>
      </c>
      <c r="C250" s="63">
        <v>45668</v>
      </c>
      <c r="D250" s="33" t="str">
        <f>VLOOKUP(B250,辅助信息!E:K,7,FALSE)</f>
        <v>JWDDCD2024101600090</v>
      </c>
      <c r="E250" s="33" t="str">
        <f>VLOOKUP(F250,辅助信息!A:B,2,FALSE)</f>
        <v>盘螺</v>
      </c>
      <c r="F250" s="33" t="s">
        <v>40</v>
      </c>
      <c r="G250" s="29">
        <v>2</v>
      </c>
      <c r="H250" s="29" t="e">
        <f>_xlfn._xlws.FILTER(#REF!,#REF!&amp;#REF!&amp;#REF!&amp;#REF!=C250&amp;F250&amp;I250&amp;J250,"未发货")</f>
        <v>#REF!</v>
      </c>
      <c r="I250" s="33" t="str">
        <f>VLOOKUP(B250,辅助信息!E:I,3,FALSE)</f>
        <v>（达州市公共卫生临床医疗中心项目-一标-1号制作房）达州市通川区西外复兴镇公共卫生临床医疗中心项目</v>
      </c>
      <c r="J250" s="33" t="str">
        <f>VLOOKUP(B250,辅助信息!E:I,4,FALSE)</f>
        <v>潘建发</v>
      </c>
      <c r="K250" s="33">
        <f>VLOOKUP(J250,辅助信息!H:I,2,FALSE)</f>
        <v>13658059919</v>
      </c>
      <c r="L250" s="70" t="str">
        <f>VLOOKUP(B250,辅助信息!E:J,6,FALSE)</f>
        <v>提前联系到场规格,一天到场车辆不低于2车</v>
      </c>
      <c r="M250" s="50"/>
      <c r="N250" s="50"/>
      <c r="O250" s="50"/>
      <c r="P250" s="50"/>
      <c r="Q250" s="19" t="str">
        <f>VLOOKUP(B250,辅助信息!E:M,9,FALSE)</f>
        <v>ZTWM-CDGS-XS-2024-0205-五冶钢构-达州市通川区西外复兴镇及临近片区建设项目</v>
      </c>
      <c r="R250" s="19"/>
    </row>
    <row r="251" hidden="1" spans="2:18">
      <c r="B251" s="33" t="s">
        <v>17</v>
      </c>
      <c r="C251" s="63">
        <v>45668</v>
      </c>
      <c r="D251" s="33" t="str">
        <f>VLOOKUP(B251,辅助信息!E:K,7,FALSE)</f>
        <v>JWDDCD2024101600090</v>
      </c>
      <c r="E251" s="33" t="str">
        <f>VLOOKUP(F251,辅助信息!A:B,2,FALSE)</f>
        <v>盘螺</v>
      </c>
      <c r="F251" s="33" t="s">
        <v>41</v>
      </c>
      <c r="G251" s="29">
        <v>7</v>
      </c>
      <c r="H251" s="29" t="e">
        <f>_xlfn._xlws.FILTER(#REF!,#REF!&amp;#REF!&amp;#REF!&amp;#REF!=C251&amp;F251&amp;I251&amp;J251,"未发货")</f>
        <v>#REF!</v>
      </c>
      <c r="I251" s="33" t="str">
        <f>VLOOKUP(B251,辅助信息!E:I,3,FALSE)</f>
        <v>（达州市公共卫生临床医疗中心项目-一标-1号制作房）达州市通川区西外复兴镇公共卫生临床医疗中心项目</v>
      </c>
      <c r="J251" s="33" t="str">
        <f>VLOOKUP(B251,辅助信息!E:I,4,FALSE)</f>
        <v>潘建发</v>
      </c>
      <c r="K251" s="33">
        <f>VLOOKUP(J251,辅助信息!H:I,2,FALSE)</f>
        <v>13658059919</v>
      </c>
      <c r="L251" s="71"/>
      <c r="M251" s="50"/>
      <c r="N251" s="50"/>
      <c r="O251" s="50"/>
      <c r="P251" s="50"/>
      <c r="Q251" s="19" t="str">
        <f>VLOOKUP(B251,辅助信息!E:M,9,FALSE)</f>
        <v>ZTWM-CDGS-XS-2024-0205-五冶钢构-达州市通川区西外复兴镇及临近片区建设项目</v>
      </c>
      <c r="R251" s="19"/>
    </row>
    <row r="252" hidden="1" spans="2:18">
      <c r="B252" s="33" t="s">
        <v>17</v>
      </c>
      <c r="C252" s="63">
        <v>45668</v>
      </c>
      <c r="D252" s="33" t="str">
        <f>VLOOKUP(B252,辅助信息!E:K,7,FALSE)</f>
        <v>JWDDCD2024101600090</v>
      </c>
      <c r="E252" s="33" t="str">
        <f>VLOOKUP(F252,辅助信息!A:B,2,FALSE)</f>
        <v>螺纹钢</v>
      </c>
      <c r="F252" s="33" t="s">
        <v>27</v>
      </c>
      <c r="G252" s="29">
        <v>18</v>
      </c>
      <c r="H252" s="29" t="e">
        <f>_xlfn._xlws.FILTER(#REF!,#REF!&amp;#REF!&amp;#REF!&amp;#REF!=C252&amp;F252&amp;I252&amp;J252,"未发货")</f>
        <v>#REF!</v>
      </c>
      <c r="I252" s="33" t="str">
        <f>VLOOKUP(B252,辅助信息!E:I,3,FALSE)</f>
        <v>（达州市公共卫生临床医疗中心项目-一标-1号制作房）达州市通川区西外复兴镇公共卫生临床医疗中心项目</v>
      </c>
      <c r="J252" s="33" t="str">
        <f>VLOOKUP(B252,辅助信息!E:I,4,FALSE)</f>
        <v>潘建发</v>
      </c>
      <c r="K252" s="33">
        <f>VLOOKUP(J252,辅助信息!H:I,2,FALSE)</f>
        <v>13658059919</v>
      </c>
      <c r="L252" s="71"/>
      <c r="M252" s="50"/>
      <c r="N252" s="50"/>
      <c r="O252" s="50"/>
      <c r="P252" s="50"/>
      <c r="Q252" s="19" t="str">
        <f>VLOOKUP(B252,辅助信息!E:M,9,FALSE)</f>
        <v>ZTWM-CDGS-XS-2024-0205-五冶钢构-达州市通川区西外复兴镇及临近片区建设项目</v>
      </c>
      <c r="R252" s="19"/>
    </row>
    <row r="253" hidden="1" spans="2:18">
      <c r="B253" s="33" t="s">
        <v>17</v>
      </c>
      <c r="C253" s="63">
        <v>45668</v>
      </c>
      <c r="D253" s="33" t="str">
        <f>VLOOKUP(B253,辅助信息!E:K,7,FALSE)</f>
        <v>JWDDCD2024101600090</v>
      </c>
      <c r="E253" s="33" t="str">
        <f>VLOOKUP(F253,辅助信息!A:B,2,FALSE)</f>
        <v>螺纹钢</v>
      </c>
      <c r="F253" s="33" t="s">
        <v>19</v>
      </c>
      <c r="G253" s="29">
        <v>3</v>
      </c>
      <c r="H253" s="29" t="e">
        <f>_xlfn._xlws.FILTER(#REF!,#REF!&amp;#REF!&amp;#REF!&amp;#REF!=C253&amp;F253&amp;I253&amp;J253,"未发货")</f>
        <v>#REF!</v>
      </c>
      <c r="I253" s="33" t="str">
        <f>VLOOKUP(B253,辅助信息!E:I,3,FALSE)</f>
        <v>（达州市公共卫生临床医疗中心项目-一标-1号制作房）达州市通川区西外复兴镇公共卫生临床医疗中心项目</v>
      </c>
      <c r="J253" s="33" t="str">
        <f>VLOOKUP(B253,辅助信息!E:I,4,FALSE)</f>
        <v>潘建发</v>
      </c>
      <c r="K253" s="33">
        <f>VLOOKUP(J253,辅助信息!H:I,2,FALSE)</f>
        <v>13658059919</v>
      </c>
      <c r="L253" s="71"/>
      <c r="M253" s="50"/>
      <c r="N253" s="50"/>
      <c r="O253" s="50"/>
      <c r="P253" s="50"/>
      <c r="Q253" s="19" t="str">
        <f>VLOOKUP(B253,辅助信息!E:M,9,FALSE)</f>
        <v>ZTWM-CDGS-XS-2024-0205-五冶钢构-达州市通川区西外复兴镇及临近片区建设项目</v>
      </c>
      <c r="R253" s="19"/>
    </row>
    <row r="254" hidden="1" spans="2:18">
      <c r="B254" s="33" t="s">
        <v>17</v>
      </c>
      <c r="C254" s="63">
        <v>45668</v>
      </c>
      <c r="D254" s="33" t="str">
        <f>VLOOKUP(B254,辅助信息!E:K,7,FALSE)</f>
        <v>JWDDCD2024101600090</v>
      </c>
      <c r="E254" s="33" t="str">
        <f>VLOOKUP(F254,辅助信息!A:B,2,FALSE)</f>
        <v>螺纹钢</v>
      </c>
      <c r="F254" s="33" t="s">
        <v>32</v>
      </c>
      <c r="G254" s="29">
        <v>9</v>
      </c>
      <c r="H254" s="29" t="e">
        <f>_xlfn._xlws.FILTER(#REF!,#REF!&amp;#REF!&amp;#REF!&amp;#REF!=C254&amp;F254&amp;I254&amp;J254,"未发货")</f>
        <v>#REF!</v>
      </c>
      <c r="I254" s="33" t="str">
        <f>VLOOKUP(B254,辅助信息!E:I,3,FALSE)</f>
        <v>（达州市公共卫生临床医疗中心项目-一标-1号制作房）达州市通川区西外复兴镇公共卫生临床医疗中心项目</v>
      </c>
      <c r="J254" s="33" t="str">
        <f>VLOOKUP(B254,辅助信息!E:I,4,FALSE)</f>
        <v>潘建发</v>
      </c>
      <c r="K254" s="33">
        <f>VLOOKUP(J254,辅助信息!H:I,2,FALSE)</f>
        <v>13658059919</v>
      </c>
      <c r="L254" s="71"/>
      <c r="M254" s="50"/>
      <c r="N254" s="50"/>
      <c r="O254" s="50"/>
      <c r="P254" s="50"/>
      <c r="Q254" s="19" t="str">
        <f>VLOOKUP(B254,辅助信息!E:M,9,FALSE)</f>
        <v>ZTWM-CDGS-XS-2024-0205-五冶钢构-达州市通川区西外复兴镇及临近片区建设项目</v>
      </c>
      <c r="R254" s="19"/>
    </row>
    <row r="255" hidden="1" spans="2:18">
      <c r="B255" s="33" t="s">
        <v>17</v>
      </c>
      <c r="C255" s="63">
        <v>45668</v>
      </c>
      <c r="D255" s="33" t="str">
        <f>VLOOKUP(B255,辅助信息!E:K,7,FALSE)</f>
        <v>JWDDCD2024101600090</v>
      </c>
      <c r="E255" s="33" t="str">
        <f>VLOOKUP(F255,辅助信息!A:B,2,FALSE)</f>
        <v>螺纹钢</v>
      </c>
      <c r="F255" s="33" t="s">
        <v>33</v>
      </c>
      <c r="G255" s="29">
        <v>2</v>
      </c>
      <c r="H255" s="29" t="e">
        <f>_xlfn._xlws.FILTER(#REF!,#REF!&amp;#REF!&amp;#REF!&amp;#REF!=C255&amp;F255&amp;I255&amp;J255,"未发货")</f>
        <v>#REF!</v>
      </c>
      <c r="I255" s="33" t="str">
        <f>VLOOKUP(B255,辅助信息!E:I,3,FALSE)</f>
        <v>（达州市公共卫生临床医疗中心项目-一标-1号制作房）达州市通川区西外复兴镇公共卫生临床医疗中心项目</v>
      </c>
      <c r="J255" s="33" t="str">
        <f>VLOOKUP(B255,辅助信息!E:I,4,FALSE)</f>
        <v>潘建发</v>
      </c>
      <c r="K255" s="33">
        <f>VLOOKUP(J255,辅助信息!H:I,2,FALSE)</f>
        <v>13658059919</v>
      </c>
      <c r="L255" s="71"/>
      <c r="M255" s="50"/>
      <c r="N255" s="50"/>
      <c r="O255" s="50"/>
      <c r="P255" s="50"/>
      <c r="Q255" s="19" t="str">
        <f>VLOOKUP(B255,辅助信息!E:M,9,FALSE)</f>
        <v>ZTWM-CDGS-XS-2024-0205-五冶钢构-达州市通川区西外复兴镇及临近片区建设项目</v>
      </c>
      <c r="R255" s="19"/>
    </row>
    <row r="256" hidden="1" spans="2:18">
      <c r="B256" s="76" t="s">
        <v>17</v>
      </c>
      <c r="C256" s="77">
        <v>45668</v>
      </c>
      <c r="D256" s="76" t="str">
        <f>VLOOKUP(B256,辅助信息!E:K,7,FALSE)</f>
        <v>JWDDCD2024101600090</v>
      </c>
      <c r="E256" s="76" t="str">
        <f>VLOOKUP(F256,辅助信息!A:B,2,FALSE)</f>
        <v>螺纹钢</v>
      </c>
      <c r="F256" s="76" t="s">
        <v>18</v>
      </c>
      <c r="G256" s="78">
        <v>18</v>
      </c>
      <c r="H256" s="78">
        <v>18</v>
      </c>
      <c r="I256" s="76" t="str">
        <f>VLOOKUP(B256,辅助信息!E:I,3,FALSE)</f>
        <v>（达州市公共卫生临床医疗中心项目-一标-1号制作房）达州市通川区西外复兴镇公共卫生临床医疗中心项目</v>
      </c>
      <c r="J256" s="76" t="str">
        <f>VLOOKUP(B256,辅助信息!E:I,4,FALSE)</f>
        <v>潘建发</v>
      </c>
      <c r="K256" s="76">
        <f>VLOOKUP(J256,辅助信息!H:I,2,FALSE)</f>
        <v>13658059919</v>
      </c>
      <c r="L256" s="69"/>
      <c r="M256" s="50"/>
      <c r="N256" s="50"/>
      <c r="O256" s="50"/>
      <c r="P256" s="50"/>
      <c r="Q256" s="19" t="str">
        <f>VLOOKUP(B256,辅助信息!E:M,9,FALSE)</f>
        <v>ZTWM-CDGS-XS-2024-0205-五冶钢构-达州市通川区西外复兴镇及临近片区建设项目</v>
      </c>
      <c r="R256" s="19"/>
    </row>
    <row r="257" hidden="1" spans="2:18">
      <c r="B257" s="33" t="s">
        <v>43</v>
      </c>
      <c r="C257" s="63">
        <v>45668</v>
      </c>
      <c r="D257" s="33" t="str">
        <f>VLOOKUP(B257,辅助信息!E:K,7,FALSE)</f>
        <v>JWDDCD2024101600090</v>
      </c>
      <c r="E257" s="33" t="str">
        <f>VLOOKUP(F257,辅助信息!A:B,2,FALSE)</f>
        <v>盘螺</v>
      </c>
      <c r="F257" s="33" t="s">
        <v>40</v>
      </c>
      <c r="G257" s="29">
        <v>16</v>
      </c>
      <c r="H257" s="29" t="e">
        <f>_xlfn._xlws.FILTER(#REF!,#REF!&amp;#REF!&amp;#REF!&amp;#REF!=C257&amp;F257&amp;I257&amp;J257,"未发货")</f>
        <v>#REF!</v>
      </c>
      <c r="I257" s="33" t="str">
        <f>VLOOKUP(B257,辅助信息!E:I,3,FALSE)</f>
        <v>（达州市公共卫生医疗中心项目-二标-3号楼）达州市通川区西外复兴镇公共卫生临床医疗中心项目</v>
      </c>
      <c r="J257" s="33" t="str">
        <f>VLOOKUP(B257,辅助信息!E:I,4,FALSE)</f>
        <v>黄永林</v>
      </c>
      <c r="K257" s="33">
        <f>VLOOKUP(J257,辅助信息!H:I,2,FALSE)</f>
        <v>15982487227</v>
      </c>
      <c r="L257" s="70" t="str">
        <f>VLOOKUP(B257,辅助信息!E:J,6,FALSE)</f>
        <v>提前联系到场规格,一天到场车辆不低于2车</v>
      </c>
      <c r="M257" s="70"/>
      <c r="N257" s="70"/>
      <c r="O257" s="70"/>
      <c r="P257" s="70"/>
      <c r="Q257" s="33" t="str">
        <f>VLOOKUP(B257,辅助信息!E:M,9,FALSE)</f>
        <v>ZTWM-CDGS-XS-2024-0205-五冶钢构-达州市通川区西外复兴镇及临近片区建设项目</v>
      </c>
      <c r="R257" s="19"/>
    </row>
    <row r="258" hidden="1" spans="2:18">
      <c r="B258" s="33" t="s">
        <v>43</v>
      </c>
      <c r="C258" s="63">
        <v>45668</v>
      </c>
      <c r="D258" s="33" t="str">
        <f>VLOOKUP(B258,辅助信息!E:K,7,FALSE)</f>
        <v>JWDDCD2024101600090</v>
      </c>
      <c r="E258" s="33" t="str">
        <f>VLOOKUP(F258,辅助信息!A:B,2,FALSE)</f>
        <v>盘螺</v>
      </c>
      <c r="F258" s="33" t="s">
        <v>41</v>
      </c>
      <c r="G258" s="29">
        <v>12</v>
      </c>
      <c r="H258" s="29" t="e">
        <f>_xlfn._xlws.FILTER(#REF!,#REF!&amp;#REF!&amp;#REF!&amp;#REF!=C258&amp;F258&amp;I258&amp;J258,"未发货")</f>
        <v>#REF!</v>
      </c>
      <c r="I258" s="33" t="str">
        <f>VLOOKUP(B258,辅助信息!E:I,3,FALSE)</f>
        <v>（达州市公共卫生医疗中心项目-二标-3号楼）达州市通川区西外复兴镇公共卫生临床医疗中心项目</v>
      </c>
      <c r="J258" s="33" t="str">
        <f>VLOOKUP(B258,辅助信息!E:I,4,FALSE)</f>
        <v>黄永林</v>
      </c>
      <c r="K258" s="33">
        <f>VLOOKUP(J258,辅助信息!H:I,2,FALSE)</f>
        <v>15982487227</v>
      </c>
      <c r="L258" s="71"/>
      <c r="M258" s="70"/>
      <c r="N258" s="70"/>
      <c r="O258" s="70"/>
      <c r="P258" s="70"/>
      <c r="Q258" s="33" t="str">
        <f>VLOOKUP(B258,辅助信息!E:M,9,FALSE)</f>
        <v>ZTWM-CDGS-XS-2024-0205-五冶钢构-达州市通川区西外复兴镇及临近片区建设项目</v>
      </c>
      <c r="R258" s="19"/>
    </row>
    <row r="259" hidden="1" spans="2:18">
      <c r="B259" s="33" t="s">
        <v>43</v>
      </c>
      <c r="C259" s="63">
        <v>45668</v>
      </c>
      <c r="D259" s="33" t="str">
        <f>VLOOKUP(B259,辅助信息!E:K,7,FALSE)</f>
        <v>JWDDCD2024101600090</v>
      </c>
      <c r="E259" s="33" t="str">
        <f>VLOOKUP(F259,辅助信息!A:B,2,FALSE)</f>
        <v>螺纹钢</v>
      </c>
      <c r="F259" s="33" t="s">
        <v>27</v>
      </c>
      <c r="G259" s="29">
        <v>25</v>
      </c>
      <c r="H259" s="29" t="e">
        <f>_xlfn._xlws.FILTER(#REF!,#REF!&amp;#REF!&amp;#REF!&amp;#REF!=C259&amp;F259&amp;I259&amp;J259,"未发货")</f>
        <v>#REF!</v>
      </c>
      <c r="I259" s="33" t="str">
        <f>VLOOKUP(B259,辅助信息!E:I,3,FALSE)</f>
        <v>（达州市公共卫生医疗中心项目-二标-3号楼）达州市通川区西外复兴镇公共卫生临床医疗中心项目</v>
      </c>
      <c r="J259" s="33" t="str">
        <f>VLOOKUP(B259,辅助信息!E:I,4,FALSE)</f>
        <v>黄永林</v>
      </c>
      <c r="K259" s="33">
        <f>VLOOKUP(J259,辅助信息!H:I,2,FALSE)</f>
        <v>15982487227</v>
      </c>
      <c r="L259" s="69"/>
      <c r="M259" s="70"/>
      <c r="N259" s="70"/>
      <c r="O259" s="70"/>
      <c r="P259" s="70"/>
      <c r="Q259" s="33" t="str">
        <f>VLOOKUP(B259,辅助信息!E:M,9,FALSE)</f>
        <v>ZTWM-CDGS-XS-2024-0205-五冶钢构-达州市通川区西外复兴镇及临近片区建设项目</v>
      </c>
      <c r="R259" s="19"/>
    </row>
    <row r="260" hidden="1" spans="2:18">
      <c r="B260" s="33" t="s">
        <v>70</v>
      </c>
      <c r="C260" s="63">
        <v>45668</v>
      </c>
      <c r="D260" s="33" t="e">
        <f>VLOOKUP(B260,辅助信息!E:K,7,FALSE)</f>
        <v>#N/A</v>
      </c>
      <c r="E260" s="33" t="str">
        <f>VLOOKUP(F260,辅助信息!A:B,2,FALSE)</f>
        <v>螺纹钢</v>
      </c>
      <c r="F260" s="33" t="s">
        <v>27</v>
      </c>
      <c r="G260" s="29">
        <v>30</v>
      </c>
      <c r="H260" s="29" t="e">
        <f>_xlfn._xlws.FILTER(#REF!,#REF!&amp;#REF!&amp;#REF!&amp;#REF!=C260&amp;F260&amp;I260&amp;J260,"未发货")</f>
        <v>#REF!</v>
      </c>
      <c r="I260" s="33" t="e">
        <f>VLOOKUP(B260,辅助信息!E:I,3,FALSE)</f>
        <v>#N/A</v>
      </c>
      <c r="J260" s="33" t="e">
        <f>VLOOKUP(B260,辅助信息!E:I,4,FALSE)</f>
        <v>#N/A</v>
      </c>
      <c r="K260" s="33" t="e">
        <f>VLOOKUP(J260,辅助信息!H:I,2,FALSE)</f>
        <v>#N/A</v>
      </c>
      <c r="L260" s="70" t="e">
        <f>VLOOKUP(B260,辅助信息!E:J,6,FALSE)</f>
        <v>#N/A</v>
      </c>
      <c r="M260" s="70"/>
      <c r="N260" s="70"/>
      <c r="O260" s="70"/>
      <c r="P260" s="70"/>
      <c r="Q260" s="33" t="e">
        <f>VLOOKUP(B260,辅助信息!E:M,9,FALSE)</f>
        <v>#N/A</v>
      </c>
      <c r="R260" s="19"/>
    </row>
    <row r="261" hidden="1" spans="2:18">
      <c r="B261" s="33" t="s">
        <v>70</v>
      </c>
      <c r="C261" s="63">
        <v>45668</v>
      </c>
      <c r="D261" s="33" t="e">
        <f>VLOOKUP(B261,辅助信息!E:K,7,FALSE)</f>
        <v>#N/A</v>
      </c>
      <c r="E261" s="33" t="str">
        <f>VLOOKUP(F261,辅助信息!A:B,2,FALSE)</f>
        <v>螺纹钢</v>
      </c>
      <c r="F261" s="33" t="s">
        <v>32</v>
      </c>
      <c r="G261" s="29">
        <v>6</v>
      </c>
      <c r="H261" s="29" t="e">
        <f>_xlfn._xlws.FILTER(#REF!,#REF!&amp;#REF!&amp;#REF!&amp;#REF!=C261&amp;F261&amp;I261&amp;J261,"未发货")</f>
        <v>#REF!</v>
      </c>
      <c r="I261" s="33" t="e">
        <f>VLOOKUP(B261,辅助信息!E:I,3,FALSE)</f>
        <v>#N/A</v>
      </c>
      <c r="J261" s="33" t="e">
        <f>VLOOKUP(B261,辅助信息!E:I,4,FALSE)</f>
        <v>#N/A</v>
      </c>
      <c r="K261" s="33" t="e">
        <f>VLOOKUP(J261,辅助信息!H:I,2,FALSE)</f>
        <v>#N/A</v>
      </c>
      <c r="L261" s="69"/>
      <c r="M261" s="70"/>
      <c r="N261" s="70"/>
      <c r="O261" s="70"/>
      <c r="P261" s="70"/>
      <c r="Q261" s="33" t="e">
        <f>VLOOKUP(B261,辅助信息!E:M,9,FALSE)</f>
        <v>#N/A</v>
      </c>
      <c r="R261" s="19"/>
    </row>
    <row r="262" hidden="1" spans="2:18">
      <c r="B262" s="33" t="s">
        <v>64</v>
      </c>
      <c r="C262" s="63">
        <v>45668</v>
      </c>
      <c r="D262" s="33" t="e">
        <f>VLOOKUP(B262,辅助信息!E:K,7,FALSE)</f>
        <v>#N/A</v>
      </c>
      <c r="E262" s="33" t="str">
        <f>VLOOKUP(F262,辅助信息!A:B,2,FALSE)</f>
        <v>螺纹钢</v>
      </c>
      <c r="F262" s="33" t="s">
        <v>27</v>
      </c>
      <c r="G262" s="29">
        <v>15</v>
      </c>
      <c r="H262" s="29" t="e">
        <f>_xlfn._xlws.FILTER(#REF!,#REF!&amp;#REF!&amp;#REF!&amp;#REF!=C262&amp;F262&amp;I262&amp;J262,"未发货")</f>
        <v>#REF!</v>
      </c>
      <c r="I262" s="33" t="e">
        <f>VLOOKUP(B262,辅助信息!E:I,3,FALSE)</f>
        <v>#N/A</v>
      </c>
      <c r="J262" s="33" t="e">
        <f>VLOOKUP(B262,辅助信息!E:I,4,FALSE)</f>
        <v>#N/A</v>
      </c>
      <c r="K262" s="33" t="e">
        <f>VLOOKUP(J262,辅助信息!H:I,2,FALSE)</f>
        <v>#N/A</v>
      </c>
      <c r="L262" s="70" t="e">
        <f>VLOOKUP(B262,辅助信息!E:J,6,FALSE)</f>
        <v>#N/A</v>
      </c>
      <c r="M262" s="70"/>
      <c r="N262" s="70"/>
      <c r="O262" s="70"/>
      <c r="P262" s="70"/>
      <c r="Q262" s="33" t="e">
        <f>VLOOKUP(B262,辅助信息!E:M,9,FALSE)</f>
        <v>#N/A</v>
      </c>
      <c r="R262" s="19"/>
    </row>
    <row r="263" hidden="1" spans="2:18">
      <c r="B263" s="33" t="s">
        <v>64</v>
      </c>
      <c r="C263" s="63">
        <v>45668</v>
      </c>
      <c r="D263" s="33" t="e">
        <f>VLOOKUP(B263,辅助信息!E:K,7,FALSE)</f>
        <v>#N/A</v>
      </c>
      <c r="E263" s="33" t="str">
        <f>VLOOKUP(F263,辅助信息!A:B,2,FALSE)</f>
        <v>螺纹钢</v>
      </c>
      <c r="F263" s="33" t="s">
        <v>32</v>
      </c>
      <c r="G263" s="29">
        <v>18</v>
      </c>
      <c r="H263" s="29" t="e">
        <f>_xlfn._xlws.FILTER(#REF!,#REF!&amp;#REF!&amp;#REF!&amp;#REF!=C263&amp;F263&amp;I263&amp;J263,"未发货")</f>
        <v>#REF!</v>
      </c>
      <c r="I263" s="33" t="e">
        <f>VLOOKUP(B263,辅助信息!E:I,3,FALSE)</f>
        <v>#N/A</v>
      </c>
      <c r="J263" s="33" t="e">
        <f>VLOOKUP(B263,辅助信息!E:I,4,FALSE)</f>
        <v>#N/A</v>
      </c>
      <c r="K263" s="33" t="e">
        <f>VLOOKUP(J263,辅助信息!H:I,2,FALSE)</f>
        <v>#N/A</v>
      </c>
      <c r="L263" s="71"/>
      <c r="M263" s="70"/>
      <c r="N263" s="70"/>
      <c r="O263" s="70"/>
      <c r="P263" s="70"/>
      <c r="Q263" s="33" t="e">
        <f>VLOOKUP(B263,辅助信息!E:M,9,FALSE)</f>
        <v>#N/A</v>
      </c>
      <c r="R263" s="19"/>
    </row>
    <row r="264" hidden="1" spans="2:18">
      <c r="B264" s="33" t="s">
        <v>64</v>
      </c>
      <c r="C264" s="63">
        <v>45668</v>
      </c>
      <c r="D264" s="33" t="e">
        <f>VLOOKUP(B264,辅助信息!E:K,7,FALSE)</f>
        <v>#N/A</v>
      </c>
      <c r="E264" s="33" t="str">
        <f>VLOOKUP(F264,辅助信息!A:B,2,FALSE)</f>
        <v>螺纹钢</v>
      </c>
      <c r="F264" s="33" t="s">
        <v>28</v>
      </c>
      <c r="G264" s="29">
        <v>6</v>
      </c>
      <c r="H264" s="29" t="e">
        <f>_xlfn._xlws.FILTER(#REF!,#REF!&amp;#REF!&amp;#REF!&amp;#REF!=C264&amp;F264&amp;I264&amp;J264,"未发货")</f>
        <v>#REF!</v>
      </c>
      <c r="I264" s="33" t="e">
        <f>VLOOKUP(B264,辅助信息!E:I,3,FALSE)</f>
        <v>#N/A</v>
      </c>
      <c r="J264" s="33" t="e">
        <f>VLOOKUP(B264,辅助信息!E:I,4,FALSE)</f>
        <v>#N/A</v>
      </c>
      <c r="K264" s="33" t="e">
        <f>VLOOKUP(J264,辅助信息!H:I,2,FALSE)</f>
        <v>#N/A</v>
      </c>
      <c r="L264" s="71"/>
      <c r="M264" s="70"/>
      <c r="N264" s="70"/>
      <c r="O264" s="70"/>
      <c r="P264" s="70"/>
      <c r="Q264" s="33" t="e">
        <f>VLOOKUP(B264,辅助信息!E:M,9,FALSE)</f>
        <v>#N/A</v>
      </c>
      <c r="R264" s="19"/>
    </row>
    <row r="265" hidden="1" spans="2:18">
      <c r="B265" s="33" t="s">
        <v>64</v>
      </c>
      <c r="C265" s="63">
        <v>45668</v>
      </c>
      <c r="D265" s="33" t="e">
        <f>VLOOKUP(B265,辅助信息!E:K,7,FALSE)</f>
        <v>#N/A</v>
      </c>
      <c r="E265" s="33" t="str">
        <f>VLOOKUP(F265,辅助信息!A:B,2,FALSE)</f>
        <v>螺纹钢</v>
      </c>
      <c r="F265" s="33" t="s">
        <v>65</v>
      </c>
      <c r="G265" s="29">
        <v>38</v>
      </c>
      <c r="H265" s="29" t="e">
        <f>_xlfn._xlws.FILTER(#REF!,#REF!&amp;#REF!&amp;#REF!&amp;#REF!=C265&amp;F265&amp;I265&amp;J265,"未发货")</f>
        <v>#REF!</v>
      </c>
      <c r="I265" s="33" t="e">
        <f>VLOOKUP(B265,辅助信息!E:I,3,FALSE)</f>
        <v>#N/A</v>
      </c>
      <c r="J265" s="33" t="e">
        <f>VLOOKUP(B265,辅助信息!E:I,4,FALSE)</f>
        <v>#N/A</v>
      </c>
      <c r="K265" s="33" t="e">
        <f>VLOOKUP(J265,辅助信息!H:I,2,FALSE)</f>
        <v>#N/A</v>
      </c>
      <c r="L265" s="71"/>
      <c r="M265" s="70"/>
      <c r="N265" s="70"/>
      <c r="O265" s="70"/>
      <c r="P265" s="70"/>
      <c r="Q265" s="33" t="e">
        <f>VLOOKUP(B265,辅助信息!E:M,9,FALSE)</f>
        <v>#N/A</v>
      </c>
      <c r="R265" s="19"/>
    </row>
    <row r="266" hidden="1" spans="2:18">
      <c r="B266" s="33" t="s">
        <v>64</v>
      </c>
      <c r="C266" s="63">
        <v>45668</v>
      </c>
      <c r="D266" s="33" t="e">
        <f>VLOOKUP(B266,辅助信息!E:K,7,FALSE)</f>
        <v>#N/A</v>
      </c>
      <c r="E266" s="33" t="str">
        <f>VLOOKUP(F266,辅助信息!A:B,2,FALSE)</f>
        <v>螺纹钢</v>
      </c>
      <c r="F266" s="33" t="s">
        <v>52</v>
      </c>
      <c r="G266" s="29">
        <v>6</v>
      </c>
      <c r="H266" s="29" t="e">
        <f>_xlfn._xlws.FILTER(#REF!,#REF!&amp;#REF!&amp;#REF!&amp;#REF!=C266&amp;F266&amp;I266&amp;J266,"未发货")</f>
        <v>#REF!</v>
      </c>
      <c r="I266" s="33" t="e">
        <f>VLOOKUP(B266,辅助信息!E:I,3,FALSE)</f>
        <v>#N/A</v>
      </c>
      <c r="J266" s="33" t="e">
        <f>VLOOKUP(B266,辅助信息!E:I,4,FALSE)</f>
        <v>#N/A</v>
      </c>
      <c r="K266" s="33" t="e">
        <f>VLOOKUP(J266,辅助信息!H:I,2,FALSE)</f>
        <v>#N/A</v>
      </c>
      <c r="L266" s="69"/>
      <c r="M266" s="70"/>
      <c r="N266" s="70"/>
      <c r="O266" s="70"/>
      <c r="P266" s="70"/>
      <c r="Q266" s="33" t="e">
        <f>VLOOKUP(B266,辅助信息!E:M,9,FALSE)</f>
        <v>#N/A</v>
      </c>
      <c r="R266" s="19"/>
    </row>
    <row r="267" hidden="1" spans="2:18">
      <c r="B267" s="33" t="s">
        <v>48</v>
      </c>
      <c r="C267" s="63">
        <v>45673</v>
      </c>
      <c r="D267" s="33" t="str">
        <f>VLOOKUP(B267,辅助信息!E:K,7,FALSE)</f>
        <v>ZTWM-CDGS-YL-20240529-006</v>
      </c>
      <c r="E267" s="33" t="str">
        <f>VLOOKUP(F267,辅助信息!A:B,2,FALSE)</f>
        <v>螺纹钢</v>
      </c>
      <c r="F267" s="33" t="s">
        <v>66</v>
      </c>
      <c r="G267" s="29">
        <f>40-12</f>
        <v>28</v>
      </c>
      <c r="H267" s="29">
        <v>28</v>
      </c>
      <c r="I267" s="33" t="str">
        <f>VLOOKUP(B267,辅助信息!E:I,3,FALSE)</f>
        <v>(华西颐海-科创农业生态谷-1号钢筋房)成都市简阳市白金山水库</v>
      </c>
      <c r="J267" s="33" t="str">
        <f>VLOOKUP(B267,辅助信息!E:I,4,FALSE)</f>
        <v>石清国</v>
      </c>
      <c r="K267" s="33">
        <f>VLOOKUP(J267,辅助信息!H:I,2,FALSE)</f>
        <v>13458642015</v>
      </c>
      <c r="L267" s="70" t="str">
        <f>VLOOKUP(B267,辅助信息!E:J,6,FALSE)</f>
        <v>优先威钢,我方卸车,新老国标钢厂不加价可直发</v>
      </c>
      <c r="M267" s="70"/>
      <c r="N267" s="70"/>
      <c r="O267" s="70"/>
      <c r="P267" s="70"/>
      <c r="Q267" s="33" t="str">
        <f>VLOOKUP(B267,辅助信息!E:M,9,FALSE)</f>
        <v>ZTWM-CDGS-XS-2024-0093-华西-颐海科创农业生态谷</v>
      </c>
      <c r="R267" s="19"/>
    </row>
    <row r="268" hidden="1" spans="2:18">
      <c r="B268" s="33" t="s">
        <v>48</v>
      </c>
      <c r="C268" s="63">
        <v>45673</v>
      </c>
      <c r="D268" s="33" t="str">
        <f>VLOOKUP(B268,辅助信息!E:K,7,FALSE)</f>
        <v>ZTWM-CDGS-YL-20240529-006</v>
      </c>
      <c r="E268" s="33" t="str">
        <f>VLOOKUP(F268,辅助信息!A:B,2,FALSE)</f>
        <v>螺纹钢</v>
      </c>
      <c r="F268" s="33" t="s">
        <v>46</v>
      </c>
      <c r="G268" s="29">
        <v>6</v>
      </c>
      <c r="H268" s="29">
        <v>6</v>
      </c>
      <c r="I268" s="33" t="str">
        <f>VLOOKUP(B268,辅助信息!E:I,3,FALSE)</f>
        <v>(华西颐海-科创农业生态谷-1号钢筋房)成都市简阳市白金山水库</v>
      </c>
      <c r="J268" s="33" t="str">
        <f>VLOOKUP(B268,辅助信息!E:I,4,FALSE)</f>
        <v>石清国</v>
      </c>
      <c r="K268" s="33">
        <f>VLOOKUP(J268,辅助信息!H:I,2,FALSE)</f>
        <v>13458642015</v>
      </c>
      <c r="L268" s="71"/>
      <c r="M268" s="70"/>
      <c r="N268" s="70"/>
      <c r="O268" s="70"/>
      <c r="P268" s="70"/>
      <c r="Q268" s="33" t="str">
        <f>VLOOKUP(B268,辅助信息!E:M,9,FALSE)</f>
        <v>ZTWM-CDGS-XS-2024-0093-华西-颐海科创农业生态谷</v>
      </c>
      <c r="R268" s="19"/>
    </row>
    <row r="269" hidden="1" spans="2:18">
      <c r="B269" s="33" t="s">
        <v>48</v>
      </c>
      <c r="C269" s="63">
        <v>45673</v>
      </c>
      <c r="D269" s="33" t="str">
        <f>VLOOKUP(B269,辅助信息!E:K,7,FALSE)</f>
        <v>ZTWM-CDGS-YL-20240529-006</v>
      </c>
      <c r="E269" s="33" t="str">
        <f>VLOOKUP(F269,辅助信息!A:B,2,FALSE)</f>
        <v>螺纹钢</v>
      </c>
      <c r="F269" s="33" t="s">
        <v>22</v>
      </c>
      <c r="G269" s="29">
        <v>10</v>
      </c>
      <c r="H269" s="29">
        <v>10</v>
      </c>
      <c r="I269" s="33" t="str">
        <f>VLOOKUP(B269,辅助信息!E:I,3,FALSE)</f>
        <v>(华西颐海-科创农业生态谷-1号钢筋房)成都市简阳市白金山水库</v>
      </c>
      <c r="J269" s="33" t="str">
        <f>VLOOKUP(B269,辅助信息!E:I,4,FALSE)</f>
        <v>石清国</v>
      </c>
      <c r="K269" s="33">
        <f>VLOOKUP(J269,辅助信息!H:I,2,FALSE)</f>
        <v>13458642015</v>
      </c>
      <c r="L269" s="69"/>
      <c r="M269" s="70"/>
      <c r="N269" s="70"/>
      <c r="O269" s="70"/>
      <c r="P269" s="70"/>
      <c r="Q269" s="33" t="str">
        <f>VLOOKUP(B269,辅助信息!E:M,9,FALSE)</f>
        <v>ZTWM-CDGS-XS-2024-0093-华西-颐海科创农业生态谷</v>
      </c>
      <c r="R269" s="19"/>
    </row>
    <row r="270" hidden="1" spans="2:18">
      <c r="B270" s="33" t="s">
        <v>71</v>
      </c>
      <c r="C270" s="63">
        <v>45673</v>
      </c>
      <c r="D270" s="33" t="str">
        <f>VLOOKUP(B270,辅助信息!E:K,7,FALSE)</f>
        <v>JWDDCD2025051000019</v>
      </c>
      <c r="E270" s="33" t="str">
        <f>VLOOKUP(F270,辅助信息!A:B,2,FALSE)</f>
        <v>盘螺</v>
      </c>
      <c r="F270" s="33" t="s">
        <v>49</v>
      </c>
      <c r="G270" s="29">
        <v>105</v>
      </c>
      <c r="H270" s="29">
        <v>105</v>
      </c>
      <c r="I270" s="33" t="str">
        <f>VLOOKUP(B270,辅助信息!E:I,3,FALSE)</f>
        <v>(五冶钢构医学科学产业园建设项目房建二部-三标（1-5）)四川省南充市顺庆区搬罾街道学府大道二段</v>
      </c>
      <c r="J270" s="33" t="str">
        <f>VLOOKUP(B270,辅助信息!E:I,4,FALSE)</f>
        <v>安南</v>
      </c>
      <c r="K270" s="33">
        <f>VLOOKUP(J270,辅助信息!H:I,2,FALSE)</f>
        <v>19950525030</v>
      </c>
      <c r="L270" s="70" t="str">
        <f>VLOOKUP(B270,辅助信息!E:J,6,FALSE)</f>
        <v>送货单：送货单位：南充思临新材料科技有限公司,收货单位：五冶集团川北(南充)建设有限公司,项目名称：南充医学科学产业园,送货车型13米,装货前联系收货人核实到场规格</v>
      </c>
      <c r="M270" s="70"/>
      <c r="N270" s="70"/>
      <c r="O270" s="70"/>
      <c r="P270" s="70"/>
      <c r="Q270" s="33" t="str">
        <f>VLOOKUP(B270,辅助信息!E:M,9,FALSE)</f>
        <v>ZTWM-CDGS-XS-2024-0248-五冶钢构-南充市医学院项目</v>
      </c>
      <c r="R270" s="19"/>
    </row>
    <row r="271" hidden="1" spans="2:18">
      <c r="B271" s="33" t="s">
        <v>71</v>
      </c>
      <c r="C271" s="63">
        <v>45673</v>
      </c>
      <c r="D271" s="33" t="str">
        <f>VLOOKUP(B271,辅助信息!E:K,7,FALSE)</f>
        <v>JWDDCD2025051000019</v>
      </c>
      <c r="E271" s="33" t="str">
        <f>VLOOKUP(F271,辅助信息!A:B,2,FALSE)</f>
        <v>螺纹钢</v>
      </c>
      <c r="F271" s="33" t="s">
        <v>27</v>
      </c>
      <c r="G271" s="29">
        <v>70</v>
      </c>
      <c r="H271" s="29">
        <v>70</v>
      </c>
      <c r="I271" s="33" t="str">
        <f>VLOOKUP(B271,辅助信息!E:I,3,FALSE)</f>
        <v>(五冶钢构医学科学产业园建设项目房建二部-三标（1-5）)四川省南充市顺庆区搬罾街道学府大道二段</v>
      </c>
      <c r="J271" s="33" t="str">
        <f>VLOOKUP(B271,辅助信息!E:I,4,FALSE)</f>
        <v>安南</v>
      </c>
      <c r="K271" s="33">
        <f>VLOOKUP(J271,辅助信息!H:I,2,FALSE)</f>
        <v>19950525030</v>
      </c>
      <c r="L271" s="71"/>
      <c r="M271" s="70"/>
      <c r="N271" s="70"/>
      <c r="O271" s="70"/>
      <c r="P271" s="70"/>
      <c r="Q271" s="33" t="str">
        <f>VLOOKUP(B271,辅助信息!E:M,9,FALSE)</f>
        <v>ZTWM-CDGS-XS-2024-0248-五冶钢构-南充市医学院项目</v>
      </c>
      <c r="R271" s="19"/>
    </row>
    <row r="272" hidden="1" spans="2:18">
      <c r="B272" s="33" t="s">
        <v>72</v>
      </c>
      <c r="C272" s="63">
        <v>45674</v>
      </c>
      <c r="D272" s="33" t="str">
        <f>VLOOKUP(B272,辅助信息!E:K,7,FALSE)</f>
        <v>JWDDCD2025051000019</v>
      </c>
      <c r="E272" s="33" t="str">
        <f>VLOOKUP(F272,辅助信息!A:B,2,FALSE)</f>
        <v>螺纹钢</v>
      </c>
      <c r="F272" s="33" t="s">
        <v>19</v>
      </c>
      <c r="G272" s="29">
        <v>22</v>
      </c>
      <c r="H272" s="29">
        <v>22</v>
      </c>
      <c r="I272" s="33" t="str">
        <f>VLOOKUP(B272,辅助信息!E:I,3,FALSE)</f>
        <v>(五冶钢构医学科学产业园建设项目房建二部-网羽馆（6-5）)四川省南充市顺庆区搬罾街道学府大道二段</v>
      </c>
      <c r="J272" s="33" t="str">
        <f>VLOOKUP(B272,辅助信息!E:I,4,FALSE)</f>
        <v>安南</v>
      </c>
      <c r="K272" s="33">
        <f>VLOOKUP(J272,辅助信息!H:I,2,FALSE)</f>
        <v>19950525030</v>
      </c>
      <c r="L272" s="71"/>
      <c r="M272" s="70"/>
      <c r="N272" s="70"/>
      <c r="O272" s="70"/>
      <c r="P272" s="70"/>
      <c r="Q272" s="33" t="str">
        <f>VLOOKUP(B272,辅助信息!E:M,9,FALSE)</f>
        <v>ZTWM-CDGS-XS-2024-0248-五冶钢构-南充市医学院项目</v>
      </c>
      <c r="R272" s="19"/>
    </row>
    <row r="273" hidden="1" spans="2:18">
      <c r="B273" s="33" t="s">
        <v>72</v>
      </c>
      <c r="C273" s="63">
        <v>45674</v>
      </c>
      <c r="D273" s="33" t="str">
        <f>VLOOKUP(B273,辅助信息!E:K,7,FALSE)</f>
        <v>JWDDCD2025051000019</v>
      </c>
      <c r="E273" s="33" t="str">
        <f>VLOOKUP(F273,辅助信息!A:B,2,FALSE)</f>
        <v>螺纹钢</v>
      </c>
      <c r="F273" s="33" t="s">
        <v>32</v>
      </c>
      <c r="G273" s="29">
        <v>13</v>
      </c>
      <c r="H273" s="29">
        <v>13</v>
      </c>
      <c r="I273" s="33" t="str">
        <f>VLOOKUP(B273,辅助信息!E:I,3,FALSE)</f>
        <v>(五冶钢构医学科学产业园建设项目房建二部-网羽馆（6-5）)四川省南充市顺庆区搬罾街道学府大道二段</v>
      </c>
      <c r="J273" s="33" t="str">
        <f>VLOOKUP(B273,辅助信息!E:I,4,FALSE)</f>
        <v>安南</v>
      </c>
      <c r="K273" s="33">
        <f>VLOOKUP(J273,辅助信息!H:I,2,FALSE)</f>
        <v>19950525030</v>
      </c>
      <c r="L273" s="69"/>
      <c r="M273" s="70"/>
      <c r="N273" s="70"/>
      <c r="O273" s="70"/>
      <c r="P273" s="70"/>
      <c r="Q273" s="33" t="str">
        <f>VLOOKUP(B273,辅助信息!E:M,9,FALSE)</f>
        <v>ZTWM-CDGS-XS-2024-0248-五冶钢构-南充市医学院项目</v>
      </c>
      <c r="R273" s="19"/>
    </row>
    <row r="274" hidden="1" spans="2:18">
      <c r="B274" s="33" t="s">
        <v>20</v>
      </c>
      <c r="C274" s="63">
        <v>45674</v>
      </c>
      <c r="D274" s="33" t="str">
        <f>VLOOKUP(B274,辅助信息!E:K,7,FALSE)</f>
        <v>JWDDCD2025051000019</v>
      </c>
      <c r="E274" s="33" t="str">
        <f>VLOOKUP(F274,辅助信息!A:B,2,FALSE)</f>
        <v>盘螺</v>
      </c>
      <c r="F274" s="33" t="s">
        <v>49</v>
      </c>
      <c r="G274" s="29">
        <v>5</v>
      </c>
      <c r="H274" s="29">
        <v>5</v>
      </c>
      <c r="I274" s="33" t="str">
        <f>VLOOKUP(B274,辅助信息!E:I,3,FALSE)</f>
        <v>(五冶钢构医学科学产业园建设项目房建三部-一标（7-2）)四川省南充市顺庆区搬罾街道学府大道二段</v>
      </c>
      <c r="J274" s="33" t="str">
        <f>VLOOKUP(B274,辅助信息!E:I,4,FALSE)</f>
        <v>郑林</v>
      </c>
      <c r="K274" s="33">
        <f>VLOOKUP(J274,辅助信息!H:I,2,FALSE)</f>
        <v>18349955455</v>
      </c>
      <c r="L274" s="70" t="str">
        <f>VLOOKUP(B274,辅助信息!E:J,6,FALSE)</f>
        <v>送货单：送货单位：南充思临新材料科技有限公司,收货单位：五冶集团川北(南充)建设有限公司,项目名称：南充医学科学产业园,送货车型13米,装货前联系收货人核实到场规格</v>
      </c>
      <c r="M274" s="70"/>
      <c r="N274" s="70"/>
      <c r="O274" s="70"/>
      <c r="P274" s="70"/>
      <c r="Q274" s="33" t="str">
        <f>VLOOKUP(B274,辅助信息!E:M,9,FALSE)</f>
        <v>ZTWM-CDGS-XS-2024-0248-五冶钢构-南充市医学院项目</v>
      </c>
      <c r="R274" s="19"/>
    </row>
    <row r="275" hidden="1" spans="2:18">
      <c r="B275" s="33" t="s">
        <v>20</v>
      </c>
      <c r="C275" s="63">
        <v>45674</v>
      </c>
      <c r="D275" s="33" t="str">
        <f>VLOOKUP(B275,辅助信息!E:K,7,FALSE)</f>
        <v>JWDDCD2025051000019</v>
      </c>
      <c r="E275" s="33" t="str">
        <f>VLOOKUP(F275,辅助信息!A:B,2,FALSE)</f>
        <v>盘螺</v>
      </c>
      <c r="F275" s="33" t="s">
        <v>40</v>
      </c>
      <c r="G275" s="29">
        <v>15</v>
      </c>
      <c r="H275" s="29">
        <v>15</v>
      </c>
      <c r="I275" s="33" t="str">
        <f>VLOOKUP(B275,辅助信息!E:I,3,FALSE)</f>
        <v>(五冶钢构医学科学产业园建设项目房建三部-一标（7-2）)四川省南充市顺庆区搬罾街道学府大道二段</v>
      </c>
      <c r="J275" s="33" t="str">
        <f>VLOOKUP(B275,辅助信息!E:I,4,FALSE)</f>
        <v>郑林</v>
      </c>
      <c r="K275" s="33">
        <f>VLOOKUP(J275,辅助信息!H:I,2,FALSE)</f>
        <v>18349955455</v>
      </c>
      <c r="L275" s="71"/>
      <c r="M275" s="70"/>
      <c r="N275" s="70"/>
      <c r="O275" s="70"/>
      <c r="P275" s="70"/>
      <c r="Q275" s="33" t="str">
        <f>VLOOKUP(B275,辅助信息!E:M,9,FALSE)</f>
        <v>ZTWM-CDGS-XS-2024-0248-五冶钢构-南充市医学院项目</v>
      </c>
      <c r="R275" s="19"/>
    </row>
    <row r="276" hidden="1" spans="2:18">
      <c r="B276" s="33" t="s">
        <v>20</v>
      </c>
      <c r="C276" s="63">
        <v>45674</v>
      </c>
      <c r="D276" s="33" t="str">
        <f>VLOOKUP(B276,辅助信息!E:K,7,FALSE)</f>
        <v>JWDDCD2025051000019</v>
      </c>
      <c r="E276" s="33" t="str">
        <f>VLOOKUP(F276,辅助信息!A:B,2,FALSE)</f>
        <v>螺纹钢</v>
      </c>
      <c r="F276" s="33" t="s">
        <v>19</v>
      </c>
      <c r="G276" s="29">
        <v>5</v>
      </c>
      <c r="H276" s="29">
        <v>5</v>
      </c>
      <c r="I276" s="33" t="str">
        <f>VLOOKUP(B276,辅助信息!E:I,3,FALSE)</f>
        <v>(五冶钢构医学科学产业园建设项目房建三部-一标（7-2）)四川省南充市顺庆区搬罾街道学府大道二段</v>
      </c>
      <c r="J276" s="33" t="str">
        <f>VLOOKUP(B276,辅助信息!E:I,4,FALSE)</f>
        <v>郑林</v>
      </c>
      <c r="K276" s="33">
        <f>VLOOKUP(J276,辅助信息!H:I,2,FALSE)</f>
        <v>18349955455</v>
      </c>
      <c r="L276" s="71"/>
      <c r="M276" s="70"/>
      <c r="N276" s="70"/>
      <c r="O276" s="70"/>
      <c r="P276" s="70"/>
      <c r="Q276" s="33" t="str">
        <f>VLOOKUP(B276,辅助信息!E:M,9,FALSE)</f>
        <v>ZTWM-CDGS-XS-2024-0248-五冶钢构-南充市医学院项目</v>
      </c>
      <c r="R276" s="19"/>
    </row>
    <row r="277" hidden="1" spans="2:18">
      <c r="B277" s="33" t="s">
        <v>20</v>
      </c>
      <c r="C277" s="63">
        <v>45674</v>
      </c>
      <c r="D277" s="33" t="str">
        <f>VLOOKUP(B277,辅助信息!E:K,7,FALSE)</f>
        <v>JWDDCD2025051000019</v>
      </c>
      <c r="E277" s="33" t="str">
        <f>VLOOKUP(F277,辅助信息!A:B,2,FALSE)</f>
        <v>螺纹钢</v>
      </c>
      <c r="F277" s="33" t="s">
        <v>58</v>
      </c>
      <c r="G277" s="29">
        <v>15</v>
      </c>
      <c r="H277" s="29">
        <v>15</v>
      </c>
      <c r="I277" s="33" t="str">
        <f>VLOOKUP(B277,辅助信息!E:I,3,FALSE)</f>
        <v>(五冶钢构医学科学产业园建设项目房建三部-一标（7-2）)四川省南充市顺庆区搬罾街道学府大道二段</v>
      </c>
      <c r="J277" s="33" t="str">
        <f>VLOOKUP(B277,辅助信息!E:I,4,FALSE)</f>
        <v>郑林</v>
      </c>
      <c r="K277" s="33">
        <f>VLOOKUP(J277,辅助信息!H:I,2,FALSE)</f>
        <v>18349955455</v>
      </c>
      <c r="L277" s="69"/>
      <c r="M277" s="70"/>
      <c r="N277" s="70"/>
      <c r="O277" s="70"/>
      <c r="P277" s="70"/>
      <c r="Q277" s="33" t="str">
        <f>VLOOKUP(B277,辅助信息!E:M,9,FALSE)</f>
        <v>ZTWM-CDGS-XS-2024-0248-五冶钢构-南充市医学院项目</v>
      </c>
      <c r="R277" s="19"/>
    </row>
    <row r="278" hidden="1" spans="2:18">
      <c r="B278" s="33" t="s">
        <v>20</v>
      </c>
      <c r="C278" s="63">
        <v>45674</v>
      </c>
      <c r="D278" s="33" t="str">
        <f>VLOOKUP(B278,辅助信息!E:K,7,FALSE)</f>
        <v>JWDDCD2025051000019</v>
      </c>
      <c r="E278" s="33" t="str">
        <f>VLOOKUP(F278,辅助信息!A:B,2,FALSE)</f>
        <v>螺纹钢</v>
      </c>
      <c r="F278" s="33" t="s">
        <v>22</v>
      </c>
      <c r="G278" s="29">
        <v>25</v>
      </c>
      <c r="H278" s="29">
        <v>25</v>
      </c>
      <c r="I278" s="33" t="str">
        <f>VLOOKUP(B278,辅助信息!E:I,3,FALSE)</f>
        <v>(五冶钢构医学科学产业园建设项目房建三部-一标（7-2）)四川省南充市顺庆区搬罾街道学府大道二段</v>
      </c>
      <c r="J278" s="33" t="str">
        <f>VLOOKUP(B278,辅助信息!E:I,4,FALSE)</f>
        <v>郑林</v>
      </c>
      <c r="K278" s="33">
        <f>VLOOKUP(J278,辅助信息!H:I,2,FALSE)</f>
        <v>18349955455</v>
      </c>
      <c r="L278" s="70" t="str">
        <f>VLOOKUP(B278,辅助信息!E:J,6,FALSE)</f>
        <v>送货单：送货单位：南充思临新材料科技有限公司,收货单位：五冶集团川北(南充)建设有限公司,项目名称：南充医学科学产业园,送货车型13米,装货前联系收货人核实到场规格</v>
      </c>
      <c r="M278" s="70"/>
      <c r="N278" s="70"/>
      <c r="O278" s="70"/>
      <c r="P278" s="70"/>
      <c r="Q278" s="33" t="str">
        <f>VLOOKUP(B278,辅助信息!E:M,9,FALSE)</f>
        <v>ZTWM-CDGS-XS-2024-0248-五冶钢构-南充市医学院项目</v>
      </c>
      <c r="R278" s="19"/>
    </row>
    <row r="279" hidden="1" spans="2:18">
      <c r="B279" s="33" t="s">
        <v>23</v>
      </c>
      <c r="C279" s="63">
        <v>45674</v>
      </c>
      <c r="D279" s="33" t="str">
        <f>VLOOKUP(B279,辅助信息!E:K,7,FALSE)</f>
        <v>JWDDCD2025051000019</v>
      </c>
      <c r="E279" s="33" t="str">
        <f>VLOOKUP(F279,辅助信息!A:B,2,FALSE)</f>
        <v>盘螺</v>
      </c>
      <c r="F279" s="33" t="s">
        <v>40</v>
      </c>
      <c r="G279" s="29">
        <v>12.5</v>
      </c>
      <c r="H279" s="29">
        <v>12.5</v>
      </c>
      <c r="I279" s="33" t="str">
        <f>VLOOKUP(B279,辅助信息!E:I,3,FALSE)</f>
        <v>(五冶钢构医学科学产业园建设项目房建三部-一标（7-3）)四川省南充市顺庆区搬罾街道学府大道二段</v>
      </c>
      <c r="J279" s="33" t="str">
        <f>VLOOKUP(B279,辅助信息!E:I,4,FALSE)</f>
        <v>郑林</v>
      </c>
      <c r="K279" s="33">
        <f>VLOOKUP(J279,辅助信息!H:I,2,FALSE)</f>
        <v>18349955455</v>
      </c>
      <c r="L279" s="71"/>
      <c r="M279" s="70"/>
      <c r="N279" s="70"/>
      <c r="O279" s="70"/>
      <c r="P279" s="70"/>
      <c r="Q279" s="33" t="str">
        <f>VLOOKUP(B279,辅助信息!E:M,9,FALSE)</f>
        <v>ZTWM-CDGS-XS-2024-0248-五冶钢构-南充市医学院项目</v>
      </c>
      <c r="R279" s="19"/>
    </row>
    <row r="280" hidden="1" spans="2:18">
      <c r="B280" s="33" t="s">
        <v>23</v>
      </c>
      <c r="C280" s="63">
        <v>45674</v>
      </c>
      <c r="D280" s="33" t="str">
        <f>VLOOKUP(B280,辅助信息!E:K,7,FALSE)</f>
        <v>JWDDCD2025051000019</v>
      </c>
      <c r="E280" s="33" t="str">
        <f>VLOOKUP(F280,辅助信息!A:B,2,FALSE)</f>
        <v>螺纹钢</v>
      </c>
      <c r="F280" s="33" t="s">
        <v>21</v>
      </c>
      <c r="G280" s="29">
        <v>2.5</v>
      </c>
      <c r="H280" s="29">
        <v>2.5</v>
      </c>
      <c r="I280" s="33" t="str">
        <f>VLOOKUP(B280,辅助信息!E:I,3,FALSE)</f>
        <v>(五冶钢构医学科学产业园建设项目房建三部-一标（7-3）)四川省南充市顺庆区搬罾街道学府大道二段</v>
      </c>
      <c r="J280" s="33" t="str">
        <f>VLOOKUP(B280,辅助信息!E:I,4,FALSE)</f>
        <v>郑林</v>
      </c>
      <c r="K280" s="33">
        <f>VLOOKUP(J280,辅助信息!H:I,2,FALSE)</f>
        <v>18349955455</v>
      </c>
      <c r="L280" s="71"/>
      <c r="M280" s="70"/>
      <c r="N280" s="70"/>
      <c r="O280" s="70"/>
      <c r="P280" s="70"/>
      <c r="Q280" s="33" t="str">
        <f>VLOOKUP(B280,辅助信息!E:M,9,FALSE)</f>
        <v>ZTWM-CDGS-XS-2024-0248-五冶钢构-南充市医学院项目</v>
      </c>
      <c r="R280" s="19"/>
    </row>
    <row r="281" hidden="1" spans="2:18">
      <c r="B281" s="33" t="s">
        <v>23</v>
      </c>
      <c r="C281" s="63">
        <v>45674</v>
      </c>
      <c r="D281" s="33" t="str">
        <f>VLOOKUP(B281,辅助信息!E:K,7,FALSE)</f>
        <v>JWDDCD2025051000019</v>
      </c>
      <c r="E281" s="33" t="str">
        <f>VLOOKUP(F281,辅助信息!A:B,2,FALSE)</f>
        <v>螺纹钢</v>
      </c>
      <c r="F281" s="33" t="s">
        <v>58</v>
      </c>
      <c r="G281" s="29">
        <v>7.5</v>
      </c>
      <c r="H281" s="29"/>
      <c r="I281" s="33" t="str">
        <f>VLOOKUP(B281,辅助信息!E:I,3,FALSE)</f>
        <v>(五冶钢构医学科学产业园建设项目房建三部-一标（7-3）)四川省南充市顺庆区搬罾街道学府大道二段</v>
      </c>
      <c r="J281" s="33" t="str">
        <f>VLOOKUP(B281,辅助信息!E:I,4,FALSE)</f>
        <v>郑林</v>
      </c>
      <c r="K281" s="33">
        <f>VLOOKUP(J281,辅助信息!H:I,2,FALSE)</f>
        <v>18349955455</v>
      </c>
      <c r="L281" s="71"/>
      <c r="M281" s="70"/>
      <c r="N281" s="70"/>
      <c r="O281" s="70"/>
      <c r="P281" s="70"/>
      <c r="Q281" s="33" t="str">
        <f>VLOOKUP(B281,辅助信息!E:M,9,FALSE)</f>
        <v>ZTWM-CDGS-XS-2024-0248-五冶钢构-南充市医学院项目</v>
      </c>
      <c r="R281" s="19"/>
    </row>
    <row r="282" hidden="1" spans="2:18">
      <c r="B282" s="33" t="s">
        <v>23</v>
      </c>
      <c r="C282" s="63">
        <v>45674</v>
      </c>
      <c r="D282" s="33" t="str">
        <f>VLOOKUP(B282,辅助信息!E:K,7,FALSE)</f>
        <v>JWDDCD2025051000019</v>
      </c>
      <c r="E282" s="33" t="str">
        <f>VLOOKUP(F282,辅助信息!A:B,2,FALSE)</f>
        <v>螺纹钢</v>
      </c>
      <c r="F282" s="33" t="s">
        <v>46</v>
      </c>
      <c r="G282" s="29">
        <v>2.5</v>
      </c>
      <c r="H282" s="29">
        <v>2.5</v>
      </c>
      <c r="I282" s="33" t="str">
        <f>VLOOKUP(B282,辅助信息!E:I,3,FALSE)</f>
        <v>(五冶钢构医学科学产业园建设项目房建三部-一标（7-3）)四川省南充市顺庆区搬罾街道学府大道二段</v>
      </c>
      <c r="J282" s="33" t="str">
        <f>VLOOKUP(B282,辅助信息!E:I,4,FALSE)</f>
        <v>郑林</v>
      </c>
      <c r="K282" s="33">
        <f>VLOOKUP(J282,辅助信息!H:I,2,FALSE)</f>
        <v>18349955455</v>
      </c>
      <c r="L282" s="71"/>
      <c r="M282" s="70"/>
      <c r="N282" s="70"/>
      <c r="O282" s="70"/>
      <c r="P282" s="70"/>
      <c r="Q282" s="33" t="str">
        <f>VLOOKUP(B282,辅助信息!E:M,9,FALSE)</f>
        <v>ZTWM-CDGS-XS-2024-0248-五冶钢构-南充市医学院项目</v>
      </c>
      <c r="R282" s="19"/>
    </row>
    <row r="283" hidden="1" spans="2:18">
      <c r="B283" s="33" t="s">
        <v>23</v>
      </c>
      <c r="C283" s="63">
        <v>45674</v>
      </c>
      <c r="D283" s="33" t="str">
        <f>VLOOKUP(B283,辅助信息!E:K,7,FALSE)</f>
        <v>JWDDCD2025051000019</v>
      </c>
      <c r="E283" s="33" t="str">
        <f>VLOOKUP(F283,辅助信息!A:B,2,FALSE)</f>
        <v>螺纹钢</v>
      </c>
      <c r="F283" s="33" t="s">
        <v>22</v>
      </c>
      <c r="G283" s="29">
        <v>15</v>
      </c>
      <c r="H283" s="29">
        <v>15</v>
      </c>
      <c r="I283" s="33" t="str">
        <f>VLOOKUP(B283,辅助信息!E:I,3,FALSE)</f>
        <v>(五冶钢构医学科学产业园建设项目房建三部-一标（7-3）)四川省南充市顺庆区搬罾街道学府大道二段</v>
      </c>
      <c r="J283" s="33" t="str">
        <f>VLOOKUP(B283,辅助信息!E:I,4,FALSE)</f>
        <v>郑林</v>
      </c>
      <c r="K283" s="33">
        <f>VLOOKUP(J283,辅助信息!H:I,2,FALSE)</f>
        <v>18349955455</v>
      </c>
      <c r="L283" s="69"/>
      <c r="M283" s="70"/>
      <c r="N283" s="70"/>
      <c r="O283" s="70"/>
      <c r="P283" s="70"/>
      <c r="Q283" s="33" t="str">
        <f>VLOOKUP(B283,辅助信息!E:M,9,FALSE)</f>
        <v>ZTWM-CDGS-XS-2024-0248-五冶钢构-南充市医学院项目</v>
      </c>
      <c r="R283" s="19"/>
    </row>
    <row r="284" hidden="1" spans="2:18">
      <c r="B284" s="33" t="s">
        <v>73</v>
      </c>
      <c r="C284" s="63">
        <v>45674</v>
      </c>
      <c r="D284" s="33" t="str">
        <f>VLOOKUP(B284,辅助信息!E:K,7,FALSE)</f>
        <v>JWDDCD2025051000019</v>
      </c>
      <c r="E284" s="33" t="str">
        <f>VLOOKUP(F284,辅助信息!A:B,2,FALSE)</f>
        <v>盘螺</v>
      </c>
      <c r="F284" s="33" t="s">
        <v>41</v>
      </c>
      <c r="G284" s="29">
        <v>15</v>
      </c>
      <c r="H284" s="29"/>
      <c r="I284" s="33" t="str">
        <f>VLOOKUP(B284,辅助信息!E:I,3,FALSE)</f>
        <v>(五冶钢构医学科学产业园建设项目房建三部-一标（7-1）)四川省南充市顺庆区搬罾街道学府大道二段</v>
      </c>
      <c r="J284" s="33" t="str">
        <f>VLOOKUP(B284,辅助信息!E:I,4,FALSE)</f>
        <v>郑林</v>
      </c>
      <c r="K284" s="33">
        <f>VLOOKUP(J284,辅助信息!H:I,2,FALSE)</f>
        <v>18349955455</v>
      </c>
      <c r="L284" s="70" t="str">
        <f>VLOOKUP(B284,辅助信息!E:J,6,FALSE)</f>
        <v>送货单：送货单位：南充思临新材料科技有限公司,收货单位：五冶集团川北(南充)建设有限公司,项目名称：南充医学科学产业园,送货车型13米,装货前联系收货人核实到场规格</v>
      </c>
      <c r="M284" s="82"/>
      <c r="N284" s="82"/>
      <c r="O284" s="82"/>
      <c r="P284" s="82"/>
      <c r="Q284" s="33" t="str">
        <f>VLOOKUP(B284,辅助信息!E:M,9,FALSE)</f>
        <v>ZTWM-CDGS-XS-2024-0248-五冶钢构-南充市医学院项目</v>
      </c>
      <c r="R284" s="19"/>
    </row>
    <row r="285" hidden="1" spans="2:18">
      <c r="B285" s="33" t="s">
        <v>73</v>
      </c>
      <c r="C285" s="63">
        <v>45674</v>
      </c>
      <c r="D285" s="33" t="str">
        <f>VLOOKUP(B285,辅助信息!E:K,7,FALSE)</f>
        <v>JWDDCD2025051000019</v>
      </c>
      <c r="E285" s="33" t="str">
        <f>VLOOKUP(F285,辅助信息!A:B,2,FALSE)</f>
        <v>螺纹钢</v>
      </c>
      <c r="F285" s="33" t="s">
        <v>27</v>
      </c>
      <c r="G285" s="29">
        <v>20</v>
      </c>
      <c r="H285" s="29"/>
      <c r="I285" s="33" t="str">
        <f>VLOOKUP(B285,辅助信息!E:I,3,FALSE)</f>
        <v>(五冶钢构医学科学产业园建设项目房建三部-一标（7-1）)四川省南充市顺庆区搬罾街道学府大道二段</v>
      </c>
      <c r="J285" s="33" t="str">
        <f>VLOOKUP(B285,辅助信息!E:I,4,FALSE)</f>
        <v>郑林</v>
      </c>
      <c r="K285" s="33">
        <f>VLOOKUP(J285,辅助信息!H:I,2,FALSE)</f>
        <v>18349955455</v>
      </c>
      <c r="L285" s="69"/>
      <c r="M285" s="68"/>
      <c r="N285" s="68"/>
      <c r="O285" s="68"/>
      <c r="P285" s="68"/>
      <c r="Q285" s="33" t="str">
        <f>VLOOKUP(B285,辅助信息!E:M,9,FALSE)</f>
        <v>ZTWM-CDGS-XS-2024-0248-五冶钢构-南充市医学院项目</v>
      </c>
      <c r="R285" s="19"/>
    </row>
    <row r="286" hidden="1" spans="2:18">
      <c r="B286" s="33" t="s">
        <v>73</v>
      </c>
      <c r="C286" s="63">
        <v>45675</v>
      </c>
      <c r="D286" s="33" t="str">
        <f>VLOOKUP(B286,辅助信息!E:K,7,FALSE)</f>
        <v>JWDDCD2025051000019</v>
      </c>
      <c r="E286" s="33" t="str">
        <f>VLOOKUP(F286,辅助信息!A:B,2,FALSE)</f>
        <v>盘螺</v>
      </c>
      <c r="F286" s="33" t="s">
        <v>41</v>
      </c>
      <c r="G286" s="29">
        <v>15</v>
      </c>
      <c r="H286" s="29" t="e">
        <f>_xlfn._xlws.FILTER(#REF!,#REF!&amp;#REF!&amp;#REF!&amp;#REF!=C286&amp;F286&amp;I286&amp;J286,"未发货")</f>
        <v>#REF!</v>
      </c>
      <c r="I286" s="33" t="str">
        <f>VLOOKUP(B286,辅助信息!E:I,3,FALSE)</f>
        <v>(五冶钢构医学科学产业园建设项目房建三部-一标（7-1）)四川省南充市顺庆区搬罾街道学府大道二段</v>
      </c>
      <c r="J286" s="33" t="str">
        <f>VLOOKUP(B286,辅助信息!E:I,4,FALSE)</f>
        <v>郑林</v>
      </c>
      <c r="K286" s="33">
        <f>VLOOKUP(J286,辅助信息!H:I,2,FALSE)</f>
        <v>18349955455</v>
      </c>
      <c r="L286" s="70"/>
      <c r="M286" s="70"/>
      <c r="N286" s="70"/>
      <c r="O286" s="70"/>
      <c r="P286" s="70"/>
      <c r="Q286" s="33" t="str">
        <f>VLOOKUP(B286,辅助信息!E:M,9,FALSE)</f>
        <v>ZTWM-CDGS-XS-2024-0248-五冶钢构-南充市医学院项目</v>
      </c>
      <c r="R286" s="19"/>
    </row>
    <row r="287" hidden="1" spans="2:18">
      <c r="B287" s="33" t="s">
        <v>73</v>
      </c>
      <c r="C287" s="63">
        <v>45675</v>
      </c>
      <c r="D287" s="33" t="str">
        <f>VLOOKUP(B287,辅助信息!E:K,7,FALSE)</f>
        <v>JWDDCD2025051000019</v>
      </c>
      <c r="E287" s="33" t="str">
        <f>VLOOKUP(F287,辅助信息!A:B,2,FALSE)</f>
        <v>螺纹钢</v>
      </c>
      <c r="F287" s="33" t="s">
        <v>27</v>
      </c>
      <c r="G287" s="29">
        <v>20</v>
      </c>
      <c r="H287" s="29" t="e">
        <f>_xlfn._xlws.FILTER(#REF!,#REF!&amp;#REF!&amp;#REF!&amp;#REF!=C287&amp;F287&amp;I287&amp;J287,"未发货")</f>
        <v>#REF!</v>
      </c>
      <c r="I287" s="33" t="str">
        <f>VLOOKUP(B287,辅助信息!E:I,3,FALSE)</f>
        <v>(五冶钢构医学科学产业园建设项目房建三部-一标（7-1）)四川省南充市顺庆区搬罾街道学府大道二段</v>
      </c>
      <c r="J287" s="33" t="str">
        <f>VLOOKUP(B287,辅助信息!E:I,4,FALSE)</f>
        <v>郑林</v>
      </c>
      <c r="K287" s="33">
        <f>VLOOKUP(J287,辅助信息!H:I,2,FALSE)</f>
        <v>18349955455</v>
      </c>
      <c r="L287" s="69"/>
      <c r="M287" s="70"/>
      <c r="N287" s="70"/>
      <c r="O287" s="70"/>
      <c r="P287" s="70"/>
      <c r="Q287" s="33" t="str">
        <f>VLOOKUP(B287,辅助信息!E:M,9,FALSE)</f>
        <v>ZTWM-CDGS-XS-2024-0248-五冶钢构-南充市医学院项目</v>
      </c>
      <c r="R287" s="19"/>
    </row>
    <row r="288" hidden="1" spans="2:18">
      <c r="B288" s="33" t="s">
        <v>54</v>
      </c>
      <c r="C288" s="63">
        <v>45675</v>
      </c>
      <c r="D288" s="33" t="e">
        <f>VLOOKUP(B288,辅助信息!E:K,7,FALSE)</f>
        <v>#N/A</v>
      </c>
      <c r="E288" s="33" t="str">
        <f>VLOOKUP(F288,辅助信息!A:B,2,FALSE)</f>
        <v>螺纹钢</v>
      </c>
      <c r="F288" s="33" t="s">
        <v>19</v>
      </c>
      <c r="G288" s="29">
        <v>15</v>
      </c>
      <c r="H288" s="29" t="e">
        <f>_xlfn._xlws.FILTER(#REF!,#REF!&amp;#REF!&amp;#REF!&amp;#REF!=C288&amp;F288&amp;I288&amp;J288,"未发货")</f>
        <v>#REF!</v>
      </c>
      <c r="I288" s="33" t="e">
        <f>VLOOKUP(B288,辅助信息!E:I,3,FALSE)</f>
        <v>#N/A</v>
      </c>
      <c r="J288" s="33" t="e">
        <f>VLOOKUP(B288,辅助信息!E:I,4,FALSE)</f>
        <v>#N/A</v>
      </c>
      <c r="K288" s="33" t="e">
        <f>VLOOKUP(J288,辅助信息!H:I,2,FALSE)</f>
        <v>#N/A</v>
      </c>
      <c r="L288" s="70" t="e">
        <f>VLOOKUP(B288,辅助信息!E:J,6,FALSE)</f>
        <v>#N/A</v>
      </c>
      <c r="M288" s="70"/>
      <c r="N288" s="70"/>
      <c r="O288" s="70"/>
      <c r="P288" s="70"/>
      <c r="Q288" s="33" t="e">
        <f>VLOOKUP(B288,辅助信息!E:M,9,FALSE)</f>
        <v>#N/A</v>
      </c>
      <c r="R288" s="19"/>
    </row>
    <row r="289" hidden="1" spans="2:18">
      <c r="B289" s="33" t="s">
        <v>54</v>
      </c>
      <c r="C289" s="63">
        <v>45675</v>
      </c>
      <c r="D289" s="33" t="e">
        <f>VLOOKUP(B289,辅助信息!E:K,7,FALSE)</f>
        <v>#N/A</v>
      </c>
      <c r="E289" s="33" t="str">
        <f>VLOOKUP(F289,辅助信息!A:B,2,FALSE)</f>
        <v>螺纹钢</v>
      </c>
      <c r="F289" s="33" t="s">
        <v>33</v>
      </c>
      <c r="G289" s="29">
        <v>20</v>
      </c>
      <c r="H289" s="29" t="e">
        <f>_xlfn._xlws.FILTER(#REF!,#REF!&amp;#REF!&amp;#REF!&amp;#REF!=C289&amp;F289&amp;I289&amp;J289,"未发货")</f>
        <v>#REF!</v>
      </c>
      <c r="I289" s="33" t="e">
        <f>VLOOKUP(B289,辅助信息!E:I,3,FALSE)</f>
        <v>#N/A</v>
      </c>
      <c r="J289" s="33" t="e">
        <f>VLOOKUP(B289,辅助信息!E:I,4,FALSE)</f>
        <v>#N/A</v>
      </c>
      <c r="K289" s="33" t="e">
        <f>VLOOKUP(J289,辅助信息!H:I,2,FALSE)</f>
        <v>#N/A</v>
      </c>
      <c r="L289" s="69"/>
      <c r="M289" s="70"/>
      <c r="N289" s="70"/>
      <c r="O289" s="70"/>
      <c r="P289" s="70"/>
      <c r="Q289" s="33" t="e">
        <f>VLOOKUP(B289,辅助信息!E:M,9,FALSE)</f>
        <v>#N/A</v>
      </c>
      <c r="R289" s="19"/>
    </row>
    <row r="290" hidden="1" spans="2:18">
      <c r="B290" s="33" t="s">
        <v>64</v>
      </c>
      <c r="C290" s="63">
        <v>45696</v>
      </c>
      <c r="D290" s="33" t="e">
        <f>VLOOKUP(B290,辅助信息!E:K,7,FALSE)</f>
        <v>#N/A</v>
      </c>
      <c r="E290" s="33" t="str">
        <f>VLOOKUP(F290,辅助信息!A:B,2,FALSE)</f>
        <v>螺纹钢</v>
      </c>
      <c r="F290" s="33" t="s">
        <v>27</v>
      </c>
      <c r="G290" s="29">
        <v>20</v>
      </c>
      <c r="H290" s="29" t="e">
        <f>_xlfn._xlws.FILTER(#REF!,#REF!&amp;#REF!&amp;#REF!&amp;#REF!=C290&amp;F290&amp;I290&amp;J290,"未发货")</f>
        <v>#REF!</v>
      </c>
      <c r="I290" s="33" t="e">
        <f>VLOOKUP(B290,辅助信息!E:I,3,FALSE)</f>
        <v>#N/A</v>
      </c>
      <c r="J290" s="33" t="e">
        <f>VLOOKUP(B290,辅助信息!E:I,4,FALSE)</f>
        <v>#N/A</v>
      </c>
      <c r="K290" s="33" t="e">
        <f>VLOOKUP(J290,辅助信息!H:I,2,FALSE)</f>
        <v>#N/A</v>
      </c>
      <c r="L290" s="70" t="e">
        <f>VLOOKUP(B290,辅助信息!E:J,6,FALSE)</f>
        <v>#N/A</v>
      </c>
      <c r="M290" s="70"/>
      <c r="N290" s="70"/>
      <c r="O290" s="70"/>
      <c r="P290" s="70"/>
      <c r="Q290" s="33" t="e">
        <f>VLOOKUP(B290,辅助信息!E:M,9,FALSE)</f>
        <v>#N/A</v>
      </c>
      <c r="R290" s="19"/>
    </row>
    <row r="291" hidden="1" spans="2:18">
      <c r="B291" s="33" t="s">
        <v>64</v>
      </c>
      <c r="C291" s="63">
        <v>45696</v>
      </c>
      <c r="D291" s="33" t="e">
        <f>VLOOKUP(B291,辅助信息!E:K,7,FALSE)</f>
        <v>#N/A</v>
      </c>
      <c r="E291" s="33" t="str">
        <f>VLOOKUP(F291,辅助信息!A:B,2,FALSE)</f>
        <v>螺纹钢</v>
      </c>
      <c r="F291" s="33" t="s">
        <v>32</v>
      </c>
      <c r="G291" s="29">
        <v>30</v>
      </c>
      <c r="H291" s="29" t="e">
        <f>_xlfn._xlws.FILTER(#REF!,#REF!&amp;#REF!&amp;#REF!&amp;#REF!=C291&amp;F291&amp;I291&amp;J291,"未发货")</f>
        <v>#REF!</v>
      </c>
      <c r="I291" s="33" t="e">
        <f>VLOOKUP(B291,辅助信息!E:I,3,FALSE)</f>
        <v>#N/A</v>
      </c>
      <c r="J291" s="33" t="e">
        <f>VLOOKUP(B291,辅助信息!E:I,4,FALSE)</f>
        <v>#N/A</v>
      </c>
      <c r="K291" s="33" t="e">
        <f>VLOOKUP(J291,辅助信息!H:I,2,FALSE)</f>
        <v>#N/A</v>
      </c>
      <c r="L291" s="71"/>
      <c r="M291" s="70"/>
      <c r="N291" s="70"/>
      <c r="O291" s="70"/>
      <c r="P291" s="70"/>
      <c r="Q291" s="33" t="e">
        <f>VLOOKUP(B291,辅助信息!E:M,9,FALSE)</f>
        <v>#N/A</v>
      </c>
      <c r="R291" s="19"/>
    </row>
    <row r="292" hidden="1" spans="2:18">
      <c r="B292" s="33" t="s">
        <v>64</v>
      </c>
      <c r="C292" s="63">
        <v>45696</v>
      </c>
      <c r="D292" s="33" t="e">
        <f>VLOOKUP(B292,辅助信息!E:K,7,FALSE)</f>
        <v>#N/A</v>
      </c>
      <c r="E292" s="33" t="str">
        <f>VLOOKUP(F292,辅助信息!A:B,2,FALSE)</f>
        <v>螺纹钢</v>
      </c>
      <c r="F292" s="33" t="s">
        <v>33</v>
      </c>
      <c r="G292" s="29">
        <v>30</v>
      </c>
      <c r="H292" s="29" t="e">
        <f>_xlfn._xlws.FILTER(#REF!,#REF!&amp;#REF!&amp;#REF!&amp;#REF!=C292&amp;F292&amp;I292&amp;J292,"未发货")</f>
        <v>#REF!</v>
      </c>
      <c r="I292" s="33" t="e">
        <f>VLOOKUP(B292,辅助信息!E:I,3,FALSE)</f>
        <v>#N/A</v>
      </c>
      <c r="J292" s="33" t="e">
        <f>VLOOKUP(B292,辅助信息!E:I,4,FALSE)</f>
        <v>#N/A</v>
      </c>
      <c r="K292" s="33" t="e">
        <f>VLOOKUP(J292,辅助信息!H:I,2,FALSE)</f>
        <v>#N/A</v>
      </c>
      <c r="L292" s="71"/>
      <c r="M292" s="70"/>
      <c r="N292" s="70"/>
      <c r="O292" s="70"/>
      <c r="P292" s="70"/>
      <c r="Q292" s="33" t="e">
        <f>VLOOKUP(B292,辅助信息!E:M,9,FALSE)</f>
        <v>#N/A</v>
      </c>
      <c r="R292" s="19"/>
    </row>
    <row r="293" hidden="1" spans="2:18">
      <c r="B293" s="33" t="s">
        <v>64</v>
      </c>
      <c r="C293" s="63">
        <v>45696</v>
      </c>
      <c r="D293" s="33" t="e">
        <f>VLOOKUP(B293,辅助信息!E:K,7,FALSE)</f>
        <v>#N/A</v>
      </c>
      <c r="E293" s="33" t="str">
        <f>VLOOKUP(F293,辅助信息!A:B,2,FALSE)</f>
        <v>螺纹钢</v>
      </c>
      <c r="F293" s="33" t="s">
        <v>65</v>
      </c>
      <c r="G293" s="29">
        <v>60</v>
      </c>
      <c r="H293" s="29" t="e">
        <f>_xlfn._xlws.FILTER(#REF!,#REF!&amp;#REF!&amp;#REF!&amp;#REF!=C293&amp;F293&amp;I293&amp;J293,"未发货")</f>
        <v>#REF!</v>
      </c>
      <c r="I293" s="33" t="e">
        <f>VLOOKUP(B293,辅助信息!E:I,3,FALSE)</f>
        <v>#N/A</v>
      </c>
      <c r="J293" s="33" t="e">
        <f>VLOOKUP(B293,辅助信息!E:I,4,FALSE)</f>
        <v>#N/A</v>
      </c>
      <c r="K293" s="33" t="e">
        <f>VLOOKUP(J293,辅助信息!H:I,2,FALSE)</f>
        <v>#N/A</v>
      </c>
      <c r="L293" s="71"/>
      <c r="M293" s="70"/>
      <c r="N293" s="70"/>
      <c r="O293" s="70"/>
      <c r="P293" s="70"/>
      <c r="Q293" s="33" t="e">
        <f>VLOOKUP(B293,辅助信息!E:M,9,FALSE)</f>
        <v>#N/A</v>
      </c>
      <c r="R293" s="19"/>
    </row>
    <row r="294" hidden="1" spans="2:18">
      <c r="B294" s="33" t="s">
        <v>64</v>
      </c>
      <c r="C294" s="63">
        <v>45696</v>
      </c>
      <c r="D294" s="33" t="e">
        <f>VLOOKUP(B294,辅助信息!E:K,7,FALSE)</f>
        <v>#N/A</v>
      </c>
      <c r="E294" s="33" t="str">
        <f>VLOOKUP(F294,辅助信息!A:B,2,FALSE)</f>
        <v>螺纹钢</v>
      </c>
      <c r="F294" s="33" t="s">
        <v>52</v>
      </c>
      <c r="G294" s="29">
        <v>30</v>
      </c>
      <c r="H294" s="29" t="e">
        <f>_xlfn._xlws.FILTER(#REF!,#REF!&amp;#REF!&amp;#REF!&amp;#REF!=C294&amp;F294&amp;I294&amp;J294,"未发货")</f>
        <v>#REF!</v>
      </c>
      <c r="I294" s="33" t="e">
        <f>VLOOKUP(B294,辅助信息!E:I,3,FALSE)</f>
        <v>#N/A</v>
      </c>
      <c r="J294" s="33" t="e">
        <f>VLOOKUP(B294,辅助信息!E:I,4,FALSE)</f>
        <v>#N/A</v>
      </c>
      <c r="K294" s="33" t="e">
        <f>VLOOKUP(J294,辅助信息!H:I,2,FALSE)</f>
        <v>#N/A</v>
      </c>
      <c r="L294" s="69"/>
      <c r="M294" s="70"/>
      <c r="N294" s="70"/>
      <c r="O294" s="70"/>
      <c r="P294" s="70"/>
      <c r="Q294" s="33" t="e">
        <f>VLOOKUP(B294,辅助信息!E:M,9,FALSE)</f>
        <v>#N/A</v>
      </c>
      <c r="R294" s="19"/>
    </row>
    <row r="295" hidden="1" spans="2:18">
      <c r="B295" s="33" t="s">
        <v>74</v>
      </c>
      <c r="C295" s="63">
        <v>45696</v>
      </c>
      <c r="D295" s="33" t="e">
        <f>VLOOKUP(B295,辅助信息!E:K,7,FALSE)</f>
        <v>#N/A</v>
      </c>
      <c r="E295" s="33" t="str">
        <f>VLOOKUP(F295,辅助信息!A:B,2,FALSE)</f>
        <v>螺纹钢</v>
      </c>
      <c r="F295" s="33" t="s">
        <v>27</v>
      </c>
      <c r="G295" s="29">
        <v>15</v>
      </c>
      <c r="H295" s="29" t="e">
        <f>_xlfn._xlws.FILTER(#REF!,#REF!&amp;#REF!&amp;#REF!&amp;#REF!=C295&amp;F295&amp;I295&amp;J295,"未发货")</f>
        <v>#REF!</v>
      </c>
      <c r="I295" s="33" t="e">
        <f>VLOOKUP(B295,辅助信息!E:I,3,FALSE)</f>
        <v>#N/A</v>
      </c>
      <c r="J295" s="33" t="e">
        <f>VLOOKUP(B295,辅助信息!E:I,4,FALSE)</f>
        <v>#N/A</v>
      </c>
      <c r="K295" s="33" t="e">
        <f>VLOOKUP(J295,辅助信息!H:I,2,FALSE)</f>
        <v>#N/A</v>
      </c>
      <c r="L295" s="70" t="e">
        <f>VLOOKUP(B295,辅助信息!E:J,6,FALSE)</f>
        <v>#N/A</v>
      </c>
      <c r="M295" s="82"/>
      <c r="N295" s="82"/>
      <c r="O295" s="82"/>
      <c r="P295" s="82"/>
      <c r="Q295" s="33" t="e">
        <f>VLOOKUP(B295,辅助信息!E:M,9,FALSE)</f>
        <v>#N/A</v>
      </c>
      <c r="R295" s="19"/>
    </row>
    <row r="296" hidden="1" spans="2:18">
      <c r="B296" s="33" t="s">
        <v>74</v>
      </c>
      <c r="C296" s="63">
        <v>45696</v>
      </c>
      <c r="D296" s="33" t="e">
        <f>VLOOKUP(B296,辅助信息!E:K,7,FALSE)</f>
        <v>#N/A</v>
      </c>
      <c r="E296" s="33" t="str">
        <f>VLOOKUP(F296,辅助信息!A:B,2,FALSE)</f>
        <v>螺纹钢</v>
      </c>
      <c r="F296" s="33" t="s">
        <v>19</v>
      </c>
      <c r="G296" s="29">
        <v>12</v>
      </c>
      <c r="H296" s="29" t="e">
        <f>_xlfn._xlws.FILTER(#REF!,#REF!&amp;#REF!&amp;#REF!&amp;#REF!=C296&amp;F296&amp;I296&amp;J296,"未发货")</f>
        <v>#REF!</v>
      </c>
      <c r="I296" s="33" t="e">
        <f>VLOOKUP(B296,辅助信息!E:I,3,FALSE)</f>
        <v>#N/A</v>
      </c>
      <c r="J296" s="33" t="e">
        <f>VLOOKUP(B296,辅助信息!E:I,4,FALSE)</f>
        <v>#N/A</v>
      </c>
      <c r="K296" s="33" t="e">
        <f>VLOOKUP(J296,辅助信息!H:I,2,FALSE)</f>
        <v>#N/A</v>
      </c>
      <c r="L296" s="71"/>
      <c r="M296" s="83"/>
      <c r="N296" s="83"/>
      <c r="O296" s="83"/>
      <c r="P296" s="83"/>
      <c r="Q296" s="33" t="e">
        <f>VLOOKUP(B296,辅助信息!E:M,9,FALSE)</f>
        <v>#N/A</v>
      </c>
      <c r="R296" s="19"/>
    </row>
    <row r="297" hidden="1" spans="2:18">
      <c r="B297" s="33" t="s">
        <v>74</v>
      </c>
      <c r="C297" s="63">
        <v>45696</v>
      </c>
      <c r="D297" s="33" t="e">
        <f>VLOOKUP(B297,辅助信息!E:K,7,FALSE)</f>
        <v>#N/A</v>
      </c>
      <c r="E297" s="33" t="str">
        <f>VLOOKUP(F297,辅助信息!A:B,2,FALSE)</f>
        <v>螺纹钢</v>
      </c>
      <c r="F297" s="33" t="s">
        <v>32</v>
      </c>
      <c r="G297" s="29">
        <v>18</v>
      </c>
      <c r="H297" s="29" t="e">
        <f>_xlfn._xlws.FILTER(#REF!,#REF!&amp;#REF!&amp;#REF!&amp;#REF!=C297&amp;F297&amp;I297&amp;J297,"未发货")</f>
        <v>#REF!</v>
      </c>
      <c r="I297" s="33" t="e">
        <f>VLOOKUP(B297,辅助信息!E:I,3,FALSE)</f>
        <v>#N/A</v>
      </c>
      <c r="J297" s="33" t="e">
        <f>VLOOKUP(B297,辅助信息!E:I,4,FALSE)</f>
        <v>#N/A</v>
      </c>
      <c r="K297" s="33" t="e">
        <f>VLOOKUP(J297,辅助信息!H:I,2,FALSE)</f>
        <v>#N/A</v>
      </c>
      <c r="L297" s="71"/>
      <c r="M297" s="83"/>
      <c r="N297" s="83"/>
      <c r="O297" s="83"/>
      <c r="P297" s="83"/>
      <c r="Q297" s="33" t="e">
        <f>VLOOKUP(B297,辅助信息!E:M,9,FALSE)</f>
        <v>#N/A</v>
      </c>
      <c r="R297" s="19"/>
    </row>
    <row r="298" hidden="1" spans="2:18">
      <c r="B298" s="33" t="s">
        <v>74</v>
      </c>
      <c r="C298" s="63">
        <v>45696</v>
      </c>
      <c r="D298" s="33" t="e">
        <f>VLOOKUP(B298,辅助信息!E:K,7,FALSE)</f>
        <v>#N/A</v>
      </c>
      <c r="E298" s="33" t="str">
        <f>VLOOKUP(F298,辅助信息!A:B,2,FALSE)</f>
        <v>螺纹钢</v>
      </c>
      <c r="F298" s="33" t="s">
        <v>65</v>
      </c>
      <c r="G298" s="29">
        <v>30</v>
      </c>
      <c r="H298" s="29" t="e">
        <f>_xlfn._xlws.FILTER(#REF!,#REF!&amp;#REF!&amp;#REF!&amp;#REF!=C298&amp;F298&amp;I298&amp;J298,"未发货")</f>
        <v>#REF!</v>
      </c>
      <c r="I298" s="33" t="e">
        <f>VLOOKUP(B298,辅助信息!E:I,3,FALSE)</f>
        <v>#N/A</v>
      </c>
      <c r="J298" s="33" t="e">
        <f>VLOOKUP(B298,辅助信息!E:I,4,FALSE)</f>
        <v>#N/A</v>
      </c>
      <c r="K298" s="33" t="e">
        <f>VLOOKUP(J298,辅助信息!H:I,2,FALSE)</f>
        <v>#N/A</v>
      </c>
      <c r="L298" s="69"/>
      <c r="M298" s="68"/>
      <c r="N298" s="68"/>
      <c r="O298" s="68"/>
      <c r="P298" s="68"/>
      <c r="Q298" s="33" t="e">
        <f>VLOOKUP(B298,辅助信息!E:M,9,FALSE)</f>
        <v>#N/A</v>
      </c>
      <c r="R298" s="19"/>
    </row>
    <row r="299" hidden="1" spans="2:18">
      <c r="B299" s="33" t="s">
        <v>75</v>
      </c>
      <c r="C299" s="63">
        <v>45696</v>
      </c>
      <c r="D299" s="33" t="e">
        <f>VLOOKUP(B299,辅助信息!E:K,7,FALSE)</f>
        <v>#N/A</v>
      </c>
      <c r="E299" s="33" t="str">
        <f>VLOOKUP(F299,辅助信息!A:B,2,FALSE)</f>
        <v>螺纹钢</v>
      </c>
      <c r="F299" s="33" t="s">
        <v>52</v>
      </c>
      <c r="G299" s="29">
        <v>35</v>
      </c>
      <c r="H299" s="29" t="e">
        <f>_xlfn._xlws.FILTER(#REF!,#REF!&amp;#REF!&amp;#REF!&amp;#REF!=C299&amp;F299&amp;I299&amp;J299,"未发货")</f>
        <v>#REF!</v>
      </c>
      <c r="I299" s="33" t="e">
        <f>VLOOKUP(B299,辅助信息!E:I,3,FALSE)</f>
        <v>#N/A</v>
      </c>
      <c r="J299" s="33" t="e">
        <f>VLOOKUP(B299,辅助信息!E:I,4,FALSE)</f>
        <v>#N/A</v>
      </c>
      <c r="K299" s="33" t="e">
        <f>VLOOKUP(J299,辅助信息!H:I,2,FALSE)</f>
        <v>#N/A</v>
      </c>
      <c r="L299" s="70" t="e">
        <f>VLOOKUP(B299,辅助信息!E:J,6,FALSE)</f>
        <v>#N/A</v>
      </c>
      <c r="M299" s="70"/>
      <c r="N299" s="70"/>
      <c r="O299" s="70"/>
      <c r="P299" s="70"/>
      <c r="Q299" s="33" t="e">
        <f>VLOOKUP(B299,辅助信息!E:M,9,FALSE)</f>
        <v>#N/A</v>
      </c>
      <c r="R299" s="19"/>
    </row>
    <row r="300" hidden="1" spans="2:18">
      <c r="B300" s="33" t="s">
        <v>75</v>
      </c>
      <c r="C300" s="63">
        <v>45696</v>
      </c>
      <c r="D300" s="33" t="e">
        <f>VLOOKUP(B300,辅助信息!E:K,7,FALSE)</f>
        <v>#N/A</v>
      </c>
      <c r="E300" s="33" t="str">
        <f>VLOOKUP(F300,辅助信息!A:B,2,FALSE)</f>
        <v>螺纹钢</v>
      </c>
      <c r="F300" s="33" t="s">
        <v>76</v>
      </c>
      <c r="G300" s="29">
        <v>35</v>
      </c>
      <c r="H300" s="29" t="e">
        <f>_xlfn._xlws.FILTER(#REF!,#REF!&amp;#REF!&amp;#REF!&amp;#REF!=C300&amp;F300&amp;I300&amp;J300,"未发货")</f>
        <v>#REF!</v>
      </c>
      <c r="I300" s="33" t="e">
        <f>VLOOKUP(B300,辅助信息!E:I,3,FALSE)</f>
        <v>#N/A</v>
      </c>
      <c r="J300" s="33" t="e">
        <f>VLOOKUP(B300,辅助信息!E:I,4,FALSE)</f>
        <v>#N/A</v>
      </c>
      <c r="K300" s="33" t="e">
        <f>VLOOKUP(J300,辅助信息!H:I,2,FALSE)</f>
        <v>#N/A</v>
      </c>
      <c r="L300" s="71"/>
      <c r="M300" s="70"/>
      <c r="N300" s="70"/>
      <c r="O300" s="70"/>
      <c r="P300" s="70"/>
      <c r="Q300" s="33" t="e">
        <f>VLOOKUP(B300,辅助信息!E:M,9,FALSE)</f>
        <v>#N/A</v>
      </c>
      <c r="R300" s="19"/>
    </row>
    <row r="301" hidden="1" spans="2:18">
      <c r="B301" s="33" t="s">
        <v>75</v>
      </c>
      <c r="C301" s="63">
        <v>45696</v>
      </c>
      <c r="D301" s="33" t="e">
        <f>VLOOKUP(B301,辅助信息!E:K,7,FALSE)</f>
        <v>#N/A</v>
      </c>
      <c r="E301" s="33" t="str">
        <f>VLOOKUP(F301,辅助信息!A:B,2,FALSE)</f>
        <v>螺纹钢</v>
      </c>
      <c r="F301" s="33" t="s">
        <v>77</v>
      </c>
      <c r="G301" s="29">
        <v>35</v>
      </c>
      <c r="H301" s="29" t="e">
        <f>_xlfn._xlws.FILTER(#REF!,#REF!&amp;#REF!&amp;#REF!&amp;#REF!=C301&amp;F301&amp;I301&amp;J301,"未发货")</f>
        <v>#REF!</v>
      </c>
      <c r="I301" s="33" t="e">
        <f>VLOOKUP(B301,辅助信息!E:I,3,FALSE)</f>
        <v>#N/A</v>
      </c>
      <c r="J301" s="33" t="e">
        <f>VLOOKUP(B301,辅助信息!E:I,4,FALSE)</f>
        <v>#N/A</v>
      </c>
      <c r="K301" s="33" t="e">
        <f>VLOOKUP(J301,辅助信息!H:I,2,FALSE)</f>
        <v>#N/A</v>
      </c>
      <c r="L301" s="69"/>
      <c r="M301" s="70"/>
      <c r="N301" s="70"/>
      <c r="O301" s="70"/>
      <c r="P301" s="70"/>
      <c r="Q301" s="33" t="e">
        <f>VLOOKUP(B301,辅助信息!E:M,9,FALSE)</f>
        <v>#N/A</v>
      </c>
      <c r="R301" s="19"/>
    </row>
    <row r="302" ht="45" hidden="1" customHeight="1" spans="2:18">
      <c r="B302" s="33" t="s">
        <v>64</v>
      </c>
      <c r="C302" s="63">
        <v>45698</v>
      </c>
      <c r="D302" s="33" t="e">
        <f>VLOOKUP(B302,辅助信息!E:K,7,FALSE)</f>
        <v>#N/A</v>
      </c>
      <c r="E302" s="33" t="str">
        <f>VLOOKUP(F302,辅助信息!A:B,2,FALSE)</f>
        <v>螺纹钢</v>
      </c>
      <c r="F302" s="33" t="s">
        <v>65</v>
      </c>
      <c r="G302" s="29">
        <v>60</v>
      </c>
      <c r="H302" s="29" t="e">
        <f>_xlfn._xlws.FILTER(#REF!,#REF!&amp;#REF!&amp;#REF!&amp;#REF!=C302&amp;F302&amp;I302&amp;J302,"未发货")</f>
        <v>#REF!</v>
      </c>
      <c r="I302" s="33" t="e">
        <f>VLOOKUP(B302,辅助信息!E:I,3,FALSE)</f>
        <v>#N/A</v>
      </c>
      <c r="J302" s="33" t="e">
        <f>VLOOKUP(B302,辅助信息!E:I,4,FALSE)</f>
        <v>#N/A</v>
      </c>
      <c r="K302" s="33" t="e">
        <f>VLOOKUP(J302,辅助信息!H:I,2,FALSE)</f>
        <v>#N/A</v>
      </c>
      <c r="L302" s="70" t="e">
        <f>VLOOKUP(B302,辅助信息!E:J,6,FALSE)</f>
        <v>#N/A</v>
      </c>
      <c r="M302" s="50"/>
      <c r="N302" s="50"/>
      <c r="O302" s="50"/>
      <c r="P302" s="50"/>
      <c r="Q302" s="19" t="e">
        <f>VLOOKUP(B302,辅助信息!E:M,9,FALSE)</f>
        <v>#N/A</v>
      </c>
      <c r="R302" s="19"/>
    </row>
    <row r="303" ht="45" hidden="1" customHeight="1" spans="2:18">
      <c r="B303" s="33" t="s">
        <v>74</v>
      </c>
      <c r="C303" s="63">
        <v>45698</v>
      </c>
      <c r="D303" s="33" t="e">
        <f>VLOOKUP(B303,辅助信息!E:K,7,FALSE)</f>
        <v>#N/A</v>
      </c>
      <c r="E303" s="33" t="str">
        <f>VLOOKUP(F303,辅助信息!A:B,2,FALSE)</f>
        <v>螺纹钢</v>
      </c>
      <c r="F303" s="33" t="s">
        <v>65</v>
      </c>
      <c r="G303" s="29">
        <v>30</v>
      </c>
      <c r="H303" s="29" t="e">
        <f>_xlfn._xlws.FILTER(#REF!,#REF!&amp;#REF!&amp;#REF!&amp;#REF!=C303&amp;F303&amp;I303&amp;J303,"未发货")</f>
        <v>#REF!</v>
      </c>
      <c r="I303" s="33" t="e">
        <f>VLOOKUP(B303,辅助信息!E:I,3,FALSE)</f>
        <v>#N/A</v>
      </c>
      <c r="J303" s="33" t="e">
        <f>VLOOKUP(B303,辅助信息!E:I,4,FALSE)</f>
        <v>#N/A</v>
      </c>
      <c r="K303" s="33" t="e">
        <f>VLOOKUP(J303,辅助信息!H:I,2,FALSE)</f>
        <v>#N/A</v>
      </c>
      <c r="L303" s="70" t="e">
        <f>VLOOKUP(B303,辅助信息!E:J,6,FALSE)</f>
        <v>#N/A</v>
      </c>
      <c r="M303" s="50"/>
      <c r="N303" s="50"/>
      <c r="O303" s="50"/>
      <c r="P303" s="50"/>
      <c r="Q303" s="19" t="e">
        <f>VLOOKUP(B303,辅助信息!E:M,9,FALSE)</f>
        <v>#N/A</v>
      </c>
      <c r="R303" s="19"/>
    </row>
    <row r="304" hidden="1" spans="2:18">
      <c r="B304" s="33" t="s">
        <v>75</v>
      </c>
      <c r="C304" s="63">
        <v>45698</v>
      </c>
      <c r="D304" s="33" t="e">
        <f>VLOOKUP(B304,辅助信息!E:K,7,FALSE)</f>
        <v>#N/A</v>
      </c>
      <c r="E304" s="33" t="str">
        <f>VLOOKUP(F304,辅助信息!A:B,2,FALSE)</f>
        <v>螺纹钢</v>
      </c>
      <c r="F304" s="33" t="s">
        <v>52</v>
      </c>
      <c r="G304" s="29">
        <v>35</v>
      </c>
      <c r="H304" s="29" t="e">
        <f>_xlfn._xlws.FILTER(#REF!,#REF!&amp;#REF!&amp;#REF!&amp;#REF!=C304&amp;F304&amp;I304&amp;J304,"未发货")</f>
        <v>#REF!</v>
      </c>
      <c r="I304" s="33" t="e">
        <f>VLOOKUP(B304,辅助信息!E:I,3,FALSE)</f>
        <v>#N/A</v>
      </c>
      <c r="J304" s="33" t="e">
        <f>VLOOKUP(B304,辅助信息!E:I,4,FALSE)</f>
        <v>#N/A</v>
      </c>
      <c r="K304" s="33" t="e">
        <f>VLOOKUP(J304,辅助信息!H:I,2,FALSE)</f>
        <v>#N/A</v>
      </c>
      <c r="L304" s="70" t="e">
        <f>VLOOKUP(B304,辅助信息!E:J,6,FALSE)</f>
        <v>#N/A</v>
      </c>
      <c r="M304" s="50"/>
      <c r="N304" s="50"/>
      <c r="O304" s="50"/>
      <c r="P304" s="50"/>
      <c r="Q304" s="19" t="e">
        <f>VLOOKUP(B304,辅助信息!E:M,9,FALSE)</f>
        <v>#N/A</v>
      </c>
      <c r="R304" s="19"/>
    </row>
    <row r="305" hidden="1" spans="2:18">
      <c r="B305" s="33" t="s">
        <v>75</v>
      </c>
      <c r="C305" s="63">
        <v>45698</v>
      </c>
      <c r="D305" s="33" t="e">
        <f>VLOOKUP(B305,辅助信息!E:K,7,FALSE)</f>
        <v>#N/A</v>
      </c>
      <c r="E305" s="33" t="str">
        <f>VLOOKUP(F305,辅助信息!A:B,2,FALSE)</f>
        <v>螺纹钢</v>
      </c>
      <c r="F305" s="33" t="s">
        <v>76</v>
      </c>
      <c r="G305" s="29">
        <v>35</v>
      </c>
      <c r="H305" s="29" t="e">
        <f>_xlfn._xlws.FILTER(#REF!,#REF!&amp;#REF!&amp;#REF!&amp;#REF!=C305&amp;F305&amp;I305&amp;J305,"未发货")</f>
        <v>#REF!</v>
      </c>
      <c r="I305" s="33" t="e">
        <f>VLOOKUP(B305,辅助信息!E:I,3,FALSE)</f>
        <v>#N/A</v>
      </c>
      <c r="J305" s="33" t="e">
        <f>VLOOKUP(B305,辅助信息!E:I,4,FALSE)</f>
        <v>#N/A</v>
      </c>
      <c r="K305" s="33" t="e">
        <f>VLOOKUP(J305,辅助信息!H:I,2,FALSE)</f>
        <v>#N/A</v>
      </c>
      <c r="L305" s="71"/>
      <c r="M305" s="50"/>
      <c r="N305" s="50"/>
      <c r="O305" s="50"/>
      <c r="P305" s="50"/>
      <c r="Q305" s="19" t="e">
        <f>VLOOKUP(B305,辅助信息!E:M,9,FALSE)</f>
        <v>#N/A</v>
      </c>
      <c r="R305" s="19"/>
    </row>
    <row r="306" hidden="1" spans="2:18">
      <c r="B306" s="33" t="s">
        <v>75</v>
      </c>
      <c r="C306" s="63">
        <v>45698</v>
      </c>
      <c r="D306" s="33" t="e">
        <f>VLOOKUP(B306,辅助信息!E:K,7,FALSE)</f>
        <v>#N/A</v>
      </c>
      <c r="E306" s="33" t="str">
        <f>VLOOKUP(F306,辅助信息!A:B,2,FALSE)</f>
        <v>螺纹钢</v>
      </c>
      <c r="F306" s="33" t="s">
        <v>77</v>
      </c>
      <c r="G306" s="29">
        <v>35</v>
      </c>
      <c r="H306" s="29" t="e">
        <f>_xlfn._xlws.FILTER(#REF!,#REF!&amp;#REF!&amp;#REF!&amp;#REF!=C306&amp;F306&amp;I306&amp;J306,"未发货")</f>
        <v>#REF!</v>
      </c>
      <c r="I306" s="33" t="e">
        <f>VLOOKUP(B306,辅助信息!E:I,3,FALSE)</f>
        <v>#N/A</v>
      </c>
      <c r="J306" s="33" t="e">
        <f>VLOOKUP(B306,辅助信息!E:I,4,FALSE)</f>
        <v>#N/A</v>
      </c>
      <c r="K306" s="33" t="e">
        <f>VLOOKUP(J306,辅助信息!H:I,2,FALSE)</f>
        <v>#N/A</v>
      </c>
      <c r="L306" s="69"/>
      <c r="M306" s="50"/>
      <c r="N306" s="50"/>
      <c r="O306" s="50"/>
      <c r="P306" s="50"/>
      <c r="Q306" s="19" t="e">
        <f>VLOOKUP(B306,辅助信息!E:M,9,FALSE)</f>
        <v>#N/A</v>
      </c>
      <c r="R306" s="19"/>
    </row>
    <row r="307" hidden="1" spans="2:18">
      <c r="B307" s="33" t="s">
        <v>78</v>
      </c>
      <c r="C307" s="63">
        <v>45698</v>
      </c>
      <c r="D307" s="33" t="e">
        <f>VLOOKUP(B307,辅助信息!E:K,7,FALSE)</f>
        <v>#N/A</v>
      </c>
      <c r="E307" s="33" t="str">
        <f>VLOOKUP(F307,辅助信息!A:B,2,FALSE)</f>
        <v>螺纹钢</v>
      </c>
      <c r="F307" s="33" t="s">
        <v>33</v>
      </c>
      <c r="G307" s="29">
        <v>55</v>
      </c>
      <c r="H307" s="29" t="e">
        <f>_xlfn._xlws.FILTER(#REF!,#REF!&amp;#REF!&amp;#REF!&amp;#REF!=C307&amp;F307&amp;I307&amp;J307,"未发货")</f>
        <v>#REF!</v>
      </c>
      <c r="I307" s="33" t="e">
        <f>VLOOKUP(B307,辅助信息!E:I,3,FALSE)</f>
        <v>#N/A</v>
      </c>
      <c r="J307" s="33" t="e">
        <f>VLOOKUP(B307,辅助信息!E:I,4,FALSE)</f>
        <v>#N/A</v>
      </c>
      <c r="K307" s="33" t="e">
        <f>VLOOKUP(J307,辅助信息!H:I,2,FALSE)</f>
        <v>#N/A</v>
      </c>
      <c r="L307" s="70" t="e">
        <f>VLOOKUP(B307,辅助信息!E:J,6,FALSE)</f>
        <v>#N/A</v>
      </c>
      <c r="M307" s="50"/>
      <c r="N307" s="50"/>
      <c r="O307" s="50"/>
      <c r="P307" s="50"/>
      <c r="Q307" s="19" t="e">
        <f>VLOOKUP(B307,辅助信息!E:M,9,FALSE)</f>
        <v>#N/A</v>
      </c>
      <c r="R307" s="19"/>
    </row>
    <row r="308" hidden="1" spans="2:18">
      <c r="B308" s="33" t="s">
        <v>78</v>
      </c>
      <c r="C308" s="63">
        <v>45698</v>
      </c>
      <c r="D308" s="33" t="e">
        <f>VLOOKUP(B308,辅助信息!E:K,7,FALSE)</f>
        <v>#N/A</v>
      </c>
      <c r="E308" s="33" t="str">
        <f>VLOOKUP(F308,辅助信息!A:B,2,FALSE)</f>
        <v>螺纹钢</v>
      </c>
      <c r="F308" s="33" t="s">
        <v>28</v>
      </c>
      <c r="G308" s="29">
        <v>11</v>
      </c>
      <c r="H308" s="29" t="e">
        <f>_xlfn._xlws.FILTER(#REF!,#REF!&amp;#REF!&amp;#REF!&amp;#REF!=C308&amp;F308&amp;I308&amp;J308,"未发货")</f>
        <v>#REF!</v>
      </c>
      <c r="I308" s="33" t="e">
        <f>VLOOKUP(B308,辅助信息!E:I,3,FALSE)</f>
        <v>#N/A</v>
      </c>
      <c r="J308" s="33" t="e">
        <f>VLOOKUP(B308,辅助信息!E:I,4,FALSE)</f>
        <v>#N/A</v>
      </c>
      <c r="K308" s="33" t="e">
        <f>VLOOKUP(J308,辅助信息!H:I,2,FALSE)</f>
        <v>#N/A</v>
      </c>
      <c r="L308" s="71"/>
      <c r="M308" s="50"/>
      <c r="N308" s="50"/>
      <c r="O308" s="50"/>
      <c r="P308" s="50"/>
      <c r="Q308" s="19" t="e">
        <f>VLOOKUP(B308,辅助信息!E:M,9,FALSE)</f>
        <v>#N/A</v>
      </c>
      <c r="R308" s="19"/>
    </row>
    <row r="309" hidden="1" spans="2:18">
      <c r="B309" s="33" t="s">
        <v>78</v>
      </c>
      <c r="C309" s="63">
        <v>45698</v>
      </c>
      <c r="D309" s="33" t="e">
        <f>VLOOKUP(B309,辅助信息!E:K,7,FALSE)</f>
        <v>#N/A</v>
      </c>
      <c r="E309" s="33" t="str">
        <f>VLOOKUP(F309,辅助信息!A:B,2,FALSE)</f>
        <v>螺纹钢</v>
      </c>
      <c r="F309" s="33" t="s">
        <v>18</v>
      </c>
      <c r="G309" s="29">
        <v>3</v>
      </c>
      <c r="H309" s="29" t="e">
        <f>_xlfn._xlws.FILTER(#REF!,#REF!&amp;#REF!&amp;#REF!&amp;#REF!=C309&amp;F309&amp;I309&amp;J309,"未发货")</f>
        <v>#REF!</v>
      </c>
      <c r="I309" s="33" t="e">
        <f>VLOOKUP(B309,辅助信息!E:I,3,FALSE)</f>
        <v>#N/A</v>
      </c>
      <c r="J309" s="33" t="e">
        <f>VLOOKUP(B309,辅助信息!E:I,4,FALSE)</f>
        <v>#N/A</v>
      </c>
      <c r="K309" s="33" t="e">
        <f>VLOOKUP(J309,辅助信息!H:I,2,FALSE)</f>
        <v>#N/A</v>
      </c>
      <c r="L309" s="69"/>
      <c r="M309" s="50"/>
      <c r="N309" s="50"/>
      <c r="O309" s="50"/>
      <c r="P309" s="50"/>
      <c r="Q309" s="19" t="e">
        <f>VLOOKUP(B309,辅助信息!E:M,9,FALSE)</f>
        <v>#N/A</v>
      </c>
      <c r="R309" s="19"/>
    </row>
    <row r="310" hidden="1" spans="2:18">
      <c r="B310" s="33" t="s">
        <v>79</v>
      </c>
      <c r="C310" s="63">
        <v>45699</v>
      </c>
      <c r="D310" s="33" t="e">
        <f>VLOOKUP(B310,辅助信息!E:K,7,FALSE)</f>
        <v>#N/A</v>
      </c>
      <c r="E310" s="33" t="str">
        <f>VLOOKUP(F310,辅助信息!A:B,2,FALSE)</f>
        <v>盘螺</v>
      </c>
      <c r="F310" s="33" t="s">
        <v>40</v>
      </c>
      <c r="G310" s="29">
        <v>3</v>
      </c>
      <c r="H310" s="29" t="e">
        <f>_xlfn._xlws.FILTER(#REF!,#REF!&amp;#REF!&amp;#REF!&amp;#REF!=C310&amp;F310&amp;I310&amp;J310,"未发货")</f>
        <v>#REF!</v>
      </c>
      <c r="I310" s="33" t="e">
        <f>VLOOKUP(B310,辅助信息!E:I,3,FALSE)</f>
        <v>#N/A</v>
      </c>
      <c r="J310" s="33" t="e">
        <f>VLOOKUP(B310,辅助信息!E:I,4,FALSE)</f>
        <v>#N/A</v>
      </c>
      <c r="K310" s="72" t="e">
        <f>VLOOKUP(J310,辅助信息!H:I,2,FALSE)</f>
        <v>#N/A</v>
      </c>
      <c r="L310" s="70" t="e">
        <f>VLOOKUP(B310,辅助信息!E:J,6,FALSE)</f>
        <v>#N/A</v>
      </c>
      <c r="M310" s="50"/>
      <c r="N310" s="50"/>
      <c r="O310" s="50"/>
      <c r="P310" s="50"/>
      <c r="Q310" s="19" t="e">
        <f>VLOOKUP(B310,辅助信息!E:M,9,FALSE)</f>
        <v>#N/A</v>
      </c>
      <c r="R310" s="19"/>
    </row>
    <row r="311" hidden="1" spans="2:18">
      <c r="B311" s="33" t="s">
        <v>79</v>
      </c>
      <c r="C311" s="63">
        <v>45699</v>
      </c>
      <c r="D311" s="33" t="e">
        <f>VLOOKUP(B311,辅助信息!E:K,7,FALSE)</f>
        <v>#N/A</v>
      </c>
      <c r="E311" s="33" t="str">
        <f>VLOOKUP(F311,辅助信息!A:B,2,FALSE)</f>
        <v>盘螺</v>
      </c>
      <c r="F311" s="33" t="s">
        <v>41</v>
      </c>
      <c r="G311" s="29">
        <v>3</v>
      </c>
      <c r="H311" s="29" t="e">
        <f>_xlfn._xlws.FILTER(#REF!,#REF!&amp;#REF!&amp;#REF!&amp;#REF!=C311&amp;F311&amp;I311&amp;J311,"未发货")</f>
        <v>#REF!</v>
      </c>
      <c r="I311" s="33" t="e">
        <f>VLOOKUP(B311,辅助信息!E:I,3,FALSE)</f>
        <v>#N/A</v>
      </c>
      <c r="J311" s="33" t="e">
        <f>VLOOKUP(B311,辅助信息!E:I,4,FALSE)</f>
        <v>#N/A</v>
      </c>
      <c r="K311" s="72" t="e">
        <f>VLOOKUP(J311,辅助信息!H:I,2,FALSE)</f>
        <v>#N/A</v>
      </c>
      <c r="L311" s="71"/>
      <c r="M311" s="50"/>
      <c r="N311" s="50"/>
      <c r="O311" s="50"/>
      <c r="P311" s="50"/>
      <c r="Q311" s="19" t="e">
        <f>VLOOKUP(B311,辅助信息!E:M,9,FALSE)</f>
        <v>#N/A</v>
      </c>
      <c r="R311" s="19"/>
    </row>
    <row r="312" hidden="1" spans="2:18">
      <c r="B312" s="33" t="s">
        <v>79</v>
      </c>
      <c r="C312" s="63">
        <v>45699</v>
      </c>
      <c r="D312" s="33" t="e">
        <f>VLOOKUP(B312,辅助信息!E:K,7,FALSE)</f>
        <v>#N/A</v>
      </c>
      <c r="E312" s="33" t="str">
        <f>VLOOKUP(F312,辅助信息!A:B,2,FALSE)</f>
        <v>螺纹钢</v>
      </c>
      <c r="F312" s="33" t="s">
        <v>27</v>
      </c>
      <c r="G312" s="80">
        <v>9</v>
      </c>
      <c r="H312" s="29" t="e">
        <f>_xlfn._xlws.FILTER(#REF!,#REF!&amp;#REF!&amp;#REF!&amp;#REF!=C312&amp;F312&amp;I312&amp;J312,"未发货")</f>
        <v>#REF!</v>
      </c>
      <c r="I312" s="33" t="e">
        <f>VLOOKUP(B312,辅助信息!E:I,3,FALSE)</f>
        <v>#N/A</v>
      </c>
      <c r="J312" s="33" t="e">
        <f>VLOOKUP(B312,辅助信息!E:I,4,FALSE)</f>
        <v>#N/A</v>
      </c>
      <c r="K312" s="72" t="e">
        <f>VLOOKUP(J312,辅助信息!H:I,2,FALSE)</f>
        <v>#N/A</v>
      </c>
      <c r="L312" s="71"/>
      <c r="M312" s="50"/>
      <c r="N312" s="50"/>
      <c r="O312" s="50"/>
      <c r="P312" s="50"/>
      <c r="Q312" s="19" t="e">
        <f>VLOOKUP(B312,辅助信息!E:M,9,FALSE)</f>
        <v>#N/A</v>
      </c>
      <c r="R312" s="19"/>
    </row>
    <row r="313" hidden="1" spans="2:18">
      <c r="B313" s="33" t="s">
        <v>79</v>
      </c>
      <c r="C313" s="63">
        <v>45699</v>
      </c>
      <c r="D313" s="33" t="e">
        <f>VLOOKUP(B313,辅助信息!E:K,7,FALSE)</f>
        <v>#N/A</v>
      </c>
      <c r="E313" s="33" t="str">
        <f>VLOOKUP(F313,辅助信息!A:B,2,FALSE)</f>
        <v>螺纹钢</v>
      </c>
      <c r="F313" s="33" t="s">
        <v>19</v>
      </c>
      <c r="G313" s="29">
        <v>20</v>
      </c>
      <c r="H313" s="29" t="e">
        <f>_xlfn._xlws.FILTER(#REF!,#REF!&amp;#REF!&amp;#REF!&amp;#REF!=C313&amp;F313&amp;I313&amp;J313,"未发货")</f>
        <v>#REF!</v>
      </c>
      <c r="I313" s="33" t="e">
        <f>VLOOKUP(B313,辅助信息!E:I,3,FALSE)</f>
        <v>#N/A</v>
      </c>
      <c r="J313" s="33" t="e">
        <f>VLOOKUP(B313,辅助信息!E:I,4,FALSE)</f>
        <v>#N/A</v>
      </c>
      <c r="K313" s="72" t="e">
        <f>VLOOKUP(J313,辅助信息!H:I,2,FALSE)</f>
        <v>#N/A</v>
      </c>
      <c r="L313" s="71"/>
      <c r="M313" s="50"/>
      <c r="N313" s="50"/>
      <c r="O313" s="50"/>
      <c r="P313" s="50"/>
      <c r="Q313" s="19" t="e">
        <f>VLOOKUP(B313,辅助信息!E:M,9,FALSE)</f>
        <v>#N/A</v>
      </c>
      <c r="R313" s="19"/>
    </row>
    <row r="314" hidden="1" spans="2:18">
      <c r="B314" s="33" t="s">
        <v>79</v>
      </c>
      <c r="C314" s="63">
        <v>45699</v>
      </c>
      <c r="D314" s="33" t="e">
        <f>VLOOKUP(B314,辅助信息!E:K,7,FALSE)</f>
        <v>#N/A</v>
      </c>
      <c r="E314" s="33" t="str">
        <f>VLOOKUP(F314,辅助信息!A:B,2,FALSE)</f>
        <v>螺纹钢</v>
      </c>
      <c r="F314" s="33" t="s">
        <v>32</v>
      </c>
      <c r="G314" s="80">
        <v>9</v>
      </c>
      <c r="H314" s="29" t="e">
        <f>_xlfn._xlws.FILTER(#REF!,#REF!&amp;#REF!&amp;#REF!&amp;#REF!=C314&amp;F314&amp;I314&amp;J314,"未发货")</f>
        <v>#REF!</v>
      </c>
      <c r="I314" s="33" t="e">
        <f>VLOOKUP(B314,辅助信息!E:I,3,FALSE)</f>
        <v>#N/A</v>
      </c>
      <c r="J314" s="33" t="e">
        <f>VLOOKUP(B314,辅助信息!E:I,4,FALSE)</f>
        <v>#N/A</v>
      </c>
      <c r="K314" s="72" t="e">
        <f>VLOOKUP(J314,辅助信息!H:I,2,FALSE)</f>
        <v>#N/A</v>
      </c>
      <c r="L314" s="71"/>
      <c r="M314" s="50"/>
      <c r="N314" s="50"/>
      <c r="O314" s="50"/>
      <c r="P314" s="50"/>
      <c r="Q314" s="19" t="e">
        <f>VLOOKUP(B314,辅助信息!E:M,9,FALSE)</f>
        <v>#N/A</v>
      </c>
      <c r="R314" s="19"/>
    </row>
    <row r="315" hidden="1" spans="2:18">
      <c r="B315" s="33" t="s">
        <v>79</v>
      </c>
      <c r="C315" s="63">
        <v>45699</v>
      </c>
      <c r="D315" s="33" t="e">
        <f>VLOOKUP(B315,辅助信息!E:K,7,FALSE)</f>
        <v>#N/A</v>
      </c>
      <c r="E315" s="33" t="str">
        <f>VLOOKUP(F315,辅助信息!A:B,2,FALSE)</f>
        <v>螺纹钢</v>
      </c>
      <c r="F315" s="33" t="s">
        <v>30</v>
      </c>
      <c r="G315" s="29">
        <v>3</v>
      </c>
      <c r="H315" s="29" t="e">
        <f>_xlfn._xlws.FILTER(#REF!,#REF!&amp;#REF!&amp;#REF!&amp;#REF!=C315&amp;F315&amp;I315&amp;J315,"未发货")</f>
        <v>#REF!</v>
      </c>
      <c r="I315" s="33" t="e">
        <f>VLOOKUP(B315,辅助信息!E:I,3,FALSE)</f>
        <v>#N/A</v>
      </c>
      <c r="J315" s="33" t="e">
        <f>VLOOKUP(B315,辅助信息!E:I,4,FALSE)</f>
        <v>#N/A</v>
      </c>
      <c r="K315" s="72" t="e">
        <f>VLOOKUP(J315,辅助信息!H:I,2,FALSE)</f>
        <v>#N/A</v>
      </c>
      <c r="L315" s="71"/>
      <c r="M315" s="50"/>
      <c r="N315" s="50"/>
      <c r="O315" s="50"/>
      <c r="P315" s="50"/>
      <c r="Q315" s="19" t="e">
        <f>VLOOKUP(B315,辅助信息!E:M,9,FALSE)</f>
        <v>#N/A</v>
      </c>
      <c r="R315" s="19"/>
    </row>
    <row r="316" hidden="1" spans="2:18">
      <c r="B316" s="33" t="s">
        <v>79</v>
      </c>
      <c r="C316" s="63">
        <v>45699</v>
      </c>
      <c r="D316" s="33" t="e">
        <f>VLOOKUP(B316,辅助信息!E:K,7,FALSE)</f>
        <v>#N/A</v>
      </c>
      <c r="E316" s="33" t="str">
        <f>VLOOKUP(F316,辅助信息!A:B,2,FALSE)</f>
        <v>螺纹钢</v>
      </c>
      <c r="F316" s="33" t="s">
        <v>33</v>
      </c>
      <c r="G316" s="80">
        <v>25</v>
      </c>
      <c r="H316" s="29" t="e">
        <f>_xlfn._xlws.FILTER(#REF!,#REF!&amp;#REF!&amp;#REF!&amp;#REF!=C316&amp;F316&amp;I316&amp;J316,"未发货")</f>
        <v>#REF!</v>
      </c>
      <c r="I316" s="33" t="e">
        <f>VLOOKUP(B316,辅助信息!E:I,3,FALSE)</f>
        <v>#N/A</v>
      </c>
      <c r="J316" s="33" t="e">
        <f>VLOOKUP(B316,辅助信息!E:I,4,FALSE)</f>
        <v>#N/A</v>
      </c>
      <c r="K316" s="72" t="e">
        <f>VLOOKUP(J316,辅助信息!H:I,2,FALSE)</f>
        <v>#N/A</v>
      </c>
      <c r="L316" s="71"/>
      <c r="M316" s="50"/>
      <c r="N316" s="50"/>
      <c r="O316" s="50"/>
      <c r="P316" s="50"/>
      <c r="Q316" s="19" t="e">
        <f>VLOOKUP(B316,辅助信息!E:M,9,FALSE)</f>
        <v>#N/A</v>
      </c>
      <c r="R316" s="19"/>
    </row>
    <row r="317" hidden="1" spans="2:18">
      <c r="B317" s="33" t="s">
        <v>79</v>
      </c>
      <c r="C317" s="63">
        <v>45699</v>
      </c>
      <c r="D317" s="33" t="e">
        <f>VLOOKUP(B317,辅助信息!E:K,7,FALSE)</f>
        <v>#N/A</v>
      </c>
      <c r="E317" s="33" t="str">
        <f>VLOOKUP(F317,辅助信息!A:B,2,FALSE)</f>
        <v>螺纹钢</v>
      </c>
      <c r="F317" s="33" t="s">
        <v>18</v>
      </c>
      <c r="G317" s="80">
        <v>90</v>
      </c>
      <c r="H317" s="29" t="e">
        <f>_xlfn._xlws.FILTER(#REF!,#REF!&amp;#REF!&amp;#REF!&amp;#REF!=C317&amp;F317&amp;I317&amp;J317,"未发货")</f>
        <v>#REF!</v>
      </c>
      <c r="I317" s="33" t="e">
        <f>VLOOKUP(B317,辅助信息!E:I,3,FALSE)</f>
        <v>#N/A</v>
      </c>
      <c r="J317" s="33" t="e">
        <f>VLOOKUP(B317,辅助信息!E:I,4,FALSE)</f>
        <v>#N/A</v>
      </c>
      <c r="K317" s="72" t="e">
        <f>VLOOKUP(J317,辅助信息!H:I,2,FALSE)</f>
        <v>#N/A</v>
      </c>
      <c r="L317" s="69"/>
      <c r="M317" s="50"/>
      <c r="N317" s="50"/>
      <c r="O317" s="50"/>
      <c r="P317" s="50"/>
      <c r="Q317" s="19" t="e">
        <f>VLOOKUP(B317,辅助信息!E:M,9,FALSE)</f>
        <v>#N/A</v>
      </c>
      <c r="R317" s="19"/>
    </row>
    <row r="318" hidden="1" spans="2:18">
      <c r="B318" s="33" t="s">
        <v>80</v>
      </c>
      <c r="C318" s="63">
        <v>45700</v>
      </c>
      <c r="D318" s="33" t="e">
        <f>VLOOKUP(B318,辅助信息!E:K,7,FALSE)</f>
        <v>#N/A</v>
      </c>
      <c r="E318" s="33" t="str">
        <f>VLOOKUP(F318,辅助信息!A:B,2,FALSE)</f>
        <v>盘螺</v>
      </c>
      <c r="F318" s="33" t="s">
        <v>49</v>
      </c>
      <c r="G318" s="29">
        <v>7.5</v>
      </c>
      <c r="H318" s="29" t="e">
        <f>_xlfn._xlws.FILTER(#REF!,#REF!&amp;#REF!&amp;#REF!&amp;#REF!=C318&amp;F318&amp;I318&amp;J318,"未发货")</f>
        <v>#REF!</v>
      </c>
      <c r="I318" s="33" t="e">
        <f>VLOOKUP(B318,辅助信息!E:I,3,FALSE)</f>
        <v>#N/A</v>
      </c>
      <c r="J318" s="33" t="e">
        <f>VLOOKUP(B318,辅助信息!E:I,4,FALSE)</f>
        <v>#N/A</v>
      </c>
      <c r="K318" s="72" t="e">
        <f>VLOOKUP(J318,辅助信息!H:I,2,FALSE)</f>
        <v>#N/A</v>
      </c>
      <c r="L318" s="70" t="e">
        <f>VLOOKUP(B318,辅助信息!E:J,6,FALSE)</f>
        <v>#N/A</v>
      </c>
      <c r="M318" s="84">
        <v>45703</v>
      </c>
      <c r="N318" s="84"/>
      <c r="O318" s="55">
        <f ca="1" t="shared" ref="O318:O381" si="0">IF(OR(M318="",N318&lt;&gt;""),"",MAX(M318-TODAY(),0))</f>
        <v>0</v>
      </c>
      <c r="P318" s="55">
        <f ca="1" t="shared" ref="P318:P381" si="1">IF(M318="","",IF(N318&lt;&gt;"",MAX(N318-M318,0),IF(TODAY()&gt;M318,TODAY()-M318,0)))</f>
        <v>254</v>
      </c>
      <c r="Q318" s="19" t="e">
        <f>VLOOKUP(B318,辅助信息!E:M,9,FALSE)</f>
        <v>#N/A</v>
      </c>
      <c r="R318" s="19"/>
    </row>
    <row r="319" s="19" customFormat="1" hidden="1" spans="2:17">
      <c r="B319" s="33" t="s">
        <v>80</v>
      </c>
      <c r="C319" s="63">
        <v>45700</v>
      </c>
      <c r="D319" s="33" t="e">
        <f>VLOOKUP(B319,辅助信息!E:K,7,FALSE)</f>
        <v>#N/A</v>
      </c>
      <c r="E319" s="33" t="str">
        <f>VLOOKUP(F319,辅助信息!A:B,2,FALSE)</f>
        <v>盘螺</v>
      </c>
      <c r="F319" s="33" t="s">
        <v>40</v>
      </c>
      <c r="G319" s="29">
        <v>15</v>
      </c>
      <c r="H319" s="29" t="e">
        <f>_xlfn._xlws.FILTER(#REF!,#REF!&amp;#REF!&amp;#REF!&amp;#REF!=C319&amp;F319&amp;I319&amp;J319,"未发货")</f>
        <v>#REF!</v>
      </c>
      <c r="I319" s="33" t="e">
        <f>VLOOKUP(B319,辅助信息!E:I,3,FALSE)</f>
        <v>#N/A</v>
      </c>
      <c r="J319" s="33" t="e">
        <f>VLOOKUP(B319,辅助信息!E:I,4,FALSE)</f>
        <v>#N/A</v>
      </c>
      <c r="K319" s="72" t="e">
        <f>VLOOKUP(J319,辅助信息!H:I,2,FALSE)</f>
        <v>#N/A</v>
      </c>
      <c r="L319" s="71"/>
      <c r="M319" s="84">
        <v>45703</v>
      </c>
      <c r="N319" s="84"/>
      <c r="O319" s="55">
        <f ca="1" t="shared" si="0"/>
        <v>0</v>
      </c>
      <c r="P319" s="55">
        <f ca="1" t="shared" si="1"/>
        <v>254</v>
      </c>
      <c r="Q319" s="19" t="e">
        <f>VLOOKUP(B319,辅助信息!E:M,9,FALSE)</f>
        <v>#N/A</v>
      </c>
    </row>
    <row r="320" s="19" customFormat="1" hidden="1" spans="2:17">
      <c r="B320" s="33" t="s">
        <v>80</v>
      </c>
      <c r="C320" s="63">
        <v>45700</v>
      </c>
      <c r="D320" s="33" t="e">
        <f>VLOOKUP(B320,辅助信息!E:K,7,FALSE)</f>
        <v>#N/A</v>
      </c>
      <c r="E320" s="33" t="str">
        <f>VLOOKUP(F320,辅助信息!A:B,2,FALSE)</f>
        <v>盘螺</v>
      </c>
      <c r="F320" s="33" t="s">
        <v>41</v>
      </c>
      <c r="G320" s="29">
        <v>17.5</v>
      </c>
      <c r="H320" s="29" t="e">
        <f>_xlfn._xlws.FILTER(#REF!,#REF!&amp;#REF!&amp;#REF!&amp;#REF!=C320&amp;F320&amp;I320&amp;J320,"未发货")</f>
        <v>#REF!</v>
      </c>
      <c r="I320" s="33" t="e">
        <f>VLOOKUP(B320,辅助信息!E:I,3,FALSE)</f>
        <v>#N/A</v>
      </c>
      <c r="J320" s="33" t="e">
        <f>VLOOKUP(B320,辅助信息!E:I,4,FALSE)</f>
        <v>#N/A</v>
      </c>
      <c r="K320" s="72" t="e">
        <f>VLOOKUP(J320,辅助信息!H:I,2,FALSE)</f>
        <v>#N/A</v>
      </c>
      <c r="L320" s="71"/>
      <c r="M320" s="84">
        <v>45703</v>
      </c>
      <c r="N320" s="84"/>
      <c r="O320" s="55">
        <f ca="1" t="shared" si="0"/>
        <v>0</v>
      </c>
      <c r="P320" s="55">
        <f ca="1" t="shared" si="1"/>
        <v>254</v>
      </c>
      <c r="Q320" s="19" t="e">
        <f>VLOOKUP(B320,辅助信息!E:M,9,FALSE)</f>
        <v>#N/A</v>
      </c>
    </row>
    <row r="321" s="19" customFormat="1" hidden="1" spans="2:17">
      <c r="B321" s="33" t="s">
        <v>80</v>
      </c>
      <c r="C321" s="63">
        <v>45700</v>
      </c>
      <c r="D321" s="33" t="e">
        <f>VLOOKUP(B321,辅助信息!E:K,7,FALSE)</f>
        <v>#N/A</v>
      </c>
      <c r="E321" s="33" t="str">
        <f>VLOOKUP(F321,辅助信息!A:B,2,FALSE)</f>
        <v>螺纹钢</v>
      </c>
      <c r="F321" s="33" t="s">
        <v>27</v>
      </c>
      <c r="G321" s="29">
        <v>15</v>
      </c>
      <c r="H321" s="29" t="e">
        <f>_xlfn._xlws.FILTER(#REF!,#REF!&amp;#REF!&amp;#REF!&amp;#REF!=C321&amp;F321&amp;I321&amp;J321,"未发货")</f>
        <v>#REF!</v>
      </c>
      <c r="I321" s="33" t="e">
        <f>VLOOKUP(B321,辅助信息!E:I,3,FALSE)</f>
        <v>#N/A</v>
      </c>
      <c r="J321" s="33" t="e">
        <f>VLOOKUP(B321,辅助信息!E:I,4,FALSE)</f>
        <v>#N/A</v>
      </c>
      <c r="K321" s="72" t="e">
        <f>VLOOKUP(J321,辅助信息!H:I,2,FALSE)</f>
        <v>#N/A</v>
      </c>
      <c r="L321" s="71"/>
      <c r="M321" s="84">
        <v>45703</v>
      </c>
      <c r="N321" s="84"/>
      <c r="O321" s="55">
        <f ca="1" t="shared" si="0"/>
        <v>0</v>
      </c>
      <c r="P321" s="55">
        <f ca="1" t="shared" si="1"/>
        <v>254</v>
      </c>
      <c r="Q321" s="19" t="e">
        <f>VLOOKUP(B321,辅助信息!E:M,9,FALSE)</f>
        <v>#N/A</v>
      </c>
    </row>
    <row r="322" s="19" customFormat="1" hidden="1" spans="2:17">
      <c r="B322" s="33" t="s">
        <v>80</v>
      </c>
      <c r="C322" s="63">
        <v>45700</v>
      </c>
      <c r="D322" s="33" t="e">
        <f>VLOOKUP(B322,辅助信息!E:K,7,FALSE)</f>
        <v>#N/A</v>
      </c>
      <c r="E322" s="33" t="str">
        <f>VLOOKUP(F322,辅助信息!A:B,2,FALSE)</f>
        <v>螺纹钢</v>
      </c>
      <c r="F322" s="33" t="s">
        <v>19</v>
      </c>
      <c r="G322" s="29">
        <v>6</v>
      </c>
      <c r="H322" s="29" t="e">
        <f>_xlfn._xlws.FILTER(#REF!,#REF!&amp;#REF!&amp;#REF!&amp;#REF!=C322&amp;F322&amp;I322&amp;J322,"未发货")</f>
        <v>#REF!</v>
      </c>
      <c r="I322" s="33" t="e">
        <f>VLOOKUP(B322,辅助信息!E:I,3,FALSE)</f>
        <v>#N/A</v>
      </c>
      <c r="J322" s="33" t="e">
        <f>VLOOKUP(B322,辅助信息!E:I,4,FALSE)</f>
        <v>#N/A</v>
      </c>
      <c r="K322" s="72" t="e">
        <f>VLOOKUP(J322,辅助信息!H:I,2,FALSE)</f>
        <v>#N/A</v>
      </c>
      <c r="L322" s="71"/>
      <c r="M322" s="84">
        <v>45703</v>
      </c>
      <c r="N322" s="84"/>
      <c r="O322" s="55">
        <f ca="1" t="shared" si="0"/>
        <v>0</v>
      </c>
      <c r="P322" s="55">
        <f ca="1" t="shared" si="1"/>
        <v>254</v>
      </c>
      <c r="Q322" s="19" t="e">
        <f>VLOOKUP(B322,辅助信息!E:M,9,FALSE)</f>
        <v>#N/A</v>
      </c>
    </row>
    <row r="323" s="19" customFormat="1" hidden="1" spans="2:17">
      <c r="B323" s="33" t="s">
        <v>80</v>
      </c>
      <c r="C323" s="63">
        <v>45700</v>
      </c>
      <c r="D323" s="33" t="e">
        <f>VLOOKUP(B323,辅助信息!E:K,7,FALSE)</f>
        <v>#N/A</v>
      </c>
      <c r="E323" s="33" t="str">
        <f>VLOOKUP(F323,辅助信息!A:B,2,FALSE)</f>
        <v>螺纹钢</v>
      </c>
      <c r="F323" s="33" t="s">
        <v>32</v>
      </c>
      <c r="G323" s="29">
        <v>12</v>
      </c>
      <c r="H323" s="29" t="e">
        <f>_xlfn._xlws.FILTER(#REF!,#REF!&amp;#REF!&amp;#REF!&amp;#REF!=C323&amp;F323&amp;I323&amp;J323,"未发货")</f>
        <v>#REF!</v>
      </c>
      <c r="I323" s="33" t="e">
        <f>VLOOKUP(B323,辅助信息!E:I,3,FALSE)</f>
        <v>#N/A</v>
      </c>
      <c r="J323" s="33" t="e">
        <f>VLOOKUP(B323,辅助信息!E:I,4,FALSE)</f>
        <v>#N/A</v>
      </c>
      <c r="K323" s="72" t="e">
        <f>VLOOKUP(J323,辅助信息!H:I,2,FALSE)</f>
        <v>#N/A</v>
      </c>
      <c r="L323" s="71"/>
      <c r="M323" s="84">
        <v>45703</v>
      </c>
      <c r="N323" s="84"/>
      <c r="O323" s="55">
        <f ca="1" t="shared" si="0"/>
        <v>0</v>
      </c>
      <c r="P323" s="55">
        <f ca="1" t="shared" si="1"/>
        <v>254</v>
      </c>
      <c r="Q323" s="19" t="e">
        <f>VLOOKUP(B323,辅助信息!E:M,9,FALSE)</f>
        <v>#N/A</v>
      </c>
    </row>
    <row r="324" s="19" customFormat="1" hidden="1" spans="2:17">
      <c r="B324" s="33" t="s">
        <v>80</v>
      </c>
      <c r="C324" s="63">
        <v>45700</v>
      </c>
      <c r="D324" s="33" t="e">
        <f>VLOOKUP(B324,辅助信息!E:K,7,FALSE)</f>
        <v>#N/A</v>
      </c>
      <c r="E324" s="33" t="str">
        <f>VLOOKUP(F324,辅助信息!A:B,2,FALSE)</f>
        <v>螺纹钢</v>
      </c>
      <c r="F324" s="33" t="s">
        <v>30</v>
      </c>
      <c r="G324" s="29">
        <v>12</v>
      </c>
      <c r="H324" s="29" t="e">
        <f>_xlfn._xlws.FILTER(#REF!,#REF!&amp;#REF!&amp;#REF!&amp;#REF!=C324&amp;F324&amp;I324&amp;J324,"未发货")</f>
        <v>#REF!</v>
      </c>
      <c r="I324" s="33" t="e">
        <f>VLOOKUP(B324,辅助信息!E:I,3,FALSE)</f>
        <v>#N/A</v>
      </c>
      <c r="J324" s="33" t="e">
        <f>VLOOKUP(B324,辅助信息!E:I,4,FALSE)</f>
        <v>#N/A</v>
      </c>
      <c r="K324" s="72" t="e">
        <f>VLOOKUP(J324,辅助信息!H:I,2,FALSE)</f>
        <v>#N/A</v>
      </c>
      <c r="L324" s="71"/>
      <c r="M324" s="84">
        <v>45703</v>
      </c>
      <c r="N324" s="84"/>
      <c r="O324" s="55">
        <f ca="1" t="shared" si="0"/>
        <v>0</v>
      </c>
      <c r="P324" s="55">
        <f ca="1" t="shared" si="1"/>
        <v>254</v>
      </c>
      <c r="Q324" s="19" t="e">
        <f>VLOOKUP(B324,辅助信息!E:M,9,FALSE)</f>
        <v>#N/A</v>
      </c>
    </row>
    <row r="325" s="19" customFormat="1" hidden="1" spans="2:17">
      <c r="B325" s="33" t="s">
        <v>80</v>
      </c>
      <c r="C325" s="63">
        <v>45700</v>
      </c>
      <c r="D325" s="33" t="e">
        <f>VLOOKUP(B325,辅助信息!E:K,7,FALSE)</f>
        <v>#N/A</v>
      </c>
      <c r="E325" s="33" t="str">
        <f>VLOOKUP(F325,辅助信息!A:B,2,FALSE)</f>
        <v>螺纹钢</v>
      </c>
      <c r="F325" s="33" t="s">
        <v>33</v>
      </c>
      <c r="G325" s="29">
        <v>6</v>
      </c>
      <c r="H325" s="29" t="e">
        <f>_xlfn._xlws.FILTER(#REF!,#REF!&amp;#REF!&amp;#REF!&amp;#REF!=C325&amp;F325&amp;I325&amp;J325,"未发货")</f>
        <v>#REF!</v>
      </c>
      <c r="I325" s="33" t="e">
        <f>VLOOKUP(B325,辅助信息!E:I,3,FALSE)</f>
        <v>#N/A</v>
      </c>
      <c r="J325" s="33" t="e">
        <f>VLOOKUP(B325,辅助信息!E:I,4,FALSE)</f>
        <v>#N/A</v>
      </c>
      <c r="K325" s="72" t="e">
        <f>VLOOKUP(J325,辅助信息!H:I,2,FALSE)</f>
        <v>#N/A</v>
      </c>
      <c r="L325" s="71"/>
      <c r="M325" s="84">
        <v>45703</v>
      </c>
      <c r="N325" s="84"/>
      <c r="O325" s="55">
        <f ca="1" t="shared" si="0"/>
        <v>0</v>
      </c>
      <c r="P325" s="55">
        <f ca="1" t="shared" si="1"/>
        <v>254</v>
      </c>
      <c r="Q325" s="19" t="e">
        <f>VLOOKUP(B325,辅助信息!E:M,9,FALSE)</f>
        <v>#N/A</v>
      </c>
    </row>
    <row r="326" s="19" customFormat="1" hidden="1" spans="2:17">
      <c r="B326" s="33" t="s">
        <v>80</v>
      </c>
      <c r="C326" s="63">
        <v>45700</v>
      </c>
      <c r="D326" s="33" t="e">
        <f>VLOOKUP(B326,辅助信息!E:K,7,FALSE)</f>
        <v>#N/A</v>
      </c>
      <c r="E326" s="33" t="str">
        <f>VLOOKUP(F326,辅助信息!A:B,2,FALSE)</f>
        <v>螺纹钢</v>
      </c>
      <c r="F326" s="33" t="s">
        <v>28</v>
      </c>
      <c r="G326" s="29">
        <v>6</v>
      </c>
      <c r="H326" s="29" t="e">
        <f>_xlfn._xlws.FILTER(#REF!,#REF!&amp;#REF!&amp;#REF!&amp;#REF!=C326&amp;F326&amp;I326&amp;J326,"未发货")</f>
        <v>#REF!</v>
      </c>
      <c r="I326" s="33" t="e">
        <f>VLOOKUP(B326,辅助信息!E:I,3,FALSE)</f>
        <v>#N/A</v>
      </c>
      <c r="J326" s="33" t="e">
        <f>VLOOKUP(B326,辅助信息!E:I,4,FALSE)</f>
        <v>#N/A</v>
      </c>
      <c r="K326" s="72" t="e">
        <f>VLOOKUP(J326,辅助信息!H:I,2,FALSE)</f>
        <v>#N/A</v>
      </c>
      <c r="L326" s="71"/>
      <c r="M326" s="84">
        <v>45703</v>
      </c>
      <c r="N326" s="84"/>
      <c r="O326" s="55">
        <f ca="1" t="shared" si="0"/>
        <v>0</v>
      </c>
      <c r="P326" s="55">
        <f ca="1" t="shared" si="1"/>
        <v>254</v>
      </c>
      <c r="Q326" s="19" t="e">
        <f>VLOOKUP(B326,辅助信息!E:M,9,FALSE)</f>
        <v>#N/A</v>
      </c>
    </row>
    <row r="327" s="19" customFormat="1" hidden="1" spans="2:17">
      <c r="B327" s="33" t="s">
        <v>80</v>
      </c>
      <c r="C327" s="63">
        <v>45700</v>
      </c>
      <c r="D327" s="33" t="e">
        <f>VLOOKUP(B327,辅助信息!E:K,7,FALSE)</f>
        <v>#N/A</v>
      </c>
      <c r="E327" s="33" t="str">
        <f>VLOOKUP(F327,辅助信息!A:B,2,FALSE)</f>
        <v>螺纹钢</v>
      </c>
      <c r="F327" s="33" t="s">
        <v>18</v>
      </c>
      <c r="G327" s="29">
        <v>6</v>
      </c>
      <c r="H327" s="29" t="e">
        <f>_xlfn._xlws.FILTER(#REF!,#REF!&amp;#REF!&amp;#REF!&amp;#REF!=C327&amp;F327&amp;I327&amp;J327,"未发货")</f>
        <v>#REF!</v>
      </c>
      <c r="I327" s="33" t="e">
        <f>VLOOKUP(B327,辅助信息!E:I,3,FALSE)</f>
        <v>#N/A</v>
      </c>
      <c r="J327" s="33" t="e">
        <f>VLOOKUP(B327,辅助信息!E:I,4,FALSE)</f>
        <v>#N/A</v>
      </c>
      <c r="K327" s="72" t="e">
        <f>VLOOKUP(J327,辅助信息!H:I,2,FALSE)</f>
        <v>#N/A</v>
      </c>
      <c r="L327" s="69"/>
      <c r="M327" s="84">
        <v>45703</v>
      </c>
      <c r="N327" s="84"/>
      <c r="O327" s="55">
        <f ca="1" t="shared" si="0"/>
        <v>0</v>
      </c>
      <c r="P327" s="55">
        <f ca="1" t="shared" si="1"/>
        <v>254</v>
      </c>
      <c r="Q327" s="19" t="e">
        <f>VLOOKUP(B327,辅助信息!E:M,9,FALSE)</f>
        <v>#N/A</v>
      </c>
    </row>
    <row r="328" s="19" customFormat="1" hidden="1" spans="2:17">
      <c r="B328" s="33" t="s">
        <v>73</v>
      </c>
      <c r="C328" s="63">
        <v>45700</v>
      </c>
      <c r="D328" s="33" t="str">
        <f>VLOOKUP(B328,辅助信息!E:K,7,FALSE)</f>
        <v>JWDDCD2025051000019</v>
      </c>
      <c r="E328" s="33" t="str">
        <f>VLOOKUP(F328,辅助信息!A:B,2,FALSE)</f>
        <v>盘螺</v>
      </c>
      <c r="F328" s="33" t="s">
        <v>40</v>
      </c>
      <c r="G328" s="29">
        <v>45</v>
      </c>
      <c r="H328" s="29" t="e">
        <f>_xlfn._xlws.FILTER(#REF!,#REF!&amp;#REF!&amp;#REF!&amp;#REF!=C328&amp;F328&amp;I328&amp;J328,"未发货")</f>
        <v>#REF!</v>
      </c>
      <c r="I328" s="33" t="str">
        <f>VLOOKUP(B328,辅助信息!E:I,3,FALSE)</f>
        <v>(五冶钢构医学科学产业园建设项目房建三部-一标（7-1）)四川省南充市顺庆区搬罾街道学府大道二段</v>
      </c>
      <c r="J328" s="33" t="str">
        <f>VLOOKUP(B328,辅助信息!E:I,4,FALSE)</f>
        <v>郑林</v>
      </c>
      <c r="K328" s="72">
        <f>VLOOKUP(J328,辅助信息!H:I,2,FALSE)</f>
        <v>18349955455</v>
      </c>
      <c r="L328" s="36" t="str">
        <f>VLOOKUP(B328,辅助信息!E:J,6,FALSE)</f>
        <v>送货单：送货单位：南充思临新材料科技有限公司,收货单位：五冶集团川北(南充)建设有限公司,项目名称：南充医学科学产业园,送货车型13米,装货前联系收货人核实到场规格</v>
      </c>
      <c r="M328" s="84">
        <v>45703</v>
      </c>
      <c r="N328" s="84"/>
      <c r="O328" s="55">
        <f ca="1" t="shared" si="0"/>
        <v>0</v>
      </c>
      <c r="P328" s="55">
        <f ca="1" t="shared" si="1"/>
        <v>254</v>
      </c>
      <c r="Q328" s="19" t="str">
        <f>VLOOKUP(B328,辅助信息!E:M,9,FALSE)</f>
        <v>ZTWM-CDGS-XS-2024-0248-五冶钢构-南充市医学院项目</v>
      </c>
    </row>
    <row r="329" s="19" customFormat="1" hidden="1" spans="2:17">
      <c r="B329" s="33" t="s">
        <v>73</v>
      </c>
      <c r="C329" s="63">
        <v>45700</v>
      </c>
      <c r="D329" s="33" t="str">
        <f>VLOOKUP(B329,辅助信息!E:K,7,FALSE)</f>
        <v>JWDDCD2025051000019</v>
      </c>
      <c r="E329" s="33" t="str">
        <f>VLOOKUP(F329,辅助信息!A:B,2,FALSE)</f>
        <v>盘螺</v>
      </c>
      <c r="F329" s="33" t="s">
        <v>41</v>
      </c>
      <c r="G329" s="29">
        <v>27</v>
      </c>
      <c r="H329" s="29" t="e">
        <f>_xlfn._xlws.FILTER(#REF!,#REF!&amp;#REF!&amp;#REF!&amp;#REF!=C329&amp;F329&amp;I329&amp;J329,"未发货")</f>
        <v>#REF!</v>
      </c>
      <c r="I329" s="33" t="str">
        <f>VLOOKUP(B329,辅助信息!E:I,3,FALSE)</f>
        <v>(五冶钢构医学科学产业园建设项目房建三部-一标（7-1）)四川省南充市顺庆区搬罾街道学府大道二段</v>
      </c>
      <c r="J329" s="33" t="str">
        <f>VLOOKUP(B329,辅助信息!E:I,4,FALSE)</f>
        <v>郑林</v>
      </c>
      <c r="K329" s="72">
        <f>VLOOKUP(J329,辅助信息!H:I,2,FALSE)</f>
        <v>18349955455</v>
      </c>
      <c r="L329" s="71"/>
      <c r="M329" s="84">
        <v>45703</v>
      </c>
      <c r="N329" s="84"/>
      <c r="O329" s="55">
        <f ca="1" t="shared" si="0"/>
        <v>0</v>
      </c>
      <c r="P329" s="55">
        <f ca="1" t="shared" si="1"/>
        <v>254</v>
      </c>
      <c r="Q329" s="19" t="str">
        <f>VLOOKUP(B329,辅助信息!E:M,9,FALSE)</f>
        <v>ZTWM-CDGS-XS-2024-0248-五冶钢构-南充市医学院项目</v>
      </c>
    </row>
    <row r="330" s="19" customFormat="1" hidden="1" spans="2:17">
      <c r="B330" s="33" t="s">
        <v>73</v>
      </c>
      <c r="C330" s="63">
        <v>45700</v>
      </c>
      <c r="D330" s="33" t="str">
        <f>VLOOKUP(B330,辅助信息!E:K,7,FALSE)</f>
        <v>JWDDCD2025051000019</v>
      </c>
      <c r="E330" s="33" t="str">
        <f>VLOOKUP(F330,辅助信息!A:B,2,FALSE)</f>
        <v>盘螺</v>
      </c>
      <c r="F330" s="33" t="s">
        <v>26</v>
      </c>
      <c r="G330" s="29">
        <v>33</v>
      </c>
      <c r="H330" s="29" t="e">
        <f>_xlfn._xlws.FILTER(#REF!,#REF!&amp;#REF!&amp;#REF!&amp;#REF!=C330&amp;F330&amp;I330&amp;J330,"未发货")</f>
        <v>#REF!</v>
      </c>
      <c r="I330" s="33" t="str">
        <f>VLOOKUP(B330,辅助信息!E:I,3,FALSE)</f>
        <v>(五冶钢构医学科学产业园建设项目房建三部-一标（7-1）)四川省南充市顺庆区搬罾街道学府大道二段</v>
      </c>
      <c r="J330" s="33" t="str">
        <f>VLOOKUP(B330,辅助信息!E:I,4,FALSE)</f>
        <v>郑林</v>
      </c>
      <c r="K330" s="72">
        <f>VLOOKUP(J330,辅助信息!H:I,2,FALSE)</f>
        <v>18349955455</v>
      </c>
      <c r="L330" s="71"/>
      <c r="M330" s="84">
        <v>45703</v>
      </c>
      <c r="N330" s="84"/>
      <c r="O330" s="55">
        <f ca="1" t="shared" si="0"/>
        <v>0</v>
      </c>
      <c r="P330" s="55">
        <f ca="1" t="shared" si="1"/>
        <v>254</v>
      </c>
      <c r="Q330" s="19" t="str">
        <f>VLOOKUP(B330,辅助信息!E:M,9,FALSE)</f>
        <v>ZTWM-CDGS-XS-2024-0248-五冶钢构-南充市医学院项目</v>
      </c>
    </row>
    <row r="331" s="19" customFormat="1" hidden="1" spans="2:17">
      <c r="B331" s="33" t="s">
        <v>73</v>
      </c>
      <c r="C331" s="63">
        <v>45700</v>
      </c>
      <c r="D331" s="33" t="str">
        <f>VLOOKUP(B331,辅助信息!E:K,7,FALSE)</f>
        <v>JWDDCD2025051000019</v>
      </c>
      <c r="E331" s="33" t="str">
        <f>VLOOKUP(F331,辅助信息!A:B,2,FALSE)</f>
        <v>螺纹钢</v>
      </c>
      <c r="F331" s="33" t="s">
        <v>22</v>
      </c>
      <c r="G331" s="29">
        <v>35</v>
      </c>
      <c r="H331" s="29" t="e">
        <f>_xlfn._xlws.FILTER(#REF!,#REF!&amp;#REF!&amp;#REF!&amp;#REF!=C331&amp;F331&amp;I331&amp;J331,"未发货")</f>
        <v>#REF!</v>
      </c>
      <c r="I331" s="33" t="str">
        <f>VLOOKUP(B331,辅助信息!E:I,3,FALSE)</f>
        <v>(五冶钢构医学科学产业园建设项目房建三部-一标（7-1）)四川省南充市顺庆区搬罾街道学府大道二段</v>
      </c>
      <c r="J331" s="33" t="str">
        <f>VLOOKUP(B331,辅助信息!E:I,4,FALSE)</f>
        <v>郑林</v>
      </c>
      <c r="K331" s="72">
        <f>VLOOKUP(J331,辅助信息!H:I,2,FALSE)</f>
        <v>18349955455</v>
      </c>
      <c r="L331" s="69"/>
      <c r="M331" s="84">
        <v>45703</v>
      </c>
      <c r="N331" s="84"/>
      <c r="O331" s="55">
        <f ca="1" t="shared" si="0"/>
        <v>0</v>
      </c>
      <c r="P331" s="55">
        <f ca="1" t="shared" si="1"/>
        <v>254</v>
      </c>
      <c r="Q331" s="19" t="str">
        <f>VLOOKUP(B331,辅助信息!E:M,9,FALSE)</f>
        <v>ZTWM-CDGS-XS-2024-0248-五冶钢构-南充市医学院项目</v>
      </c>
    </row>
    <row r="332" s="19" customFormat="1" hidden="1" spans="2:17">
      <c r="B332" s="33" t="s">
        <v>44</v>
      </c>
      <c r="C332" s="63">
        <v>45700</v>
      </c>
      <c r="D332" s="33" t="str">
        <f>VLOOKUP(B332,辅助信息!E:K,7,FALSE)</f>
        <v>JWDDCD2025060600053</v>
      </c>
      <c r="E332" s="33" t="str">
        <f>VLOOKUP(F332,辅助信息!A:B,2,FALSE)</f>
        <v>盘螺</v>
      </c>
      <c r="F332" s="33" t="s">
        <v>49</v>
      </c>
      <c r="G332" s="29">
        <v>10</v>
      </c>
      <c r="H332" s="29" t="e">
        <f>_xlfn._xlws.FILTER(#REF!,#REF!&amp;#REF!&amp;#REF!&amp;#REF!=C332&amp;F332&amp;I332&amp;J332,"未发货")</f>
        <v>#REF!</v>
      </c>
      <c r="I332" s="33" t="str">
        <f>VLOOKUP(B332,辅助信息!E:I,3,FALSE)</f>
        <v>（华西酒城南）成都市武侯区火车南站西路8号酒城南项目</v>
      </c>
      <c r="J332" s="33" t="str">
        <f>VLOOKUP(B332,辅助信息!E:I,4,FALSE)</f>
        <v>龙耀宇</v>
      </c>
      <c r="K332" s="72">
        <f>VLOOKUP(J332,辅助信息!H:I,2,FALSE)</f>
        <v>18384145895</v>
      </c>
      <c r="L332" s="36" t="str">
        <f>VLOOKUP(B332,辅助信息!E:J,6,FALSE)</f>
        <v>对方卸车</v>
      </c>
      <c r="M332" s="84">
        <v>45702</v>
      </c>
      <c r="N332" s="84"/>
      <c r="O332" s="55">
        <f ca="1" t="shared" si="0"/>
        <v>0</v>
      </c>
      <c r="P332" s="55">
        <f ca="1" t="shared" si="1"/>
        <v>255</v>
      </c>
      <c r="Q332" s="19" t="str">
        <f>VLOOKUP(B332,辅助信息!E:M,9,FALSE)</f>
        <v>ZTWM-CDGS-XS-2024-0189-华西集采-酒城南项目</v>
      </c>
    </row>
    <row r="333" s="19" customFormat="1" hidden="1" spans="2:17">
      <c r="B333" s="33" t="s">
        <v>44</v>
      </c>
      <c r="C333" s="63">
        <v>45700</v>
      </c>
      <c r="D333" s="33" t="str">
        <f>VLOOKUP(B333,辅助信息!E:K,7,FALSE)</f>
        <v>JWDDCD2025060600053</v>
      </c>
      <c r="E333" s="33" t="str">
        <f>VLOOKUP(F333,辅助信息!A:B,2,FALSE)</f>
        <v>盘螺</v>
      </c>
      <c r="F333" s="33" t="s">
        <v>40</v>
      </c>
      <c r="G333" s="29">
        <v>42</v>
      </c>
      <c r="H333" s="29" t="e">
        <f>_xlfn._xlws.FILTER(#REF!,#REF!&amp;#REF!&amp;#REF!&amp;#REF!=C333&amp;F333&amp;I333&amp;J333,"未发货")</f>
        <v>#REF!</v>
      </c>
      <c r="I333" s="33" t="str">
        <f>VLOOKUP(B333,辅助信息!E:I,3,FALSE)</f>
        <v>（华西酒城南）成都市武侯区火车南站西路8号酒城南项目</v>
      </c>
      <c r="J333" s="33" t="str">
        <f>VLOOKUP(B333,辅助信息!E:I,4,FALSE)</f>
        <v>龙耀宇</v>
      </c>
      <c r="K333" s="72">
        <f>VLOOKUP(J333,辅助信息!H:I,2,FALSE)</f>
        <v>18384145895</v>
      </c>
      <c r="L333" s="71"/>
      <c r="M333" s="84">
        <v>45702</v>
      </c>
      <c r="N333" s="84"/>
      <c r="O333" s="55">
        <f ca="1" t="shared" si="0"/>
        <v>0</v>
      </c>
      <c r="P333" s="55">
        <f ca="1" t="shared" si="1"/>
        <v>255</v>
      </c>
      <c r="Q333" s="19" t="str">
        <f>VLOOKUP(B333,辅助信息!E:M,9,FALSE)</f>
        <v>ZTWM-CDGS-XS-2024-0189-华西集采-酒城南项目</v>
      </c>
    </row>
    <row r="334" s="19" customFormat="1" hidden="1" spans="2:17">
      <c r="B334" s="33" t="s">
        <v>44</v>
      </c>
      <c r="C334" s="63">
        <v>45700</v>
      </c>
      <c r="D334" s="33" t="str">
        <f>VLOOKUP(B334,辅助信息!E:K,7,FALSE)</f>
        <v>JWDDCD2025060600053</v>
      </c>
      <c r="E334" s="33" t="str">
        <f>VLOOKUP(F334,辅助信息!A:B,2,FALSE)</f>
        <v>盘螺</v>
      </c>
      <c r="F334" s="33" t="s">
        <v>41</v>
      </c>
      <c r="G334" s="29">
        <v>9</v>
      </c>
      <c r="H334" s="29" t="e">
        <f>_xlfn._xlws.FILTER(#REF!,#REF!&amp;#REF!&amp;#REF!&amp;#REF!=C334&amp;F334&amp;I334&amp;J334,"未发货")</f>
        <v>#REF!</v>
      </c>
      <c r="I334" s="33" t="str">
        <f>VLOOKUP(B334,辅助信息!E:I,3,FALSE)</f>
        <v>（华西酒城南）成都市武侯区火车南站西路8号酒城南项目</v>
      </c>
      <c r="J334" s="33" t="str">
        <f>VLOOKUP(B334,辅助信息!E:I,4,FALSE)</f>
        <v>龙耀宇</v>
      </c>
      <c r="K334" s="72">
        <f>VLOOKUP(J334,辅助信息!H:I,2,FALSE)</f>
        <v>18384145895</v>
      </c>
      <c r="L334" s="71"/>
      <c r="M334" s="84">
        <v>45702</v>
      </c>
      <c r="N334" s="84"/>
      <c r="O334" s="55">
        <f ca="1" t="shared" si="0"/>
        <v>0</v>
      </c>
      <c r="P334" s="55">
        <f ca="1" t="shared" si="1"/>
        <v>255</v>
      </c>
      <c r="Q334" s="19" t="str">
        <f>VLOOKUP(B334,辅助信息!E:M,9,FALSE)</f>
        <v>ZTWM-CDGS-XS-2024-0189-华西集采-酒城南项目</v>
      </c>
    </row>
    <row r="335" s="19" customFormat="1" hidden="1" spans="2:17">
      <c r="B335" s="33" t="s">
        <v>44</v>
      </c>
      <c r="C335" s="63">
        <v>45700</v>
      </c>
      <c r="D335" s="33" t="str">
        <f>VLOOKUP(B335,辅助信息!E:K,7,FALSE)</f>
        <v>JWDDCD2025060600053</v>
      </c>
      <c r="E335" s="33" t="str">
        <f>VLOOKUP(F335,辅助信息!A:B,2,FALSE)</f>
        <v>盘螺</v>
      </c>
      <c r="F335" s="33" t="s">
        <v>26</v>
      </c>
      <c r="G335" s="29">
        <v>10</v>
      </c>
      <c r="H335" s="29" t="e">
        <f>_xlfn._xlws.FILTER(#REF!,#REF!&amp;#REF!&amp;#REF!&amp;#REF!=C335&amp;F335&amp;I335&amp;J335,"未发货")</f>
        <v>#REF!</v>
      </c>
      <c r="I335" s="33" t="str">
        <f>VLOOKUP(B335,辅助信息!E:I,3,FALSE)</f>
        <v>（华西酒城南）成都市武侯区火车南站西路8号酒城南项目</v>
      </c>
      <c r="J335" s="33" t="str">
        <f>VLOOKUP(B335,辅助信息!E:I,4,FALSE)</f>
        <v>龙耀宇</v>
      </c>
      <c r="K335" s="72">
        <f>VLOOKUP(J335,辅助信息!H:I,2,FALSE)</f>
        <v>18384145895</v>
      </c>
      <c r="L335" s="69"/>
      <c r="M335" s="84">
        <v>45702</v>
      </c>
      <c r="N335" s="84"/>
      <c r="O335" s="55">
        <f ca="1" t="shared" si="0"/>
        <v>0</v>
      </c>
      <c r="P335" s="55">
        <f ca="1" t="shared" si="1"/>
        <v>255</v>
      </c>
      <c r="Q335" s="19" t="str">
        <f>VLOOKUP(B335,辅助信息!E:M,9,FALSE)</f>
        <v>ZTWM-CDGS-XS-2024-0189-华西集采-酒城南项目</v>
      </c>
    </row>
    <row r="336" s="19" customFormat="1" hidden="1" spans="2:17">
      <c r="B336" s="33" t="s">
        <v>80</v>
      </c>
      <c r="C336" s="63">
        <v>45701</v>
      </c>
      <c r="D336" s="33" t="e">
        <f>VLOOKUP(B336,辅助信息!E:K,7,FALSE)</f>
        <v>#N/A</v>
      </c>
      <c r="E336" s="33" t="str">
        <f>VLOOKUP(F336,辅助信息!A:B,2,FALSE)</f>
        <v>盘螺</v>
      </c>
      <c r="F336" s="33" t="s">
        <v>49</v>
      </c>
      <c r="G336" s="29">
        <v>7.5</v>
      </c>
      <c r="H336" s="29" t="e">
        <f>_xlfn._xlws.FILTER(#REF!,#REF!&amp;#REF!&amp;#REF!&amp;#REF!=C336&amp;F336&amp;I336&amp;J336,"未发货")</f>
        <v>#REF!</v>
      </c>
      <c r="I336" s="33" t="e">
        <f>VLOOKUP(B336,辅助信息!E:I,3,FALSE)</f>
        <v>#N/A</v>
      </c>
      <c r="J336" s="33" t="e">
        <f>VLOOKUP(B336,辅助信息!E:I,4,FALSE)</f>
        <v>#N/A</v>
      </c>
      <c r="K336" s="33" t="e">
        <f>VLOOKUP(J336,辅助信息!H:I,2,FALSE)</f>
        <v>#N/A</v>
      </c>
      <c r="L336" s="36" t="e">
        <f>VLOOKUP(B336,辅助信息!E:J,6,FALSE)</f>
        <v>#N/A</v>
      </c>
      <c r="M336" s="84">
        <v>45703</v>
      </c>
      <c r="N336" s="84"/>
      <c r="O336" s="55">
        <f ca="1" t="shared" si="0"/>
        <v>0</v>
      </c>
      <c r="P336" s="55">
        <f ca="1" t="shared" si="1"/>
        <v>254</v>
      </c>
      <c r="Q336" s="19" t="e">
        <f>VLOOKUP(B336,辅助信息!E:M,9,FALSE)</f>
        <v>#N/A</v>
      </c>
    </row>
    <row r="337" s="19" customFormat="1" hidden="1" spans="2:17">
      <c r="B337" s="33" t="s">
        <v>80</v>
      </c>
      <c r="C337" s="63">
        <v>45701</v>
      </c>
      <c r="D337" s="33" t="e">
        <f>VLOOKUP(B337,辅助信息!E:K,7,FALSE)</f>
        <v>#N/A</v>
      </c>
      <c r="E337" s="33" t="str">
        <f>VLOOKUP(F337,辅助信息!A:B,2,FALSE)</f>
        <v>盘螺</v>
      </c>
      <c r="F337" s="33" t="s">
        <v>40</v>
      </c>
      <c r="G337" s="29">
        <v>15</v>
      </c>
      <c r="H337" s="29" t="e">
        <f>_xlfn._xlws.FILTER(#REF!,#REF!&amp;#REF!&amp;#REF!&amp;#REF!=C337&amp;F337&amp;I337&amp;J337,"未发货")</f>
        <v>#REF!</v>
      </c>
      <c r="I337" s="33" t="e">
        <f>VLOOKUP(B337,辅助信息!E:I,3,FALSE)</f>
        <v>#N/A</v>
      </c>
      <c r="J337" s="33" t="e">
        <f>VLOOKUP(B337,辅助信息!E:I,4,FALSE)</f>
        <v>#N/A</v>
      </c>
      <c r="K337" s="33" t="e">
        <f>VLOOKUP(J337,辅助信息!H:I,2,FALSE)</f>
        <v>#N/A</v>
      </c>
      <c r="L337" s="71"/>
      <c r="M337" s="84">
        <v>45703</v>
      </c>
      <c r="N337" s="84"/>
      <c r="O337" s="55">
        <f ca="1" t="shared" si="0"/>
        <v>0</v>
      </c>
      <c r="P337" s="55">
        <f ca="1" t="shared" si="1"/>
        <v>254</v>
      </c>
      <c r="Q337" s="19" t="e">
        <f>VLOOKUP(B337,辅助信息!E:M,9,FALSE)</f>
        <v>#N/A</v>
      </c>
    </row>
    <row r="338" s="19" customFormat="1" hidden="1" spans="2:17">
      <c r="B338" s="33" t="s">
        <v>80</v>
      </c>
      <c r="C338" s="63">
        <v>45701</v>
      </c>
      <c r="D338" s="33" t="e">
        <f>VLOOKUP(B338,辅助信息!E:K,7,FALSE)</f>
        <v>#N/A</v>
      </c>
      <c r="E338" s="33" t="str">
        <f>VLOOKUP(F338,辅助信息!A:B,2,FALSE)</f>
        <v>螺纹钢</v>
      </c>
      <c r="F338" s="33" t="s">
        <v>30</v>
      </c>
      <c r="G338" s="29">
        <v>12</v>
      </c>
      <c r="H338" s="29" t="e">
        <f>_xlfn._xlws.FILTER(#REF!,#REF!&amp;#REF!&amp;#REF!&amp;#REF!=C338&amp;F338&amp;I338&amp;J338,"未发货")</f>
        <v>#REF!</v>
      </c>
      <c r="I338" s="33" t="e">
        <f>VLOOKUP(B338,辅助信息!E:I,3,FALSE)</f>
        <v>#N/A</v>
      </c>
      <c r="J338" s="33" t="e">
        <f>VLOOKUP(B338,辅助信息!E:I,4,FALSE)</f>
        <v>#N/A</v>
      </c>
      <c r="K338" s="33" t="e">
        <f>VLOOKUP(J338,辅助信息!H:I,2,FALSE)</f>
        <v>#N/A</v>
      </c>
      <c r="L338" s="69"/>
      <c r="M338" s="84">
        <v>45703</v>
      </c>
      <c r="N338" s="84"/>
      <c r="O338" s="55">
        <f ca="1" t="shared" si="0"/>
        <v>0</v>
      </c>
      <c r="P338" s="55">
        <f ca="1" t="shared" si="1"/>
        <v>254</v>
      </c>
      <c r="Q338" s="19" t="e">
        <f>VLOOKUP(B338,辅助信息!E:M,9,FALSE)</f>
        <v>#N/A</v>
      </c>
    </row>
    <row r="339" s="19" customFormat="1" hidden="1" spans="2:17">
      <c r="B339" s="33" t="s">
        <v>73</v>
      </c>
      <c r="C339" s="63">
        <v>45701</v>
      </c>
      <c r="D339" s="33" t="str">
        <f>VLOOKUP(B339,辅助信息!E:K,7,FALSE)</f>
        <v>JWDDCD2025051000019</v>
      </c>
      <c r="E339" s="33" t="str">
        <f>VLOOKUP(F339,辅助信息!A:B,2,FALSE)</f>
        <v>盘螺</v>
      </c>
      <c r="F339" s="33" t="s">
        <v>40</v>
      </c>
      <c r="G339" s="29">
        <v>45</v>
      </c>
      <c r="H339" s="29" t="e">
        <f>_xlfn._xlws.FILTER(#REF!,#REF!&amp;#REF!&amp;#REF!&amp;#REF!=C339&amp;F339&amp;I339&amp;J339,"未发货")</f>
        <v>#REF!</v>
      </c>
      <c r="I339" s="33" t="str">
        <f>VLOOKUP(B339,辅助信息!E:I,3,FALSE)</f>
        <v>(五冶钢构医学科学产业园建设项目房建三部-一标（7-1）)四川省南充市顺庆区搬罾街道学府大道二段</v>
      </c>
      <c r="J339" s="33" t="str">
        <f>VLOOKUP(B339,辅助信息!E:I,4,FALSE)</f>
        <v>郑林</v>
      </c>
      <c r="K339" s="33">
        <f>VLOOKUP(J339,辅助信息!H:I,2,FALSE)</f>
        <v>18349955455</v>
      </c>
      <c r="L339" s="36" t="str">
        <f>VLOOKUP(B339,辅助信息!E:J,6,FALSE)</f>
        <v>送货单：送货单位：南充思临新材料科技有限公司,收货单位：五冶集团川北(南充)建设有限公司,项目名称：南充医学科学产业园,送货车型13米,装货前联系收货人核实到场规格</v>
      </c>
      <c r="M339" s="84">
        <v>45703</v>
      </c>
      <c r="N339" s="84"/>
      <c r="O339" s="55">
        <f ca="1" t="shared" si="0"/>
        <v>0</v>
      </c>
      <c r="P339" s="55">
        <f ca="1" t="shared" si="1"/>
        <v>254</v>
      </c>
      <c r="Q339" s="19" t="str">
        <f>VLOOKUP(B339,辅助信息!E:M,9,FALSE)</f>
        <v>ZTWM-CDGS-XS-2024-0248-五冶钢构-南充市医学院项目</v>
      </c>
    </row>
    <row r="340" s="19" customFormat="1" hidden="1" spans="2:17">
      <c r="B340" s="33" t="s">
        <v>73</v>
      </c>
      <c r="C340" s="63">
        <v>45701</v>
      </c>
      <c r="D340" s="33" t="str">
        <f>VLOOKUP(B340,辅助信息!E:K,7,FALSE)</f>
        <v>JWDDCD2025051000019</v>
      </c>
      <c r="E340" s="33" t="str">
        <f>VLOOKUP(F340,辅助信息!A:B,2,FALSE)</f>
        <v>盘螺</v>
      </c>
      <c r="F340" s="33" t="s">
        <v>41</v>
      </c>
      <c r="G340" s="29">
        <v>7</v>
      </c>
      <c r="H340" s="29" t="e">
        <f>_xlfn._xlws.FILTER(#REF!,#REF!&amp;#REF!&amp;#REF!&amp;#REF!=C340&amp;F340&amp;I340&amp;J340,"未发货")</f>
        <v>#REF!</v>
      </c>
      <c r="I340" s="33" t="str">
        <f>VLOOKUP(B340,辅助信息!E:I,3,FALSE)</f>
        <v>(五冶钢构医学科学产业园建设项目房建三部-一标（7-1）)四川省南充市顺庆区搬罾街道学府大道二段</v>
      </c>
      <c r="J340" s="33" t="str">
        <f>VLOOKUP(B340,辅助信息!E:I,4,FALSE)</f>
        <v>郑林</v>
      </c>
      <c r="K340" s="33">
        <f>VLOOKUP(J340,辅助信息!H:I,2,FALSE)</f>
        <v>18349955455</v>
      </c>
      <c r="L340" s="71"/>
      <c r="M340" s="84">
        <v>45703</v>
      </c>
      <c r="N340" s="84"/>
      <c r="O340" s="55">
        <f ca="1" t="shared" si="0"/>
        <v>0</v>
      </c>
      <c r="P340" s="55">
        <f ca="1" t="shared" si="1"/>
        <v>254</v>
      </c>
      <c r="Q340" s="19" t="str">
        <f>VLOOKUP(B340,辅助信息!E:M,9,FALSE)</f>
        <v>ZTWM-CDGS-XS-2024-0248-五冶钢构-南充市医学院项目</v>
      </c>
    </row>
    <row r="341" s="19" customFormat="1" hidden="1" spans="2:17">
      <c r="B341" s="33" t="s">
        <v>73</v>
      </c>
      <c r="C341" s="63">
        <v>45701</v>
      </c>
      <c r="D341" s="33" t="str">
        <f>VLOOKUP(B341,辅助信息!E:K,7,FALSE)</f>
        <v>JWDDCD2025051000019</v>
      </c>
      <c r="E341" s="33" t="str">
        <f>VLOOKUP(F341,辅助信息!A:B,2,FALSE)</f>
        <v>盘螺</v>
      </c>
      <c r="F341" s="33" t="s">
        <v>26</v>
      </c>
      <c r="G341" s="29">
        <f>33-15</f>
        <v>18</v>
      </c>
      <c r="H341" s="29" t="e">
        <f>_xlfn._xlws.FILTER(#REF!,#REF!&amp;#REF!&amp;#REF!&amp;#REF!=C341&amp;F341&amp;I341&amp;J341,"未发货")</f>
        <v>#REF!</v>
      </c>
      <c r="I341" s="33" t="str">
        <f>VLOOKUP(B341,辅助信息!E:I,3,FALSE)</f>
        <v>(五冶钢构医学科学产业园建设项目房建三部-一标（7-1）)四川省南充市顺庆区搬罾街道学府大道二段</v>
      </c>
      <c r="J341" s="33" t="str">
        <f>VLOOKUP(B341,辅助信息!E:I,4,FALSE)</f>
        <v>郑林</v>
      </c>
      <c r="K341" s="33">
        <f>VLOOKUP(J341,辅助信息!H:I,2,FALSE)</f>
        <v>18349955455</v>
      </c>
      <c r="L341" s="69"/>
      <c r="M341" s="84">
        <v>45703</v>
      </c>
      <c r="N341" s="84"/>
      <c r="O341" s="55">
        <f ca="1" t="shared" si="0"/>
        <v>0</v>
      </c>
      <c r="P341" s="55">
        <f ca="1" t="shared" si="1"/>
        <v>254</v>
      </c>
      <c r="Q341" s="19" t="str">
        <f>VLOOKUP(B341,辅助信息!E:M,9,FALSE)</f>
        <v>ZTWM-CDGS-XS-2024-0248-五冶钢构-南充市医学院项目</v>
      </c>
    </row>
    <row r="342" s="19" customFormat="1" hidden="1" spans="2:17">
      <c r="B342" s="33" t="s">
        <v>44</v>
      </c>
      <c r="C342" s="63">
        <v>45701</v>
      </c>
      <c r="D342" s="33" t="str">
        <f>VLOOKUP(B342,辅助信息!E:K,7,FALSE)</f>
        <v>JWDDCD2025060600053</v>
      </c>
      <c r="E342" s="33" t="str">
        <f>VLOOKUP(F342,辅助信息!A:B,2,FALSE)</f>
        <v>盘螺</v>
      </c>
      <c r="F342" s="33" t="s">
        <v>49</v>
      </c>
      <c r="G342" s="29">
        <v>10</v>
      </c>
      <c r="H342" s="29" t="e">
        <f>_xlfn._xlws.FILTER(#REF!,#REF!&amp;#REF!&amp;#REF!&amp;#REF!=C342&amp;F342&amp;I342&amp;J342,"未发货")</f>
        <v>#REF!</v>
      </c>
      <c r="I342" s="33" t="str">
        <f>VLOOKUP(B342,辅助信息!E:I,3,FALSE)</f>
        <v>（华西酒城南）成都市武侯区火车南站西路8号酒城南项目</v>
      </c>
      <c r="J342" s="33" t="str">
        <f>VLOOKUP(B342,辅助信息!E:I,4,FALSE)</f>
        <v>龙耀宇</v>
      </c>
      <c r="K342" s="33">
        <f>VLOOKUP(J342,辅助信息!H:I,2,FALSE)</f>
        <v>18384145895</v>
      </c>
      <c r="L342" s="36" t="str">
        <f>VLOOKUP(B342,辅助信息!E:J,6,FALSE)</f>
        <v>对方卸车</v>
      </c>
      <c r="M342" s="84">
        <v>45702</v>
      </c>
      <c r="N342" s="84"/>
      <c r="O342" s="55">
        <f ca="1" t="shared" si="0"/>
        <v>0</v>
      </c>
      <c r="P342" s="55">
        <f ca="1" t="shared" si="1"/>
        <v>255</v>
      </c>
      <c r="Q342" s="19" t="str">
        <f>VLOOKUP(B342,辅助信息!E:M,9,FALSE)</f>
        <v>ZTWM-CDGS-XS-2024-0189-华西集采-酒城南项目</v>
      </c>
    </row>
    <row r="343" s="19" customFormat="1" hidden="1" spans="2:17">
      <c r="B343" s="33" t="s">
        <v>44</v>
      </c>
      <c r="C343" s="63">
        <v>45701</v>
      </c>
      <c r="D343" s="33" t="str">
        <f>VLOOKUP(B343,辅助信息!E:K,7,FALSE)</f>
        <v>JWDDCD2025060600053</v>
      </c>
      <c r="E343" s="33" t="str">
        <f>VLOOKUP(F343,辅助信息!A:B,2,FALSE)</f>
        <v>盘螺</v>
      </c>
      <c r="F343" s="33" t="s">
        <v>40</v>
      </c>
      <c r="G343" s="29">
        <v>42</v>
      </c>
      <c r="H343" s="29" t="e">
        <f>_xlfn._xlws.FILTER(#REF!,#REF!&amp;#REF!&amp;#REF!&amp;#REF!=C343&amp;F343&amp;I343&amp;J343,"未发货")</f>
        <v>#REF!</v>
      </c>
      <c r="I343" s="33" t="str">
        <f>VLOOKUP(B343,辅助信息!E:I,3,FALSE)</f>
        <v>（华西酒城南）成都市武侯区火车南站西路8号酒城南项目</v>
      </c>
      <c r="J343" s="33" t="str">
        <f>VLOOKUP(B343,辅助信息!E:I,4,FALSE)</f>
        <v>龙耀宇</v>
      </c>
      <c r="K343" s="33">
        <f>VLOOKUP(J343,辅助信息!H:I,2,FALSE)</f>
        <v>18384145895</v>
      </c>
      <c r="L343" s="71"/>
      <c r="M343" s="84">
        <v>45702</v>
      </c>
      <c r="N343" s="84"/>
      <c r="O343" s="55">
        <f ca="1" t="shared" si="0"/>
        <v>0</v>
      </c>
      <c r="P343" s="55">
        <f ca="1" t="shared" si="1"/>
        <v>255</v>
      </c>
      <c r="Q343" s="19" t="str">
        <f>VLOOKUP(B343,辅助信息!E:M,9,FALSE)</f>
        <v>ZTWM-CDGS-XS-2024-0189-华西集采-酒城南项目</v>
      </c>
    </row>
    <row r="344" s="19" customFormat="1" hidden="1" spans="2:17">
      <c r="B344" s="33" t="s">
        <v>44</v>
      </c>
      <c r="C344" s="63">
        <v>45701</v>
      </c>
      <c r="D344" s="33" t="str">
        <f>VLOOKUP(B344,辅助信息!E:K,7,FALSE)</f>
        <v>JWDDCD2025060600053</v>
      </c>
      <c r="E344" s="33" t="str">
        <f>VLOOKUP(F344,辅助信息!A:B,2,FALSE)</f>
        <v>盘螺</v>
      </c>
      <c r="F344" s="33" t="s">
        <v>41</v>
      </c>
      <c r="G344" s="29">
        <v>9</v>
      </c>
      <c r="H344" s="29" t="e">
        <f>_xlfn._xlws.FILTER(#REF!,#REF!&amp;#REF!&amp;#REF!&amp;#REF!=C344&amp;F344&amp;I344&amp;J344,"未发货")</f>
        <v>#REF!</v>
      </c>
      <c r="I344" s="33" t="str">
        <f>VLOOKUP(B344,辅助信息!E:I,3,FALSE)</f>
        <v>（华西酒城南）成都市武侯区火车南站西路8号酒城南项目</v>
      </c>
      <c r="J344" s="33" t="str">
        <f>VLOOKUP(B344,辅助信息!E:I,4,FALSE)</f>
        <v>龙耀宇</v>
      </c>
      <c r="K344" s="33">
        <f>VLOOKUP(J344,辅助信息!H:I,2,FALSE)</f>
        <v>18384145895</v>
      </c>
      <c r="L344" s="71"/>
      <c r="M344" s="84">
        <v>45702</v>
      </c>
      <c r="N344" s="84"/>
      <c r="O344" s="55">
        <f ca="1" t="shared" si="0"/>
        <v>0</v>
      </c>
      <c r="P344" s="55">
        <f ca="1" t="shared" si="1"/>
        <v>255</v>
      </c>
      <c r="Q344" s="19" t="str">
        <f>VLOOKUP(B344,辅助信息!E:M,9,FALSE)</f>
        <v>ZTWM-CDGS-XS-2024-0189-华西集采-酒城南项目</v>
      </c>
    </row>
    <row r="345" s="19" customFormat="1" hidden="1" spans="2:17">
      <c r="B345" s="33" t="s">
        <v>44</v>
      </c>
      <c r="C345" s="63">
        <v>45701</v>
      </c>
      <c r="D345" s="33" t="str">
        <f>VLOOKUP(B345,辅助信息!E:K,7,FALSE)</f>
        <v>JWDDCD2025060600053</v>
      </c>
      <c r="E345" s="33" t="str">
        <f>VLOOKUP(F345,辅助信息!A:B,2,FALSE)</f>
        <v>盘螺</v>
      </c>
      <c r="F345" s="33" t="s">
        <v>26</v>
      </c>
      <c r="G345" s="29">
        <v>10</v>
      </c>
      <c r="H345" s="29" t="e">
        <f>_xlfn._xlws.FILTER(#REF!,#REF!&amp;#REF!&amp;#REF!&amp;#REF!=C345&amp;F345&amp;I345&amp;J345,"未发货")</f>
        <v>#REF!</v>
      </c>
      <c r="I345" s="33" t="str">
        <f>VLOOKUP(B345,辅助信息!E:I,3,FALSE)</f>
        <v>（华西酒城南）成都市武侯区火车南站西路8号酒城南项目</v>
      </c>
      <c r="J345" s="33" t="str">
        <f>VLOOKUP(B345,辅助信息!E:I,4,FALSE)</f>
        <v>龙耀宇</v>
      </c>
      <c r="K345" s="33">
        <f>VLOOKUP(J345,辅助信息!H:I,2,FALSE)</f>
        <v>18384145895</v>
      </c>
      <c r="L345" s="69"/>
      <c r="M345" s="84">
        <v>45702</v>
      </c>
      <c r="N345" s="84"/>
      <c r="O345" s="55">
        <f ca="1" t="shared" si="0"/>
        <v>0</v>
      </c>
      <c r="P345" s="55">
        <f ca="1" t="shared" si="1"/>
        <v>255</v>
      </c>
      <c r="Q345" s="19" t="str">
        <f>VLOOKUP(B345,辅助信息!E:M,9,FALSE)</f>
        <v>ZTWM-CDGS-XS-2024-0189-华西集采-酒城南项目</v>
      </c>
    </row>
    <row r="346" ht="36" hidden="1" customHeight="1" spans="2:18">
      <c r="B346" s="33" t="s">
        <v>81</v>
      </c>
      <c r="C346" s="63">
        <v>45701</v>
      </c>
      <c r="D346" s="33" t="str">
        <f>VLOOKUP(B346,辅助信息!E:K,7,FALSE)</f>
        <v>JWDDCD2025060900080</v>
      </c>
      <c r="E346" s="33" t="str">
        <f>VLOOKUP(F346,辅助信息!A:B,2,FALSE)</f>
        <v>螺纹钢</v>
      </c>
      <c r="F346" s="33" t="s">
        <v>18</v>
      </c>
      <c r="G346" s="29">
        <v>35</v>
      </c>
      <c r="H346" s="29" t="e">
        <f>_xlfn._xlws.FILTER(#REF!,#REF!&amp;#REF!&amp;#REF!&amp;#REF!=C346&amp;F346&amp;I346&amp;J346,"未发货")</f>
        <v>#REF!</v>
      </c>
      <c r="I346" s="33" t="str">
        <f>VLOOKUP(B346,辅助信息!E:I,3,FALSE)</f>
        <v>（华西简阳西城嘉苑）四川省成都市简阳市简城街道高屋村</v>
      </c>
      <c r="J346" s="33" t="str">
        <f>VLOOKUP(B346,辅助信息!E:I,4,FALSE)</f>
        <v>张瀚镭</v>
      </c>
      <c r="K346" s="33">
        <f>VLOOKUP(J346,辅助信息!H:I,2,FALSE)</f>
        <v>15884666220</v>
      </c>
      <c r="L346" s="86" t="str">
        <f>VLOOKUP(B346,辅助信息!E:J,6,FALSE)</f>
        <v>现场禁止使用氢能源挂车！优先威钢发货,我方卸车,新老国标钢厂不加价可直发，因陕钢多次出现磅差，项目拒绝使用</v>
      </c>
      <c r="M346" s="84">
        <v>45701</v>
      </c>
      <c r="N346" s="84"/>
      <c r="O346" s="55">
        <f ca="1" t="shared" si="0"/>
        <v>0</v>
      </c>
      <c r="P346" s="55">
        <f ca="1" t="shared" si="1"/>
        <v>256</v>
      </c>
      <c r="Q346" s="19" t="str">
        <f>VLOOKUP(B346,辅助信息!E:M,9,FALSE)</f>
        <v>ZTWM-CDGS-XS-2024-0030-华西集采-简州大道</v>
      </c>
      <c r="R346" s="19"/>
    </row>
    <row r="347" hidden="1" spans="2:18">
      <c r="B347" s="33" t="s">
        <v>60</v>
      </c>
      <c r="C347" s="63">
        <v>45701</v>
      </c>
      <c r="D347" s="33" t="str">
        <f>VLOOKUP(B347,辅助信息!E:K,7,FALSE)</f>
        <v>JWDDCD2025051000019</v>
      </c>
      <c r="E347" s="33" t="str">
        <f>VLOOKUP(F347,辅助信息!A:B,2,FALSE)</f>
        <v>螺纹钢</v>
      </c>
      <c r="F347" s="33" t="s">
        <v>27</v>
      </c>
      <c r="G347" s="29">
        <v>35</v>
      </c>
      <c r="H347" s="29" t="e">
        <f>_xlfn._xlws.FILTER(#REF!,#REF!&amp;#REF!&amp;#REF!&amp;#REF!=C347&amp;F347&amp;I347&amp;J347,"未发货")</f>
        <v>#REF!</v>
      </c>
      <c r="I347" s="33" t="str">
        <f>VLOOKUP(B347,辅助信息!E:I,3,FALSE)</f>
        <v>(五冶钢构医学科学产业园建设项目房建二部-六标)四川省南充市顺庆区搬罾街道学府大道二段</v>
      </c>
      <c r="J347" s="33" t="str">
        <f>VLOOKUP(B347,辅助信息!E:I,4,FALSE)</f>
        <v>安南</v>
      </c>
      <c r="K347" s="33">
        <f>VLOOKUP(J347,辅助信息!H:I,2,FALSE)</f>
        <v>19950525030</v>
      </c>
      <c r="L347" s="36" t="str">
        <f>VLOOKUP(B347,辅助信息!E:J,6,FALSE)</f>
        <v>送货单：送货单位：南充思临新材料科技有限公司,收货单位：五冶集团川北(南充)建设有限公司,项目名称：南充医学科学产业园,送货车型13米,装货前联系收货人核实到场规格</v>
      </c>
      <c r="M347" s="84">
        <v>45702</v>
      </c>
      <c r="N347" s="50"/>
      <c r="O347" s="55">
        <f ca="1" t="shared" si="0"/>
        <v>0</v>
      </c>
      <c r="P347" s="55">
        <f ca="1" t="shared" si="1"/>
        <v>255</v>
      </c>
      <c r="Q347" s="19" t="str">
        <f>VLOOKUP(B347,辅助信息!E:M,9,FALSE)</f>
        <v>ZTWM-CDGS-XS-2024-0248-五冶钢构-南充市医学院项目</v>
      </c>
      <c r="R347" s="19"/>
    </row>
    <row r="348" hidden="1" spans="2:18">
      <c r="B348" s="33" t="s">
        <v>60</v>
      </c>
      <c r="C348" s="63">
        <v>45701</v>
      </c>
      <c r="D348" s="33" t="str">
        <f>VLOOKUP(B348,辅助信息!E:K,7,FALSE)</f>
        <v>JWDDCD2025051000019</v>
      </c>
      <c r="E348" s="33" t="str">
        <f>VLOOKUP(F348,辅助信息!A:B,2,FALSE)</f>
        <v>螺纹钢</v>
      </c>
      <c r="F348" s="33" t="s">
        <v>32</v>
      </c>
      <c r="G348" s="29">
        <v>35</v>
      </c>
      <c r="H348" s="29" t="e">
        <f>_xlfn._xlws.FILTER(#REF!,#REF!&amp;#REF!&amp;#REF!&amp;#REF!=C348&amp;F348&amp;I348&amp;J348,"未发货")</f>
        <v>#REF!</v>
      </c>
      <c r="I348" s="33" t="str">
        <f>VLOOKUP(B348,辅助信息!E:I,3,FALSE)</f>
        <v>(五冶钢构医学科学产业园建设项目房建二部-六标)四川省南充市顺庆区搬罾街道学府大道二段</v>
      </c>
      <c r="J348" s="33" t="str">
        <f>VLOOKUP(B348,辅助信息!E:I,4,FALSE)</f>
        <v>安南</v>
      </c>
      <c r="K348" s="33">
        <f>VLOOKUP(J348,辅助信息!H:I,2,FALSE)</f>
        <v>19950525030</v>
      </c>
      <c r="L348" s="71"/>
      <c r="M348" s="84">
        <v>45702</v>
      </c>
      <c r="N348" s="50"/>
      <c r="O348" s="55">
        <f ca="1" t="shared" si="0"/>
        <v>0</v>
      </c>
      <c r="P348" s="55">
        <f ca="1" t="shared" si="1"/>
        <v>255</v>
      </c>
      <c r="Q348" s="19" t="str">
        <f>VLOOKUP(B348,辅助信息!E:M,9,FALSE)</f>
        <v>ZTWM-CDGS-XS-2024-0248-五冶钢构-南充市医学院项目</v>
      </c>
      <c r="R348" s="19"/>
    </row>
    <row r="349" hidden="1" spans="2:18">
      <c r="B349" s="33" t="s">
        <v>60</v>
      </c>
      <c r="C349" s="63">
        <v>45701</v>
      </c>
      <c r="D349" s="33" t="str">
        <f>VLOOKUP(B349,辅助信息!E:K,7,FALSE)</f>
        <v>JWDDCD2025051000019</v>
      </c>
      <c r="E349" s="33" t="str">
        <f>VLOOKUP(F349,辅助信息!A:B,2,FALSE)</f>
        <v>螺纹钢</v>
      </c>
      <c r="F349" s="33" t="s">
        <v>18</v>
      </c>
      <c r="G349" s="29">
        <v>70</v>
      </c>
      <c r="H349" s="29" t="e">
        <f>_xlfn._xlws.FILTER(#REF!,#REF!&amp;#REF!&amp;#REF!&amp;#REF!=C349&amp;F349&amp;I349&amp;J349,"未发货")</f>
        <v>#REF!</v>
      </c>
      <c r="I349" s="33" t="str">
        <f>VLOOKUP(B349,辅助信息!E:I,3,FALSE)</f>
        <v>(五冶钢构医学科学产业园建设项目房建二部-六标)四川省南充市顺庆区搬罾街道学府大道二段</v>
      </c>
      <c r="J349" s="33" t="str">
        <f>VLOOKUP(B349,辅助信息!E:I,4,FALSE)</f>
        <v>安南</v>
      </c>
      <c r="K349" s="33">
        <f>VLOOKUP(J349,辅助信息!H:I,2,FALSE)</f>
        <v>19950525030</v>
      </c>
      <c r="L349" s="69"/>
      <c r="M349" s="84">
        <v>45702</v>
      </c>
      <c r="N349" s="50"/>
      <c r="O349" s="55">
        <f ca="1" t="shared" si="0"/>
        <v>0</v>
      </c>
      <c r="P349" s="55">
        <f ca="1" t="shared" si="1"/>
        <v>255</v>
      </c>
      <c r="Q349" s="19" t="str">
        <f>VLOOKUP(B349,辅助信息!E:M,9,FALSE)</f>
        <v>ZTWM-CDGS-XS-2024-0248-五冶钢构-南充市医学院项目</v>
      </c>
      <c r="R349" s="19"/>
    </row>
    <row r="350" s="19" customFormat="1" hidden="1" spans="2:17">
      <c r="B350" s="33" t="s">
        <v>80</v>
      </c>
      <c r="C350" s="63">
        <v>45702</v>
      </c>
      <c r="D350" s="33" t="e">
        <f>VLOOKUP(B350,辅助信息!E:K,7,FALSE)</f>
        <v>#N/A</v>
      </c>
      <c r="E350" s="33" t="str">
        <f>VLOOKUP(F350,辅助信息!A:B,2,FALSE)</f>
        <v>盘螺</v>
      </c>
      <c r="F350" s="33" t="s">
        <v>49</v>
      </c>
      <c r="G350" s="29">
        <v>7.5</v>
      </c>
      <c r="H350" s="29" t="e">
        <f>_xlfn._xlws.FILTER(#REF!,#REF!&amp;#REF!&amp;#REF!&amp;#REF!=C350&amp;F350&amp;I350&amp;J350,"未发货")</f>
        <v>#REF!</v>
      </c>
      <c r="I350" s="33" t="e">
        <f>VLOOKUP(B350,辅助信息!E:I,3,FALSE)</f>
        <v>#N/A</v>
      </c>
      <c r="J350" s="33" t="e">
        <f>VLOOKUP(B350,辅助信息!E:I,4,FALSE)</f>
        <v>#N/A</v>
      </c>
      <c r="K350" s="33" t="e">
        <f>VLOOKUP(J350,辅助信息!H:I,2,FALSE)</f>
        <v>#N/A</v>
      </c>
      <c r="L350" s="36" t="e">
        <f>VLOOKUP(B350,辅助信息!E:J,6,FALSE)</f>
        <v>#N/A</v>
      </c>
      <c r="M350" s="84">
        <v>45703</v>
      </c>
      <c r="N350" s="84"/>
      <c r="O350" s="55">
        <f ca="1" t="shared" si="0"/>
        <v>0</v>
      </c>
      <c r="P350" s="55">
        <f ca="1" t="shared" si="1"/>
        <v>254</v>
      </c>
      <c r="Q350" s="19" t="e">
        <f>VLOOKUP(B350,辅助信息!E:M,9,FALSE)</f>
        <v>#N/A</v>
      </c>
    </row>
    <row r="351" s="19" customFormat="1" hidden="1" spans="2:17">
      <c r="B351" s="33" t="s">
        <v>80</v>
      </c>
      <c r="C351" s="63">
        <v>45702</v>
      </c>
      <c r="D351" s="33" t="e">
        <f>VLOOKUP(B351,辅助信息!E:K,7,FALSE)</f>
        <v>#N/A</v>
      </c>
      <c r="E351" s="33" t="str">
        <f>VLOOKUP(F351,辅助信息!A:B,2,FALSE)</f>
        <v>盘螺</v>
      </c>
      <c r="F351" s="33" t="s">
        <v>40</v>
      </c>
      <c r="G351" s="29">
        <v>15</v>
      </c>
      <c r="H351" s="29" t="e">
        <f>_xlfn._xlws.FILTER(#REF!,#REF!&amp;#REF!&amp;#REF!&amp;#REF!=C351&amp;F351&amp;I351&amp;J351,"未发货")</f>
        <v>#REF!</v>
      </c>
      <c r="I351" s="33" t="e">
        <f>VLOOKUP(B351,辅助信息!E:I,3,FALSE)</f>
        <v>#N/A</v>
      </c>
      <c r="J351" s="33" t="e">
        <f>VLOOKUP(B351,辅助信息!E:I,4,FALSE)</f>
        <v>#N/A</v>
      </c>
      <c r="K351" s="33" t="e">
        <f>VLOOKUP(J351,辅助信息!H:I,2,FALSE)</f>
        <v>#N/A</v>
      </c>
      <c r="L351" s="71"/>
      <c r="M351" s="84">
        <v>45703</v>
      </c>
      <c r="N351" s="84"/>
      <c r="O351" s="55">
        <f ca="1" t="shared" si="0"/>
        <v>0</v>
      </c>
      <c r="P351" s="55">
        <f ca="1" t="shared" si="1"/>
        <v>254</v>
      </c>
      <c r="Q351" s="19" t="e">
        <f>VLOOKUP(B351,辅助信息!E:M,9,FALSE)</f>
        <v>#N/A</v>
      </c>
    </row>
    <row r="352" s="19" customFormat="1" hidden="1" spans="2:17">
      <c r="B352" s="33" t="s">
        <v>80</v>
      </c>
      <c r="C352" s="63">
        <v>45702</v>
      </c>
      <c r="D352" s="33" t="e">
        <f>VLOOKUP(B352,辅助信息!E:K,7,FALSE)</f>
        <v>#N/A</v>
      </c>
      <c r="E352" s="33" t="str">
        <f>VLOOKUP(F352,辅助信息!A:B,2,FALSE)</f>
        <v>螺纹钢</v>
      </c>
      <c r="F352" s="33" t="s">
        <v>30</v>
      </c>
      <c r="G352" s="29">
        <v>12</v>
      </c>
      <c r="H352" s="29" t="e">
        <f>_xlfn._xlws.FILTER(#REF!,#REF!&amp;#REF!&amp;#REF!&amp;#REF!=C352&amp;F352&amp;I352&amp;J352,"未发货")</f>
        <v>#REF!</v>
      </c>
      <c r="I352" s="33" t="e">
        <f>VLOOKUP(B352,辅助信息!E:I,3,FALSE)</f>
        <v>#N/A</v>
      </c>
      <c r="J352" s="33" t="e">
        <f>VLOOKUP(B352,辅助信息!E:I,4,FALSE)</f>
        <v>#N/A</v>
      </c>
      <c r="K352" s="33" t="e">
        <f>VLOOKUP(J352,辅助信息!H:I,2,FALSE)</f>
        <v>#N/A</v>
      </c>
      <c r="L352" s="69"/>
      <c r="M352" s="84">
        <v>45703</v>
      </c>
      <c r="N352" s="84"/>
      <c r="O352" s="55">
        <f ca="1" t="shared" si="0"/>
        <v>0</v>
      </c>
      <c r="P352" s="55">
        <f ca="1" t="shared" si="1"/>
        <v>254</v>
      </c>
      <c r="Q352" s="19" t="e">
        <f>VLOOKUP(B352,辅助信息!E:M,9,FALSE)</f>
        <v>#N/A</v>
      </c>
    </row>
    <row r="353" hidden="1" spans="1:18">
      <c r="A353" s="19"/>
      <c r="B353" s="33" t="s">
        <v>64</v>
      </c>
      <c r="C353" s="63">
        <v>45702</v>
      </c>
      <c r="D353" s="33" t="e">
        <f>VLOOKUP(B353,辅助信息!E:K,7,FALSE)</f>
        <v>#N/A</v>
      </c>
      <c r="E353" s="33" t="str">
        <f>VLOOKUP(F353,辅助信息!A:B,2,FALSE)</f>
        <v>螺纹钢</v>
      </c>
      <c r="F353" s="33" t="s">
        <v>27</v>
      </c>
      <c r="G353" s="29">
        <v>21</v>
      </c>
      <c r="H353" s="29" t="e">
        <f>_xlfn._xlws.FILTER(#REF!,#REF!&amp;#REF!&amp;#REF!&amp;#REF!=C353&amp;F353&amp;I353&amp;J353,"未发货")</f>
        <v>#REF!</v>
      </c>
      <c r="I353" s="33" t="e">
        <f>VLOOKUP(B353,辅助信息!E:I,3,FALSE)</f>
        <v>#N/A</v>
      </c>
      <c r="J353" s="33" t="e">
        <f>VLOOKUP(B353,辅助信息!E:I,4,FALSE)</f>
        <v>#N/A</v>
      </c>
      <c r="K353" s="33" t="e">
        <f>VLOOKUP(J353,辅助信息!H:I,2,FALSE)</f>
        <v>#N/A</v>
      </c>
      <c r="L353" s="87" t="e">
        <f>VLOOKUP(B356,辅助信息!E:J,6,FALSE)</f>
        <v>#N/A</v>
      </c>
      <c r="M353" s="84">
        <v>45704</v>
      </c>
      <c r="N353" s="50"/>
      <c r="O353" s="55">
        <f ca="1" t="shared" si="0"/>
        <v>0</v>
      </c>
      <c r="P353" s="55">
        <f ca="1" t="shared" si="1"/>
        <v>253</v>
      </c>
      <c r="Q353" s="19" t="e">
        <f>VLOOKUP(B353,辅助信息!E:M,9,FALSE)</f>
        <v>#N/A</v>
      </c>
      <c r="R353" s="19"/>
    </row>
    <row r="354" hidden="1" spans="1:18">
      <c r="A354" s="19"/>
      <c r="B354" s="33" t="s">
        <v>64</v>
      </c>
      <c r="C354" s="63">
        <v>45702</v>
      </c>
      <c r="D354" s="33" t="e">
        <f>VLOOKUP(B354,辅助信息!E:K,7,FALSE)</f>
        <v>#N/A</v>
      </c>
      <c r="E354" s="33" t="str">
        <f>VLOOKUP(F354,辅助信息!A:B,2,FALSE)</f>
        <v>螺纹钢</v>
      </c>
      <c r="F354" s="33" t="s">
        <v>32</v>
      </c>
      <c r="G354" s="29">
        <v>21</v>
      </c>
      <c r="H354" s="29" t="e">
        <f>_xlfn._xlws.FILTER(#REF!,#REF!&amp;#REF!&amp;#REF!&amp;#REF!=C354&amp;F354&amp;I354&amp;J354,"未发货")</f>
        <v>#REF!</v>
      </c>
      <c r="I354" s="33" t="e">
        <f>VLOOKUP(B354,辅助信息!E:I,3,FALSE)</f>
        <v>#N/A</v>
      </c>
      <c r="J354" s="33" t="e">
        <f>VLOOKUP(B354,辅助信息!E:I,4,FALSE)</f>
        <v>#N/A</v>
      </c>
      <c r="K354" s="33" t="e">
        <f>VLOOKUP(J354,辅助信息!H:I,2,FALSE)</f>
        <v>#N/A</v>
      </c>
      <c r="L354" s="71"/>
      <c r="M354" s="84">
        <v>45704</v>
      </c>
      <c r="N354" s="50"/>
      <c r="O354" s="55">
        <f ca="1" t="shared" si="0"/>
        <v>0</v>
      </c>
      <c r="P354" s="55">
        <f ca="1" t="shared" si="1"/>
        <v>253</v>
      </c>
      <c r="Q354" s="19" t="e">
        <f>VLOOKUP(B354,辅助信息!E:M,9,FALSE)</f>
        <v>#N/A</v>
      </c>
      <c r="R354" s="19"/>
    </row>
    <row r="355" hidden="1" spans="1:18">
      <c r="A355" s="19"/>
      <c r="B355" s="33" t="s">
        <v>64</v>
      </c>
      <c r="C355" s="63">
        <v>45702</v>
      </c>
      <c r="D355" s="33" t="e">
        <f>VLOOKUP(B355,辅助信息!E:K,7,FALSE)</f>
        <v>#N/A</v>
      </c>
      <c r="E355" s="33" t="str">
        <f>VLOOKUP(F355,辅助信息!A:B,2,FALSE)</f>
        <v>螺纹钢</v>
      </c>
      <c r="F355" s="33" t="s">
        <v>18</v>
      </c>
      <c r="G355" s="29">
        <v>21</v>
      </c>
      <c r="H355" s="29" t="e">
        <f>_xlfn._xlws.FILTER(#REF!,#REF!&amp;#REF!&amp;#REF!&amp;#REF!=C355&amp;F355&amp;I355&amp;J355,"未发货")</f>
        <v>#REF!</v>
      </c>
      <c r="I355" s="33" t="e">
        <f>VLOOKUP(B355,辅助信息!E:I,3,FALSE)</f>
        <v>#N/A</v>
      </c>
      <c r="J355" s="33" t="e">
        <f>VLOOKUP(B355,辅助信息!E:I,4,FALSE)</f>
        <v>#N/A</v>
      </c>
      <c r="K355" s="33" t="e">
        <f>VLOOKUP(J355,辅助信息!H:I,2,FALSE)</f>
        <v>#N/A</v>
      </c>
      <c r="L355" s="71"/>
      <c r="M355" s="84">
        <v>45704</v>
      </c>
      <c r="N355" s="50"/>
      <c r="O355" s="55">
        <f ca="1" t="shared" si="0"/>
        <v>0</v>
      </c>
      <c r="P355" s="55">
        <f ca="1" t="shared" si="1"/>
        <v>253</v>
      </c>
      <c r="Q355" s="19" t="e">
        <f>VLOOKUP(B355,辅助信息!E:M,9,FALSE)</f>
        <v>#N/A</v>
      </c>
      <c r="R355" s="19"/>
    </row>
    <row r="356" hidden="1" spans="2:18">
      <c r="B356" s="33" t="s">
        <v>64</v>
      </c>
      <c r="C356" s="63">
        <v>45702</v>
      </c>
      <c r="D356" s="33" t="e">
        <f>VLOOKUP(B356,辅助信息!E:K,7,FALSE)</f>
        <v>#N/A</v>
      </c>
      <c r="E356" s="33" t="str">
        <f>VLOOKUP(F356,辅助信息!A:B,2,FALSE)</f>
        <v>螺纹钢</v>
      </c>
      <c r="F356" s="33" t="s">
        <v>65</v>
      </c>
      <c r="G356" s="29">
        <v>42</v>
      </c>
      <c r="H356" s="29" t="e">
        <f>_xlfn._xlws.FILTER(#REF!,#REF!&amp;#REF!&amp;#REF!&amp;#REF!=C356&amp;F356&amp;I356&amp;J356,"未发货")</f>
        <v>#REF!</v>
      </c>
      <c r="I356" s="33" t="e">
        <f>VLOOKUP(B356,辅助信息!E:I,3,FALSE)</f>
        <v>#N/A</v>
      </c>
      <c r="J356" s="33" t="e">
        <f>VLOOKUP(B356,辅助信息!E:I,4,FALSE)</f>
        <v>#N/A</v>
      </c>
      <c r="K356" s="33" t="e">
        <f>VLOOKUP(J356,辅助信息!H:I,2,FALSE)</f>
        <v>#N/A</v>
      </c>
      <c r="L356" s="69"/>
      <c r="M356" s="84">
        <v>45704</v>
      </c>
      <c r="N356" s="50"/>
      <c r="O356" s="55">
        <f ca="1" t="shared" si="0"/>
        <v>0</v>
      </c>
      <c r="P356" s="55">
        <f ca="1" t="shared" si="1"/>
        <v>253</v>
      </c>
      <c r="Q356" s="19" t="e">
        <f>VLOOKUP(B356,辅助信息!E:M,9,FALSE)</f>
        <v>#N/A</v>
      </c>
      <c r="R356" s="19"/>
    </row>
    <row r="357" hidden="1" spans="2:18">
      <c r="B357" s="33" t="s">
        <v>48</v>
      </c>
      <c r="C357" s="63">
        <v>45702</v>
      </c>
      <c r="D357" s="33" t="str">
        <f>VLOOKUP(B357,辅助信息!E:K,7,FALSE)</f>
        <v>ZTWM-CDGS-YL-20240529-006</v>
      </c>
      <c r="E357" s="33" t="str">
        <f>VLOOKUP(F357,辅助信息!A:B,2,FALSE)</f>
        <v>盘螺</v>
      </c>
      <c r="F357" s="33" t="s">
        <v>49</v>
      </c>
      <c r="G357" s="29">
        <v>3</v>
      </c>
      <c r="H357" s="29" t="e">
        <f>_xlfn._xlws.FILTER(#REF!,#REF!&amp;#REF!&amp;#REF!&amp;#REF!=C357&amp;F357&amp;I357&amp;J357,"未发货")</f>
        <v>#REF!</v>
      </c>
      <c r="I357" s="33" t="str">
        <f>VLOOKUP(B357,辅助信息!E:I,3,FALSE)</f>
        <v>(华西颐海-科创农业生态谷-1号钢筋房)成都市简阳市白金山水库</v>
      </c>
      <c r="J357" s="33" t="str">
        <f>VLOOKUP(B357,辅助信息!E:I,4,FALSE)</f>
        <v>石清国</v>
      </c>
      <c r="K357" s="33">
        <f>VLOOKUP(J357,辅助信息!H:I,2,FALSE)</f>
        <v>13458642015</v>
      </c>
      <c r="L357" s="36" t="str">
        <f>VLOOKUP(B357,辅助信息!E:J,6,FALSE)</f>
        <v>优先威钢,我方卸车,新老国标钢厂不加价可直发</v>
      </c>
      <c r="M357" s="84">
        <v>45705</v>
      </c>
      <c r="N357" s="50"/>
      <c r="O357" s="55">
        <f ca="1" t="shared" si="0"/>
        <v>0</v>
      </c>
      <c r="P357" s="55">
        <f ca="1" t="shared" si="1"/>
        <v>252</v>
      </c>
      <c r="Q357" s="19" t="str">
        <f>VLOOKUP(B357,辅助信息!E:M,9,FALSE)</f>
        <v>ZTWM-CDGS-XS-2024-0093-华西-颐海科创农业生态谷</v>
      </c>
      <c r="R357" s="19"/>
    </row>
    <row r="358" hidden="1" spans="2:18">
      <c r="B358" s="33" t="s">
        <v>48</v>
      </c>
      <c r="C358" s="63">
        <v>45702</v>
      </c>
      <c r="D358" s="33" t="str">
        <f>VLOOKUP(B358,辅助信息!E:K,7,FALSE)</f>
        <v>ZTWM-CDGS-YL-20240529-006</v>
      </c>
      <c r="E358" s="33" t="str">
        <f>VLOOKUP(F358,辅助信息!A:B,2,FALSE)</f>
        <v>盘螺</v>
      </c>
      <c r="F358" s="33" t="s">
        <v>40</v>
      </c>
      <c r="G358" s="29">
        <v>10</v>
      </c>
      <c r="H358" s="29" t="e">
        <f>_xlfn._xlws.FILTER(#REF!,#REF!&amp;#REF!&amp;#REF!&amp;#REF!=C358&amp;F358&amp;I358&amp;J358,"未发货")</f>
        <v>#REF!</v>
      </c>
      <c r="I358" s="33" t="str">
        <f>VLOOKUP(B358,辅助信息!E:I,3,FALSE)</f>
        <v>(华西颐海-科创农业生态谷-1号钢筋房)成都市简阳市白金山水库</v>
      </c>
      <c r="J358" s="33" t="str">
        <f>VLOOKUP(B358,辅助信息!E:I,4,FALSE)</f>
        <v>石清国</v>
      </c>
      <c r="K358" s="33">
        <f>VLOOKUP(J358,辅助信息!H:I,2,FALSE)</f>
        <v>13458642015</v>
      </c>
      <c r="L358" s="71"/>
      <c r="M358" s="84">
        <v>45705</v>
      </c>
      <c r="N358" s="50"/>
      <c r="O358" s="55">
        <f ca="1" t="shared" si="0"/>
        <v>0</v>
      </c>
      <c r="P358" s="55">
        <f ca="1" t="shared" si="1"/>
        <v>252</v>
      </c>
      <c r="Q358" s="19" t="str">
        <f>VLOOKUP(B358,辅助信息!E:M,9,FALSE)</f>
        <v>ZTWM-CDGS-XS-2024-0093-华西-颐海科创农业生态谷</v>
      </c>
      <c r="R358" s="19"/>
    </row>
    <row r="359" hidden="1" spans="2:18">
      <c r="B359" s="33" t="s">
        <v>48</v>
      </c>
      <c r="C359" s="63">
        <v>45702</v>
      </c>
      <c r="D359" s="33" t="str">
        <f>VLOOKUP(B359,辅助信息!E:K,7,FALSE)</f>
        <v>ZTWM-CDGS-YL-20240529-006</v>
      </c>
      <c r="E359" s="33" t="str">
        <f>VLOOKUP(F359,辅助信息!A:B,2,FALSE)</f>
        <v>盘螺</v>
      </c>
      <c r="F359" s="33" t="s">
        <v>41</v>
      </c>
      <c r="G359" s="29">
        <v>10</v>
      </c>
      <c r="H359" s="29" t="e">
        <f>_xlfn._xlws.FILTER(#REF!,#REF!&amp;#REF!&amp;#REF!&amp;#REF!=C359&amp;F359&amp;I359&amp;J359,"未发货")</f>
        <v>#REF!</v>
      </c>
      <c r="I359" s="33" t="str">
        <f>VLOOKUP(B359,辅助信息!E:I,3,FALSE)</f>
        <v>(华西颐海-科创农业生态谷-1号钢筋房)成都市简阳市白金山水库</v>
      </c>
      <c r="J359" s="33" t="str">
        <f>VLOOKUP(B359,辅助信息!E:I,4,FALSE)</f>
        <v>石清国</v>
      </c>
      <c r="K359" s="33">
        <f>VLOOKUP(J359,辅助信息!H:I,2,FALSE)</f>
        <v>13458642015</v>
      </c>
      <c r="L359" s="71"/>
      <c r="M359" s="84">
        <v>45705</v>
      </c>
      <c r="N359" s="50"/>
      <c r="O359" s="55">
        <f ca="1" t="shared" si="0"/>
        <v>0</v>
      </c>
      <c r="P359" s="55">
        <f ca="1" t="shared" si="1"/>
        <v>252</v>
      </c>
      <c r="Q359" s="19" t="str">
        <f>VLOOKUP(B359,辅助信息!E:M,9,FALSE)</f>
        <v>ZTWM-CDGS-XS-2024-0093-华西-颐海科创农业生态谷</v>
      </c>
      <c r="R359" s="19"/>
    </row>
    <row r="360" hidden="1" spans="2:18">
      <c r="B360" s="33" t="s">
        <v>48</v>
      </c>
      <c r="C360" s="63">
        <v>45702</v>
      </c>
      <c r="D360" s="33" t="str">
        <f>VLOOKUP(B360,辅助信息!E:K,7,FALSE)</f>
        <v>ZTWM-CDGS-YL-20240529-006</v>
      </c>
      <c r="E360" s="33" t="str">
        <f>VLOOKUP(F360,辅助信息!A:B,2,FALSE)</f>
        <v>螺纹钢</v>
      </c>
      <c r="F360" s="33" t="s">
        <v>66</v>
      </c>
      <c r="G360" s="29">
        <v>12</v>
      </c>
      <c r="H360" s="29" t="e">
        <f>_xlfn._xlws.FILTER(#REF!,#REF!&amp;#REF!&amp;#REF!&amp;#REF!=C360&amp;F360&amp;I360&amp;J360,"未发货")</f>
        <v>#REF!</v>
      </c>
      <c r="I360" s="33" t="str">
        <f>VLOOKUP(B360,辅助信息!E:I,3,FALSE)</f>
        <v>(华西颐海-科创农业生态谷-1号钢筋房)成都市简阳市白金山水库</v>
      </c>
      <c r="J360" s="33" t="str">
        <f>VLOOKUP(B360,辅助信息!E:I,4,FALSE)</f>
        <v>石清国</v>
      </c>
      <c r="K360" s="33">
        <f>VLOOKUP(J360,辅助信息!H:I,2,FALSE)</f>
        <v>13458642015</v>
      </c>
      <c r="L360" s="71"/>
      <c r="M360" s="84">
        <v>45705</v>
      </c>
      <c r="N360" s="50"/>
      <c r="O360" s="55">
        <f ca="1" t="shared" si="0"/>
        <v>0</v>
      </c>
      <c r="P360" s="55">
        <f ca="1" t="shared" si="1"/>
        <v>252</v>
      </c>
      <c r="Q360" s="19" t="str">
        <f>VLOOKUP(B360,辅助信息!E:M,9,FALSE)</f>
        <v>ZTWM-CDGS-XS-2024-0093-华西-颐海科创农业生态谷</v>
      </c>
      <c r="R360" s="19"/>
    </row>
    <row r="361" hidden="1" spans="2:18">
      <c r="B361" s="33" t="s">
        <v>48</v>
      </c>
      <c r="C361" s="63">
        <v>45702</v>
      </c>
      <c r="D361" s="33" t="str">
        <f>VLOOKUP(B361,辅助信息!E:K,7,FALSE)</f>
        <v>ZTWM-CDGS-YL-20240529-006</v>
      </c>
      <c r="E361" s="33" t="str">
        <f>VLOOKUP(F361,辅助信息!A:B,2,FALSE)</f>
        <v>螺纹钢</v>
      </c>
      <c r="F361" s="33" t="s">
        <v>22</v>
      </c>
      <c r="G361" s="29">
        <v>6</v>
      </c>
      <c r="H361" s="29" t="e">
        <f>_xlfn._xlws.FILTER(#REF!,#REF!&amp;#REF!&amp;#REF!&amp;#REF!=C361&amp;F361&amp;I361&amp;J361,"未发货")</f>
        <v>#REF!</v>
      </c>
      <c r="I361" s="33" t="str">
        <f>VLOOKUP(B361,辅助信息!E:I,3,FALSE)</f>
        <v>(华西颐海-科创农业生态谷-1号钢筋房)成都市简阳市白金山水库</v>
      </c>
      <c r="J361" s="33" t="str">
        <f>VLOOKUP(B361,辅助信息!E:I,4,FALSE)</f>
        <v>石清国</v>
      </c>
      <c r="K361" s="33">
        <f>VLOOKUP(J361,辅助信息!H:I,2,FALSE)</f>
        <v>13458642015</v>
      </c>
      <c r="L361" s="69"/>
      <c r="M361" s="84">
        <v>45705</v>
      </c>
      <c r="N361" s="50"/>
      <c r="O361" s="55">
        <f ca="1" t="shared" si="0"/>
        <v>0</v>
      </c>
      <c r="P361" s="55">
        <f ca="1" t="shared" si="1"/>
        <v>252</v>
      </c>
      <c r="Q361" s="19" t="str">
        <f>VLOOKUP(B361,辅助信息!E:M,9,FALSE)</f>
        <v>ZTWM-CDGS-XS-2024-0093-华西-颐海科创农业生态谷</v>
      </c>
      <c r="R361" s="19"/>
    </row>
    <row r="362" hidden="1" spans="2:18">
      <c r="B362" s="33" t="s">
        <v>29</v>
      </c>
      <c r="C362" s="63">
        <v>45702</v>
      </c>
      <c r="D362" s="33" t="e">
        <f>VLOOKUP(B362,辅助信息!E:K,7,FALSE)</f>
        <v>#N/A</v>
      </c>
      <c r="E362" s="33" t="str">
        <f>VLOOKUP(F362,辅助信息!A:B,2,FALSE)</f>
        <v>螺纹钢</v>
      </c>
      <c r="F362" s="33" t="s">
        <v>27</v>
      </c>
      <c r="G362" s="29">
        <v>15</v>
      </c>
      <c r="H362" s="29" t="e">
        <f>_xlfn._xlws.FILTER(#REF!,#REF!&amp;#REF!&amp;#REF!&amp;#REF!=C362&amp;F362&amp;I362&amp;J362,"未发货")</f>
        <v>#REF!</v>
      </c>
      <c r="I362" s="33" t="e">
        <f>VLOOKUP(B362,辅助信息!E:I,3,FALSE)</f>
        <v>#N/A</v>
      </c>
      <c r="J362" s="33" t="e">
        <f>VLOOKUP(B362,辅助信息!E:I,4,FALSE)</f>
        <v>#N/A</v>
      </c>
      <c r="K362" s="33" t="e">
        <f>VLOOKUP(J362,辅助信息!H:I,2,FALSE)</f>
        <v>#N/A</v>
      </c>
      <c r="L362" s="36" t="e">
        <f>VLOOKUP(B362,辅助信息!E:J,6,FALSE)</f>
        <v>#N/A</v>
      </c>
      <c r="M362" s="84">
        <v>45705</v>
      </c>
      <c r="N362" s="50"/>
      <c r="O362" s="55">
        <f ca="1" t="shared" si="0"/>
        <v>0</v>
      </c>
      <c r="P362" s="55">
        <f ca="1" t="shared" si="1"/>
        <v>252</v>
      </c>
      <c r="Q362" s="19" t="e">
        <f>VLOOKUP(B362,辅助信息!E:M,9,FALSE)</f>
        <v>#N/A</v>
      </c>
      <c r="R362" s="19"/>
    </row>
    <row r="363" hidden="1" spans="1:18">
      <c r="A363" s="85">
        <v>15</v>
      </c>
      <c r="B363" s="33" t="s">
        <v>29</v>
      </c>
      <c r="C363" s="63">
        <v>45702</v>
      </c>
      <c r="D363" s="33" t="e">
        <f>VLOOKUP(B363,辅助信息!E:K,7,FALSE)</f>
        <v>#N/A</v>
      </c>
      <c r="E363" s="33" t="str">
        <f>VLOOKUP(F363,辅助信息!A:B,2,FALSE)</f>
        <v>螺纹钢</v>
      </c>
      <c r="F363" s="33" t="s">
        <v>32</v>
      </c>
      <c r="G363" s="29">
        <v>20</v>
      </c>
      <c r="H363" s="29" t="e">
        <f>_xlfn._xlws.FILTER(#REF!,#REF!&amp;#REF!&amp;#REF!&amp;#REF!=C363&amp;F363&amp;I363&amp;J363,"未发货")</f>
        <v>#REF!</v>
      </c>
      <c r="I363" s="33" t="e">
        <f>VLOOKUP(B363,辅助信息!E:I,3,FALSE)</f>
        <v>#N/A</v>
      </c>
      <c r="J363" s="33" t="e">
        <f>VLOOKUP(B363,辅助信息!E:I,4,FALSE)</f>
        <v>#N/A</v>
      </c>
      <c r="K363" s="33" t="e">
        <f>VLOOKUP(J363,辅助信息!H:I,2,FALSE)</f>
        <v>#N/A</v>
      </c>
      <c r="L363" s="71"/>
      <c r="M363" s="84">
        <v>45705</v>
      </c>
      <c r="N363" s="50"/>
      <c r="O363" s="55">
        <f ca="1" t="shared" si="0"/>
        <v>0</v>
      </c>
      <c r="P363" s="55">
        <f ca="1" t="shared" si="1"/>
        <v>252</v>
      </c>
      <c r="Q363" s="19" t="e">
        <f>VLOOKUP(B363,辅助信息!E:M,9,FALSE)</f>
        <v>#N/A</v>
      </c>
      <c r="R363" s="19"/>
    </row>
    <row r="364" hidden="1" spans="2:18">
      <c r="B364" s="33" t="s">
        <v>29</v>
      </c>
      <c r="C364" s="63">
        <v>45702</v>
      </c>
      <c r="D364" s="33" t="e">
        <f>VLOOKUP(B364,辅助信息!E:K,7,FALSE)</f>
        <v>#N/A</v>
      </c>
      <c r="E364" s="33" t="str">
        <f>VLOOKUP(F364,辅助信息!A:B,2,FALSE)</f>
        <v>螺纹钢</v>
      </c>
      <c r="F364" s="33" t="s">
        <v>30</v>
      </c>
      <c r="G364" s="29">
        <v>35</v>
      </c>
      <c r="H364" s="29" t="e">
        <f>_xlfn._xlws.FILTER(#REF!,#REF!&amp;#REF!&amp;#REF!&amp;#REF!=C364&amp;F364&amp;I364&amp;J364,"未发货")</f>
        <v>#REF!</v>
      </c>
      <c r="I364" s="33" t="e">
        <f>VLOOKUP(B364,辅助信息!E:I,3,FALSE)</f>
        <v>#N/A</v>
      </c>
      <c r="J364" s="33" t="e">
        <f>VLOOKUP(B364,辅助信息!E:I,4,FALSE)</f>
        <v>#N/A</v>
      </c>
      <c r="K364" s="33" t="e">
        <f>VLOOKUP(J364,辅助信息!H:I,2,FALSE)</f>
        <v>#N/A</v>
      </c>
      <c r="L364" s="69"/>
      <c r="M364" s="84">
        <v>45705</v>
      </c>
      <c r="N364" s="50"/>
      <c r="O364" s="55">
        <f ca="1" t="shared" si="0"/>
        <v>0</v>
      </c>
      <c r="P364" s="55">
        <f ca="1" t="shared" si="1"/>
        <v>252</v>
      </c>
      <c r="Q364" s="19" t="e">
        <f>VLOOKUP(B364,辅助信息!E:M,9,FALSE)</f>
        <v>#N/A</v>
      </c>
      <c r="R364" s="19"/>
    </row>
    <row r="365" hidden="1" spans="2:18">
      <c r="B365" s="33" t="s">
        <v>78</v>
      </c>
      <c r="C365" s="63">
        <v>45702</v>
      </c>
      <c r="D365" s="33" t="e">
        <f>VLOOKUP(B365,辅助信息!E:K,7,FALSE)</f>
        <v>#N/A</v>
      </c>
      <c r="E365" s="33" t="str">
        <f>VLOOKUP(F365,辅助信息!A:B,2,FALSE)</f>
        <v>螺纹钢</v>
      </c>
      <c r="F365" s="33" t="s">
        <v>33</v>
      </c>
      <c r="G365" s="29">
        <v>55</v>
      </c>
      <c r="H365" s="29" t="e">
        <f>_xlfn._xlws.FILTER(#REF!,#REF!&amp;#REF!&amp;#REF!&amp;#REF!=C365&amp;F365&amp;I365&amp;J365,"未发货")</f>
        <v>#REF!</v>
      </c>
      <c r="I365" s="33" t="e">
        <f>VLOOKUP(B365,辅助信息!E:I,3,FALSE)</f>
        <v>#N/A</v>
      </c>
      <c r="J365" s="33" t="e">
        <f>VLOOKUP(B365,辅助信息!E:I,4,FALSE)</f>
        <v>#N/A</v>
      </c>
      <c r="K365" s="33" t="e">
        <f>VLOOKUP(J365,辅助信息!H:I,2,FALSE)</f>
        <v>#N/A</v>
      </c>
      <c r="L365" s="36" t="e">
        <f>VLOOKUP(B365,辅助信息!E:J,6,FALSE)</f>
        <v>#N/A</v>
      </c>
      <c r="M365" s="84">
        <v>45705</v>
      </c>
      <c r="N365" s="50"/>
      <c r="O365" s="55">
        <f ca="1" t="shared" si="0"/>
        <v>0</v>
      </c>
      <c r="P365" s="55">
        <f ca="1" t="shared" si="1"/>
        <v>252</v>
      </c>
      <c r="Q365" s="19" t="e">
        <f>VLOOKUP(B365,辅助信息!E:M,9,FALSE)</f>
        <v>#N/A</v>
      </c>
      <c r="R365" s="19"/>
    </row>
    <row r="366" hidden="1" spans="2:18">
      <c r="B366" s="33" t="s">
        <v>78</v>
      </c>
      <c r="C366" s="63">
        <v>45702</v>
      </c>
      <c r="D366" s="33" t="e">
        <f>VLOOKUP(B366,辅助信息!E:K,7,FALSE)</f>
        <v>#N/A</v>
      </c>
      <c r="E366" s="33" t="str">
        <f>VLOOKUP(F366,辅助信息!A:B,2,FALSE)</f>
        <v>螺纹钢</v>
      </c>
      <c r="F366" s="33" t="s">
        <v>28</v>
      </c>
      <c r="G366" s="29">
        <v>11</v>
      </c>
      <c r="H366" s="29" t="e">
        <f>_xlfn._xlws.FILTER(#REF!,#REF!&amp;#REF!&amp;#REF!&amp;#REF!=C366&amp;F366&amp;I366&amp;J366,"未发货")</f>
        <v>#REF!</v>
      </c>
      <c r="I366" s="33" t="e">
        <f>VLOOKUP(B366,辅助信息!E:I,3,FALSE)</f>
        <v>#N/A</v>
      </c>
      <c r="J366" s="33" t="e">
        <f>VLOOKUP(B366,辅助信息!E:I,4,FALSE)</f>
        <v>#N/A</v>
      </c>
      <c r="K366" s="33" t="e">
        <f>VLOOKUP(J366,辅助信息!H:I,2,FALSE)</f>
        <v>#N/A</v>
      </c>
      <c r="L366" s="71"/>
      <c r="M366" s="84">
        <v>45705</v>
      </c>
      <c r="N366" s="50"/>
      <c r="O366" s="55">
        <f ca="1" t="shared" si="0"/>
        <v>0</v>
      </c>
      <c r="P366" s="55">
        <f ca="1" t="shared" si="1"/>
        <v>252</v>
      </c>
      <c r="Q366" s="19" t="e">
        <f>VLOOKUP(B366,辅助信息!E:M,9,FALSE)</f>
        <v>#N/A</v>
      </c>
      <c r="R366" s="19"/>
    </row>
    <row r="367" hidden="1" spans="2:18">
      <c r="B367" s="33" t="s">
        <v>78</v>
      </c>
      <c r="C367" s="63">
        <v>45702</v>
      </c>
      <c r="D367" s="33" t="e">
        <f>VLOOKUP(B367,辅助信息!E:K,7,FALSE)</f>
        <v>#N/A</v>
      </c>
      <c r="E367" s="33" t="str">
        <f>VLOOKUP(F367,辅助信息!A:B,2,FALSE)</f>
        <v>螺纹钢</v>
      </c>
      <c r="F367" s="33" t="s">
        <v>18</v>
      </c>
      <c r="G367" s="29">
        <v>3</v>
      </c>
      <c r="H367" s="29" t="e">
        <f>_xlfn._xlws.FILTER(#REF!,#REF!&amp;#REF!&amp;#REF!&amp;#REF!=C367&amp;F367&amp;I367&amp;J367,"未发货")</f>
        <v>#REF!</v>
      </c>
      <c r="I367" s="33" t="e">
        <f>VLOOKUP(B367,辅助信息!E:I,3,FALSE)</f>
        <v>#N/A</v>
      </c>
      <c r="J367" s="33" t="e">
        <f>VLOOKUP(B367,辅助信息!E:I,4,FALSE)</f>
        <v>#N/A</v>
      </c>
      <c r="K367" s="33" t="e">
        <f>VLOOKUP(J367,辅助信息!H:I,2,FALSE)</f>
        <v>#N/A</v>
      </c>
      <c r="L367" s="69"/>
      <c r="M367" s="84">
        <v>45705</v>
      </c>
      <c r="N367" s="50"/>
      <c r="O367" s="55">
        <f ca="1" t="shared" si="0"/>
        <v>0</v>
      </c>
      <c r="P367" s="55">
        <f ca="1" t="shared" si="1"/>
        <v>252</v>
      </c>
      <c r="Q367" s="19" t="e">
        <f>VLOOKUP(B367,辅助信息!E:M,9,FALSE)</f>
        <v>#N/A</v>
      </c>
      <c r="R367" s="19"/>
    </row>
    <row r="368" hidden="1" spans="2:18">
      <c r="B368" s="33" t="s">
        <v>69</v>
      </c>
      <c r="C368" s="63">
        <v>45702</v>
      </c>
      <c r="D368" s="33" t="str">
        <f>VLOOKUP(B368,辅助信息!E:K,7,FALSE)</f>
        <v>JWDDCD2025052800131</v>
      </c>
      <c r="E368" s="33" t="str">
        <f>VLOOKUP(F368,辅助信息!A:B,2,FALSE)</f>
        <v>盘螺</v>
      </c>
      <c r="F368" s="33" t="s">
        <v>40</v>
      </c>
      <c r="G368" s="29">
        <v>51</v>
      </c>
      <c r="H368" s="29" t="e">
        <f>_xlfn._xlws.FILTER(#REF!,#REF!&amp;#REF!&amp;#REF!&amp;#REF!=C368&amp;F368&amp;I368&amp;J368,"未发货")</f>
        <v>#REF!</v>
      </c>
      <c r="I368" s="33" t="str">
        <f>VLOOKUP(B368,辅助信息!E:I,3,FALSE)</f>
        <v>（商投建工达州中医药科技园-4工区-2号楼）达州市通川区达州中医药职业学院犀牛大道北段</v>
      </c>
      <c r="J368" s="33" t="str">
        <f>VLOOKUP(B368,辅助信息!E:I,4,FALSE)</f>
        <v>张扬</v>
      </c>
      <c r="K368" s="33">
        <f>VLOOKUP(J368,辅助信息!H:I,2,FALSE)</f>
        <v>18381904567</v>
      </c>
      <c r="L368" s="36" t="str">
        <f>VLOOKUP(B368,辅助信息!E:J,6,FALSE)</f>
        <v>控制炉批号！多了现场不收！,优先安排达钢,提前联系到场规格及数量</v>
      </c>
      <c r="M368" s="84">
        <v>45704</v>
      </c>
      <c r="N368" s="50"/>
      <c r="O368" s="55">
        <f ca="1" t="shared" si="0"/>
        <v>0</v>
      </c>
      <c r="P368" s="55">
        <f ca="1" t="shared" si="1"/>
        <v>253</v>
      </c>
      <c r="Q368" s="19" t="str">
        <f>VLOOKUP(B368,辅助信息!E:M,9,FALSE)</f>
        <v>ZTWM-CDGS-XS-2024-0134-商投建工达州中医药科技成果示范园项目</v>
      </c>
      <c r="R368" s="19"/>
    </row>
    <row r="369" hidden="1" spans="2:18">
      <c r="B369" s="33" t="s">
        <v>69</v>
      </c>
      <c r="C369" s="63">
        <v>45702</v>
      </c>
      <c r="D369" s="33" t="str">
        <f>VLOOKUP(B369,辅助信息!E:K,7,FALSE)</f>
        <v>JWDDCD2025052800131</v>
      </c>
      <c r="E369" s="33" t="str">
        <f>VLOOKUP(F369,辅助信息!A:B,2,FALSE)</f>
        <v>盘螺</v>
      </c>
      <c r="F369" s="33" t="s">
        <v>41</v>
      </c>
      <c r="G369" s="29">
        <v>9</v>
      </c>
      <c r="H369" s="29" t="e">
        <f>_xlfn._xlws.FILTER(#REF!,#REF!&amp;#REF!&amp;#REF!&amp;#REF!=C369&amp;F369&amp;I369&amp;J369,"未发货")</f>
        <v>#REF!</v>
      </c>
      <c r="I369" s="33" t="str">
        <f>VLOOKUP(B369,辅助信息!E:I,3,FALSE)</f>
        <v>（商投建工达州中医药科技园-4工区-2号楼）达州市通川区达州中医药职业学院犀牛大道北段</v>
      </c>
      <c r="J369" s="33" t="str">
        <f>VLOOKUP(B369,辅助信息!E:I,4,FALSE)</f>
        <v>张扬</v>
      </c>
      <c r="K369" s="33">
        <f>VLOOKUP(J369,辅助信息!H:I,2,FALSE)</f>
        <v>18381904567</v>
      </c>
      <c r="L369" s="71"/>
      <c r="M369" s="84">
        <v>45704</v>
      </c>
      <c r="N369" s="50"/>
      <c r="O369" s="55">
        <f ca="1" t="shared" si="0"/>
        <v>0</v>
      </c>
      <c r="P369" s="55">
        <f ca="1" t="shared" si="1"/>
        <v>253</v>
      </c>
      <c r="Q369" s="19" t="str">
        <f>VLOOKUP(B369,辅助信息!E:M,9,FALSE)</f>
        <v>ZTWM-CDGS-XS-2024-0134-商投建工达州中医药科技成果示范园项目</v>
      </c>
      <c r="R369" s="19"/>
    </row>
    <row r="370" hidden="1" spans="2:18">
      <c r="B370" s="33" t="s">
        <v>69</v>
      </c>
      <c r="C370" s="63">
        <v>45702</v>
      </c>
      <c r="D370" s="33" t="str">
        <f>VLOOKUP(B370,辅助信息!E:K,7,FALSE)</f>
        <v>JWDDCD2025052800131</v>
      </c>
      <c r="E370" s="33" t="str">
        <f>VLOOKUP(F370,辅助信息!A:B,2,FALSE)</f>
        <v>螺纹钢</v>
      </c>
      <c r="F370" s="33" t="s">
        <v>27</v>
      </c>
      <c r="G370" s="29">
        <v>15</v>
      </c>
      <c r="H370" s="29" t="e">
        <f>_xlfn._xlws.FILTER(#REF!,#REF!&amp;#REF!&amp;#REF!&amp;#REF!=C370&amp;F370&amp;I370&amp;J370,"未发货")</f>
        <v>#REF!</v>
      </c>
      <c r="I370" s="33" t="str">
        <f>VLOOKUP(B370,辅助信息!E:I,3,FALSE)</f>
        <v>（商投建工达州中医药科技园-4工区-2号楼）达州市通川区达州中医药职业学院犀牛大道北段</v>
      </c>
      <c r="J370" s="33" t="str">
        <f>VLOOKUP(B370,辅助信息!E:I,4,FALSE)</f>
        <v>张扬</v>
      </c>
      <c r="K370" s="33">
        <f>VLOOKUP(J370,辅助信息!H:I,2,FALSE)</f>
        <v>18381904567</v>
      </c>
      <c r="L370" s="71"/>
      <c r="M370" s="84">
        <v>45704</v>
      </c>
      <c r="N370" s="50"/>
      <c r="O370" s="55">
        <f ca="1" t="shared" si="0"/>
        <v>0</v>
      </c>
      <c r="P370" s="55">
        <f ca="1" t="shared" si="1"/>
        <v>253</v>
      </c>
      <c r="Q370" s="19" t="str">
        <f>VLOOKUP(B370,辅助信息!E:M,9,FALSE)</f>
        <v>ZTWM-CDGS-XS-2024-0134-商投建工达州中医药科技成果示范园项目</v>
      </c>
      <c r="R370" s="19"/>
    </row>
    <row r="371" hidden="1" spans="2:18">
      <c r="B371" s="33" t="s">
        <v>69</v>
      </c>
      <c r="C371" s="63">
        <v>45702</v>
      </c>
      <c r="D371" s="33" t="str">
        <f>VLOOKUP(B371,辅助信息!E:K,7,FALSE)</f>
        <v>JWDDCD2025052800131</v>
      </c>
      <c r="E371" s="33" t="str">
        <f>VLOOKUP(F371,辅助信息!A:B,2,FALSE)</f>
        <v>螺纹钢</v>
      </c>
      <c r="F371" s="33" t="s">
        <v>32</v>
      </c>
      <c r="G371" s="29">
        <v>12</v>
      </c>
      <c r="H371" s="29" t="e">
        <f>_xlfn._xlws.FILTER(#REF!,#REF!&amp;#REF!&amp;#REF!&amp;#REF!=C371&amp;F371&amp;I371&amp;J371,"未发货")</f>
        <v>#REF!</v>
      </c>
      <c r="I371" s="33" t="str">
        <f>VLOOKUP(B371,辅助信息!E:I,3,FALSE)</f>
        <v>（商投建工达州中医药科技园-4工区-2号楼）达州市通川区达州中医药职业学院犀牛大道北段</v>
      </c>
      <c r="J371" s="33" t="str">
        <f>VLOOKUP(B371,辅助信息!E:I,4,FALSE)</f>
        <v>张扬</v>
      </c>
      <c r="K371" s="33">
        <f>VLOOKUP(J371,辅助信息!H:I,2,FALSE)</f>
        <v>18381904567</v>
      </c>
      <c r="L371" s="71"/>
      <c r="M371" s="84">
        <v>45704</v>
      </c>
      <c r="N371" s="50"/>
      <c r="O371" s="55">
        <f ca="1" t="shared" si="0"/>
        <v>0</v>
      </c>
      <c r="P371" s="55">
        <f ca="1" t="shared" si="1"/>
        <v>253</v>
      </c>
      <c r="Q371" s="19" t="str">
        <f>VLOOKUP(B371,辅助信息!E:M,9,FALSE)</f>
        <v>ZTWM-CDGS-XS-2024-0134-商投建工达州中医药科技成果示范园项目</v>
      </c>
      <c r="R371" s="19"/>
    </row>
    <row r="372" hidden="1" spans="2:18">
      <c r="B372" s="33" t="s">
        <v>69</v>
      </c>
      <c r="C372" s="63">
        <v>45702</v>
      </c>
      <c r="D372" s="33" t="str">
        <f>VLOOKUP(B372,辅助信息!E:K,7,FALSE)</f>
        <v>JWDDCD2025052800131</v>
      </c>
      <c r="E372" s="33" t="str">
        <f>VLOOKUP(F372,辅助信息!A:B,2,FALSE)</f>
        <v>螺纹钢</v>
      </c>
      <c r="F372" s="33" t="s">
        <v>30</v>
      </c>
      <c r="G372" s="29">
        <v>12</v>
      </c>
      <c r="H372" s="29" t="e">
        <f>_xlfn._xlws.FILTER(#REF!,#REF!&amp;#REF!&amp;#REF!&amp;#REF!=C372&amp;F372&amp;I372&amp;J372,"未发货")</f>
        <v>#REF!</v>
      </c>
      <c r="I372" s="33" t="str">
        <f>VLOOKUP(B372,辅助信息!E:I,3,FALSE)</f>
        <v>（商投建工达州中医药科技园-4工区-2号楼）达州市通川区达州中医药职业学院犀牛大道北段</v>
      </c>
      <c r="J372" s="33" t="str">
        <f>VLOOKUP(B372,辅助信息!E:I,4,FALSE)</f>
        <v>张扬</v>
      </c>
      <c r="K372" s="33">
        <f>VLOOKUP(J372,辅助信息!H:I,2,FALSE)</f>
        <v>18381904567</v>
      </c>
      <c r="L372" s="71"/>
      <c r="M372" s="84">
        <v>45704</v>
      </c>
      <c r="N372" s="50"/>
      <c r="O372" s="55">
        <f ca="1" t="shared" si="0"/>
        <v>0</v>
      </c>
      <c r="P372" s="55">
        <f ca="1" t="shared" si="1"/>
        <v>253</v>
      </c>
      <c r="Q372" s="19" t="str">
        <f>VLOOKUP(B372,辅助信息!E:M,9,FALSE)</f>
        <v>ZTWM-CDGS-XS-2024-0134-商投建工达州中医药科技成果示范园项目</v>
      </c>
      <c r="R372" s="19"/>
    </row>
    <row r="373" hidden="1" spans="2:18">
      <c r="B373" s="33" t="s">
        <v>69</v>
      </c>
      <c r="C373" s="63">
        <v>45702</v>
      </c>
      <c r="D373" s="33" t="str">
        <f>VLOOKUP(B373,辅助信息!E:K,7,FALSE)</f>
        <v>JWDDCD2025052800131</v>
      </c>
      <c r="E373" s="33" t="str">
        <f>VLOOKUP(F373,辅助信息!A:B,2,FALSE)</f>
        <v>螺纹钢</v>
      </c>
      <c r="F373" s="33" t="s">
        <v>33</v>
      </c>
      <c r="G373" s="29">
        <v>9</v>
      </c>
      <c r="H373" s="29" t="e">
        <f>_xlfn._xlws.FILTER(#REF!,#REF!&amp;#REF!&amp;#REF!&amp;#REF!=C373&amp;F373&amp;I373&amp;J373,"未发货")</f>
        <v>#REF!</v>
      </c>
      <c r="I373" s="33" t="str">
        <f>VLOOKUP(B373,辅助信息!E:I,3,FALSE)</f>
        <v>（商投建工达州中医药科技园-4工区-2号楼）达州市通川区达州中医药职业学院犀牛大道北段</v>
      </c>
      <c r="J373" s="33" t="str">
        <f>VLOOKUP(B373,辅助信息!E:I,4,FALSE)</f>
        <v>张扬</v>
      </c>
      <c r="K373" s="33">
        <f>VLOOKUP(J373,辅助信息!H:I,2,FALSE)</f>
        <v>18381904567</v>
      </c>
      <c r="L373" s="71"/>
      <c r="M373" s="84">
        <v>45704</v>
      </c>
      <c r="N373" s="50"/>
      <c r="O373" s="55">
        <f ca="1" t="shared" si="0"/>
        <v>0</v>
      </c>
      <c r="P373" s="55">
        <f ca="1" t="shared" si="1"/>
        <v>253</v>
      </c>
      <c r="Q373" s="19" t="str">
        <f>VLOOKUP(B373,辅助信息!E:M,9,FALSE)</f>
        <v>ZTWM-CDGS-XS-2024-0134-商投建工达州中医药科技成果示范园项目</v>
      </c>
      <c r="R373" s="19"/>
    </row>
    <row r="374" hidden="1" spans="2:18">
      <c r="B374" s="33" t="s">
        <v>69</v>
      </c>
      <c r="C374" s="63">
        <v>45702</v>
      </c>
      <c r="D374" s="33" t="str">
        <f>VLOOKUP(B374,辅助信息!E:K,7,FALSE)</f>
        <v>JWDDCD2025052800131</v>
      </c>
      <c r="E374" s="33" t="str">
        <f>VLOOKUP(F374,辅助信息!A:B,2,FALSE)</f>
        <v>螺纹钢</v>
      </c>
      <c r="F374" s="33" t="s">
        <v>28</v>
      </c>
      <c r="G374" s="29">
        <v>9</v>
      </c>
      <c r="H374" s="29" t="e">
        <f>_xlfn._xlws.FILTER(#REF!,#REF!&amp;#REF!&amp;#REF!&amp;#REF!=C374&amp;F374&amp;I374&amp;J374,"未发货")</f>
        <v>#REF!</v>
      </c>
      <c r="I374" s="33" t="str">
        <f>VLOOKUP(B374,辅助信息!E:I,3,FALSE)</f>
        <v>（商投建工达州中医药科技园-4工区-2号楼）达州市通川区达州中医药职业学院犀牛大道北段</v>
      </c>
      <c r="J374" s="33" t="str">
        <f>VLOOKUP(B374,辅助信息!E:I,4,FALSE)</f>
        <v>张扬</v>
      </c>
      <c r="K374" s="33">
        <f>VLOOKUP(J374,辅助信息!H:I,2,FALSE)</f>
        <v>18381904567</v>
      </c>
      <c r="L374" s="71"/>
      <c r="M374" s="84">
        <v>45704</v>
      </c>
      <c r="N374" s="50"/>
      <c r="O374" s="55">
        <f ca="1" t="shared" si="0"/>
        <v>0</v>
      </c>
      <c r="P374" s="55">
        <f ca="1" t="shared" si="1"/>
        <v>253</v>
      </c>
      <c r="Q374" s="19" t="str">
        <f>VLOOKUP(B374,辅助信息!E:M,9,FALSE)</f>
        <v>ZTWM-CDGS-XS-2024-0134-商投建工达州中医药科技成果示范园项目</v>
      </c>
      <c r="R374" s="19"/>
    </row>
    <row r="375" hidden="1" spans="2:18">
      <c r="B375" s="33" t="s">
        <v>69</v>
      </c>
      <c r="C375" s="63">
        <v>45702</v>
      </c>
      <c r="D375" s="33" t="str">
        <f>VLOOKUP(B375,辅助信息!E:K,7,FALSE)</f>
        <v>JWDDCD2025052800131</v>
      </c>
      <c r="E375" s="33" t="str">
        <f>VLOOKUP(F375,辅助信息!A:B,2,FALSE)</f>
        <v>螺纹钢</v>
      </c>
      <c r="F375" s="33" t="s">
        <v>18</v>
      </c>
      <c r="G375" s="29">
        <v>9</v>
      </c>
      <c r="H375" s="29" t="e">
        <f>_xlfn._xlws.FILTER(#REF!,#REF!&amp;#REF!&amp;#REF!&amp;#REF!=C375&amp;F375&amp;I375&amp;J375,"未发货")</f>
        <v>#REF!</v>
      </c>
      <c r="I375" s="33" t="str">
        <f>VLOOKUP(B375,辅助信息!E:I,3,FALSE)</f>
        <v>（商投建工达州中医药科技园-4工区-2号楼）达州市通川区达州中医药职业学院犀牛大道北段</v>
      </c>
      <c r="J375" s="33" t="str">
        <f>VLOOKUP(B375,辅助信息!E:I,4,FALSE)</f>
        <v>张扬</v>
      </c>
      <c r="K375" s="33">
        <f>VLOOKUP(J375,辅助信息!H:I,2,FALSE)</f>
        <v>18381904567</v>
      </c>
      <c r="L375" s="71"/>
      <c r="M375" s="84">
        <v>45704</v>
      </c>
      <c r="N375" s="50"/>
      <c r="O375" s="55">
        <f ca="1" t="shared" si="0"/>
        <v>0</v>
      </c>
      <c r="P375" s="55">
        <f ca="1" t="shared" si="1"/>
        <v>253</v>
      </c>
      <c r="Q375" s="19" t="str">
        <f>VLOOKUP(B375,辅助信息!E:M,9,FALSE)</f>
        <v>ZTWM-CDGS-XS-2024-0134-商投建工达州中医药科技成果示范园项目</v>
      </c>
      <c r="R375" s="19"/>
    </row>
    <row r="376" hidden="1" spans="2:18">
      <c r="B376" s="33" t="s">
        <v>69</v>
      </c>
      <c r="C376" s="63">
        <v>45702</v>
      </c>
      <c r="D376" s="33" t="str">
        <f>VLOOKUP(B376,辅助信息!E:K,7,FALSE)</f>
        <v>JWDDCD2025052800131</v>
      </c>
      <c r="E376" s="33" t="str">
        <f>VLOOKUP(F376,辅助信息!A:B,2,FALSE)</f>
        <v>螺纹钢</v>
      </c>
      <c r="F376" s="33" t="s">
        <v>66</v>
      </c>
      <c r="G376" s="29">
        <v>9</v>
      </c>
      <c r="H376" s="29" t="e">
        <f>_xlfn._xlws.FILTER(#REF!,#REF!&amp;#REF!&amp;#REF!&amp;#REF!=C376&amp;F376&amp;I376&amp;J376,"未发货")</f>
        <v>#REF!</v>
      </c>
      <c r="I376" s="33" t="str">
        <f>VLOOKUP(B376,辅助信息!E:I,3,FALSE)</f>
        <v>（商投建工达州中医药科技园-4工区-2号楼）达州市通川区达州中医药职业学院犀牛大道北段</v>
      </c>
      <c r="J376" s="33" t="str">
        <f>VLOOKUP(B376,辅助信息!E:I,4,FALSE)</f>
        <v>张扬</v>
      </c>
      <c r="K376" s="33">
        <f>VLOOKUP(J376,辅助信息!H:I,2,FALSE)</f>
        <v>18381904567</v>
      </c>
      <c r="L376" s="71"/>
      <c r="M376" s="84">
        <v>45704</v>
      </c>
      <c r="N376" s="50"/>
      <c r="O376" s="55">
        <f ca="1" t="shared" si="0"/>
        <v>0</v>
      </c>
      <c r="P376" s="55">
        <f ca="1" t="shared" si="1"/>
        <v>253</v>
      </c>
      <c r="Q376" s="19" t="str">
        <f>VLOOKUP(B376,辅助信息!E:M,9,FALSE)</f>
        <v>ZTWM-CDGS-XS-2024-0134-商投建工达州中医药科技成果示范园项目</v>
      </c>
      <c r="R376" s="19"/>
    </row>
    <row r="377" hidden="1" spans="2:18">
      <c r="B377" s="33" t="s">
        <v>69</v>
      </c>
      <c r="C377" s="63">
        <v>45702</v>
      </c>
      <c r="D377" s="33" t="str">
        <f>VLOOKUP(B377,辅助信息!E:K,7,FALSE)</f>
        <v>JWDDCD2025052800131</v>
      </c>
      <c r="E377" s="33" t="str">
        <f>VLOOKUP(F377,辅助信息!A:B,2,FALSE)</f>
        <v>螺纹钢</v>
      </c>
      <c r="F377" s="33" t="s">
        <v>82</v>
      </c>
      <c r="G377" s="29">
        <v>3</v>
      </c>
      <c r="H377" s="29" t="e">
        <f>_xlfn._xlws.FILTER(#REF!,#REF!&amp;#REF!&amp;#REF!&amp;#REF!=C377&amp;F377&amp;I377&amp;J377,"未发货")</f>
        <v>#REF!</v>
      </c>
      <c r="I377" s="33" t="str">
        <f>VLOOKUP(B377,辅助信息!E:I,3,FALSE)</f>
        <v>（商投建工达州中医药科技园-4工区-2号楼）达州市通川区达州中医药职业学院犀牛大道北段</v>
      </c>
      <c r="J377" s="33" t="str">
        <f>VLOOKUP(B377,辅助信息!E:I,4,FALSE)</f>
        <v>张扬</v>
      </c>
      <c r="K377" s="33">
        <f>VLOOKUP(J377,辅助信息!H:I,2,FALSE)</f>
        <v>18381904567</v>
      </c>
      <c r="L377" s="71"/>
      <c r="M377" s="84">
        <v>45704</v>
      </c>
      <c r="N377" s="50"/>
      <c r="O377" s="55">
        <f ca="1" t="shared" si="0"/>
        <v>0</v>
      </c>
      <c r="P377" s="55">
        <f ca="1" t="shared" si="1"/>
        <v>253</v>
      </c>
      <c r="Q377" s="19" t="str">
        <f>VLOOKUP(B377,辅助信息!E:M,9,FALSE)</f>
        <v>ZTWM-CDGS-XS-2024-0134-商投建工达州中医药科技成果示范园项目</v>
      </c>
      <c r="R377" s="19"/>
    </row>
    <row r="378" hidden="1" spans="2:18">
      <c r="B378" s="33" t="s">
        <v>69</v>
      </c>
      <c r="C378" s="63">
        <v>45702</v>
      </c>
      <c r="D378" s="33" t="str">
        <f>VLOOKUP(B378,辅助信息!E:K,7,FALSE)</f>
        <v>JWDDCD2025052800131</v>
      </c>
      <c r="E378" s="33" t="str">
        <f>VLOOKUP(F378,辅助信息!A:B,2,FALSE)</f>
        <v>螺纹钢</v>
      </c>
      <c r="F378" s="33" t="s">
        <v>45</v>
      </c>
      <c r="G378" s="29">
        <v>9</v>
      </c>
      <c r="H378" s="29" t="e">
        <f>_xlfn._xlws.FILTER(#REF!,#REF!&amp;#REF!&amp;#REF!&amp;#REF!=C378&amp;F378&amp;I378&amp;J378,"未发货")</f>
        <v>#REF!</v>
      </c>
      <c r="I378" s="33" t="str">
        <f>VLOOKUP(B378,辅助信息!E:I,3,FALSE)</f>
        <v>（商投建工达州中医药科技园-4工区-2号楼）达州市通川区达州中医药职业学院犀牛大道北段</v>
      </c>
      <c r="J378" s="33" t="str">
        <f>VLOOKUP(B378,辅助信息!E:I,4,FALSE)</f>
        <v>张扬</v>
      </c>
      <c r="K378" s="33">
        <f>VLOOKUP(J378,辅助信息!H:I,2,FALSE)</f>
        <v>18381904567</v>
      </c>
      <c r="L378" s="71"/>
      <c r="M378" s="84">
        <v>45704</v>
      </c>
      <c r="N378" s="50"/>
      <c r="O378" s="55">
        <f ca="1" t="shared" si="0"/>
        <v>0</v>
      </c>
      <c r="P378" s="55">
        <f ca="1" t="shared" si="1"/>
        <v>253</v>
      </c>
      <c r="Q378" s="19" t="str">
        <f>VLOOKUP(B378,辅助信息!E:M,9,FALSE)</f>
        <v>ZTWM-CDGS-XS-2024-0134-商投建工达州中医药科技成果示范园项目</v>
      </c>
      <c r="R378" s="19"/>
    </row>
    <row r="379" hidden="1" spans="2:18">
      <c r="B379" s="33" t="s">
        <v>69</v>
      </c>
      <c r="C379" s="63">
        <v>45702</v>
      </c>
      <c r="D379" s="33" t="str">
        <f>VLOOKUP(B379,辅助信息!E:K,7,FALSE)</f>
        <v>JWDDCD2025052800131</v>
      </c>
      <c r="E379" s="33" t="str">
        <f>VLOOKUP(F379,辅助信息!A:B,2,FALSE)</f>
        <v>螺纹钢</v>
      </c>
      <c r="F379" s="33" t="s">
        <v>21</v>
      </c>
      <c r="G379" s="29">
        <v>30</v>
      </c>
      <c r="H379" s="29" t="e">
        <f>_xlfn._xlws.FILTER(#REF!,#REF!&amp;#REF!&amp;#REF!&amp;#REF!=C379&amp;F379&amp;I379&amp;J379,"未发货")</f>
        <v>#REF!</v>
      </c>
      <c r="I379" s="33" t="str">
        <f>VLOOKUP(B379,辅助信息!E:I,3,FALSE)</f>
        <v>（商投建工达州中医药科技园-4工区-2号楼）达州市通川区达州中医药职业学院犀牛大道北段</v>
      </c>
      <c r="J379" s="33" t="str">
        <f>VLOOKUP(B379,辅助信息!E:I,4,FALSE)</f>
        <v>张扬</v>
      </c>
      <c r="K379" s="33">
        <f>VLOOKUP(J379,辅助信息!H:I,2,FALSE)</f>
        <v>18381904567</v>
      </c>
      <c r="L379" s="71"/>
      <c r="M379" s="84">
        <v>45704</v>
      </c>
      <c r="N379" s="50"/>
      <c r="O379" s="55">
        <f ca="1" t="shared" si="0"/>
        <v>0</v>
      </c>
      <c r="P379" s="55">
        <f ca="1" t="shared" si="1"/>
        <v>253</v>
      </c>
      <c r="Q379" s="19" t="str">
        <f>VLOOKUP(B379,辅助信息!E:M,9,FALSE)</f>
        <v>ZTWM-CDGS-XS-2024-0134-商投建工达州中医药科技成果示范园项目</v>
      </c>
      <c r="R379" s="19"/>
    </row>
    <row r="380" hidden="1" spans="2:18">
      <c r="B380" s="33" t="s">
        <v>69</v>
      </c>
      <c r="C380" s="63">
        <v>45702</v>
      </c>
      <c r="D380" s="33" t="str">
        <f>VLOOKUP(B380,辅助信息!E:K,7,FALSE)</f>
        <v>JWDDCD2025052800131</v>
      </c>
      <c r="E380" s="33" t="str">
        <f>VLOOKUP(F380,辅助信息!A:B,2,FALSE)</f>
        <v>螺纹钢</v>
      </c>
      <c r="F380" s="33" t="s">
        <v>58</v>
      </c>
      <c r="G380" s="29">
        <v>30</v>
      </c>
      <c r="H380" s="29" t="e">
        <f>_xlfn._xlws.FILTER(#REF!,#REF!&amp;#REF!&amp;#REF!&amp;#REF!=C380&amp;F380&amp;I380&amp;J380,"未发货")</f>
        <v>#REF!</v>
      </c>
      <c r="I380" s="33" t="str">
        <f>VLOOKUP(B380,辅助信息!E:I,3,FALSE)</f>
        <v>（商投建工达州中医药科技园-4工区-2号楼）达州市通川区达州中医药职业学院犀牛大道北段</v>
      </c>
      <c r="J380" s="33" t="str">
        <f>VLOOKUP(B380,辅助信息!E:I,4,FALSE)</f>
        <v>张扬</v>
      </c>
      <c r="K380" s="33">
        <f>VLOOKUP(J380,辅助信息!H:I,2,FALSE)</f>
        <v>18381904567</v>
      </c>
      <c r="L380" s="71"/>
      <c r="M380" s="84">
        <v>45704</v>
      </c>
      <c r="N380" s="50"/>
      <c r="O380" s="55">
        <f ca="1" t="shared" si="0"/>
        <v>0</v>
      </c>
      <c r="P380" s="55">
        <f ca="1" t="shared" si="1"/>
        <v>253</v>
      </c>
      <c r="Q380" s="19" t="str">
        <f>VLOOKUP(B380,辅助信息!E:M,9,FALSE)</f>
        <v>ZTWM-CDGS-XS-2024-0134-商投建工达州中医药科技成果示范园项目</v>
      </c>
      <c r="R380" s="19"/>
    </row>
    <row r="381" hidden="1" spans="2:18">
      <c r="B381" s="33" t="s">
        <v>69</v>
      </c>
      <c r="C381" s="63">
        <v>45702</v>
      </c>
      <c r="D381" s="33" t="str">
        <f>VLOOKUP(B381,辅助信息!E:K,7,FALSE)</f>
        <v>JWDDCD2025052800131</v>
      </c>
      <c r="E381" s="33" t="str">
        <f>VLOOKUP(F381,辅助信息!A:B,2,FALSE)</f>
        <v>螺纹钢</v>
      </c>
      <c r="F381" s="33" t="s">
        <v>46</v>
      </c>
      <c r="G381" s="29">
        <v>21</v>
      </c>
      <c r="H381" s="29" t="e">
        <f>_xlfn._xlws.FILTER(#REF!,#REF!&amp;#REF!&amp;#REF!&amp;#REF!=C381&amp;F381&amp;I381&amp;J381,"未发货")</f>
        <v>#REF!</v>
      </c>
      <c r="I381" s="33" t="str">
        <f>VLOOKUP(B381,辅助信息!E:I,3,FALSE)</f>
        <v>（商投建工达州中医药科技园-4工区-2号楼）达州市通川区达州中医药职业学院犀牛大道北段</v>
      </c>
      <c r="J381" s="33" t="str">
        <f>VLOOKUP(B381,辅助信息!E:I,4,FALSE)</f>
        <v>张扬</v>
      </c>
      <c r="K381" s="33">
        <f>VLOOKUP(J381,辅助信息!H:I,2,FALSE)</f>
        <v>18381904567</v>
      </c>
      <c r="L381" s="71"/>
      <c r="M381" s="84">
        <v>45704</v>
      </c>
      <c r="N381" s="50"/>
      <c r="O381" s="55">
        <f ca="1" t="shared" si="0"/>
        <v>0</v>
      </c>
      <c r="P381" s="55">
        <f ca="1" t="shared" si="1"/>
        <v>253</v>
      </c>
      <c r="Q381" s="19" t="str">
        <f>VLOOKUP(B381,辅助信息!E:M,9,FALSE)</f>
        <v>ZTWM-CDGS-XS-2024-0134-商投建工达州中医药科技成果示范园项目</v>
      </c>
      <c r="R381" s="19"/>
    </row>
    <row r="382" hidden="1" spans="2:18">
      <c r="B382" s="33" t="s">
        <v>69</v>
      </c>
      <c r="C382" s="63">
        <v>45702</v>
      </c>
      <c r="D382" s="33" t="str">
        <f>VLOOKUP(B382,辅助信息!E:K,7,FALSE)</f>
        <v>JWDDCD2025052800131</v>
      </c>
      <c r="E382" s="33" t="str">
        <f>VLOOKUP(F382,辅助信息!A:B,2,FALSE)</f>
        <v>螺纹钢</v>
      </c>
      <c r="F382" s="33" t="s">
        <v>22</v>
      </c>
      <c r="G382" s="29">
        <v>21</v>
      </c>
      <c r="H382" s="29" t="e">
        <f>_xlfn._xlws.FILTER(#REF!,#REF!&amp;#REF!&amp;#REF!&amp;#REF!=C382&amp;F382&amp;I382&amp;J382,"未发货")</f>
        <v>#REF!</v>
      </c>
      <c r="I382" s="33" t="str">
        <f>VLOOKUP(B382,辅助信息!E:I,3,FALSE)</f>
        <v>（商投建工达州中医药科技园-4工区-2号楼）达州市通川区达州中医药职业学院犀牛大道北段</v>
      </c>
      <c r="J382" s="33" t="str">
        <f>VLOOKUP(B382,辅助信息!E:I,4,FALSE)</f>
        <v>张扬</v>
      </c>
      <c r="K382" s="33">
        <f>VLOOKUP(J382,辅助信息!H:I,2,FALSE)</f>
        <v>18381904567</v>
      </c>
      <c r="L382" s="69"/>
      <c r="M382" s="84">
        <v>45704</v>
      </c>
      <c r="N382" s="50"/>
      <c r="O382" s="55">
        <f ca="1" t="shared" ref="O382:O408" si="2">IF(OR(M382="",N382&lt;&gt;""),"",MAX(M382-TODAY(),0))</f>
        <v>0</v>
      </c>
      <c r="P382" s="55">
        <f ca="1" t="shared" ref="P382:P408" si="3">IF(M382="","",IF(N382&lt;&gt;"",MAX(N382-M382,0),IF(TODAY()&gt;M382,TODAY()-M382,0)))</f>
        <v>253</v>
      </c>
      <c r="Q382" s="19" t="str">
        <f>VLOOKUP(B382,辅助信息!E:M,9,FALSE)</f>
        <v>ZTWM-CDGS-XS-2024-0134-商投建工达州中医药科技成果示范园项目</v>
      </c>
      <c r="R382" s="19"/>
    </row>
    <row r="383" s="19" customFormat="1" hidden="1" spans="2:17">
      <c r="B383" s="33" t="s">
        <v>80</v>
      </c>
      <c r="C383" s="63">
        <v>45703</v>
      </c>
      <c r="D383" s="33" t="e">
        <f>VLOOKUP(B383,辅助信息!E:K,7,FALSE)</f>
        <v>#N/A</v>
      </c>
      <c r="E383" s="33" t="str">
        <f>VLOOKUP(F383,辅助信息!A:B,2,FALSE)</f>
        <v>盘螺</v>
      </c>
      <c r="F383" s="33" t="s">
        <v>49</v>
      </c>
      <c r="G383" s="33">
        <v>7.5</v>
      </c>
      <c r="H383" s="33" t="e">
        <f>_xlfn._xlws.FILTER(#REF!,#REF!&amp;#REF!&amp;#REF!&amp;#REF!=C383&amp;F383&amp;I383&amp;J383,"未发货")</f>
        <v>#REF!</v>
      </c>
      <c r="I383" s="33" t="e">
        <f>VLOOKUP(B383,辅助信息!E:I,3,FALSE)</f>
        <v>#N/A</v>
      </c>
      <c r="J383" s="33" t="e">
        <f>VLOOKUP(B383,辅助信息!E:I,4,FALSE)</f>
        <v>#N/A</v>
      </c>
      <c r="K383" s="33" t="e">
        <f>VLOOKUP(J383,辅助信息!H:I,2,FALSE)</f>
        <v>#N/A</v>
      </c>
      <c r="L383" s="33" t="e">
        <f>VLOOKUP(B383,辅助信息!E:J,6,FALSE)</f>
        <v>#N/A</v>
      </c>
      <c r="M383" s="88">
        <v>45703</v>
      </c>
      <c r="N383" s="88"/>
      <c r="O383" s="19">
        <f ca="1" t="shared" si="2"/>
        <v>0</v>
      </c>
      <c r="P383" s="19">
        <f ca="1" t="shared" si="3"/>
        <v>254</v>
      </c>
      <c r="Q383" s="19" t="e">
        <f>VLOOKUP(B383,辅助信息!E:M,9,FALSE)</f>
        <v>#N/A</v>
      </c>
    </row>
    <row r="384" s="19" customFormat="1" hidden="1" spans="2:17">
      <c r="B384" s="33" t="s">
        <v>80</v>
      </c>
      <c r="C384" s="63">
        <v>45703</v>
      </c>
      <c r="D384" s="33" t="e">
        <f>VLOOKUP(B384,辅助信息!E:K,7,FALSE)</f>
        <v>#N/A</v>
      </c>
      <c r="E384" s="33" t="str">
        <f>VLOOKUP(F384,辅助信息!A:B,2,FALSE)</f>
        <v>盘螺</v>
      </c>
      <c r="F384" s="33" t="s">
        <v>40</v>
      </c>
      <c r="G384" s="33">
        <v>15</v>
      </c>
      <c r="H384" s="33" t="e">
        <f>_xlfn._xlws.FILTER(#REF!,#REF!&amp;#REF!&amp;#REF!&amp;#REF!=C384&amp;F384&amp;I384&amp;J384,"未发货")</f>
        <v>#REF!</v>
      </c>
      <c r="I384" s="33" t="e">
        <f>VLOOKUP(B384,辅助信息!E:I,3,FALSE)</f>
        <v>#N/A</v>
      </c>
      <c r="J384" s="33" t="e">
        <f>VLOOKUP(B384,辅助信息!E:I,4,FALSE)</f>
        <v>#N/A</v>
      </c>
      <c r="K384" s="33" t="e">
        <f>VLOOKUP(J384,辅助信息!H:I,2,FALSE)</f>
        <v>#N/A</v>
      </c>
      <c r="L384" s="71"/>
      <c r="M384" s="88">
        <v>45703</v>
      </c>
      <c r="N384" s="88"/>
      <c r="O384" s="19">
        <f ca="1" t="shared" si="2"/>
        <v>0</v>
      </c>
      <c r="P384" s="19">
        <f ca="1" t="shared" si="3"/>
        <v>254</v>
      </c>
      <c r="Q384" s="19" t="e">
        <f>VLOOKUP(B384,辅助信息!E:M,9,FALSE)</f>
        <v>#N/A</v>
      </c>
    </row>
    <row r="385" s="19" customFormat="1" hidden="1" spans="2:17">
      <c r="B385" s="33" t="s">
        <v>80</v>
      </c>
      <c r="C385" s="63">
        <v>45703</v>
      </c>
      <c r="D385" s="33" t="e">
        <f>VLOOKUP(B385,辅助信息!E:K,7,FALSE)</f>
        <v>#N/A</v>
      </c>
      <c r="E385" s="33" t="str">
        <f>VLOOKUP(F385,辅助信息!A:B,2,FALSE)</f>
        <v>螺纹钢</v>
      </c>
      <c r="F385" s="33" t="s">
        <v>30</v>
      </c>
      <c r="G385" s="33">
        <v>12</v>
      </c>
      <c r="H385" s="33" t="e">
        <f>_xlfn._xlws.FILTER(#REF!,#REF!&amp;#REF!&amp;#REF!&amp;#REF!=C385&amp;F385&amp;I385&amp;J385,"未发货")</f>
        <v>#REF!</v>
      </c>
      <c r="I385" s="33" t="e">
        <f>VLOOKUP(B385,辅助信息!E:I,3,FALSE)</f>
        <v>#N/A</v>
      </c>
      <c r="J385" s="33" t="e">
        <f>VLOOKUP(B385,辅助信息!E:I,4,FALSE)</f>
        <v>#N/A</v>
      </c>
      <c r="K385" s="33" t="e">
        <f>VLOOKUP(J385,辅助信息!H:I,2,FALSE)</f>
        <v>#N/A</v>
      </c>
      <c r="L385" s="69"/>
      <c r="M385" s="88">
        <v>45703</v>
      </c>
      <c r="N385" s="88"/>
      <c r="O385" s="19">
        <f ca="1" t="shared" si="2"/>
        <v>0</v>
      </c>
      <c r="P385" s="19">
        <f ca="1" t="shared" si="3"/>
        <v>254</v>
      </c>
      <c r="Q385" s="19" t="e">
        <f>VLOOKUP(B385,辅助信息!E:M,9,FALSE)</f>
        <v>#N/A</v>
      </c>
    </row>
    <row r="386" s="19" customFormat="1" hidden="1" spans="1:17">
      <c r="A386" s="89" t="s">
        <v>83</v>
      </c>
      <c r="B386" s="33" t="s">
        <v>64</v>
      </c>
      <c r="C386" s="63">
        <v>45703</v>
      </c>
      <c r="D386" s="33" t="e">
        <f>VLOOKUP(B386,辅助信息!E:K,7,FALSE)</f>
        <v>#N/A</v>
      </c>
      <c r="E386" s="33" t="str">
        <f>VLOOKUP(F386,辅助信息!A:B,2,FALSE)</f>
        <v>盘螺</v>
      </c>
      <c r="F386" s="33" t="s">
        <v>26</v>
      </c>
      <c r="G386" s="90">
        <v>21</v>
      </c>
      <c r="H386" s="33" t="e">
        <f>_xlfn._xlws.FILTER(#REF!,#REF!&amp;#REF!&amp;#REF!&amp;#REF!=C386&amp;F386&amp;I386&amp;J386,"未发货")</f>
        <v>#REF!</v>
      </c>
      <c r="I386" s="33" t="e">
        <f>VLOOKUP(B386,辅助信息!E:I,3,FALSE)</f>
        <v>#N/A</v>
      </c>
      <c r="J386" s="33" t="e">
        <f>VLOOKUP(B386,辅助信息!E:I,4,FALSE)</f>
        <v>#N/A</v>
      </c>
      <c r="K386" s="33" t="e">
        <f>VLOOKUP(J386,辅助信息!H:I,2,FALSE)</f>
        <v>#N/A</v>
      </c>
      <c r="L386" s="33" t="e">
        <f>VLOOKUP(B389,辅助信息!E:J,6,FALSE)</f>
        <v>#N/A</v>
      </c>
      <c r="M386" s="88">
        <v>45704</v>
      </c>
      <c r="O386" s="19">
        <f ca="1" t="shared" si="2"/>
        <v>0</v>
      </c>
      <c r="P386" s="19">
        <f ca="1" t="shared" si="3"/>
        <v>253</v>
      </c>
      <c r="Q386" s="19" t="e">
        <f>VLOOKUP(B386,辅助信息!E:M,9,FALSE)</f>
        <v>#N/A</v>
      </c>
    </row>
    <row r="387" s="19" customFormat="1" hidden="1" spans="2:17">
      <c r="B387" s="33" t="s">
        <v>64</v>
      </c>
      <c r="C387" s="63">
        <v>45703</v>
      </c>
      <c r="D387" s="33" t="e">
        <f>VLOOKUP(B387,辅助信息!E:K,7,FALSE)</f>
        <v>#N/A</v>
      </c>
      <c r="E387" s="33" t="str">
        <f>VLOOKUP(F387,辅助信息!A:B,2,FALSE)</f>
        <v>螺纹钢</v>
      </c>
      <c r="F387" s="33" t="s">
        <v>32</v>
      </c>
      <c r="G387" s="33">
        <v>21</v>
      </c>
      <c r="H387" s="33" t="e">
        <f>_xlfn._xlws.FILTER(#REF!,#REF!&amp;#REF!&amp;#REF!&amp;#REF!=C387&amp;F387&amp;I387&amp;J387,"未发货")</f>
        <v>#REF!</v>
      </c>
      <c r="I387" s="33" t="e">
        <f>VLOOKUP(B387,辅助信息!E:I,3,FALSE)</f>
        <v>#N/A</v>
      </c>
      <c r="J387" s="33" t="e">
        <f>VLOOKUP(B387,辅助信息!E:I,4,FALSE)</f>
        <v>#N/A</v>
      </c>
      <c r="K387" s="33" t="e">
        <f>VLOOKUP(J387,辅助信息!H:I,2,FALSE)</f>
        <v>#N/A</v>
      </c>
      <c r="L387" s="71"/>
      <c r="M387" s="88">
        <v>45704</v>
      </c>
      <c r="O387" s="19">
        <f ca="1" t="shared" si="2"/>
        <v>0</v>
      </c>
      <c r="P387" s="19">
        <f ca="1" t="shared" si="3"/>
        <v>253</v>
      </c>
      <c r="Q387" s="19" t="e">
        <f>VLOOKUP(B387,辅助信息!E:M,9,FALSE)</f>
        <v>#N/A</v>
      </c>
    </row>
    <row r="388" s="19" customFormat="1" hidden="1" spans="2:17">
      <c r="B388" s="33" t="s">
        <v>64</v>
      </c>
      <c r="C388" s="63">
        <v>45703</v>
      </c>
      <c r="D388" s="33" t="e">
        <f>VLOOKUP(B388,辅助信息!E:K,7,FALSE)</f>
        <v>#N/A</v>
      </c>
      <c r="E388" s="33" t="str">
        <f>VLOOKUP(F388,辅助信息!A:B,2,FALSE)</f>
        <v>螺纹钢</v>
      </c>
      <c r="F388" s="33" t="s">
        <v>18</v>
      </c>
      <c r="G388" s="33">
        <v>21</v>
      </c>
      <c r="H388" s="33" t="e">
        <f>_xlfn._xlws.FILTER(#REF!,#REF!&amp;#REF!&amp;#REF!&amp;#REF!=C388&amp;F388&amp;I388&amp;J388,"未发货")</f>
        <v>#REF!</v>
      </c>
      <c r="I388" s="33" t="e">
        <f>VLOOKUP(B388,辅助信息!E:I,3,FALSE)</f>
        <v>#N/A</v>
      </c>
      <c r="J388" s="33" t="e">
        <f>VLOOKUP(B388,辅助信息!E:I,4,FALSE)</f>
        <v>#N/A</v>
      </c>
      <c r="K388" s="33" t="e">
        <f>VLOOKUP(J388,辅助信息!H:I,2,FALSE)</f>
        <v>#N/A</v>
      </c>
      <c r="L388" s="71"/>
      <c r="M388" s="88">
        <v>45704</v>
      </c>
      <c r="O388" s="19">
        <f ca="1" t="shared" si="2"/>
        <v>0</v>
      </c>
      <c r="P388" s="19">
        <f ca="1" t="shared" si="3"/>
        <v>253</v>
      </c>
      <c r="Q388" s="19" t="e">
        <f>VLOOKUP(B388,辅助信息!E:M,9,FALSE)</f>
        <v>#N/A</v>
      </c>
    </row>
    <row r="389" s="19" customFormat="1" hidden="1" spans="1:17">
      <c r="A389" s="55"/>
      <c r="B389" s="33" t="s">
        <v>64</v>
      </c>
      <c r="C389" s="63">
        <v>45703</v>
      </c>
      <c r="D389" s="33" t="e">
        <f>VLOOKUP(B389,辅助信息!E:K,7,FALSE)</f>
        <v>#N/A</v>
      </c>
      <c r="E389" s="33" t="str">
        <f>VLOOKUP(F389,辅助信息!A:B,2,FALSE)</f>
        <v>螺纹钢</v>
      </c>
      <c r="F389" s="33" t="s">
        <v>65</v>
      </c>
      <c r="G389" s="29">
        <v>42</v>
      </c>
      <c r="H389" s="29" t="e">
        <f>_xlfn._xlws.FILTER(#REF!,#REF!&amp;#REF!&amp;#REF!&amp;#REF!=C389&amp;F389&amp;I389&amp;J389,"未发货")</f>
        <v>#REF!</v>
      </c>
      <c r="I389" s="33" t="e">
        <f>VLOOKUP(B389,辅助信息!E:I,3,FALSE)</f>
        <v>#N/A</v>
      </c>
      <c r="J389" s="33" t="e">
        <f>VLOOKUP(B389,辅助信息!E:I,4,FALSE)</f>
        <v>#N/A</v>
      </c>
      <c r="K389" s="33" t="e">
        <f>VLOOKUP(J389,辅助信息!H:I,2,FALSE)</f>
        <v>#N/A</v>
      </c>
      <c r="L389" s="69"/>
      <c r="M389" s="84">
        <v>45704</v>
      </c>
      <c r="N389" s="55"/>
      <c r="O389" s="55">
        <f ca="1" t="shared" si="2"/>
        <v>0</v>
      </c>
      <c r="P389" s="55">
        <f ca="1" t="shared" si="3"/>
        <v>253</v>
      </c>
      <c r="Q389" s="19" t="e">
        <f>VLOOKUP(B389,辅助信息!E:M,9,FALSE)</f>
        <v>#N/A</v>
      </c>
    </row>
    <row r="390" s="19" customFormat="1" hidden="1" spans="1:17">
      <c r="A390" s="55"/>
      <c r="B390" s="33" t="s">
        <v>48</v>
      </c>
      <c r="C390" s="63">
        <v>45703</v>
      </c>
      <c r="D390" s="33" t="str">
        <f>VLOOKUP(B390,辅助信息!E:K,7,FALSE)</f>
        <v>ZTWM-CDGS-YL-20240529-006</v>
      </c>
      <c r="E390" s="33" t="str">
        <f>VLOOKUP(F390,辅助信息!A:B,2,FALSE)</f>
        <v>盘螺</v>
      </c>
      <c r="F390" s="33" t="s">
        <v>49</v>
      </c>
      <c r="G390" s="29">
        <v>3</v>
      </c>
      <c r="H390" s="29" t="e">
        <f>_xlfn._xlws.FILTER(#REF!,#REF!&amp;#REF!&amp;#REF!&amp;#REF!=C390&amp;F390&amp;I390&amp;J390,"未发货")</f>
        <v>#REF!</v>
      </c>
      <c r="I390" s="33" t="str">
        <f>VLOOKUP(B390,辅助信息!E:I,3,FALSE)</f>
        <v>(华西颐海-科创农业生态谷-1号钢筋房)成都市简阳市白金山水库</v>
      </c>
      <c r="J390" s="33" t="str">
        <f>VLOOKUP(B390,辅助信息!E:I,4,FALSE)</f>
        <v>石清国</v>
      </c>
      <c r="K390" s="33">
        <f>VLOOKUP(J390,辅助信息!H:I,2,FALSE)</f>
        <v>13458642015</v>
      </c>
      <c r="L390" s="36" t="str">
        <f>VLOOKUP(B390,辅助信息!E:J,6,FALSE)</f>
        <v>优先威钢,我方卸车,新老国标钢厂不加价可直发</v>
      </c>
      <c r="M390" s="84">
        <v>45705</v>
      </c>
      <c r="N390" s="55"/>
      <c r="O390" s="55">
        <f ca="1" t="shared" si="2"/>
        <v>0</v>
      </c>
      <c r="P390" s="55">
        <f ca="1" t="shared" si="3"/>
        <v>252</v>
      </c>
      <c r="Q390" s="19" t="str">
        <f>VLOOKUP(B390,辅助信息!E:M,9,FALSE)</f>
        <v>ZTWM-CDGS-XS-2024-0093-华西-颐海科创农业生态谷</v>
      </c>
    </row>
    <row r="391" s="19" customFormat="1" hidden="1" spans="1:17">
      <c r="A391" s="55"/>
      <c r="B391" s="33" t="s">
        <v>48</v>
      </c>
      <c r="C391" s="63">
        <v>45703</v>
      </c>
      <c r="D391" s="33" t="str">
        <f>VLOOKUP(B391,辅助信息!E:K,7,FALSE)</f>
        <v>ZTWM-CDGS-YL-20240529-006</v>
      </c>
      <c r="E391" s="33" t="str">
        <f>VLOOKUP(F391,辅助信息!A:B,2,FALSE)</f>
        <v>盘螺</v>
      </c>
      <c r="F391" s="33" t="s">
        <v>40</v>
      </c>
      <c r="G391" s="29">
        <v>10</v>
      </c>
      <c r="H391" s="29" t="e">
        <f>_xlfn._xlws.FILTER(#REF!,#REF!&amp;#REF!&amp;#REF!&amp;#REF!=C391&amp;F391&amp;I391&amp;J391,"未发货")</f>
        <v>#REF!</v>
      </c>
      <c r="I391" s="33" t="str">
        <f>VLOOKUP(B391,辅助信息!E:I,3,FALSE)</f>
        <v>(华西颐海-科创农业生态谷-1号钢筋房)成都市简阳市白金山水库</v>
      </c>
      <c r="J391" s="33" t="str">
        <f>VLOOKUP(B391,辅助信息!E:I,4,FALSE)</f>
        <v>石清国</v>
      </c>
      <c r="K391" s="33">
        <f>VLOOKUP(J391,辅助信息!H:I,2,FALSE)</f>
        <v>13458642015</v>
      </c>
      <c r="L391" s="71"/>
      <c r="M391" s="84">
        <v>45705</v>
      </c>
      <c r="N391" s="55"/>
      <c r="O391" s="55">
        <f ca="1" t="shared" si="2"/>
        <v>0</v>
      </c>
      <c r="P391" s="55">
        <f ca="1" t="shared" si="3"/>
        <v>252</v>
      </c>
      <c r="Q391" s="19" t="str">
        <f>VLOOKUP(B391,辅助信息!E:M,9,FALSE)</f>
        <v>ZTWM-CDGS-XS-2024-0093-华西-颐海科创农业生态谷</v>
      </c>
    </row>
    <row r="392" s="19" customFormat="1" hidden="1" spans="1:17">
      <c r="A392" s="55"/>
      <c r="B392" s="33" t="s">
        <v>48</v>
      </c>
      <c r="C392" s="63">
        <v>45703</v>
      </c>
      <c r="D392" s="33" t="str">
        <f>VLOOKUP(B392,辅助信息!E:K,7,FALSE)</f>
        <v>ZTWM-CDGS-YL-20240529-006</v>
      </c>
      <c r="E392" s="33" t="str">
        <f>VLOOKUP(F392,辅助信息!A:B,2,FALSE)</f>
        <v>盘螺</v>
      </c>
      <c r="F392" s="33" t="s">
        <v>41</v>
      </c>
      <c r="G392" s="29">
        <v>10</v>
      </c>
      <c r="H392" s="29" t="e">
        <f>_xlfn._xlws.FILTER(#REF!,#REF!&amp;#REF!&amp;#REF!&amp;#REF!=C392&amp;F392&amp;I392&amp;J392,"未发货")</f>
        <v>#REF!</v>
      </c>
      <c r="I392" s="33" t="str">
        <f>VLOOKUP(B392,辅助信息!E:I,3,FALSE)</f>
        <v>(华西颐海-科创农业生态谷-1号钢筋房)成都市简阳市白金山水库</v>
      </c>
      <c r="J392" s="33" t="str">
        <f>VLOOKUP(B392,辅助信息!E:I,4,FALSE)</f>
        <v>石清国</v>
      </c>
      <c r="K392" s="33">
        <f>VLOOKUP(J392,辅助信息!H:I,2,FALSE)</f>
        <v>13458642015</v>
      </c>
      <c r="L392" s="71"/>
      <c r="M392" s="84">
        <v>45705</v>
      </c>
      <c r="N392" s="55"/>
      <c r="O392" s="55">
        <f ca="1" t="shared" si="2"/>
        <v>0</v>
      </c>
      <c r="P392" s="55">
        <f ca="1" t="shared" si="3"/>
        <v>252</v>
      </c>
      <c r="Q392" s="19" t="str">
        <f>VLOOKUP(B392,辅助信息!E:M,9,FALSE)</f>
        <v>ZTWM-CDGS-XS-2024-0093-华西-颐海科创农业生态谷</v>
      </c>
    </row>
    <row r="393" s="19" customFormat="1" hidden="1" spans="1:17">
      <c r="A393" s="55"/>
      <c r="B393" s="33" t="s">
        <v>48</v>
      </c>
      <c r="C393" s="63">
        <v>45703</v>
      </c>
      <c r="D393" s="33" t="str">
        <f>VLOOKUP(B393,辅助信息!E:K,7,FALSE)</f>
        <v>ZTWM-CDGS-YL-20240529-006</v>
      </c>
      <c r="E393" s="33" t="str">
        <f>VLOOKUP(F393,辅助信息!A:B,2,FALSE)</f>
        <v>螺纹钢</v>
      </c>
      <c r="F393" s="33" t="s">
        <v>66</v>
      </c>
      <c r="G393" s="29">
        <v>12</v>
      </c>
      <c r="H393" s="29" t="e">
        <f>_xlfn._xlws.FILTER(#REF!,#REF!&amp;#REF!&amp;#REF!&amp;#REF!=C393&amp;F393&amp;I393&amp;J393,"未发货")</f>
        <v>#REF!</v>
      </c>
      <c r="I393" s="33" t="str">
        <f>VLOOKUP(B393,辅助信息!E:I,3,FALSE)</f>
        <v>(华西颐海-科创农业生态谷-1号钢筋房)成都市简阳市白金山水库</v>
      </c>
      <c r="J393" s="33" t="str">
        <f>VLOOKUP(B393,辅助信息!E:I,4,FALSE)</f>
        <v>石清国</v>
      </c>
      <c r="K393" s="33">
        <f>VLOOKUP(J393,辅助信息!H:I,2,FALSE)</f>
        <v>13458642015</v>
      </c>
      <c r="L393" s="71"/>
      <c r="M393" s="84">
        <v>45705</v>
      </c>
      <c r="N393" s="55"/>
      <c r="O393" s="55">
        <f ca="1" t="shared" si="2"/>
        <v>0</v>
      </c>
      <c r="P393" s="55">
        <f ca="1" t="shared" si="3"/>
        <v>252</v>
      </c>
      <c r="Q393" s="19" t="str">
        <f>VLOOKUP(B393,辅助信息!E:M,9,FALSE)</f>
        <v>ZTWM-CDGS-XS-2024-0093-华西-颐海科创农业生态谷</v>
      </c>
    </row>
    <row r="394" s="19" customFormat="1" hidden="1" spans="1:17">
      <c r="A394" s="55"/>
      <c r="B394" s="33" t="s">
        <v>48</v>
      </c>
      <c r="C394" s="63">
        <v>45703</v>
      </c>
      <c r="D394" s="33" t="str">
        <f>VLOOKUP(B394,辅助信息!E:K,7,FALSE)</f>
        <v>ZTWM-CDGS-YL-20240529-006</v>
      </c>
      <c r="E394" s="33" t="str">
        <f>VLOOKUP(F394,辅助信息!A:B,2,FALSE)</f>
        <v>螺纹钢</v>
      </c>
      <c r="F394" s="33" t="s">
        <v>22</v>
      </c>
      <c r="G394" s="29">
        <v>6</v>
      </c>
      <c r="H394" s="29" t="e">
        <f>_xlfn._xlws.FILTER(#REF!,#REF!&amp;#REF!&amp;#REF!&amp;#REF!=C394&amp;F394&amp;I394&amp;J394,"未发货")</f>
        <v>#REF!</v>
      </c>
      <c r="I394" s="33" t="str">
        <f>VLOOKUP(B394,辅助信息!E:I,3,FALSE)</f>
        <v>(华西颐海-科创农业生态谷-1号钢筋房)成都市简阳市白金山水库</v>
      </c>
      <c r="J394" s="33" t="str">
        <f>VLOOKUP(B394,辅助信息!E:I,4,FALSE)</f>
        <v>石清国</v>
      </c>
      <c r="K394" s="33">
        <f>VLOOKUP(J394,辅助信息!H:I,2,FALSE)</f>
        <v>13458642015</v>
      </c>
      <c r="L394" s="69"/>
      <c r="M394" s="84">
        <v>45705</v>
      </c>
      <c r="N394" s="55"/>
      <c r="O394" s="55">
        <f ca="1" t="shared" si="2"/>
        <v>0</v>
      </c>
      <c r="P394" s="55">
        <f ca="1" t="shared" si="3"/>
        <v>252</v>
      </c>
      <c r="Q394" s="19" t="str">
        <f>VLOOKUP(B394,辅助信息!E:M,9,FALSE)</f>
        <v>ZTWM-CDGS-XS-2024-0093-华西-颐海科创农业生态谷</v>
      </c>
    </row>
    <row r="395" s="19" customFormat="1" hidden="1" spans="1:17">
      <c r="A395" s="55"/>
      <c r="B395" s="33" t="s">
        <v>29</v>
      </c>
      <c r="C395" s="63">
        <v>45703</v>
      </c>
      <c r="D395" s="33" t="e">
        <f>VLOOKUP(B395,辅助信息!E:K,7,FALSE)</f>
        <v>#N/A</v>
      </c>
      <c r="E395" s="33" t="str">
        <f>VLOOKUP(F395,辅助信息!A:B,2,FALSE)</f>
        <v>螺纹钢</v>
      </c>
      <c r="F395" s="33" t="s">
        <v>27</v>
      </c>
      <c r="G395" s="29">
        <v>15</v>
      </c>
      <c r="H395" s="29" t="e">
        <f>_xlfn._xlws.FILTER(#REF!,#REF!&amp;#REF!&amp;#REF!&amp;#REF!=C395&amp;F395&amp;I395&amp;J395,"未发货")</f>
        <v>#REF!</v>
      </c>
      <c r="I395" s="33" t="e">
        <f>VLOOKUP(B395,辅助信息!E:I,3,FALSE)</f>
        <v>#N/A</v>
      </c>
      <c r="J395" s="33" t="e">
        <f>VLOOKUP(B395,辅助信息!E:I,4,FALSE)</f>
        <v>#N/A</v>
      </c>
      <c r="K395" s="33" t="e">
        <f>VLOOKUP(J395,辅助信息!H:I,2,FALSE)</f>
        <v>#N/A</v>
      </c>
      <c r="L395" s="36" t="e">
        <f>VLOOKUP(B395,辅助信息!E:J,6,FALSE)</f>
        <v>#N/A</v>
      </c>
      <c r="M395" s="84">
        <v>45705</v>
      </c>
      <c r="N395" s="50"/>
      <c r="O395" s="55">
        <f ca="1" t="shared" si="2"/>
        <v>0</v>
      </c>
      <c r="P395" s="55">
        <f ca="1" t="shared" si="3"/>
        <v>252</v>
      </c>
      <c r="Q395" s="19" t="e">
        <f>VLOOKUP(B395,辅助信息!E:M,9,FALSE)</f>
        <v>#N/A</v>
      </c>
    </row>
    <row r="396" s="19" customFormat="1" hidden="1" spans="1:17">
      <c r="A396" s="55"/>
      <c r="B396" s="33" t="s">
        <v>29</v>
      </c>
      <c r="C396" s="63">
        <v>45703</v>
      </c>
      <c r="D396" s="33" t="e">
        <f>VLOOKUP(B396,辅助信息!E:K,7,FALSE)</f>
        <v>#N/A</v>
      </c>
      <c r="E396" s="33" t="str">
        <f>VLOOKUP(F396,辅助信息!A:B,2,FALSE)</f>
        <v>螺纹钢</v>
      </c>
      <c r="F396" s="33" t="s">
        <v>32</v>
      </c>
      <c r="G396" s="29">
        <v>20</v>
      </c>
      <c r="H396" s="29" t="e">
        <f>_xlfn._xlws.FILTER(#REF!,#REF!&amp;#REF!&amp;#REF!&amp;#REF!=C396&amp;F396&amp;I396&amp;J396,"未发货")</f>
        <v>#REF!</v>
      </c>
      <c r="I396" s="33" t="e">
        <f>VLOOKUP(B396,辅助信息!E:I,3,FALSE)</f>
        <v>#N/A</v>
      </c>
      <c r="J396" s="33" t="e">
        <f>VLOOKUP(B396,辅助信息!E:I,4,FALSE)</f>
        <v>#N/A</v>
      </c>
      <c r="K396" s="33" t="e">
        <f>VLOOKUP(J396,辅助信息!H:I,2,FALSE)</f>
        <v>#N/A</v>
      </c>
      <c r="L396" s="71"/>
      <c r="M396" s="84">
        <v>45705</v>
      </c>
      <c r="N396" s="50"/>
      <c r="O396" s="55">
        <f ca="1" t="shared" si="2"/>
        <v>0</v>
      </c>
      <c r="P396" s="55">
        <f ca="1" t="shared" si="3"/>
        <v>252</v>
      </c>
      <c r="Q396" s="19" t="e">
        <f>VLOOKUP(B396,辅助信息!E:M,9,FALSE)</f>
        <v>#N/A</v>
      </c>
    </row>
    <row r="397" s="19" customFormat="1" hidden="1" spans="1:17">
      <c r="A397" s="55"/>
      <c r="B397" s="33" t="s">
        <v>29</v>
      </c>
      <c r="C397" s="63">
        <v>45703</v>
      </c>
      <c r="D397" s="33" t="e">
        <f>VLOOKUP(B397,辅助信息!E:K,7,FALSE)</f>
        <v>#N/A</v>
      </c>
      <c r="E397" s="33" t="str">
        <f>VLOOKUP(F397,辅助信息!A:B,2,FALSE)</f>
        <v>螺纹钢</v>
      </c>
      <c r="F397" s="33" t="s">
        <v>30</v>
      </c>
      <c r="G397" s="29">
        <v>35</v>
      </c>
      <c r="H397" s="29" t="e">
        <f>_xlfn._xlws.FILTER(#REF!,#REF!&amp;#REF!&amp;#REF!&amp;#REF!=C397&amp;F397&amp;I397&amp;J397,"未发货")</f>
        <v>#REF!</v>
      </c>
      <c r="I397" s="33" t="e">
        <f>VLOOKUP(B397,辅助信息!E:I,3,FALSE)</f>
        <v>#N/A</v>
      </c>
      <c r="J397" s="33" t="e">
        <f>VLOOKUP(B397,辅助信息!E:I,4,FALSE)</f>
        <v>#N/A</v>
      </c>
      <c r="K397" s="33" t="e">
        <f>VLOOKUP(J397,辅助信息!H:I,2,FALSE)</f>
        <v>#N/A</v>
      </c>
      <c r="L397" s="69"/>
      <c r="M397" s="84">
        <v>45705</v>
      </c>
      <c r="N397" s="50"/>
      <c r="O397" s="55">
        <f ca="1" t="shared" si="2"/>
        <v>0</v>
      </c>
      <c r="P397" s="55">
        <f ca="1" t="shared" si="3"/>
        <v>252</v>
      </c>
      <c r="Q397" s="19" t="e">
        <f>VLOOKUP(B397,辅助信息!E:M,9,FALSE)</f>
        <v>#N/A</v>
      </c>
    </row>
    <row r="398" s="19" customFormat="1" ht="60" hidden="1" customHeight="1" spans="1:17">
      <c r="A398" s="55"/>
      <c r="B398" s="33" t="s">
        <v>78</v>
      </c>
      <c r="C398" s="63">
        <v>45703</v>
      </c>
      <c r="D398" s="33" t="e">
        <f>VLOOKUP(B398,辅助信息!E:K,7,FALSE)</f>
        <v>#N/A</v>
      </c>
      <c r="E398" s="33" t="str">
        <f>VLOOKUP(F398,辅助信息!A:B,2,FALSE)</f>
        <v>螺纹钢</v>
      </c>
      <c r="F398" s="33" t="s">
        <v>33</v>
      </c>
      <c r="G398" s="29">
        <f>55-36</f>
        <v>19</v>
      </c>
      <c r="H398" s="29" t="e">
        <f>_xlfn._xlws.FILTER(#REF!,#REF!&amp;#REF!&amp;#REF!&amp;#REF!=C398&amp;F398&amp;I398&amp;J398,"未发货")</f>
        <v>#REF!</v>
      </c>
      <c r="I398" s="33" t="e">
        <f>VLOOKUP(B398,辅助信息!E:I,3,FALSE)</f>
        <v>#N/A</v>
      </c>
      <c r="J398" s="33" t="e">
        <f>VLOOKUP(B398,辅助信息!E:I,4,FALSE)</f>
        <v>#N/A</v>
      </c>
      <c r="K398" s="33" t="e">
        <f>VLOOKUP(J398,辅助信息!H:I,2,FALSE)</f>
        <v>#N/A</v>
      </c>
      <c r="L398" s="36" t="e">
        <f>VLOOKUP(B398,辅助信息!E:J,6,FALSE)</f>
        <v>#N/A</v>
      </c>
      <c r="M398" s="84">
        <v>45705</v>
      </c>
      <c r="N398" s="55"/>
      <c r="O398" s="55">
        <f ca="1" t="shared" si="2"/>
        <v>0</v>
      </c>
      <c r="P398" s="55">
        <f ca="1" t="shared" si="3"/>
        <v>252</v>
      </c>
      <c r="Q398" s="19" t="e">
        <f>VLOOKUP(B398,辅助信息!E:M,9,FALSE)</f>
        <v>#N/A</v>
      </c>
    </row>
    <row r="399" s="19" customFormat="1" hidden="1" spans="1:17">
      <c r="A399" s="55"/>
      <c r="B399" s="33" t="s">
        <v>69</v>
      </c>
      <c r="C399" s="63">
        <v>45703</v>
      </c>
      <c r="D399" s="33" t="str">
        <f>VLOOKUP(B399,辅助信息!E:K,7,FALSE)</f>
        <v>JWDDCD2025052800131</v>
      </c>
      <c r="E399" s="33" t="str">
        <f>VLOOKUP(F399,辅助信息!A:B,2,FALSE)</f>
        <v>盘螺</v>
      </c>
      <c r="F399" s="33" t="s">
        <v>40</v>
      </c>
      <c r="G399" s="29">
        <v>6</v>
      </c>
      <c r="H399" s="29" t="e">
        <f>_xlfn._xlws.FILTER(#REF!,#REF!&amp;#REF!&amp;#REF!&amp;#REF!=C399&amp;F399&amp;I399&amp;J399,"未发货")</f>
        <v>#REF!</v>
      </c>
      <c r="I399" s="33" t="str">
        <f>VLOOKUP(B399,辅助信息!E:I,3,FALSE)</f>
        <v>（商投建工达州中医药科技园-4工区-2号楼）达州市通川区达州中医药职业学院犀牛大道北段</v>
      </c>
      <c r="J399" s="33" t="str">
        <f>VLOOKUP(B399,辅助信息!E:I,4,FALSE)</f>
        <v>张扬</v>
      </c>
      <c r="K399" s="33">
        <f>VLOOKUP(J399,辅助信息!H:I,2,FALSE)</f>
        <v>18381904567</v>
      </c>
      <c r="L399" s="36" t="str">
        <f>VLOOKUP(B399,辅助信息!E:J,6,FALSE)</f>
        <v>控制炉批号！多了现场不收！,优先安排达钢,提前联系到场规格及数量</v>
      </c>
      <c r="M399" s="84">
        <v>45704</v>
      </c>
      <c r="N399" s="55"/>
      <c r="O399" s="55">
        <f ca="1" t="shared" si="2"/>
        <v>0</v>
      </c>
      <c r="P399" s="55">
        <f ca="1" t="shared" si="3"/>
        <v>253</v>
      </c>
      <c r="Q399" s="19" t="str">
        <f>VLOOKUP(B399,辅助信息!E:M,9,FALSE)</f>
        <v>ZTWM-CDGS-XS-2024-0134-商投建工达州中医药科技成果示范园项目</v>
      </c>
    </row>
    <row r="400" s="19" customFormat="1" hidden="1" spans="1:17">
      <c r="A400" s="55"/>
      <c r="B400" s="33" t="s">
        <v>69</v>
      </c>
      <c r="C400" s="63">
        <v>45703</v>
      </c>
      <c r="D400" s="33" t="str">
        <f>VLOOKUP(B400,辅助信息!E:K,7,FALSE)</f>
        <v>JWDDCD2025052800131</v>
      </c>
      <c r="E400" s="33" t="str">
        <f>VLOOKUP(F400,辅助信息!A:B,2,FALSE)</f>
        <v>盘螺</v>
      </c>
      <c r="F400" s="33" t="s">
        <v>41</v>
      </c>
      <c r="G400" s="29">
        <v>9</v>
      </c>
      <c r="H400" s="29" t="e">
        <f>_xlfn._xlws.FILTER(#REF!,#REF!&amp;#REF!&amp;#REF!&amp;#REF!=C400&amp;F400&amp;I400&amp;J400,"未发货")</f>
        <v>#REF!</v>
      </c>
      <c r="I400" s="33" t="str">
        <f>VLOOKUP(B400,辅助信息!E:I,3,FALSE)</f>
        <v>（商投建工达州中医药科技园-4工区-2号楼）达州市通川区达州中医药职业学院犀牛大道北段</v>
      </c>
      <c r="J400" s="33" t="str">
        <f>VLOOKUP(B400,辅助信息!E:I,4,FALSE)</f>
        <v>张扬</v>
      </c>
      <c r="K400" s="33">
        <f>VLOOKUP(J400,辅助信息!H:I,2,FALSE)</f>
        <v>18381904567</v>
      </c>
      <c r="L400" s="71"/>
      <c r="M400" s="84">
        <v>45704</v>
      </c>
      <c r="N400" s="55"/>
      <c r="O400" s="55">
        <f ca="1" t="shared" si="2"/>
        <v>0</v>
      </c>
      <c r="P400" s="55">
        <f ca="1" t="shared" si="3"/>
        <v>253</v>
      </c>
      <c r="Q400" s="19" t="str">
        <f>VLOOKUP(B400,辅助信息!E:M,9,FALSE)</f>
        <v>ZTWM-CDGS-XS-2024-0134-商投建工达州中医药科技成果示范园项目</v>
      </c>
    </row>
    <row r="401" hidden="1" spans="1:18">
      <c r="A401" s="55"/>
      <c r="B401" s="33" t="s">
        <v>69</v>
      </c>
      <c r="C401" s="63">
        <v>45703</v>
      </c>
      <c r="D401" s="33" t="str">
        <f>VLOOKUP(B401,辅助信息!E:K,7,FALSE)</f>
        <v>JWDDCD2025052800131</v>
      </c>
      <c r="E401" s="33" t="str">
        <f>VLOOKUP(F401,辅助信息!A:B,2,FALSE)</f>
        <v>螺纹钢</v>
      </c>
      <c r="F401" s="33" t="s">
        <v>32</v>
      </c>
      <c r="G401" s="29">
        <v>12</v>
      </c>
      <c r="H401" s="29" t="e">
        <f>_xlfn._xlws.FILTER(#REF!,#REF!&amp;#REF!&amp;#REF!&amp;#REF!=C401&amp;F401&amp;I401&amp;J401,"未发货")</f>
        <v>#REF!</v>
      </c>
      <c r="I401" s="33" t="str">
        <f>VLOOKUP(B401,辅助信息!E:I,3,FALSE)</f>
        <v>（商投建工达州中医药科技园-4工区-2号楼）达州市通川区达州中医药职业学院犀牛大道北段</v>
      </c>
      <c r="J401" s="33" t="str">
        <f>VLOOKUP(B401,辅助信息!E:I,4,FALSE)</f>
        <v>张扬</v>
      </c>
      <c r="K401" s="33">
        <f>VLOOKUP(J401,辅助信息!H:I,2,FALSE)</f>
        <v>18381904567</v>
      </c>
      <c r="L401" s="71"/>
      <c r="M401" s="84">
        <v>45704</v>
      </c>
      <c r="O401" s="55">
        <f ca="1" t="shared" si="2"/>
        <v>0</v>
      </c>
      <c r="P401" s="55">
        <f ca="1" t="shared" si="3"/>
        <v>253</v>
      </c>
      <c r="Q401" s="19" t="str">
        <f>VLOOKUP(B401,辅助信息!E:M,9,FALSE)</f>
        <v>ZTWM-CDGS-XS-2024-0134-商投建工达州中医药科技成果示范园项目</v>
      </c>
      <c r="R401" s="19"/>
    </row>
    <row r="402" hidden="1" spans="1:18">
      <c r="A402" s="55"/>
      <c r="B402" s="33" t="s">
        <v>69</v>
      </c>
      <c r="C402" s="63">
        <v>45703</v>
      </c>
      <c r="D402" s="33" t="str">
        <f>VLOOKUP(B402,辅助信息!E:K,7,FALSE)</f>
        <v>JWDDCD2025052800131</v>
      </c>
      <c r="E402" s="33" t="str">
        <f>VLOOKUP(F402,辅助信息!A:B,2,FALSE)</f>
        <v>螺纹钢</v>
      </c>
      <c r="F402" s="33" t="s">
        <v>21</v>
      </c>
      <c r="G402" s="29">
        <v>30</v>
      </c>
      <c r="H402" s="29" t="e">
        <f>_xlfn._xlws.FILTER(#REF!,#REF!&amp;#REF!&amp;#REF!&amp;#REF!=C402&amp;F402&amp;I402&amp;J402,"未发货")</f>
        <v>#REF!</v>
      </c>
      <c r="I402" s="33" t="str">
        <f>VLOOKUP(B402,辅助信息!E:I,3,FALSE)</f>
        <v>（商投建工达州中医药科技园-4工区-2号楼）达州市通川区达州中医药职业学院犀牛大道北段</v>
      </c>
      <c r="J402" s="33" t="str">
        <f>VLOOKUP(B402,辅助信息!E:I,4,FALSE)</f>
        <v>张扬</v>
      </c>
      <c r="K402" s="33">
        <f>VLOOKUP(J402,辅助信息!H:I,2,FALSE)</f>
        <v>18381904567</v>
      </c>
      <c r="L402" s="69"/>
      <c r="M402" s="84">
        <v>45704</v>
      </c>
      <c r="O402" s="55">
        <f ca="1" t="shared" si="2"/>
        <v>0</v>
      </c>
      <c r="P402" s="55">
        <f ca="1" t="shared" si="3"/>
        <v>253</v>
      </c>
      <c r="Q402" s="19" t="str">
        <f>VLOOKUP(B402,辅助信息!E:M,9,FALSE)</f>
        <v>ZTWM-CDGS-XS-2024-0134-商投建工达州中医药科技成果示范园项目</v>
      </c>
      <c r="R402" s="19"/>
    </row>
    <row r="403" hidden="1" spans="2:18">
      <c r="B403" s="33" t="s">
        <v>84</v>
      </c>
      <c r="C403" s="63">
        <v>45703</v>
      </c>
      <c r="D403" s="33" t="e">
        <f>VLOOKUP(B403,辅助信息!E:K,7,FALSE)</f>
        <v>#N/A</v>
      </c>
      <c r="E403" s="33" t="str">
        <f>VLOOKUP(F403,辅助信息!A:B,2,FALSE)</f>
        <v>螺纹钢</v>
      </c>
      <c r="F403" s="33" t="s">
        <v>27</v>
      </c>
      <c r="G403" s="29">
        <v>8</v>
      </c>
      <c r="H403" s="29" t="e">
        <f>_xlfn._xlws.FILTER(#REF!,#REF!&amp;#REF!&amp;#REF!&amp;#REF!=C403&amp;F403&amp;I403&amp;J403,"未发货")</f>
        <v>#REF!</v>
      </c>
      <c r="I403" s="33" t="e">
        <f>VLOOKUP(B403,辅助信息!E:I,3,FALSE)</f>
        <v>#N/A</v>
      </c>
      <c r="J403" s="33" t="e">
        <f>VLOOKUP(B403,辅助信息!E:I,4,FALSE)</f>
        <v>#N/A</v>
      </c>
      <c r="K403" s="33" t="e">
        <f>VLOOKUP(J403,辅助信息!H:I,2,FALSE)</f>
        <v>#N/A</v>
      </c>
      <c r="L403" s="36" t="e">
        <f>VLOOKUP(B403,辅助信息!E:J,6,FALSE)</f>
        <v>#N/A</v>
      </c>
      <c r="M403" s="84">
        <v>45705</v>
      </c>
      <c r="N403" s="50"/>
      <c r="O403" s="55">
        <f ca="1" t="shared" si="2"/>
        <v>0</v>
      </c>
      <c r="P403" s="55">
        <f ca="1" t="shared" si="3"/>
        <v>252</v>
      </c>
      <c r="Q403" s="19" t="e">
        <f>VLOOKUP(B403,辅助信息!E:M,9,FALSE)</f>
        <v>#N/A</v>
      </c>
      <c r="R403" s="19"/>
    </row>
    <row r="404" hidden="1" spans="2:18">
      <c r="B404" s="33" t="s">
        <v>84</v>
      </c>
      <c r="C404" s="63">
        <v>45703</v>
      </c>
      <c r="D404" s="33" t="e">
        <f>VLOOKUP(B404,辅助信息!E:K,7,FALSE)</f>
        <v>#N/A</v>
      </c>
      <c r="E404" s="33" t="str">
        <f>VLOOKUP(F404,辅助信息!A:B,2,FALSE)</f>
        <v>螺纹钢</v>
      </c>
      <c r="F404" s="33" t="s">
        <v>33</v>
      </c>
      <c r="G404" s="29">
        <v>8</v>
      </c>
      <c r="H404" s="29" t="e">
        <f>_xlfn._xlws.FILTER(#REF!,#REF!&amp;#REF!&amp;#REF!&amp;#REF!=C404&amp;F404&amp;I404&amp;J404,"未发货")</f>
        <v>#REF!</v>
      </c>
      <c r="I404" s="33" t="e">
        <f>VLOOKUP(B404,辅助信息!E:I,3,FALSE)</f>
        <v>#N/A</v>
      </c>
      <c r="J404" s="33" t="e">
        <f>VLOOKUP(B404,辅助信息!E:I,4,FALSE)</f>
        <v>#N/A</v>
      </c>
      <c r="K404" s="33" t="e">
        <f>VLOOKUP(J404,辅助信息!H:I,2,FALSE)</f>
        <v>#N/A</v>
      </c>
      <c r="L404" s="71"/>
      <c r="M404" s="84">
        <v>45705</v>
      </c>
      <c r="N404" s="50"/>
      <c r="O404" s="55">
        <f ca="1" t="shared" si="2"/>
        <v>0</v>
      </c>
      <c r="P404" s="55">
        <f ca="1" t="shared" si="3"/>
        <v>252</v>
      </c>
      <c r="Q404" s="19" t="e">
        <f>VLOOKUP(B404,辅助信息!E:M,9,FALSE)</f>
        <v>#N/A</v>
      </c>
      <c r="R404" s="19"/>
    </row>
    <row r="405" hidden="1" spans="2:18">
      <c r="B405" s="33" t="s">
        <v>84</v>
      </c>
      <c r="C405" s="63">
        <v>45703</v>
      </c>
      <c r="D405" s="33" t="e">
        <f>VLOOKUP(B405,辅助信息!E:K,7,FALSE)</f>
        <v>#N/A</v>
      </c>
      <c r="E405" s="33" t="str">
        <f>VLOOKUP(F405,辅助信息!A:B,2,FALSE)</f>
        <v>螺纹钢</v>
      </c>
      <c r="F405" s="33" t="s">
        <v>18</v>
      </c>
      <c r="G405" s="29">
        <v>12</v>
      </c>
      <c r="H405" s="29" t="e">
        <f>_xlfn._xlws.FILTER(#REF!,#REF!&amp;#REF!&amp;#REF!&amp;#REF!=C405&amp;F405&amp;I405&amp;J405,"未发货")</f>
        <v>#REF!</v>
      </c>
      <c r="I405" s="33" t="e">
        <f>VLOOKUP(B405,辅助信息!E:I,3,FALSE)</f>
        <v>#N/A</v>
      </c>
      <c r="J405" s="33" t="e">
        <f>VLOOKUP(B405,辅助信息!E:I,4,FALSE)</f>
        <v>#N/A</v>
      </c>
      <c r="K405" s="33" t="e">
        <f>VLOOKUP(J405,辅助信息!H:I,2,FALSE)</f>
        <v>#N/A</v>
      </c>
      <c r="L405" s="69"/>
      <c r="M405" s="84">
        <v>45705</v>
      </c>
      <c r="N405" s="50"/>
      <c r="O405" s="55">
        <f ca="1" t="shared" si="2"/>
        <v>0</v>
      </c>
      <c r="P405" s="55">
        <f ca="1" t="shared" si="3"/>
        <v>252</v>
      </c>
      <c r="Q405" s="19" t="e">
        <f>VLOOKUP(B405,辅助信息!E:M,9,FALSE)</f>
        <v>#N/A</v>
      </c>
      <c r="R405" s="19"/>
    </row>
    <row r="406" hidden="1" spans="1:18">
      <c r="A406" s="64" t="s">
        <v>85</v>
      </c>
      <c r="B406" s="33" t="s">
        <v>75</v>
      </c>
      <c r="C406" s="63">
        <v>45703</v>
      </c>
      <c r="D406" s="33" t="e">
        <f>VLOOKUP(B406,辅助信息!E:K,7,FALSE)</f>
        <v>#N/A</v>
      </c>
      <c r="E406" s="33" t="str">
        <f>VLOOKUP(F406,辅助信息!A:B,2,FALSE)</f>
        <v>螺纹钢</v>
      </c>
      <c r="F406" s="33" t="s">
        <v>28</v>
      </c>
      <c r="G406" s="29">
        <v>9</v>
      </c>
      <c r="H406" s="29" t="e">
        <f>_xlfn._xlws.FILTER(#REF!,#REF!&amp;#REF!&amp;#REF!&amp;#REF!=C406&amp;F406&amp;I406&amp;J406,"未发货")</f>
        <v>#REF!</v>
      </c>
      <c r="I406" s="33" t="e">
        <f>VLOOKUP(B406,辅助信息!E:I,3,FALSE)</f>
        <v>#N/A</v>
      </c>
      <c r="J406" s="33" t="e">
        <f>VLOOKUP(B406,辅助信息!E:I,4,FALSE)</f>
        <v>#N/A</v>
      </c>
      <c r="K406" s="33" t="e">
        <f>VLOOKUP(J406,辅助信息!H:I,2,FALSE)</f>
        <v>#N/A</v>
      </c>
      <c r="L406" s="36" t="e">
        <f>VLOOKUP(B406,辅助信息!E:J,6,FALSE)</f>
        <v>#N/A</v>
      </c>
      <c r="M406" s="84">
        <v>45709</v>
      </c>
      <c r="N406" s="50"/>
      <c r="O406" s="55">
        <f ca="1" t="shared" si="2"/>
        <v>0</v>
      </c>
      <c r="P406" s="55">
        <f ca="1" t="shared" si="3"/>
        <v>248</v>
      </c>
      <c r="Q406" s="19" t="e">
        <f>VLOOKUP(B406,辅助信息!E:M,9,FALSE)</f>
        <v>#N/A</v>
      </c>
      <c r="R406" s="19"/>
    </row>
    <row r="407" hidden="1" spans="2:18">
      <c r="B407" s="33" t="s">
        <v>75</v>
      </c>
      <c r="C407" s="63">
        <v>45703</v>
      </c>
      <c r="D407" s="33" t="e">
        <f>VLOOKUP(B407,辅助信息!E:K,7,FALSE)</f>
        <v>#N/A</v>
      </c>
      <c r="E407" s="33" t="str">
        <f>VLOOKUP(F407,辅助信息!A:B,2,FALSE)</f>
        <v>螺纹钢</v>
      </c>
      <c r="F407" s="33" t="s">
        <v>18</v>
      </c>
      <c r="G407" s="29">
        <v>9</v>
      </c>
      <c r="H407" s="29" t="e">
        <f>_xlfn._xlws.FILTER(#REF!,#REF!&amp;#REF!&amp;#REF!&amp;#REF!=C407&amp;F407&amp;I407&amp;J407,"未发货")</f>
        <v>#REF!</v>
      </c>
      <c r="I407" s="33" t="e">
        <f>VLOOKUP(B407,辅助信息!E:I,3,FALSE)</f>
        <v>#N/A</v>
      </c>
      <c r="J407" s="33" t="e">
        <f>VLOOKUP(B407,辅助信息!E:I,4,FALSE)</f>
        <v>#N/A</v>
      </c>
      <c r="K407" s="33" t="e">
        <f>VLOOKUP(J407,辅助信息!H:I,2,FALSE)</f>
        <v>#N/A</v>
      </c>
      <c r="L407" s="71"/>
      <c r="M407" s="84">
        <v>45709</v>
      </c>
      <c r="N407" s="50"/>
      <c r="O407" s="55">
        <f ca="1" t="shared" si="2"/>
        <v>0</v>
      </c>
      <c r="P407" s="55">
        <f ca="1" t="shared" si="3"/>
        <v>248</v>
      </c>
      <c r="Q407" s="19" t="e">
        <f>VLOOKUP(B407,辅助信息!E:M,9,FALSE)</f>
        <v>#N/A</v>
      </c>
      <c r="R407" s="19"/>
    </row>
    <row r="408" hidden="1" spans="2:18">
      <c r="B408" s="33" t="s">
        <v>75</v>
      </c>
      <c r="C408" s="63">
        <v>45703</v>
      </c>
      <c r="D408" s="33" t="e">
        <f>VLOOKUP(B408,辅助信息!E:K,7,FALSE)</f>
        <v>#N/A</v>
      </c>
      <c r="E408" s="33" t="str">
        <f>VLOOKUP(F408,辅助信息!A:B,2,FALSE)</f>
        <v>螺纹钢</v>
      </c>
      <c r="F408" s="33" t="s">
        <v>65</v>
      </c>
      <c r="G408" s="80">
        <v>36</v>
      </c>
      <c r="H408" s="29" t="e">
        <f>_xlfn._xlws.FILTER(#REF!,#REF!&amp;#REF!&amp;#REF!&amp;#REF!=C408&amp;F408&amp;I408&amp;J408,"未发货")</f>
        <v>#REF!</v>
      </c>
      <c r="I408" s="33" t="e">
        <f>VLOOKUP(B408,辅助信息!E:I,3,FALSE)</f>
        <v>#N/A</v>
      </c>
      <c r="J408" s="33" t="e">
        <f>VLOOKUP(B408,辅助信息!E:I,4,FALSE)</f>
        <v>#N/A</v>
      </c>
      <c r="K408" s="33" t="e">
        <f>VLOOKUP(J408,辅助信息!H:I,2,FALSE)</f>
        <v>#N/A</v>
      </c>
      <c r="L408" s="71"/>
      <c r="M408" s="84">
        <v>45709</v>
      </c>
      <c r="N408" s="50"/>
      <c r="O408" s="55">
        <f ca="1" t="shared" si="2"/>
        <v>0</v>
      </c>
      <c r="P408" s="55">
        <f ca="1" t="shared" si="3"/>
        <v>248</v>
      </c>
      <c r="Q408" s="19" t="e">
        <f>VLOOKUP(B408,辅助信息!E:M,9,FALSE)</f>
        <v>#N/A</v>
      </c>
      <c r="R408" s="19"/>
    </row>
    <row r="409" hidden="1" spans="2:18">
      <c r="B409" s="33" t="s">
        <v>75</v>
      </c>
      <c r="C409" s="63">
        <v>45703</v>
      </c>
      <c r="D409" s="33" t="e">
        <f>VLOOKUP(B409,辅助信息!E:K,7,FALSE)</f>
        <v>#N/A</v>
      </c>
      <c r="E409" s="33" t="str">
        <f>VLOOKUP(F409,辅助信息!A:B,2,FALSE)</f>
        <v>螺纹钢</v>
      </c>
      <c r="F409" s="33" t="s">
        <v>77</v>
      </c>
      <c r="G409" s="80">
        <v>20</v>
      </c>
      <c r="H409" s="29" t="e">
        <f>_xlfn._xlws.FILTER(#REF!,#REF!&amp;#REF!&amp;#REF!&amp;#REF!=C409&amp;F409&amp;I409&amp;J409,"未发货")</f>
        <v>#REF!</v>
      </c>
      <c r="I409" s="33" t="e">
        <f>VLOOKUP(B409,辅助信息!E:I,3,FALSE)</f>
        <v>#N/A</v>
      </c>
      <c r="J409" s="33" t="e">
        <f>VLOOKUP(B409,辅助信息!E:I,4,FALSE)</f>
        <v>#N/A</v>
      </c>
      <c r="K409" s="33" t="e">
        <f>VLOOKUP(J409,辅助信息!H:I,2,FALSE)</f>
        <v>#N/A</v>
      </c>
      <c r="L409" s="71"/>
      <c r="M409" s="84"/>
      <c r="N409" s="50"/>
      <c r="Q409" s="19"/>
      <c r="R409" s="19"/>
    </row>
    <row r="410" hidden="1" spans="2:18">
      <c r="B410" s="33" t="s">
        <v>75</v>
      </c>
      <c r="C410" s="63">
        <v>45703</v>
      </c>
      <c r="D410" s="33" t="e">
        <f>VLOOKUP(B410,辅助信息!E:K,7,FALSE)</f>
        <v>#N/A</v>
      </c>
      <c r="E410" s="33" t="str">
        <f>VLOOKUP(F410,辅助信息!A:B,2,FALSE)</f>
        <v>螺纹钢</v>
      </c>
      <c r="F410" s="33" t="s">
        <v>86</v>
      </c>
      <c r="G410" s="29">
        <v>26</v>
      </c>
      <c r="H410" s="29" t="e">
        <f>_xlfn._xlws.FILTER(#REF!,#REF!&amp;#REF!&amp;#REF!&amp;#REF!=C410&amp;F410&amp;I410&amp;J410,"未发货")</f>
        <v>#REF!</v>
      </c>
      <c r="I410" s="33" t="e">
        <f>VLOOKUP(B410,辅助信息!E:I,3,FALSE)</f>
        <v>#N/A</v>
      </c>
      <c r="J410" s="33" t="e">
        <f>VLOOKUP(B410,辅助信息!E:I,4,FALSE)</f>
        <v>#N/A</v>
      </c>
      <c r="K410" s="33" t="e">
        <f>VLOOKUP(J410,辅助信息!H:I,2,FALSE)</f>
        <v>#N/A</v>
      </c>
      <c r="L410" s="69"/>
      <c r="M410" s="84">
        <v>45709</v>
      </c>
      <c r="N410" s="50"/>
      <c r="O410" s="55">
        <f ca="1" t="shared" ref="O410:O416" si="4">IF(OR(M410="",N410&lt;&gt;""),"",MAX(M410-TODAY(),0))</f>
        <v>0</v>
      </c>
      <c r="P410" s="55">
        <f ca="1" t="shared" ref="P410:P416" si="5">IF(M410="","",IF(N410&lt;&gt;"",MAX(N410-M410,0),IF(TODAY()&gt;M410,TODAY()-M410,0)))</f>
        <v>248</v>
      </c>
      <c r="Q410" s="19" t="e">
        <f>VLOOKUP(B410,辅助信息!E:M,9,FALSE)</f>
        <v>#N/A</v>
      </c>
      <c r="R410" s="19"/>
    </row>
    <row r="411" hidden="1" spans="2:18">
      <c r="B411" s="33" t="s">
        <v>87</v>
      </c>
      <c r="C411" s="63">
        <v>45703</v>
      </c>
      <c r="D411" s="33" t="e">
        <f>VLOOKUP(B411,辅助信息!E:K,7,FALSE)</f>
        <v>#N/A</v>
      </c>
      <c r="E411" s="33" t="str">
        <f>VLOOKUP(F411,辅助信息!A:B,2,FALSE)</f>
        <v>螺纹钢</v>
      </c>
      <c r="F411" s="33" t="s">
        <v>27</v>
      </c>
      <c r="G411" s="29">
        <v>8</v>
      </c>
      <c r="H411" s="29" t="e">
        <f>_xlfn._xlws.FILTER(#REF!,#REF!&amp;#REF!&amp;#REF!&amp;#REF!=C411&amp;F411&amp;I411&amp;J411,"未发货")</f>
        <v>#REF!</v>
      </c>
      <c r="I411" s="33" t="e">
        <f>VLOOKUP(B411,辅助信息!E:I,3,FALSE)</f>
        <v>#N/A</v>
      </c>
      <c r="J411" s="33" t="e">
        <f>VLOOKUP(B411,辅助信息!E:I,4,FALSE)</f>
        <v>#N/A</v>
      </c>
      <c r="K411" s="33" t="e">
        <f>VLOOKUP(J411,辅助信息!H:I,2,FALSE)</f>
        <v>#N/A</v>
      </c>
      <c r="L411" s="36" t="e">
        <f>VLOOKUP(B411,辅助信息!E:J,6,FALSE)</f>
        <v>#N/A</v>
      </c>
      <c r="M411" s="84">
        <v>45706</v>
      </c>
      <c r="N411" s="50"/>
      <c r="O411" s="55">
        <f ca="1" t="shared" si="4"/>
        <v>0</v>
      </c>
      <c r="P411" s="55">
        <f ca="1" t="shared" si="5"/>
        <v>251</v>
      </c>
      <c r="Q411" s="19" t="e">
        <f>VLOOKUP(B411,辅助信息!E:M,9,FALSE)</f>
        <v>#N/A</v>
      </c>
      <c r="R411" s="19"/>
    </row>
    <row r="412" hidden="1" spans="2:18">
      <c r="B412" s="33" t="s">
        <v>87</v>
      </c>
      <c r="C412" s="63">
        <v>45703</v>
      </c>
      <c r="D412" s="33" t="e">
        <f>VLOOKUP(B412,辅助信息!E:K,7,FALSE)</f>
        <v>#N/A</v>
      </c>
      <c r="E412" s="33" t="str">
        <f>VLOOKUP(F412,辅助信息!A:B,2,FALSE)</f>
        <v>螺纹钢</v>
      </c>
      <c r="F412" s="33" t="s">
        <v>65</v>
      </c>
      <c r="G412" s="29">
        <v>27</v>
      </c>
      <c r="H412" s="29" t="e">
        <f>_xlfn._xlws.FILTER(#REF!,#REF!&amp;#REF!&amp;#REF!&amp;#REF!=C412&amp;F412&amp;I412&amp;J412,"未发货")</f>
        <v>#REF!</v>
      </c>
      <c r="I412" s="33" t="e">
        <f>VLOOKUP(B412,辅助信息!E:I,3,FALSE)</f>
        <v>#N/A</v>
      </c>
      <c r="J412" s="33" t="e">
        <f>VLOOKUP(B412,辅助信息!E:I,4,FALSE)</f>
        <v>#N/A</v>
      </c>
      <c r="K412" s="33" t="e">
        <f>VLOOKUP(J412,辅助信息!H:I,2,FALSE)</f>
        <v>#N/A</v>
      </c>
      <c r="L412" s="69"/>
      <c r="M412" s="84">
        <v>45706</v>
      </c>
      <c r="N412" s="50"/>
      <c r="O412" s="55">
        <f ca="1" t="shared" si="4"/>
        <v>0</v>
      </c>
      <c r="P412" s="55">
        <f ca="1" t="shared" si="5"/>
        <v>251</v>
      </c>
      <c r="Q412" s="19" t="e">
        <f>VLOOKUP(B412,辅助信息!E:M,9,FALSE)</f>
        <v>#N/A</v>
      </c>
      <c r="R412" s="19"/>
    </row>
    <row r="413" hidden="1" spans="2:18">
      <c r="B413" s="33" t="s">
        <v>74</v>
      </c>
      <c r="C413" s="63">
        <v>45703</v>
      </c>
      <c r="D413" s="33" t="e">
        <f>VLOOKUP(B413,辅助信息!E:K,7,FALSE)</f>
        <v>#N/A</v>
      </c>
      <c r="E413" s="33" t="str">
        <f>VLOOKUP(F413,辅助信息!A:B,2,FALSE)</f>
        <v>螺纹钢</v>
      </c>
      <c r="F413" s="33" t="s">
        <v>19</v>
      </c>
      <c r="G413" s="29">
        <v>12</v>
      </c>
      <c r="H413" s="29" t="e">
        <f>_xlfn._xlws.FILTER(#REF!,#REF!&amp;#REF!&amp;#REF!&amp;#REF!=C413&amp;F413&amp;I413&amp;J413,"未发货")</f>
        <v>#REF!</v>
      </c>
      <c r="I413" s="33" t="e">
        <f>VLOOKUP(B413,辅助信息!E:I,3,FALSE)</f>
        <v>#N/A</v>
      </c>
      <c r="J413" s="33" t="e">
        <f>VLOOKUP(B413,辅助信息!E:I,4,FALSE)</f>
        <v>#N/A</v>
      </c>
      <c r="K413" s="33" t="e">
        <f>VLOOKUP(J413,辅助信息!H:I,2,FALSE)</f>
        <v>#N/A</v>
      </c>
      <c r="L413" s="36" t="e">
        <f>VLOOKUP(B413,辅助信息!E:J,6,FALSE)</f>
        <v>#N/A</v>
      </c>
      <c r="M413" s="84">
        <v>45711</v>
      </c>
      <c r="N413" s="50"/>
      <c r="O413" s="55">
        <f ca="1" t="shared" si="4"/>
        <v>0</v>
      </c>
      <c r="P413" s="55">
        <f ca="1" t="shared" si="5"/>
        <v>246</v>
      </c>
      <c r="Q413" s="19" t="e">
        <f>VLOOKUP(B413,辅助信息!E:M,9,FALSE)</f>
        <v>#N/A</v>
      </c>
      <c r="R413" s="19"/>
    </row>
    <row r="414" hidden="1" spans="2:18">
      <c r="B414" s="33" t="s">
        <v>74</v>
      </c>
      <c r="C414" s="63">
        <v>45703</v>
      </c>
      <c r="D414" s="33" t="e">
        <f>VLOOKUP(B414,辅助信息!E:K,7,FALSE)</f>
        <v>#N/A</v>
      </c>
      <c r="E414" s="33" t="str">
        <f>VLOOKUP(F414,辅助信息!A:B,2,FALSE)</f>
        <v>螺纹钢</v>
      </c>
      <c r="F414" s="33" t="s">
        <v>33</v>
      </c>
      <c r="G414" s="29">
        <v>12</v>
      </c>
      <c r="H414" s="29" t="e">
        <f>_xlfn._xlws.FILTER(#REF!,#REF!&amp;#REF!&amp;#REF!&amp;#REF!=C414&amp;F414&amp;I414&amp;J414,"未发货")</f>
        <v>#REF!</v>
      </c>
      <c r="I414" s="33" t="e">
        <f>VLOOKUP(B414,辅助信息!E:I,3,FALSE)</f>
        <v>#N/A</v>
      </c>
      <c r="J414" s="33" t="e">
        <f>VLOOKUP(B414,辅助信息!E:I,4,FALSE)</f>
        <v>#N/A</v>
      </c>
      <c r="K414" s="33" t="e">
        <f>VLOOKUP(J414,辅助信息!H:I,2,FALSE)</f>
        <v>#N/A</v>
      </c>
      <c r="L414" s="71"/>
      <c r="M414" s="84">
        <v>45711</v>
      </c>
      <c r="N414" s="50"/>
      <c r="O414" s="55">
        <f ca="1" t="shared" si="4"/>
        <v>0</v>
      </c>
      <c r="P414" s="55">
        <f ca="1" t="shared" si="5"/>
        <v>246</v>
      </c>
      <c r="Q414" s="19" t="e">
        <f>VLOOKUP(B414,辅助信息!E:M,9,FALSE)</f>
        <v>#N/A</v>
      </c>
      <c r="R414" s="19"/>
    </row>
    <row r="415" hidden="1" spans="2:18">
      <c r="B415" s="33" t="s">
        <v>74</v>
      </c>
      <c r="C415" s="63">
        <v>45703</v>
      </c>
      <c r="D415" s="33" t="e">
        <f>VLOOKUP(B415,辅助信息!E:K,7,FALSE)</f>
        <v>#N/A</v>
      </c>
      <c r="E415" s="33" t="str">
        <f>VLOOKUP(F415,辅助信息!A:B,2,FALSE)</f>
        <v>螺纹钢</v>
      </c>
      <c r="F415" s="33" t="s">
        <v>28</v>
      </c>
      <c r="G415" s="29">
        <v>12</v>
      </c>
      <c r="H415" s="29" t="e">
        <f>_xlfn._xlws.FILTER(#REF!,#REF!&amp;#REF!&amp;#REF!&amp;#REF!=C415&amp;F415&amp;I415&amp;J415,"未发货")</f>
        <v>#REF!</v>
      </c>
      <c r="I415" s="33" t="e">
        <f>VLOOKUP(B415,辅助信息!E:I,3,FALSE)</f>
        <v>#N/A</v>
      </c>
      <c r="J415" s="33" t="e">
        <f>VLOOKUP(B415,辅助信息!E:I,4,FALSE)</f>
        <v>#N/A</v>
      </c>
      <c r="K415" s="33" t="e">
        <f>VLOOKUP(J415,辅助信息!H:I,2,FALSE)</f>
        <v>#N/A</v>
      </c>
      <c r="L415" s="71"/>
      <c r="M415" s="84">
        <v>45711</v>
      </c>
      <c r="N415" s="50"/>
      <c r="O415" s="55">
        <f ca="1" t="shared" si="4"/>
        <v>0</v>
      </c>
      <c r="P415" s="55">
        <f ca="1" t="shared" si="5"/>
        <v>246</v>
      </c>
      <c r="Q415" s="19" t="e">
        <f>VLOOKUP(B415,辅助信息!E:M,9,FALSE)</f>
        <v>#N/A</v>
      </c>
      <c r="R415" s="19"/>
    </row>
    <row r="416" hidden="1" spans="2:18">
      <c r="B416" s="33" t="s">
        <v>74</v>
      </c>
      <c r="C416" s="63">
        <v>45703</v>
      </c>
      <c r="D416" s="33" t="e">
        <f>VLOOKUP(B416,辅助信息!E:K,7,FALSE)</f>
        <v>#N/A</v>
      </c>
      <c r="E416" s="33" t="str">
        <f>VLOOKUP(F416,辅助信息!A:B,2,FALSE)</f>
        <v>螺纹钢</v>
      </c>
      <c r="F416" s="33" t="s">
        <v>18</v>
      </c>
      <c r="G416" s="29">
        <v>3</v>
      </c>
      <c r="H416" s="29" t="e">
        <f>_xlfn._xlws.FILTER(#REF!,#REF!&amp;#REF!&amp;#REF!&amp;#REF!=C416&amp;F416&amp;I416&amp;J416,"未发货")</f>
        <v>#REF!</v>
      </c>
      <c r="I416" s="33" t="e">
        <f>VLOOKUP(B416,辅助信息!E:I,3,FALSE)</f>
        <v>#N/A</v>
      </c>
      <c r="J416" s="33" t="e">
        <f>VLOOKUP(B416,辅助信息!E:I,4,FALSE)</f>
        <v>#N/A</v>
      </c>
      <c r="K416" s="33" t="e">
        <f>VLOOKUP(J416,辅助信息!H:I,2,FALSE)</f>
        <v>#N/A</v>
      </c>
      <c r="L416" s="69"/>
      <c r="M416" s="84">
        <v>45711</v>
      </c>
      <c r="N416" s="50"/>
      <c r="O416" s="55">
        <f ca="1" t="shared" si="4"/>
        <v>0</v>
      </c>
      <c r="P416" s="55">
        <f ca="1" t="shared" si="5"/>
        <v>246</v>
      </c>
      <c r="Q416" s="19" t="e">
        <f>VLOOKUP(B416,辅助信息!E:M,9,FALSE)</f>
        <v>#N/A</v>
      </c>
      <c r="R416" s="19"/>
    </row>
    <row r="417" hidden="1" spans="2:18">
      <c r="B417" s="33" t="s">
        <v>79</v>
      </c>
      <c r="C417" s="63">
        <v>45703</v>
      </c>
      <c r="D417" s="33" t="e">
        <f>VLOOKUP(B417,辅助信息!E:K,7,FALSE)</f>
        <v>#N/A</v>
      </c>
      <c r="E417" s="33" t="str">
        <f>VLOOKUP(F417,辅助信息!A:B,2,FALSE)</f>
        <v>盘螺</v>
      </c>
      <c r="F417" s="33" t="s">
        <v>40</v>
      </c>
      <c r="G417" s="29">
        <v>3</v>
      </c>
      <c r="H417" s="29" t="e">
        <f>_xlfn._xlws.FILTER(#REF!,#REF!&amp;#REF!&amp;#REF!&amp;#REF!=C417&amp;F417&amp;I417&amp;J417,"未发货")</f>
        <v>#REF!</v>
      </c>
      <c r="I417" s="33" t="e">
        <f>VLOOKUP(B417,辅助信息!E:I,3,FALSE)</f>
        <v>#N/A</v>
      </c>
      <c r="J417" s="33" t="e">
        <f>VLOOKUP(B417,辅助信息!E:I,4,FALSE)</f>
        <v>#N/A</v>
      </c>
      <c r="K417" s="72" t="e">
        <f>VLOOKUP(J417,辅助信息!H:I,2,FALSE)</f>
        <v>#N/A</v>
      </c>
      <c r="L417" s="70" t="e">
        <f>VLOOKUP(B417,辅助信息!E:J,6,FALSE)</f>
        <v>#N/A</v>
      </c>
      <c r="M417" s="50"/>
      <c r="N417" s="50"/>
      <c r="O417" s="50"/>
      <c r="P417" s="50"/>
      <c r="Q417" s="19" t="e">
        <f>VLOOKUP(B417,辅助信息!E:M,9,FALSE)</f>
        <v>#N/A</v>
      </c>
      <c r="R417" s="19"/>
    </row>
    <row r="418" hidden="1" spans="2:18">
      <c r="B418" s="33" t="s">
        <v>79</v>
      </c>
      <c r="C418" s="63">
        <v>45703</v>
      </c>
      <c r="D418" s="33" t="e">
        <f>VLOOKUP(B418,辅助信息!E:K,7,FALSE)</f>
        <v>#N/A</v>
      </c>
      <c r="E418" s="33" t="str">
        <f>VLOOKUP(F418,辅助信息!A:B,2,FALSE)</f>
        <v>盘螺</v>
      </c>
      <c r="F418" s="33" t="s">
        <v>41</v>
      </c>
      <c r="G418" s="29">
        <v>3</v>
      </c>
      <c r="H418" s="29" t="e">
        <f>_xlfn._xlws.FILTER(#REF!,#REF!&amp;#REF!&amp;#REF!&amp;#REF!=C418&amp;F418&amp;I418&amp;J418,"未发货")</f>
        <v>#REF!</v>
      </c>
      <c r="I418" s="33" t="e">
        <f>VLOOKUP(B418,辅助信息!E:I,3,FALSE)</f>
        <v>#N/A</v>
      </c>
      <c r="J418" s="33" t="e">
        <f>VLOOKUP(B418,辅助信息!E:I,4,FALSE)</f>
        <v>#N/A</v>
      </c>
      <c r="K418" s="72" t="e">
        <f>VLOOKUP(J418,辅助信息!H:I,2,FALSE)</f>
        <v>#N/A</v>
      </c>
      <c r="L418" s="71"/>
      <c r="M418" s="50"/>
      <c r="N418" s="50"/>
      <c r="O418" s="50"/>
      <c r="P418" s="50"/>
      <c r="Q418" s="19" t="e">
        <f>VLOOKUP(B418,辅助信息!E:M,9,FALSE)</f>
        <v>#N/A</v>
      </c>
      <c r="R418" s="19"/>
    </row>
    <row r="419" hidden="1" spans="2:18">
      <c r="B419" s="33" t="s">
        <v>79</v>
      </c>
      <c r="C419" s="63">
        <v>45703</v>
      </c>
      <c r="D419" s="33" t="e">
        <f>VLOOKUP(B419,辅助信息!E:K,7,FALSE)</f>
        <v>#N/A</v>
      </c>
      <c r="E419" s="33" t="str">
        <f>VLOOKUP(F419,辅助信息!A:B,2,FALSE)</f>
        <v>螺纹钢</v>
      </c>
      <c r="F419" s="33" t="s">
        <v>27</v>
      </c>
      <c r="G419" s="80">
        <v>9</v>
      </c>
      <c r="H419" s="29" t="e">
        <f>_xlfn._xlws.FILTER(#REF!,#REF!&amp;#REF!&amp;#REF!&amp;#REF!=C419&amp;F419&amp;I419&amp;J419,"未发货")</f>
        <v>#REF!</v>
      </c>
      <c r="I419" s="33" t="e">
        <f>VLOOKUP(B419,辅助信息!E:I,3,FALSE)</f>
        <v>#N/A</v>
      </c>
      <c r="J419" s="33" t="e">
        <f>VLOOKUP(B419,辅助信息!E:I,4,FALSE)</f>
        <v>#N/A</v>
      </c>
      <c r="K419" s="72" t="e">
        <f>VLOOKUP(J419,辅助信息!H:I,2,FALSE)</f>
        <v>#N/A</v>
      </c>
      <c r="L419" s="71"/>
      <c r="M419" s="50"/>
      <c r="N419" s="50"/>
      <c r="O419" s="50"/>
      <c r="P419" s="50"/>
      <c r="Q419" s="19" t="e">
        <f>VLOOKUP(B419,辅助信息!E:M,9,FALSE)</f>
        <v>#N/A</v>
      </c>
      <c r="R419" s="19"/>
    </row>
    <row r="420" hidden="1" spans="2:18">
      <c r="B420" s="33" t="s">
        <v>79</v>
      </c>
      <c r="C420" s="63">
        <v>45703</v>
      </c>
      <c r="D420" s="33" t="e">
        <f>VLOOKUP(B420,辅助信息!E:K,7,FALSE)</f>
        <v>#N/A</v>
      </c>
      <c r="E420" s="33" t="str">
        <f>VLOOKUP(F420,辅助信息!A:B,2,FALSE)</f>
        <v>螺纹钢</v>
      </c>
      <c r="F420" s="33" t="s">
        <v>19</v>
      </c>
      <c r="G420" s="29">
        <v>20</v>
      </c>
      <c r="H420" s="29" t="e">
        <f>_xlfn._xlws.FILTER(#REF!,#REF!&amp;#REF!&amp;#REF!&amp;#REF!=C420&amp;F420&amp;I420&amp;J420,"未发货")</f>
        <v>#REF!</v>
      </c>
      <c r="I420" s="33" t="e">
        <f>VLOOKUP(B420,辅助信息!E:I,3,FALSE)</f>
        <v>#N/A</v>
      </c>
      <c r="J420" s="33" t="e">
        <f>VLOOKUP(B420,辅助信息!E:I,4,FALSE)</f>
        <v>#N/A</v>
      </c>
      <c r="K420" s="72" t="e">
        <f>VLOOKUP(J420,辅助信息!H:I,2,FALSE)</f>
        <v>#N/A</v>
      </c>
      <c r="L420" s="71"/>
      <c r="M420" s="50"/>
      <c r="N420" s="50"/>
      <c r="O420" s="50"/>
      <c r="P420" s="50"/>
      <c r="Q420" s="19" t="e">
        <f>VLOOKUP(B420,辅助信息!E:M,9,FALSE)</f>
        <v>#N/A</v>
      </c>
      <c r="R420" s="19"/>
    </row>
    <row r="421" hidden="1" spans="2:18">
      <c r="B421" s="33" t="s">
        <v>79</v>
      </c>
      <c r="C421" s="63">
        <v>45703</v>
      </c>
      <c r="D421" s="33" t="e">
        <f>VLOOKUP(B421,辅助信息!E:K,7,FALSE)</f>
        <v>#N/A</v>
      </c>
      <c r="E421" s="33" t="str">
        <f>VLOOKUP(F421,辅助信息!A:B,2,FALSE)</f>
        <v>螺纹钢</v>
      </c>
      <c r="F421" s="33" t="s">
        <v>32</v>
      </c>
      <c r="G421" s="80">
        <v>9</v>
      </c>
      <c r="H421" s="29" t="e">
        <f>_xlfn._xlws.FILTER(#REF!,#REF!&amp;#REF!&amp;#REF!&amp;#REF!=C421&amp;F421&amp;I421&amp;J421,"未发货")</f>
        <v>#REF!</v>
      </c>
      <c r="I421" s="33" t="e">
        <f>VLOOKUP(B421,辅助信息!E:I,3,FALSE)</f>
        <v>#N/A</v>
      </c>
      <c r="J421" s="33" t="e">
        <f>VLOOKUP(B421,辅助信息!E:I,4,FALSE)</f>
        <v>#N/A</v>
      </c>
      <c r="K421" s="72" t="e">
        <f>VLOOKUP(J421,辅助信息!H:I,2,FALSE)</f>
        <v>#N/A</v>
      </c>
      <c r="L421" s="71"/>
      <c r="M421" s="50"/>
      <c r="N421" s="50"/>
      <c r="O421" s="50"/>
      <c r="P421" s="50"/>
      <c r="Q421" s="19" t="e">
        <f>VLOOKUP(B421,辅助信息!E:M,9,FALSE)</f>
        <v>#N/A</v>
      </c>
      <c r="R421" s="19"/>
    </row>
    <row r="422" hidden="1" spans="2:18">
      <c r="B422" s="33" t="s">
        <v>79</v>
      </c>
      <c r="C422" s="63">
        <v>45703</v>
      </c>
      <c r="D422" s="33" t="e">
        <f>VLOOKUP(B422,辅助信息!E:K,7,FALSE)</f>
        <v>#N/A</v>
      </c>
      <c r="E422" s="33" t="str">
        <f>VLOOKUP(F422,辅助信息!A:B,2,FALSE)</f>
        <v>螺纹钢</v>
      </c>
      <c r="F422" s="33" t="s">
        <v>30</v>
      </c>
      <c r="G422" s="29">
        <v>3</v>
      </c>
      <c r="H422" s="29" t="e">
        <f>_xlfn._xlws.FILTER(#REF!,#REF!&amp;#REF!&amp;#REF!&amp;#REF!=C422&amp;F422&amp;I422&amp;J422,"未发货")</f>
        <v>#REF!</v>
      </c>
      <c r="I422" s="33" t="e">
        <f>VLOOKUP(B422,辅助信息!E:I,3,FALSE)</f>
        <v>#N/A</v>
      </c>
      <c r="J422" s="33" t="e">
        <f>VLOOKUP(B422,辅助信息!E:I,4,FALSE)</f>
        <v>#N/A</v>
      </c>
      <c r="K422" s="72" t="e">
        <f>VLOOKUP(J422,辅助信息!H:I,2,FALSE)</f>
        <v>#N/A</v>
      </c>
      <c r="L422" s="71"/>
      <c r="M422" s="50"/>
      <c r="N422" s="50"/>
      <c r="O422" s="50"/>
      <c r="P422" s="50"/>
      <c r="Q422" s="19" t="e">
        <f>VLOOKUP(B422,辅助信息!E:M,9,FALSE)</f>
        <v>#N/A</v>
      </c>
      <c r="R422" s="19"/>
    </row>
    <row r="423" hidden="1" spans="2:18">
      <c r="B423" s="33" t="s">
        <v>79</v>
      </c>
      <c r="C423" s="63">
        <v>45703</v>
      </c>
      <c r="D423" s="33" t="e">
        <f>VLOOKUP(B423,辅助信息!E:K,7,FALSE)</f>
        <v>#N/A</v>
      </c>
      <c r="E423" s="33" t="str">
        <f>VLOOKUP(F423,辅助信息!A:B,2,FALSE)</f>
        <v>螺纹钢</v>
      </c>
      <c r="F423" s="33" t="s">
        <v>33</v>
      </c>
      <c r="G423" s="80">
        <v>25</v>
      </c>
      <c r="H423" s="29" t="e">
        <f>_xlfn._xlws.FILTER(#REF!,#REF!&amp;#REF!&amp;#REF!&amp;#REF!=C423&amp;F423&amp;I423&amp;J423,"未发货")</f>
        <v>#REF!</v>
      </c>
      <c r="I423" s="33" t="e">
        <f>VLOOKUP(B423,辅助信息!E:I,3,FALSE)</f>
        <v>#N/A</v>
      </c>
      <c r="J423" s="33" t="e">
        <f>VLOOKUP(B423,辅助信息!E:I,4,FALSE)</f>
        <v>#N/A</v>
      </c>
      <c r="K423" s="72" t="e">
        <f>VLOOKUP(J423,辅助信息!H:I,2,FALSE)</f>
        <v>#N/A</v>
      </c>
      <c r="L423" s="71"/>
      <c r="M423" s="50"/>
      <c r="N423" s="50"/>
      <c r="O423" s="50"/>
      <c r="P423" s="50"/>
      <c r="Q423" s="19" t="e">
        <f>VLOOKUP(B423,辅助信息!E:M,9,FALSE)</f>
        <v>#N/A</v>
      </c>
      <c r="R423" s="19"/>
    </row>
    <row r="424" hidden="1" spans="2:18">
      <c r="B424" s="33" t="s">
        <v>79</v>
      </c>
      <c r="C424" s="63">
        <v>45703</v>
      </c>
      <c r="D424" s="33" t="e">
        <f>VLOOKUP(B424,辅助信息!E:K,7,FALSE)</f>
        <v>#N/A</v>
      </c>
      <c r="E424" s="33" t="str">
        <f>VLOOKUP(F424,辅助信息!A:B,2,FALSE)</f>
        <v>螺纹钢</v>
      </c>
      <c r="F424" s="33" t="s">
        <v>18</v>
      </c>
      <c r="G424" s="80">
        <v>90</v>
      </c>
      <c r="H424" s="29" t="e">
        <f>_xlfn._xlws.FILTER(#REF!,#REF!&amp;#REF!&amp;#REF!&amp;#REF!=C424&amp;F424&amp;I424&amp;J424,"未发货")</f>
        <v>#REF!</v>
      </c>
      <c r="I424" s="33" t="e">
        <f>VLOOKUP(B424,辅助信息!E:I,3,FALSE)</f>
        <v>#N/A</v>
      </c>
      <c r="J424" s="33" t="e">
        <f>VLOOKUP(B424,辅助信息!E:I,4,FALSE)</f>
        <v>#N/A</v>
      </c>
      <c r="K424" s="72" t="e">
        <f>VLOOKUP(J424,辅助信息!H:I,2,FALSE)</f>
        <v>#N/A</v>
      </c>
      <c r="L424" s="69"/>
      <c r="M424" s="50"/>
      <c r="N424" s="50"/>
      <c r="O424" s="50"/>
      <c r="P424" s="50"/>
      <c r="Q424" s="19" t="e">
        <f>VLOOKUP(B424,辅助信息!E:M,9,FALSE)</f>
        <v>#N/A</v>
      </c>
      <c r="R424" s="19"/>
    </row>
    <row r="425" s="19" customFormat="1" hidden="1" spans="2:17">
      <c r="B425" s="33" t="s">
        <v>80</v>
      </c>
      <c r="C425" s="63">
        <v>45704</v>
      </c>
      <c r="D425" s="33" t="e">
        <f>VLOOKUP(B425,辅助信息!E:K,7,FALSE)</f>
        <v>#N/A</v>
      </c>
      <c r="E425" s="33" t="str">
        <f>VLOOKUP(F425,辅助信息!A:B,2,FALSE)</f>
        <v>盘螺</v>
      </c>
      <c r="F425" s="33" t="s">
        <v>49</v>
      </c>
      <c r="G425" s="33">
        <v>7.5</v>
      </c>
      <c r="H425" s="33" t="e">
        <f>_xlfn._xlws.FILTER(#REF!,#REF!&amp;#REF!&amp;#REF!&amp;#REF!=C425&amp;F425&amp;I425&amp;J425,"未发货")</f>
        <v>#REF!</v>
      </c>
      <c r="I425" s="33" t="e">
        <f>VLOOKUP(B425,辅助信息!E:I,3,FALSE)</f>
        <v>#N/A</v>
      </c>
      <c r="J425" s="33" t="e">
        <f>VLOOKUP(B425,辅助信息!E:I,4,FALSE)</f>
        <v>#N/A</v>
      </c>
      <c r="K425" s="33" t="e">
        <f>VLOOKUP(J425,辅助信息!H:I,2,FALSE)</f>
        <v>#N/A</v>
      </c>
      <c r="L425" s="19" t="e">
        <f>VLOOKUP(B425,辅助信息!E:J,6,FALSE)</f>
        <v>#N/A</v>
      </c>
      <c r="M425" s="88">
        <v>45703</v>
      </c>
      <c r="N425" s="88"/>
      <c r="O425" s="19">
        <f ca="1" t="shared" ref="O425:O442" si="6">IF(OR(M425="",N425&lt;&gt;""),"",MAX(M425-TODAY(),0))</f>
        <v>0</v>
      </c>
      <c r="P425" s="19">
        <f ca="1" t="shared" ref="P425:P442" si="7">IF(M425="","",IF(N425&lt;&gt;"",MAX(N425-M425,0),IF(TODAY()&gt;M425,TODAY()-M425,0)))</f>
        <v>254</v>
      </c>
      <c r="Q425" s="19" t="e">
        <f>VLOOKUP(B425,辅助信息!E:M,9,FALSE)</f>
        <v>#N/A</v>
      </c>
    </row>
    <row r="426" s="19" customFormat="1" hidden="1" spans="2:17">
      <c r="B426" s="33" t="s">
        <v>80</v>
      </c>
      <c r="C426" s="63">
        <v>45704</v>
      </c>
      <c r="D426" s="33" t="e">
        <f>VLOOKUP(B426,辅助信息!E:K,7,FALSE)</f>
        <v>#N/A</v>
      </c>
      <c r="E426" s="33" t="str">
        <f>VLOOKUP(F426,辅助信息!A:B,2,FALSE)</f>
        <v>盘螺</v>
      </c>
      <c r="F426" s="33" t="s">
        <v>40</v>
      </c>
      <c r="G426" s="33">
        <v>15</v>
      </c>
      <c r="H426" s="33" t="e">
        <f>_xlfn._xlws.FILTER(#REF!,#REF!&amp;#REF!&amp;#REF!&amp;#REF!=C426&amp;F426&amp;I426&amp;J426,"未发货")</f>
        <v>#REF!</v>
      </c>
      <c r="I426" s="33" t="e">
        <f>VLOOKUP(B426,辅助信息!E:I,3,FALSE)</f>
        <v>#N/A</v>
      </c>
      <c r="J426" s="33" t="e">
        <f>VLOOKUP(B426,辅助信息!E:I,4,FALSE)</f>
        <v>#N/A</v>
      </c>
      <c r="K426" s="33" t="e">
        <f>VLOOKUP(J426,辅助信息!H:I,2,FALSE)</f>
        <v>#N/A</v>
      </c>
      <c r="M426" s="88">
        <v>45703</v>
      </c>
      <c r="N426" s="88"/>
      <c r="O426" s="19">
        <f ca="1" t="shared" si="6"/>
        <v>0</v>
      </c>
      <c r="P426" s="19">
        <f ca="1" t="shared" si="7"/>
        <v>254</v>
      </c>
      <c r="Q426" s="19" t="e">
        <f>VLOOKUP(B426,辅助信息!E:M,9,FALSE)</f>
        <v>#N/A</v>
      </c>
    </row>
    <row r="427" s="19" customFormat="1" hidden="1" spans="2:17">
      <c r="B427" s="33" t="s">
        <v>80</v>
      </c>
      <c r="C427" s="63">
        <v>45704</v>
      </c>
      <c r="D427" s="33" t="e">
        <f>VLOOKUP(B427,辅助信息!E:K,7,FALSE)</f>
        <v>#N/A</v>
      </c>
      <c r="E427" s="33" t="str">
        <f>VLOOKUP(F427,辅助信息!A:B,2,FALSE)</f>
        <v>螺纹钢</v>
      </c>
      <c r="F427" s="33" t="s">
        <v>30</v>
      </c>
      <c r="G427" s="33">
        <v>12</v>
      </c>
      <c r="H427" s="33" t="e">
        <f>_xlfn._xlws.FILTER(#REF!,#REF!&amp;#REF!&amp;#REF!&amp;#REF!=C427&amp;F427&amp;I427&amp;J427,"未发货")</f>
        <v>#REF!</v>
      </c>
      <c r="I427" s="33" t="e">
        <f>VLOOKUP(B427,辅助信息!E:I,3,FALSE)</f>
        <v>#N/A</v>
      </c>
      <c r="J427" s="33" t="e">
        <f>VLOOKUP(B427,辅助信息!E:I,4,FALSE)</f>
        <v>#N/A</v>
      </c>
      <c r="K427" s="33" t="e">
        <f>VLOOKUP(J427,辅助信息!H:I,2,FALSE)</f>
        <v>#N/A</v>
      </c>
      <c r="M427" s="88">
        <v>45703</v>
      </c>
      <c r="N427" s="88"/>
      <c r="O427" s="19">
        <f ca="1" t="shared" si="6"/>
        <v>0</v>
      </c>
      <c r="P427" s="19">
        <f ca="1" t="shared" si="7"/>
        <v>254</v>
      </c>
      <c r="Q427" s="19" t="e">
        <f>VLOOKUP(B427,辅助信息!E:M,9,FALSE)</f>
        <v>#N/A</v>
      </c>
    </row>
    <row r="428" s="19" customFormat="1" hidden="1" spans="2:17">
      <c r="B428" s="33" t="s">
        <v>64</v>
      </c>
      <c r="C428" s="63">
        <v>45704</v>
      </c>
      <c r="D428" s="33" t="e">
        <f>VLOOKUP(B428,辅助信息!E:K,7,FALSE)</f>
        <v>#N/A</v>
      </c>
      <c r="E428" s="33" t="str">
        <f>VLOOKUP(F428,辅助信息!A:B,2,FALSE)</f>
        <v>螺纹钢</v>
      </c>
      <c r="F428" s="33" t="s">
        <v>32</v>
      </c>
      <c r="G428" s="33">
        <v>21</v>
      </c>
      <c r="H428" s="33" t="e">
        <f>_xlfn._xlws.FILTER(#REF!,#REF!&amp;#REF!&amp;#REF!&amp;#REF!=C428&amp;F428&amp;I428&amp;J428,"未发货")</f>
        <v>#REF!</v>
      </c>
      <c r="I428" s="33" t="e">
        <f>VLOOKUP(B428,辅助信息!E:I,3,FALSE)</f>
        <v>#N/A</v>
      </c>
      <c r="J428" s="33" t="e">
        <f>VLOOKUP(B428,辅助信息!E:I,4,FALSE)</f>
        <v>#N/A</v>
      </c>
      <c r="K428" s="33" t="e">
        <f>VLOOKUP(J428,辅助信息!H:I,2,FALSE)</f>
        <v>#N/A</v>
      </c>
      <c r="L428" s="19" t="e">
        <f>VLOOKUP(B428,辅助信息!E:J,6,FALSE)</f>
        <v>#N/A</v>
      </c>
      <c r="M428" s="88">
        <v>45704</v>
      </c>
      <c r="O428" s="19">
        <f ca="1" t="shared" si="6"/>
        <v>0</v>
      </c>
      <c r="P428" s="19">
        <f ca="1" t="shared" si="7"/>
        <v>253</v>
      </c>
      <c r="Q428" s="19" t="e">
        <f>VLOOKUP(B428,辅助信息!E:M,9,FALSE)</f>
        <v>#N/A</v>
      </c>
    </row>
    <row r="429" s="19" customFormat="1" hidden="1" spans="2:17">
      <c r="B429" s="33" t="s">
        <v>64</v>
      </c>
      <c r="C429" s="63">
        <v>45704</v>
      </c>
      <c r="D429" s="33" t="e">
        <f>VLOOKUP(B429,辅助信息!E:K,7,FALSE)</f>
        <v>#N/A</v>
      </c>
      <c r="E429" s="33" t="str">
        <f>VLOOKUP(F429,辅助信息!A:B,2,FALSE)</f>
        <v>螺纹钢</v>
      </c>
      <c r="F429" s="33" t="s">
        <v>65</v>
      </c>
      <c r="G429" s="33">
        <v>42</v>
      </c>
      <c r="H429" s="33" t="e">
        <f>_xlfn._xlws.FILTER(#REF!,#REF!&amp;#REF!&amp;#REF!&amp;#REF!=C429&amp;F429&amp;I429&amp;J429,"未发货")</f>
        <v>#REF!</v>
      </c>
      <c r="I429" s="33" t="e">
        <f>VLOOKUP(B429,辅助信息!E:I,3,FALSE)</f>
        <v>#N/A</v>
      </c>
      <c r="J429" s="33" t="e">
        <f>VLOOKUP(B429,辅助信息!E:I,4,FALSE)</f>
        <v>#N/A</v>
      </c>
      <c r="K429" s="33" t="e">
        <f>VLOOKUP(J429,辅助信息!H:I,2,FALSE)</f>
        <v>#N/A</v>
      </c>
      <c r="M429" s="88">
        <v>45704</v>
      </c>
      <c r="O429" s="19">
        <f ca="1" t="shared" si="6"/>
        <v>0</v>
      </c>
      <c r="P429" s="19">
        <f ca="1" t="shared" si="7"/>
        <v>253</v>
      </c>
      <c r="Q429" s="19" t="e">
        <f>VLOOKUP(B429,辅助信息!E:M,9,FALSE)</f>
        <v>#N/A</v>
      </c>
    </row>
    <row r="430" s="19" customFormat="1" hidden="1" spans="2:17">
      <c r="B430" s="33" t="s">
        <v>48</v>
      </c>
      <c r="C430" s="63">
        <v>45704</v>
      </c>
      <c r="D430" s="33" t="str">
        <f>VLOOKUP(B430,辅助信息!E:K,7,FALSE)</f>
        <v>ZTWM-CDGS-YL-20240529-006</v>
      </c>
      <c r="E430" s="33" t="str">
        <f>VLOOKUP(F430,辅助信息!A:B,2,FALSE)</f>
        <v>盘螺</v>
      </c>
      <c r="F430" s="33" t="s">
        <v>49</v>
      </c>
      <c r="G430" s="33">
        <v>3</v>
      </c>
      <c r="H430" s="33" t="e">
        <f>_xlfn._xlws.FILTER(#REF!,#REF!&amp;#REF!&amp;#REF!&amp;#REF!=C430&amp;F430&amp;I430&amp;J430,"未发货")</f>
        <v>#REF!</v>
      </c>
      <c r="I430" s="33" t="str">
        <f>VLOOKUP(B430,辅助信息!E:I,3,FALSE)</f>
        <v>(华西颐海-科创农业生态谷-1号钢筋房)成都市简阳市白金山水库</v>
      </c>
      <c r="J430" s="33" t="str">
        <f>VLOOKUP(B430,辅助信息!E:I,4,FALSE)</f>
        <v>石清国</v>
      </c>
      <c r="K430" s="33">
        <f>VLOOKUP(J430,辅助信息!H:I,2,FALSE)</f>
        <v>13458642015</v>
      </c>
      <c r="L430" s="19" t="str">
        <f>VLOOKUP(B430,辅助信息!E:J,6,FALSE)</f>
        <v>优先威钢,我方卸车,新老国标钢厂不加价可直发</v>
      </c>
      <c r="M430" s="88">
        <v>45705</v>
      </c>
      <c r="O430" s="19">
        <f ca="1" t="shared" si="6"/>
        <v>0</v>
      </c>
      <c r="P430" s="19">
        <f ca="1" t="shared" si="7"/>
        <v>252</v>
      </c>
      <c r="Q430" s="19" t="str">
        <f>VLOOKUP(B430,辅助信息!E:M,9,FALSE)</f>
        <v>ZTWM-CDGS-XS-2024-0093-华西-颐海科创农业生态谷</v>
      </c>
    </row>
    <row r="431" s="19" customFormat="1" hidden="1" spans="2:17">
      <c r="B431" s="33" t="s">
        <v>29</v>
      </c>
      <c r="C431" s="63">
        <v>45704</v>
      </c>
      <c r="D431" s="33" t="e">
        <f>VLOOKUP(B431,辅助信息!E:K,7,FALSE)</f>
        <v>#N/A</v>
      </c>
      <c r="E431" s="33" t="str">
        <f>VLOOKUP(F431,辅助信息!A:B,2,FALSE)</f>
        <v>螺纹钢</v>
      </c>
      <c r="F431" s="33" t="s">
        <v>27</v>
      </c>
      <c r="G431" s="33">
        <v>15</v>
      </c>
      <c r="H431" s="33" t="e">
        <f>_xlfn._xlws.FILTER(#REF!,#REF!&amp;#REF!&amp;#REF!&amp;#REF!=C431&amp;F431&amp;I431&amp;J431,"未发货")</f>
        <v>#REF!</v>
      </c>
      <c r="I431" s="33" t="e">
        <f>VLOOKUP(B431,辅助信息!E:I,3,FALSE)</f>
        <v>#N/A</v>
      </c>
      <c r="J431" s="33" t="e">
        <f>VLOOKUP(B431,辅助信息!E:I,4,FALSE)</f>
        <v>#N/A</v>
      </c>
      <c r="K431" s="33" t="e">
        <f>VLOOKUP(J431,辅助信息!H:I,2,FALSE)</f>
        <v>#N/A</v>
      </c>
      <c r="L431" s="19" t="e">
        <f>VLOOKUP(B431,辅助信息!E:J,6,FALSE)</f>
        <v>#N/A</v>
      </c>
      <c r="M431" s="88">
        <v>45705</v>
      </c>
      <c r="O431" s="19">
        <f ca="1" t="shared" si="6"/>
        <v>0</v>
      </c>
      <c r="P431" s="19">
        <f ca="1" t="shared" si="7"/>
        <v>252</v>
      </c>
      <c r="Q431" s="19" t="e">
        <f>VLOOKUP(B431,辅助信息!E:M,9,FALSE)</f>
        <v>#N/A</v>
      </c>
    </row>
    <row r="432" s="19" customFormat="1" hidden="1" spans="2:17">
      <c r="B432" s="33" t="s">
        <v>29</v>
      </c>
      <c r="C432" s="63">
        <v>45704</v>
      </c>
      <c r="D432" s="33" t="e">
        <f>VLOOKUP(B432,辅助信息!E:K,7,FALSE)</f>
        <v>#N/A</v>
      </c>
      <c r="E432" s="33" t="str">
        <f>VLOOKUP(F432,辅助信息!A:B,2,FALSE)</f>
        <v>螺纹钢</v>
      </c>
      <c r="F432" s="33" t="s">
        <v>32</v>
      </c>
      <c r="G432" s="33">
        <v>20</v>
      </c>
      <c r="H432" s="33" t="e">
        <f>_xlfn._xlws.FILTER(#REF!,#REF!&amp;#REF!&amp;#REF!&amp;#REF!=C432&amp;F432&amp;I432&amp;J432,"未发货")</f>
        <v>#REF!</v>
      </c>
      <c r="I432" s="33" t="e">
        <f>VLOOKUP(B432,辅助信息!E:I,3,FALSE)</f>
        <v>#N/A</v>
      </c>
      <c r="J432" s="33" t="e">
        <f>VLOOKUP(B432,辅助信息!E:I,4,FALSE)</f>
        <v>#N/A</v>
      </c>
      <c r="K432" s="33" t="e">
        <f>VLOOKUP(J432,辅助信息!H:I,2,FALSE)</f>
        <v>#N/A</v>
      </c>
      <c r="M432" s="88">
        <v>45705</v>
      </c>
      <c r="O432" s="19">
        <f ca="1" t="shared" si="6"/>
        <v>0</v>
      </c>
      <c r="P432" s="19">
        <f ca="1" t="shared" si="7"/>
        <v>252</v>
      </c>
      <c r="Q432" s="19" t="e">
        <f>VLOOKUP(B432,辅助信息!E:M,9,FALSE)</f>
        <v>#N/A</v>
      </c>
    </row>
    <row r="433" s="19" customFormat="1" hidden="1" spans="2:17">
      <c r="B433" s="33" t="s">
        <v>29</v>
      </c>
      <c r="C433" s="63">
        <v>45704</v>
      </c>
      <c r="D433" s="33" t="e">
        <f>VLOOKUP(B433,辅助信息!E:K,7,FALSE)</f>
        <v>#N/A</v>
      </c>
      <c r="E433" s="33" t="str">
        <f>VLOOKUP(F433,辅助信息!A:B,2,FALSE)</f>
        <v>螺纹钢</v>
      </c>
      <c r="F433" s="33" t="s">
        <v>30</v>
      </c>
      <c r="G433" s="33">
        <v>35</v>
      </c>
      <c r="H433" s="33" t="e">
        <f>_xlfn._xlws.FILTER(#REF!,#REF!&amp;#REF!&amp;#REF!&amp;#REF!=C433&amp;F433&amp;I433&amp;J433,"未发货")</f>
        <v>#REF!</v>
      </c>
      <c r="I433" s="33" t="e">
        <f>VLOOKUP(B433,辅助信息!E:I,3,FALSE)</f>
        <v>#N/A</v>
      </c>
      <c r="J433" s="33" t="e">
        <f>VLOOKUP(B433,辅助信息!E:I,4,FALSE)</f>
        <v>#N/A</v>
      </c>
      <c r="K433" s="33" t="e">
        <f>VLOOKUP(J433,辅助信息!H:I,2,FALSE)</f>
        <v>#N/A</v>
      </c>
      <c r="M433" s="88">
        <v>45705</v>
      </c>
      <c r="O433" s="19">
        <f ca="1" t="shared" si="6"/>
        <v>0</v>
      </c>
      <c r="P433" s="19">
        <f ca="1" t="shared" si="7"/>
        <v>252</v>
      </c>
      <c r="Q433" s="19" t="e">
        <f>VLOOKUP(B433,辅助信息!E:M,9,FALSE)</f>
        <v>#N/A</v>
      </c>
    </row>
    <row r="434" s="19" customFormat="1" hidden="1" spans="2:17">
      <c r="B434" s="33" t="s">
        <v>78</v>
      </c>
      <c r="C434" s="63">
        <v>45704</v>
      </c>
      <c r="D434" s="33" t="e">
        <f>VLOOKUP(B434,辅助信息!E:K,7,FALSE)</f>
        <v>#N/A</v>
      </c>
      <c r="E434" s="33" t="str">
        <f>VLOOKUP(F434,辅助信息!A:B,2,FALSE)</f>
        <v>螺纹钢</v>
      </c>
      <c r="F434" s="33" t="s">
        <v>33</v>
      </c>
      <c r="G434" s="33">
        <f>55-36</f>
        <v>19</v>
      </c>
      <c r="H434" s="33" t="e">
        <f>_xlfn._xlws.FILTER(#REF!,#REF!&amp;#REF!&amp;#REF!&amp;#REF!=C434&amp;F434&amp;I434&amp;J434,"未发货")</f>
        <v>#REF!</v>
      </c>
      <c r="I434" s="33" t="e">
        <f>VLOOKUP(B434,辅助信息!E:I,3,FALSE)</f>
        <v>#N/A</v>
      </c>
      <c r="J434" s="33" t="e">
        <f>VLOOKUP(B434,辅助信息!E:I,4,FALSE)</f>
        <v>#N/A</v>
      </c>
      <c r="K434" s="33" t="e">
        <f>VLOOKUP(J434,辅助信息!H:I,2,FALSE)</f>
        <v>#N/A</v>
      </c>
      <c r="L434" s="19" t="e">
        <f>VLOOKUP(B434,辅助信息!E:J,6,FALSE)</f>
        <v>#N/A</v>
      </c>
      <c r="M434" s="88">
        <v>45705</v>
      </c>
      <c r="O434" s="19">
        <f ca="1" t="shared" si="6"/>
        <v>0</v>
      </c>
      <c r="P434" s="19">
        <f ca="1" t="shared" si="7"/>
        <v>252</v>
      </c>
      <c r="Q434" s="19" t="e">
        <f>VLOOKUP(B434,辅助信息!E:M,9,FALSE)</f>
        <v>#N/A</v>
      </c>
    </row>
    <row r="435" s="19" customFormat="1" hidden="1" spans="2:17">
      <c r="B435" s="33" t="s">
        <v>69</v>
      </c>
      <c r="C435" s="63">
        <v>45704</v>
      </c>
      <c r="D435" s="33" t="str">
        <f>VLOOKUP(B435,辅助信息!E:K,7,FALSE)</f>
        <v>JWDDCD2025052800131</v>
      </c>
      <c r="E435" s="33" t="str">
        <f>VLOOKUP(F435,辅助信息!A:B,2,FALSE)</f>
        <v>盘螺</v>
      </c>
      <c r="F435" s="33" t="s">
        <v>40</v>
      </c>
      <c r="G435" s="90">
        <v>13</v>
      </c>
      <c r="H435" s="33" t="e">
        <f>_xlfn._xlws.FILTER(#REF!,#REF!&amp;#REF!&amp;#REF!&amp;#REF!=C435&amp;F435&amp;I435&amp;J435,"未发货")</f>
        <v>#REF!</v>
      </c>
      <c r="I435" s="33" t="str">
        <f>VLOOKUP(B435,辅助信息!E:I,3,FALSE)</f>
        <v>（商投建工达州中医药科技园-4工区-2号楼）达州市通川区达州中医药职业学院犀牛大道北段</v>
      </c>
      <c r="J435" s="33" t="str">
        <f>VLOOKUP(B435,辅助信息!E:I,4,FALSE)</f>
        <v>张扬</v>
      </c>
      <c r="K435" s="33">
        <f>VLOOKUP(J435,辅助信息!H:I,2,FALSE)</f>
        <v>18381904567</v>
      </c>
      <c r="L435" s="19" t="str">
        <f>VLOOKUP(B435,辅助信息!E:J,6,FALSE)</f>
        <v>控制炉批号！多了现场不收！,优先安排达钢,提前联系到场规格及数量</v>
      </c>
      <c r="M435" s="88">
        <v>45704</v>
      </c>
      <c r="O435" s="19">
        <f ca="1" t="shared" si="6"/>
        <v>0</v>
      </c>
      <c r="P435" s="19">
        <f ca="1" t="shared" si="7"/>
        <v>253</v>
      </c>
      <c r="Q435" s="19" t="str">
        <f>VLOOKUP(B435,辅助信息!E:M,9,FALSE)</f>
        <v>ZTWM-CDGS-XS-2024-0134-商投建工达州中医药科技成果示范园项目</v>
      </c>
    </row>
    <row r="436" s="19" customFormat="1" hidden="1" spans="2:17">
      <c r="B436" s="33" t="s">
        <v>69</v>
      </c>
      <c r="C436" s="63">
        <v>45704</v>
      </c>
      <c r="D436" s="33" t="str">
        <f>VLOOKUP(B436,辅助信息!E:K,7,FALSE)</f>
        <v>JWDDCD2025052800131</v>
      </c>
      <c r="E436" s="33" t="str">
        <f>VLOOKUP(F436,辅助信息!A:B,2,FALSE)</f>
        <v>盘螺</v>
      </c>
      <c r="F436" s="33" t="s">
        <v>41</v>
      </c>
      <c r="G436" s="33">
        <v>9</v>
      </c>
      <c r="H436" s="33" t="e">
        <f>_xlfn._xlws.FILTER(#REF!,#REF!&amp;#REF!&amp;#REF!&amp;#REF!=C436&amp;F436&amp;I436&amp;J436,"未发货")</f>
        <v>#REF!</v>
      </c>
      <c r="I436" s="33" t="str">
        <f>VLOOKUP(B436,辅助信息!E:I,3,FALSE)</f>
        <v>（商投建工达州中医药科技园-4工区-2号楼）达州市通川区达州中医药职业学院犀牛大道北段</v>
      </c>
      <c r="J436" s="33" t="str">
        <f>VLOOKUP(B436,辅助信息!E:I,4,FALSE)</f>
        <v>张扬</v>
      </c>
      <c r="K436" s="33">
        <f>VLOOKUP(J436,辅助信息!H:I,2,FALSE)</f>
        <v>18381904567</v>
      </c>
      <c r="M436" s="88">
        <v>45704</v>
      </c>
      <c r="O436" s="19">
        <f ca="1" t="shared" si="6"/>
        <v>0</v>
      </c>
      <c r="P436" s="19">
        <f ca="1" t="shared" si="7"/>
        <v>253</v>
      </c>
      <c r="Q436" s="19" t="str">
        <f>VLOOKUP(B436,辅助信息!E:M,9,FALSE)</f>
        <v>ZTWM-CDGS-XS-2024-0134-商投建工达州中医药科技成果示范园项目</v>
      </c>
    </row>
    <row r="437" s="19" customFormat="1" hidden="1" spans="2:17">
      <c r="B437" s="33" t="s">
        <v>69</v>
      </c>
      <c r="C437" s="63">
        <v>45704</v>
      </c>
      <c r="D437" s="33" t="str">
        <f>VLOOKUP(B437,辅助信息!E:K,7,FALSE)</f>
        <v>JWDDCD2025052800131</v>
      </c>
      <c r="E437" s="33" t="str">
        <f>VLOOKUP(F437,辅助信息!A:B,2,FALSE)</f>
        <v>螺纹钢</v>
      </c>
      <c r="F437" s="90" t="s">
        <v>32</v>
      </c>
      <c r="G437" s="33">
        <v>12</v>
      </c>
      <c r="H437" s="33" t="e">
        <f>_xlfn._xlws.FILTER(#REF!,#REF!&amp;#REF!&amp;#REF!&amp;#REF!=C437&amp;F437&amp;I437&amp;J437,"未发货")</f>
        <v>#REF!</v>
      </c>
      <c r="I437" s="33" t="str">
        <f>VLOOKUP(B437,辅助信息!E:I,3,FALSE)</f>
        <v>（商投建工达州中医药科技园-4工区-2号楼）达州市通川区达州中医药职业学院犀牛大道北段</v>
      </c>
      <c r="J437" s="33" t="str">
        <f>VLOOKUP(B437,辅助信息!E:I,4,FALSE)</f>
        <v>张扬</v>
      </c>
      <c r="K437" s="33">
        <f>VLOOKUP(J437,辅助信息!H:I,2,FALSE)</f>
        <v>18381904567</v>
      </c>
      <c r="M437" s="88">
        <v>45704</v>
      </c>
      <c r="O437" s="19">
        <f ca="1" t="shared" si="6"/>
        <v>0</v>
      </c>
      <c r="P437" s="19">
        <f ca="1" t="shared" si="7"/>
        <v>253</v>
      </c>
      <c r="Q437" s="19" t="str">
        <f>VLOOKUP(B437,辅助信息!E:M,9,FALSE)</f>
        <v>ZTWM-CDGS-XS-2024-0134-商投建工达州中医药科技成果示范园项目</v>
      </c>
    </row>
    <row r="438" s="19" customFormat="1" hidden="1" spans="2:17">
      <c r="B438" s="33" t="s">
        <v>69</v>
      </c>
      <c r="C438" s="63">
        <v>45704</v>
      </c>
      <c r="D438" s="33" t="str">
        <f>VLOOKUP(B438,辅助信息!E:K,7,FALSE)</f>
        <v>JWDDCD2025052800131</v>
      </c>
      <c r="E438" s="33" t="str">
        <f>VLOOKUP(F438,辅助信息!A:B,2,FALSE)</f>
        <v>螺纹钢</v>
      </c>
      <c r="F438" s="90" t="s">
        <v>21</v>
      </c>
      <c r="G438" s="33">
        <v>30</v>
      </c>
      <c r="H438" s="33" t="e">
        <f>_xlfn._xlws.FILTER(#REF!,#REF!&amp;#REF!&amp;#REF!&amp;#REF!=C438&amp;F438&amp;I438&amp;J438,"未发货")</f>
        <v>#REF!</v>
      </c>
      <c r="I438" s="33" t="str">
        <f>VLOOKUP(B438,辅助信息!E:I,3,FALSE)</f>
        <v>（商投建工达州中医药科技园-4工区-2号楼）达州市通川区达州中医药职业学院犀牛大道北段</v>
      </c>
      <c r="J438" s="33" t="str">
        <f>VLOOKUP(B438,辅助信息!E:I,4,FALSE)</f>
        <v>张扬</v>
      </c>
      <c r="K438" s="33">
        <f>VLOOKUP(J438,辅助信息!H:I,2,FALSE)</f>
        <v>18381904567</v>
      </c>
      <c r="M438" s="88">
        <v>45704</v>
      </c>
      <c r="O438" s="19">
        <f ca="1" t="shared" si="6"/>
        <v>0</v>
      </c>
      <c r="P438" s="19">
        <f ca="1" t="shared" si="7"/>
        <v>253</v>
      </c>
      <c r="Q438" s="19" t="str">
        <f>VLOOKUP(B438,辅助信息!E:M,9,FALSE)</f>
        <v>ZTWM-CDGS-XS-2024-0134-商投建工达州中医药科技成果示范园项目</v>
      </c>
    </row>
    <row r="439" s="19" customFormat="1" hidden="1" spans="1:17">
      <c r="A439" s="55"/>
      <c r="B439" s="33" t="s">
        <v>84</v>
      </c>
      <c r="C439" s="63">
        <v>45704</v>
      </c>
      <c r="D439" s="33" t="e">
        <f>VLOOKUP(B439,辅助信息!E:K,7,FALSE)</f>
        <v>#N/A</v>
      </c>
      <c r="E439" s="33" t="str">
        <f>VLOOKUP(F439,辅助信息!A:B,2,FALSE)</f>
        <v>螺纹钢</v>
      </c>
      <c r="F439" s="33" t="s">
        <v>27</v>
      </c>
      <c r="G439" s="29">
        <v>8</v>
      </c>
      <c r="H439" s="29" t="e">
        <f>_xlfn._xlws.FILTER(#REF!,#REF!&amp;#REF!&amp;#REF!&amp;#REF!=C439&amp;F439&amp;I439&amp;J439,"未发货")</f>
        <v>#REF!</v>
      </c>
      <c r="I439" s="33" t="e">
        <f>VLOOKUP(B439,辅助信息!E:I,3,FALSE)</f>
        <v>#N/A</v>
      </c>
      <c r="J439" s="33" t="e">
        <f>VLOOKUP(B439,辅助信息!E:I,4,FALSE)</f>
        <v>#N/A</v>
      </c>
      <c r="K439" s="33" t="e">
        <f>VLOOKUP(J439,辅助信息!H:I,2,FALSE)</f>
        <v>#N/A</v>
      </c>
      <c r="L439" s="55" t="e">
        <f>VLOOKUP(B439,辅助信息!E:J,6,FALSE)</f>
        <v>#N/A</v>
      </c>
      <c r="M439" s="84">
        <v>45705</v>
      </c>
      <c r="N439" s="55"/>
      <c r="O439" s="55">
        <f ca="1" t="shared" si="6"/>
        <v>0</v>
      </c>
      <c r="P439" s="55">
        <f ca="1" t="shared" si="7"/>
        <v>252</v>
      </c>
      <c r="Q439" s="19" t="e">
        <f>VLOOKUP(B439,辅助信息!E:M,9,FALSE)</f>
        <v>#N/A</v>
      </c>
    </row>
    <row r="440" s="19" customFormat="1" hidden="1" spans="1:17">
      <c r="A440" s="55"/>
      <c r="B440" s="33" t="s">
        <v>84</v>
      </c>
      <c r="C440" s="63">
        <v>45704</v>
      </c>
      <c r="D440" s="33" t="e">
        <f>VLOOKUP(B440,辅助信息!E:K,7,FALSE)</f>
        <v>#N/A</v>
      </c>
      <c r="E440" s="33" t="str">
        <f>VLOOKUP(F440,辅助信息!A:B,2,FALSE)</f>
        <v>螺纹钢</v>
      </c>
      <c r="F440" s="33" t="s">
        <v>33</v>
      </c>
      <c r="G440" s="29">
        <v>8</v>
      </c>
      <c r="H440" s="29" t="e">
        <f>_xlfn._xlws.FILTER(#REF!,#REF!&amp;#REF!&amp;#REF!&amp;#REF!=C440&amp;F440&amp;I440&amp;J440,"未发货")</f>
        <v>#REF!</v>
      </c>
      <c r="I440" s="33" t="e">
        <f>VLOOKUP(B440,辅助信息!E:I,3,FALSE)</f>
        <v>#N/A</v>
      </c>
      <c r="J440" s="33" t="e">
        <f>VLOOKUP(B440,辅助信息!E:I,4,FALSE)</f>
        <v>#N/A</v>
      </c>
      <c r="K440" s="33" t="e">
        <f>VLOOKUP(J440,辅助信息!H:I,2,FALSE)</f>
        <v>#N/A</v>
      </c>
      <c r="M440" s="84">
        <v>45705</v>
      </c>
      <c r="N440" s="55"/>
      <c r="O440" s="55">
        <f ca="1" t="shared" si="6"/>
        <v>0</v>
      </c>
      <c r="P440" s="55">
        <f ca="1" t="shared" si="7"/>
        <v>252</v>
      </c>
      <c r="Q440" s="19" t="e">
        <f>VLOOKUP(B440,辅助信息!E:M,9,FALSE)</f>
        <v>#N/A</v>
      </c>
    </row>
    <row r="441" s="19" customFormat="1" hidden="1" spans="1:17">
      <c r="A441" s="55"/>
      <c r="B441" s="33" t="s">
        <v>84</v>
      </c>
      <c r="C441" s="63">
        <v>45704</v>
      </c>
      <c r="D441" s="33" t="e">
        <f>VLOOKUP(B441,辅助信息!E:K,7,FALSE)</f>
        <v>#N/A</v>
      </c>
      <c r="E441" s="33" t="str">
        <f>VLOOKUP(F441,辅助信息!A:B,2,FALSE)</f>
        <v>螺纹钢</v>
      </c>
      <c r="F441" s="33" t="s">
        <v>18</v>
      </c>
      <c r="G441" s="29">
        <v>12</v>
      </c>
      <c r="H441" s="29" t="e">
        <f>_xlfn._xlws.FILTER(#REF!,#REF!&amp;#REF!&amp;#REF!&amp;#REF!=C441&amp;F441&amp;I441&amp;J441,"未发货")</f>
        <v>#REF!</v>
      </c>
      <c r="I441" s="33" t="e">
        <f>VLOOKUP(B441,辅助信息!E:I,3,FALSE)</f>
        <v>#N/A</v>
      </c>
      <c r="J441" s="33" t="e">
        <f>VLOOKUP(B441,辅助信息!E:I,4,FALSE)</f>
        <v>#N/A</v>
      </c>
      <c r="K441" s="33" t="e">
        <f>VLOOKUP(J441,辅助信息!H:I,2,FALSE)</f>
        <v>#N/A</v>
      </c>
      <c r="M441" s="84">
        <v>45705</v>
      </c>
      <c r="N441" s="55"/>
      <c r="O441" s="55">
        <f ca="1" t="shared" si="6"/>
        <v>0</v>
      </c>
      <c r="P441" s="55">
        <f ca="1" t="shared" si="7"/>
        <v>252</v>
      </c>
      <c r="Q441" s="19" t="e">
        <f>VLOOKUP(B441,辅助信息!E:M,9,FALSE)</f>
        <v>#N/A</v>
      </c>
    </row>
    <row r="442" s="19" customFormat="1" hidden="1" spans="1:17">
      <c r="A442" s="55"/>
      <c r="B442" s="33" t="s">
        <v>75</v>
      </c>
      <c r="C442" s="63">
        <v>45704</v>
      </c>
      <c r="D442" s="33" t="e">
        <f>VLOOKUP(B442,辅助信息!E:K,7,FALSE)</f>
        <v>#N/A</v>
      </c>
      <c r="E442" s="33" t="str">
        <f>VLOOKUP(F442,辅助信息!A:B,2,FALSE)</f>
        <v>螺纹钢</v>
      </c>
      <c r="F442" s="33" t="s">
        <v>65</v>
      </c>
      <c r="G442" s="29">
        <v>36</v>
      </c>
      <c r="H442" s="29" t="e">
        <f>_xlfn._xlws.FILTER(#REF!,#REF!&amp;#REF!&amp;#REF!&amp;#REF!=C442&amp;F442&amp;I442&amp;J442,"未发货")</f>
        <v>#REF!</v>
      </c>
      <c r="I442" s="33" t="e">
        <f>VLOOKUP(B442,辅助信息!E:I,3,FALSE)</f>
        <v>#N/A</v>
      </c>
      <c r="J442" s="33" t="e">
        <f>VLOOKUP(B442,辅助信息!E:I,4,FALSE)</f>
        <v>#N/A</v>
      </c>
      <c r="K442" s="33" t="e">
        <f>VLOOKUP(J442,辅助信息!H:I,2,FALSE)</f>
        <v>#N/A</v>
      </c>
      <c r="L442" s="55" t="e">
        <f>VLOOKUP(B442,辅助信息!E:J,6,FALSE)</f>
        <v>#N/A</v>
      </c>
      <c r="M442" s="84">
        <v>45709</v>
      </c>
      <c r="N442" s="55"/>
      <c r="O442" s="55">
        <f ca="1" t="shared" si="6"/>
        <v>0</v>
      </c>
      <c r="P442" s="55">
        <f ca="1" t="shared" si="7"/>
        <v>248</v>
      </c>
      <c r="Q442" s="19" t="e">
        <f>VLOOKUP(B442,辅助信息!E:M,9,FALSE)</f>
        <v>#N/A</v>
      </c>
    </row>
    <row r="443" s="19" customFormat="1" hidden="1" spans="1:16">
      <c r="A443" s="55"/>
      <c r="B443" s="33" t="s">
        <v>75</v>
      </c>
      <c r="C443" s="63">
        <v>45704</v>
      </c>
      <c r="D443" s="33" t="e">
        <f>VLOOKUP(B443,辅助信息!E:K,7,FALSE)</f>
        <v>#N/A</v>
      </c>
      <c r="E443" s="33" t="str">
        <f>VLOOKUP(F443,辅助信息!A:B,2,FALSE)</f>
        <v>螺纹钢</v>
      </c>
      <c r="F443" s="33" t="s">
        <v>77</v>
      </c>
      <c r="G443" s="29">
        <v>20</v>
      </c>
      <c r="H443" s="29" t="e">
        <f>_xlfn._xlws.FILTER(#REF!,#REF!&amp;#REF!&amp;#REF!&amp;#REF!=C443&amp;F443&amp;I443&amp;J443,"未发货")</f>
        <v>#REF!</v>
      </c>
      <c r="I443" s="33" t="e">
        <f>VLOOKUP(B443,辅助信息!E:I,3,FALSE)</f>
        <v>#N/A</v>
      </c>
      <c r="J443" s="33" t="e">
        <f>VLOOKUP(B443,辅助信息!E:I,4,FALSE)</f>
        <v>#N/A</v>
      </c>
      <c r="K443" s="33" t="e">
        <f>VLOOKUP(J443,辅助信息!H:I,2,FALSE)</f>
        <v>#N/A</v>
      </c>
      <c r="M443" s="84"/>
      <c r="N443" s="55"/>
      <c r="O443" s="55"/>
      <c r="P443" s="55"/>
    </row>
    <row r="444" s="19" customFormat="1" hidden="1" spans="1:17">
      <c r="A444" s="55"/>
      <c r="B444" s="33" t="s">
        <v>87</v>
      </c>
      <c r="C444" s="63">
        <v>45704</v>
      </c>
      <c r="D444" s="33" t="e">
        <f>VLOOKUP(B444,辅助信息!E:K,7,FALSE)</f>
        <v>#N/A</v>
      </c>
      <c r="E444" s="33" t="str">
        <f>VLOOKUP(F444,辅助信息!A:B,2,FALSE)</f>
        <v>螺纹钢</v>
      </c>
      <c r="F444" s="33" t="s">
        <v>27</v>
      </c>
      <c r="G444" s="29">
        <v>8</v>
      </c>
      <c r="H444" s="29" t="e">
        <f>_xlfn._xlws.FILTER(#REF!,#REF!&amp;#REF!&amp;#REF!&amp;#REF!=C444&amp;F444&amp;I444&amp;J444,"未发货")</f>
        <v>#REF!</v>
      </c>
      <c r="I444" s="33" t="e">
        <f>VLOOKUP(B444,辅助信息!E:I,3,FALSE)</f>
        <v>#N/A</v>
      </c>
      <c r="J444" s="33" t="e">
        <f>VLOOKUP(B444,辅助信息!E:I,4,FALSE)</f>
        <v>#N/A</v>
      </c>
      <c r="K444" s="33" t="e">
        <f>VLOOKUP(J444,辅助信息!H:I,2,FALSE)</f>
        <v>#N/A</v>
      </c>
      <c r="L444" s="55" t="e">
        <f>VLOOKUP(B444,辅助信息!E:J,6,FALSE)</f>
        <v>#N/A</v>
      </c>
      <c r="M444" s="84">
        <v>45706</v>
      </c>
      <c r="N444" s="55"/>
      <c r="O444" s="55">
        <f ca="1" t="shared" ref="O444:O463" si="8">IF(OR(M444="",N444&lt;&gt;""),"",MAX(M444-TODAY(),0))</f>
        <v>0</v>
      </c>
      <c r="P444" s="55">
        <f ca="1" t="shared" ref="P444:P463" si="9">IF(M444="","",IF(N444&lt;&gt;"",MAX(N444-M444,0),IF(TODAY()&gt;M444,TODAY()-M444,0)))</f>
        <v>251</v>
      </c>
      <c r="Q444" s="19" t="e">
        <f>VLOOKUP(B444,辅助信息!E:M,9,FALSE)</f>
        <v>#N/A</v>
      </c>
    </row>
    <row r="445" s="19" customFormat="1" hidden="1" spans="1:17">
      <c r="A445" s="55"/>
      <c r="B445" s="33" t="s">
        <v>87</v>
      </c>
      <c r="C445" s="63">
        <v>45704</v>
      </c>
      <c r="D445" s="33" t="e">
        <f>VLOOKUP(B445,辅助信息!E:K,7,FALSE)</f>
        <v>#N/A</v>
      </c>
      <c r="E445" s="33" t="str">
        <f>VLOOKUP(F445,辅助信息!A:B,2,FALSE)</f>
        <v>螺纹钢</v>
      </c>
      <c r="F445" s="33" t="s">
        <v>65</v>
      </c>
      <c r="G445" s="29">
        <v>27</v>
      </c>
      <c r="H445" s="29" t="e">
        <f>_xlfn._xlws.FILTER(#REF!,#REF!&amp;#REF!&amp;#REF!&amp;#REF!=C445&amp;F445&amp;I445&amp;J445,"未发货")</f>
        <v>#REF!</v>
      </c>
      <c r="I445" s="33" t="e">
        <f>VLOOKUP(B445,辅助信息!E:I,3,FALSE)</f>
        <v>#N/A</v>
      </c>
      <c r="J445" s="33" t="e">
        <f>VLOOKUP(B445,辅助信息!E:I,4,FALSE)</f>
        <v>#N/A</v>
      </c>
      <c r="K445" s="33" t="e">
        <f>VLOOKUP(J445,辅助信息!H:I,2,FALSE)</f>
        <v>#N/A</v>
      </c>
      <c r="M445" s="84">
        <v>45706</v>
      </c>
      <c r="N445" s="55"/>
      <c r="O445" s="55">
        <f ca="1" t="shared" si="8"/>
        <v>0</v>
      </c>
      <c r="P445" s="55">
        <f ca="1" t="shared" si="9"/>
        <v>251</v>
      </c>
      <c r="Q445" s="19" t="e">
        <f>VLOOKUP(B445,辅助信息!E:M,9,FALSE)</f>
        <v>#N/A</v>
      </c>
    </row>
    <row r="446" s="19" customFormat="1" hidden="1" spans="1:17">
      <c r="A446" s="55"/>
      <c r="B446" s="33" t="s">
        <v>74</v>
      </c>
      <c r="C446" s="63">
        <v>45704</v>
      </c>
      <c r="D446" s="33" t="e">
        <f>VLOOKUP(B446,辅助信息!E:K,7,FALSE)</f>
        <v>#N/A</v>
      </c>
      <c r="E446" s="33" t="str">
        <f>VLOOKUP(F446,辅助信息!A:B,2,FALSE)</f>
        <v>螺纹钢</v>
      </c>
      <c r="F446" s="33" t="s">
        <v>19</v>
      </c>
      <c r="G446" s="29">
        <v>12</v>
      </c>
      <c r="H446" s="29" t="e">
        <f>_xlfn._xlws.FILTER(#REF!,#REF!&amp;#REF!&amp;#REF!&amp;#REF!=C446&amp;F446&amp;I446&amp;J446,"未发货")</f>
        <v>#REF!</v>
      </c>
      <c r="I446" s="33" t="e">
        <f>VLOOKUP(B446,辅助信息!E:I,3,FALSE)</f>
        <v>#N/A</v>
      </c>
      <c r="J446" s="33" t="e">
        <f>VLOOKUP(B446,辅助信息!E:I,4,FALSE)</f>
        <v>#N/A</v>
      </c>
      <c r="K446" s="33" t="e">
        <f>VLOOKUP(J446,辅助信息!H:I,2,FALSE)</f>
        <v>#N/A</v>
      </c>
      <c r="L446" s="55" t="e">
        <f>VLOOKUP(B446,辅助信息!E:J,6,FALSE)</f>
        <v>#N/A</v>
      </c>
      <c r="M446" s="84">
        <v>45711</v>
      </c>
      <c r="N446" s="55"/>
      <c r="O446" s="55">
        <f ca="1" t="shared" si="8"/>
        <v>0</v>
      </c>
      <c r="P446" s="55">
        <f ca="1" t="shared" si="9"/>
        <v>246</v>
      </c>
      <c r="Q446" s="19" t="e">
        <f>VLOOKUP(B446,辅助信息!E:M,9,FALSE)</f>
        <v>#N/A</v>
      </c>
    </row>
    <row r="447" s="19" customFormat="1" hidden="1" spans="1:17">
      <c r="A447" s="55"/>
      <c r="B447" s="33" t="s">
        <v>74</v>
      </c>
      <c r="C447" s="63">
        <v>45704</v>
      </c>
      <c r="D447" s="33" t="e">
        <f>VLOOKUP(B447,辅助信息!E:K,7,FALSE)</f>
        <v>#N/A</v>
      </c>
      <c r="E447" s="33" t="str">
        <f>VLOOKUP(F447,辅助信息!A:B,2,FALSE)</f>
        <v>螺纹钢</v>
      </c>
      <c r="F447" s="33" t="s">
        <v>33</v>
      </c>
      <c r="G447" s="29">
        <v>12</v>
      </c>
      <c r="H447" s="29" t="e">
        <f>_xlfn._xlws.FILTER(#REF!,#REF!&amp;#REF!&amp;#REF!&amp;#REF!=C447&amp;F447&amp;I447&amp;J447,"未发货")</f>
        <v>#REF!</v>
      </c>
      <c r="I447" s="33" t="e">
        <f>VLOOKUP(B447,辅助信息!E:I,3,FALSE)</f>
        <v>#N/A</v>
      </c>
      <c r="J447" s="33" t="e">
        <f>VLOOKUP(B447,辅助信息!E:I,4,FALSE)</f>
        <v>#N/A</v>
      </c>
      <c r="K447" s="33" t="e">
        <f>VLOOKUP(J447,辅助信息!H:I,2,FALSE)</f>
        <v>#N/A</v>
      </c>
      <c r="M447" s="84">
        <v>45711</v>
      </c>
      <c r="N447" s="55"/>
      <c r="O447" s="55">
        <f ca="1" t="shared" si="8"/>
        <v>0</v>
      </c>
      <c r="P447" s="55">
        <f ca="1" t="shared" si="9"/>
        <v>246</v>
      </c>
      <c r="Q447" s="19" t="e">
        <f>VLOOKUP(B447,辅助信息!E:M,9,FALSE)</f>
        <v>#N/A</v>
      </c>
    </row>
    <row r="448" s="19" customFormat="1" hidden="1" spans="1:17">
      <c r="A448" s="55"/>
      <c r="B448" s="33" t="s">
        <v>74</v>
      </c>
      <c r="C448" s="63">
        <v>45704</v>
      </c>
      <c r="D448" s="33" t="e">
        <f>VLOOKUP(B448,辅助信息!E:K,7,FALSE)</f>
        <v>#N/A</v>
      </c>
      <c r="E448" s="33" t="str">
        <f>VLOOKUP(F448,辅助信息!A:B,2,FALSE)</f>
        <v>螺纹钢</v>
      </c>
      <c r="F448" s="33" t="s">
        <v>28</v>
      </c>
      <c r="G448" s="29">
        <v>12</v>
      </c>
      <c r="H448" s="29" t="e">
        <f>_xlfn._xlws.FILTER(#REF!,#REF!&amp;#REF!&amp;#REF!&amp;#REF!=C448&amp;F448&amp;I448&amp;J448,"未发货")</f>
        <v>#REF!</v>
      </c>
      <c r="I448" s="33" t="e">
        <f>VLOOKUP(B448,辅助信息!E:I,3,FALSE)</f>
        <v>#N/A</v>
      </c>
      <c r="J448" s="33" t="e">
        <f>VLOOKUP(B448,辅助信息!E:I,4,FALSE)</f>
        <v>#N/A</v>
      </c>
      <c r="K448" s="33" t="e">
        <f>VLOOKUP(J448,辅助信息!H:I,2,FALSE)</f>
        <v>#N/A</v>
      </c>
      <c r="M448" s="84">
        <v>45711</v>
      </c>
      <c r="N448" s="55"/>
      <c r="O448" s="55">
        <f ca="1" t="shared" si="8"/>
        <v>0</v>
      </c>
      <c r="P448" s="55">
        <f ca="1" t="shared" si="9"/>
        <v>246</v>
      </c>
      <c r="Q448" s="19" t="e">
        <f>VLOOKUP(B448,辅助信息!E:M,9,FALSE)</f>
        <v>#N/A</v>
      </c>
    </row>
    <row r="449" hidden="1" spans="1:18">
      <c r="A449" s="55"/>
      <c r="B449" s="33" t="s">
        <v>74</v>
      </c>
      <c r="C449" s="63">
        <v>45704</v>
      </c>
      <c r="D449" s="33" t="e">
        <f>VLOOKUP(B449,辅助信息!E:K,7,FALSE)</f>
        <v>#N/A</v>
      </c>
      <c r="E449" s="33" t="str">
        <f>VLOOKUP(F449,辅助信息!A:B,2,FALSE)</f>
        <v>螺纹钢</v>
      </c>
      <c r="F449" s="33" t="s">
        <v>18</v>
      </c>
      <c r="G449" s="29">
        <v>3</v>
      </c>
      <c r="H449" s="29" t="e">
        <f>_xlfn._xlws.FILTER(#REF!,#REF!&amp;#REF!&amp;#REF!&amp;#REF!=C449&amp;F449&amp;I449&amp;J449,"未发货")</f>
        <v>#REF!</v>
      </c>
      <c r="I449" s="33" t="e">
        <f>VLOOKUP(B449,辅助信息!E:I,3,FALSE)</f>
        <v>#N/A</v>
      </c>
      <c r="J449" s="33" t="e">
        <f>VLOOKUP(B449,辅助信息!E:I,4,FALSE)</f>
        <v>#N/A</v>
      </c>
      <c r="K449" s="33" t="e">
        <f>VLOOKUP(J449,辅助信息!H:I,2,FALSE)</f>
        <v>#N/A</v>
      </c>
      <c r="L449" s="19"/>
      <c r="M449" s="84">
        <v>45711</v>
      </c>
      <c r="O449" s="55">
        <f ca="1" t="shared" si="8"/>
        <v>0</v>
      </c>
      <c r="P449" s="55">
        <f ca="1" t="shared" si="9"/>
        <v>246</v>
      </c>
      <c r="Q449" s="19" t="e">
        <f>VLOOKUP(B449,辅助信息!E:M,9,FALSE)</f>
        <v>#N/A</v>
      </c>
      <c r="R449" s="19"/>
    </row>
    <row r="450" hidden="1" spans="1:18">
      <c r="A450" s="55"/>
      <c r="B450" s="33" t="s">
        <v>79</v>
      </c>
      <c r="C450" s="63">
        <v>45704</v>
      </c>
      <c r="D450" s="33" t="e">
        <f>VLOOKUP(B450,辅助信息!E:K,7,FALSE)</f>
        <v>#N/A</v>
      </c>
      <c r="E450" s="33" t="str">
        <f>VLOOKUP(F450,辅助信息!A:B,2,FALSE)</f>
        <v>盘螺</v>
      </c>
      <c r="F450" s="33" t="s">
        <v>40</v>
      </c>
      <c r="G450" s="29">
        <v>3</v>
      </c>
      <c r="H450" s="29" t="e">
        <f>_xlfn._xlws.FILTER(#REF!,#REF!&amp;#REF!&amp;#REF!&amp;#REF!=C450&amp;F450&amp;I450&amp;J450,"未发货")</f>
        <v>#REF!</v>
      </c>
      <c r="I450" s="33" t="e">
        <f>VLOOKUP(B450,辅助信息!E:I,3,FALSE)</f>
        <v>#N/A</v>
      </c>
      <c r="J450" s="33" t="e">
        <f>VLOOKUP(B450,辅助信息!E:I,4,FALSE)</f>
        <v>#N/A</v>
      </c>
      <c r="K450" s="33" t="e">
        <f>VLOOKUP(J450,辅助信息!H:I,2,FALSE)</f>
        <v>#N/A</v>
      </c>
      <c r="L450" s="55" t="e">
        <f>VLOOKUP(B450,辅助信息!E:J,6,FALSE)</f>
        <v>#N/A</v>
      </c>
      <c r="O450" s="55" t="str">
        <f ca="1" t="shared" si="8"/>
        <v/>
      </c>
      <c r="P450" s="55" t="str">
        <f ca="1" t="shared" si="9"/>
        <v/>
      </c>
      <c r="Q450" s="19" t="e">
        <f>VLOOKUP(B450,辅助信息!E:M,9,FALSE)</f>
        <v>#N/A</v>
      </c>
      <c r="R450" s="19"/>
    </row>
    <row r="451" hidden="1" spans="1:18">
      <c r="A451" s="55"/>
      <c r="B451" s="33" t="s">
        <v>79</v>
      </c>
      <c r="C451" s="63">
        <v>45704</v>
      </c>
      <c r="D451" s="33" t="e">
        <f>VLOOKUP(B451,辅助信息!E:K,7,FALSE)</f>
        <v>#N/A</v>
      </c>
      <c r="E451" s="33" t="str">
        <f>VLOOKUP(F451,辅助信息!A:B,2,FALSE)</f>
        <v>盘螺</v>
      </c>
      <c r="F451" s="33" t="s">
        <v>41</v>
      </c>
      <c r="G451" s="29">
        <v>3</v>
      </c>
      <c r="H451" s="29" t="e">
        <f>_xlfn._xlws.FILTER(#REF!,#REF!&amp;#REF!&amp;#REF!&amp;#REF!=C451&amp;F451&amp;I451&amp;J451,"未发货")</f>
        <v>#REF!</v>
      </c>
      <c r="I451" s="33" t="e">
        <f>VLOOKUP(B451,辅助信息!E:I,3,FALSE)</f>
        <v>#N/A</v>
      </c>
      <c r="J451" s="33" t="e">
        <f>VLOOKUP(B451,辅助信息!E:I,4,FALSE)</f>
        <v>#N/A</v>
      </c>
      <c r="K451" s="33" t="e">
        <f>VLOOKUP(J451,辅助信息!H:I,2,FALSE)</f>
        <v>#N/A</v>
      </c>
      <c r="L451" s="19"/>
      <c r="O451" s="55" t="str">
        <f ca="1" t="shared" si="8"/>
        <v/>
      </c>
      <c r="P451" s="55" t="str">
        <f ca="1" t="shared" si="9"/>
        <v/>
      </c>
      <c r="Q451" s="19" t="e">
        <f>VLOOKUP(B451,辅助信息!E:M,9,FALSE)</f>
        <v>#N/A</v>
      </c>
      <c r="R451" s="19"/>
    </row>
    <row r="452" hidden="1" spans="1:18">
      <c r="A452" s="55"/>
      <c r="B452" s="33" t="s">
        <v>79</v>
      </c>
      <c r="C452" s="63">
        <v>45704</v>
      </c>
      <c r="D452" s="33" t="e">
        <f>VLOOKUP(B452,辅助信息!E:K,7,FALSE)</f>
        <v>#N/A</v>
      </c>
      <c r="E452" s="33" t="str">
        <f>VLOOKUP(F452,辅助信息!A:B,2,FALSE)</f>
        <v>螺纹钢</v>
      </c>
      <c r="F452" s="33" t="s">
        <v>27</v>
      </c>
      <c r="G452" s="29">
        <v>9</v>
      </c>
      <c r="H452" s="29" t="e">
        <f>_xlfn._xlws.FILTER(#REF!,#REF!&amp;#REF!&amp;#REF!&amp;#REF!=C452&amp;F452&amp;I452&amp;J452,"未发货")</f>
        <v>#REF!</v>
      </c>
      <c r="I452" s="33" t="e">
        <f>VLOOKUP(B452,辅助信息!E:I,3,FALSE)</f>
        <v>#N/A</v>
      </c>
      <c r="J452" s="33" t="e">
        <f>VLOOKUP(B452,辅助信息!E:I,4,FALSE)</f>
        <v>#N/A</v>
      </c>
      <c r="K452" s="33" t="e">
        <f>VLOOKUP(J452,辅助信息!H:I,2,FALSE)</f>
        <v>#N/A</v>
      </c>
      <c r="L452" s="19"/>
      <c r="O452" s="55" t="str">
        <f ca="1" t="shared" si="8"/>
        <v/>
      </c>
      <c r="P452" s="55" t="str">
        <f ca="1" t="shared" si="9"/>
        <v/>
      </c>
      <c r="Q452" s="19" t="e">
        <f>VLOOKUP(B452,辅助信息!E:M,9,FALSE)</f>
        <v>#N/A</v>
      </c>
      <c r="R452" s="19"/>
    </row>
    <row r="453" hidden="1" spans="1:18">
      <c r="A453" s="55"/>
      <c r="B453" s="33" t="s">
        <v>79</v>
      </c>
      <c r="C453" s="63">
        <v>45704</v>
      </c>
      <c r="D453" s="33" t="e">
        <f>VLOOKUP(B453,辅助信息!E:K,7,FALSE)</f>
        <v>#N/A</v>
      </c>
      <c r="E453" s="33" t="str">
        <f>VLOOKUP(F453,辅助信息!A:B,2,FALSE)</f>
        <v>螺纹钢</v>
      </c>
      <c r="F453" s="33" t="s">
        <v>19</v>
      </c>
      <c r="G453" s="29">
        <v>20</v>
      </c>
      <c r="H453" s="29" t="e">
        <f>_xlfn._xlws.FILTER(#REF!,#REF!&amp;#REF!&amp;#REF!&amp;#REF!=C453&amp;F453&amp;I453&amp;J453,"未发货")</f>
        <v>#REF!</v>
      </c>
      <c r="I453" s="33" t="e">
        <f>VLOOKUP(B453,辅助信息!E:I,3,FALSE)</f>
        <v>#N/A</v>
      </c>
      <c r="J453" s="33" t="e">
        <f>VLOOKUP(B453,辅助信息!E:I,4,FALSE)</f>
        <v>#N/A</v>
      </c>
      <c r="K453" s="33" t="e">
        <f>VLOOKUP(J453,辅助信息!H:I,2,FALSE)</f>
        <v>#N/A</v>
      </c>
      <c r="L453" s="19"/>
      <c r="O453" s="55" t="str">
        <f ca="1" t="shared" si="8"/>
        <v/>
      </c>
      <c r="P453" s="55" t="str">
        <f ca="1" t="shared" si="9"/>
        <v/>
      </c>
      <c r="Q453" s="19" t="e">
        <f>VLOOKUP(B453,辅助信息!E:M,9,FALSE)</f>
        <v>#N/A</v>
      </c>
      <c r="R453" s="19"/>
    </row>
    <row r="454" hidden="1" spans="1:18">
      <c r="A454" s="55"/>
      <c r="B454" s="33" t="s">
        <v>79</v>
      </c>
      <c r="C454" s="63">
        <v>45704</v>
      </c>
      <c r="D454" s="33" t="e">
        <f>VLOOKUP(B454,辅助信息!E:K,7,FALSE)</f>
        <v>#N/A</v>
      </c>
      <c r="E454" s="33" t="str">
        <f>VLOOKUP(F454,辅助信息!A:B,2,FALSE)</f>
        <v>螺纹钢</v>
      </c>
      <c r="F454" s="33" t="s">
        <v>32</v>
      </c>
      <c r="G454" s="29">
        <v>9</v>
      </c>
      <c r="H454" s="29" t="e">
        <f>_xlfn._xlws.FILTER(#REF!,#REF!&amp;#REF!&amp;#REF!&amp;#REF!=C454&amp;F454&amp;I454&amp;J454,"未发货")</f>
        <v>#REF!</v>
      </c>
      <c r="I454" s="33" t="e">
        <f>VLOOKUP(B454,辅助信息!E:I,3,FALSE)</f>
        <v>#N/A</v>
      </c>
      <c r="J454" s="33" t="e">
        <f>VLOOKUP(B454,辅助信息!E:I,4,FALSE)</f>
        <v>#N/A</v>
      </c>
      <c r="K454" s="33" t="e">
        <f>VLOOKUP(J454,辅助信息!H:I,2,FALSE)</f>
        <v>#N/A</v>
      </c>
      <c r="L454" s="19"/>
      <c r="O454" s="55" t="str">
        <f ca="1" t="shared" si="8"/>
        <v/>
      </c>
      <c r="P454" s="55" t="str">
        <f ca="1" t="shared" si="9"/>
        <v/>
      </c>
      <c r="Q454" s="19" t="e">
        <f>VLOOKUP(B454,辅助信息!E:M,9,FALSE)</f>
        <v>#N/A</v>
      </c>
      <c r="R454" s="19"/>
    </row>
    <row r="455" hidden="1" spans="1:18">
      <c r="A455" s="55"/>
      <c r="B455" s="33" t="s">
        <v>79</v>
      </c>
      <c r="C455" s="63">
        <v>45704</v>
      </c>
      <c r="D455" s="33" t="e">
        <f>VLOOKUP(B455,辅助信息!E:K,7,FALSE)</f>
        <v>#N/A</v>
      </c>
      <c r="E455" s="33" t="str">
        <f>VLOOKUP(F455,辅助信息!A:B,2,FALSE)</f>
        <v>螺纹钢</v>
      </c>
      <c r="F455" s="33" t="s">
        <v>30</v>
      </c>
      <c r="G455" s="29">
        <v>3</v>
      </c>
      <c r="H455" s="29" t="e">
        <f>_xlfn._xlws.FILTER(#REF!,#REF!&amp;#REF!&amp;#REF!&amp;#REF!=C455&amp;F455&amp;I455&amp;J455,"未发货")</f>
        <v>#REF!</v>
      </c>
      <c r="I455" s="33" t="e">
        <f>VLOOKUP(B455,辅助信息!E:I,3,FALSE)</f>
        <v>#N/A</v>
      </c>
      <c r="J455" s="33" t="e">
        <f>VLOOKUP(B455,辅助信息!E:I,4,FALSE)</f>
        <v>#N/A</v>
      </c>
      <c r="K455" s="33" t="e">
        <f>VLOOKUP(J455,辅助信息!H:I,2,FALSE)</f>
        <v>#N/A</v>
      </c>
      <c r="L455" s="19"/>
      <c r="O455" s="55" t="str">
        <f ca="1" t="shared" si="8"/>
        <v/>
      </c>
      <c r="P455" s="55" t="str">
        <f ca="1" t="shared" si="9"/>
        <v/>
      </c>
      <c r="Q455" s="19" t="e">
        <f>VLOOKUP(B455,辅助信息!E:M,9,FALSE)</f>
        <v>#N/A</v>
      </c>
      <c r="R455" s="19"/>
    </row>
    <row r="456" hidden="1" spans="1:18">
      <c r="A456" s="55"/>
      <c r="B456" s="33" t="s">
        <v>79</v>
      </c>
      <c r="C456" s="63">
        <v>45704</v>
      </c>
      <c r="D456" s="33" t="e">
        <f>VLOOKUP(B456,辅助信息!E:K,7,FALSE)</f>
        <v>#N/A</v>
      </c>
      <c r="E456" s="33" t="str">
        <f>VLOOKUP(F456,辅助信息!A:B,2,FALSE)</f>
        <v>螺纹钢</v>
      </c>
      <c r="F456" s="33" t="s">
        <v>33</v>
      </c>
      <c r="G456" s="29">
        <v>25</v>
      </c>
      <c r="H456" s="29" t="e">
        <f>_xlfn._xlws.FILTER(#REF!,#REF!&amp;#REF!&amp;#REF!&amp;#REF!=C456&amp;F456&amp;I456&amp;J456,"未发货")</f>
        <v>#REF!</v>
      </c>
      <c r="I456" s="33" t="e">
        <f>VLOOKUP(B456,辅助信息!E:I,3,FALSE)</f>
        <v>#N/A</v>
      </c>
      <c r="J456" s="33" t="e">
        <f>VLOOKUP(B456,辅助信息!E:I,4,FALSE)</f>
        <v>#N/A</v>
      </c>
      <c r="K456" s="33" t="e">
        <f>VLOOKUP(J456,辅助信息!H:I,2,FALSE)</f>
        <v>#N/A</v>
      </c>
      <c r="L456" s="19"/>
      <c r="O456" s="55" t="str">
        <f ca="1" t="shared" si="8"/>
        <v/>
      </c>
      <c r="P456" s="55" t="str">
        <f ca="1" t="shared" si="9"/>
        <v/>
      </c>
      <c r="Q456" s="19" t="e">
        <f>VLOOKUP(B456,辅助信息!E:M,9,FALSE)</f>
        <v>#N/A</v>
      </c>
      <c r="R456" s="19"/>
    </row>
    <row r="457" hidden="1" spans="1:18">
      <c r="A457" s="55"/>
      <c r="B457" s="33" t="s">
        <v>79</v>
      </c>
      <c r="C457" s="63">
        <v>45704</v>
      </c>
      <c r="D457" s="33" t="e">
        <f>VLOOKUP(B457,辅助信息!E:K,7,FALSE)</f>
        <v>#N/A</v>
      </c>
      <c r="E457" s="33" t="str">
        <f>VLOOKUP(F457,辅助信息!A:B,2,FALSE)</f>
        <v>螺纹钢</v>
      </c>
      <c r="F457" s="33" t="s">
        <v>18</v>
      </c>
      <c r="G457" s="29">
        <v>90</v>
      </c>
      <c r="H457" s="29" t="e">
        <f>_xlfn._xlws.FILTER(#REF!,#REF!&amp;#REF!&amp;#REF!&amp;#REF!=C457&amp;F457&amp;I457&amp;J457,"未发货")</f>
        <v>#REF!</v>
      </c>
      <c r="I457" s="33" t="e">
        <f>VLOOKUP(B457,辅助信息!E:I,3,FALSE)</f>
        <v>#N/A</v>
      </c>
      <c r="J457" s="33" t="e">
        <f>VLOOKUP(B457,辅助信息!E:I,4,FALSE)</f>
        <v>#N/A</v>
      </c>
      <c r="K457" s="33" t="e">
        <f>VLOOKUP(J457,辅助信息!H:I,2,FALSE)</f>
        <v>#N/A</v>
      </c>
      <c r="L457" s="19"/>
      <c r="O457" s="55" t="str">
        <f ca="1" t="shared" si="8"/>
        <v/>
      </c>
      <c r="P457" s="55" t="str">
        <f ca="1" t="shared" si="9"/>
        <v/>
      </c>
      <c r="Q457" s="19" t="e">
        <f>VLOOKUP(B457,辅助信息!E:M,9,FALSE)</f>
        <v>#N/A</v>
      </c>
      <c r="R457" s="19"/>
    </row>
    <row r="458" hidden="1" spans="2:18">
      <c r="B458" s="33" t="s">
        <v>68</v>
      </c>
      <c r="C458" s="63">
        <v>45704</v>
      </c>
      <c r="D458" s="33" t="str">
        <f>VLOOKUP(B458,辅助信息!E:K,7,FALSE)</f>
        <v>JWDDCD2025052800131</v>
      </c>
      <c r="E458" s="33" t="str">
        <f>VLOOKUP(F458,辅助信息!A:B,2,FALSE)</f>
        <v>盘螺</v>
      </c>
      <c r="F458" s="33" t="s">
        <v>40</v>
      </c>
      <c r="G458" s="29">
        <v>3</v>
      </c>
      <c r="H458" s="29" t="e">
        <f>_xlfn._xlws.FILTER(#REF!,#REF!&amp;#REF!&amp;#REF!&amp;#REF!=C458&amp;F458&amp;I458&amp;J458,"未发货")</f>
        <v>#REF!</v>
      </c>
      <c r="I458" s="33" t="str">
        <f>VLOOKUP(B458,辅助信息!E:I,3,FALSE)</f>
        <v>（商投建工达州中医药科技园-2工区-景观桥）达州市通川区达州中医药职业学院犀牛大道北段</v>
      </c>
      <c r="J458" s="33" t="str">
        <f>VLOOKUP(B458,辅助信息!E:I,4,FALSE)</f>
        <v>李波</v>
      </c>
      <c r="K458" s="33">
        <f>VLOOKUP(J458,辅助信息!H:I,2,FALSE)</f>
        <v>18381899787</v>
      </c>
      <c r="L458" s="55" t="str">
        <f>VLOOKUP(B458,辅助信息!E:J,6,FALSE)</f>
        <v>控制炉批号！多了现场不收！,优先安排达钢,提前联系到场规格及数量</v>
      </c>
      <c r="M458" s="84">
        <v>45706</v>
      </c>
      <c r="N458" s="50"/>
      <c r="O458" s="55">
        <f ca="1" t="shared" si="8"/>
        <v>0</v>
      </c>
      <c r="P458" s="55">
        <f ca="1" t="shared" si="9"/>
        <v>251</v>
      </c>
      <c r="Q458" s="19" t="str">
        <f>VLOOKUP(B458,辅助信息!E:M,9,FALSE)</f>
        <v>ZTWM-CDGS-XS-2024-0134-商投建工达州中医药科技成果示范园项目</v>
      </c>
      <c r="R458" s="19"/>
    </row>
    <row r="459" hidden="1" spans="2:18">
      <c r="B459" s="33" t="s">
        <v>68</v>
      </c>
      <c r="C459" s="63">
        <v>45704</v>
      </c>
      <c r="D459" s="33" t="str">
        <f>VLOOKUP(B459,辅助信息!E:K,7,FALSE)</f>
        <v>JWDDCD2025052800131</v>
      </c>
      <c r="E459" s="33" t="str">
        <f>VLOOKUP(F459,辅助信息!A:B,2,FALSE)</f>
        <v>螺纹钢</v>
      </c>
      <c r="F459" s="33" t="s">
        <v>27</v>
      </c>
      <c r="G459" s="29">
        <v>10</v>
      </c>
      <c r="H459" s="29" t="e">
        <f>_xlfn._xlws.FILTER(#REF!,#REF!&amp;#REF!&amp;#REF!&amp;#REF!=C459&amp;F459&amp;I459&amp;J459,"未发货")</f>
        <v>#REF!</v>
      </c>
      <c r="I459" s="33" t="str">
        <f>VLOOKUP(B459,辅助信息!E:I,3,FALSE)</f>
        <v>（商投建工达州中医药科技园-2工区-景观桥）达州市通川区达州中医药职业学院犀牛大道北段</v>
      </c>
      <c r="J459" s="33" t="str">
        <f>VLOOKUP(B459,辅助信息!E:I,4,FALSE)</f>
        <v>李波</v>
      </c>
      <c r="K459" s="33">
        <f>VLOOKUP(J459,辅助信息!H:I,2,FALSE)</f>
        <v>18381899787</v>
      </c>
      <c r="M459" s="84">
        <v>45706</v>
      </c>
      <c r="N459" s="50"/>
      <c r="O459" s="55">
        <f ca="1" t="shared" si="8"/>
        <v>0</v>
      </c>
      <c r="P459" s="55">
        <f ca="1" t="shared" si="9"/>
        <v>251</v>
      </c>
      <c r="Q459" s="19" t="str">
        <f>VLOOKUP(B459,辅助信息!E:M,9,FALSE)</f>
        <v>ZTWM-CDGS-XS-2024-0134-商投建工达州中医药科技成果示范园项目</v>
      </c>
      <c r="R459" s="19"/>
    </row>
    <row r="460" hidden="1" spans="2:18">
      <c r="B460" s="33" t="s">
        <v>68</v>
      </c>
      <c r="C460" s="63">
        <v>45704</v>
      </c>
      <c r="D460" s="33" t="str">
        <f>VLOOKUP(B460,辅助信息!E:K,7,FALSE)</f>
        <v>JWDDCD2025052800131</v>
      </c>
      <c r="E460" s="33" t="str">
        <f>VLOOKUP(F460,辅助信息!A:B,2,FALSE)</f>
        <v>螺纹钢</v>
      </c>
      <c r="F460" s="33" t="s">
        <v>32</v>
      </c>
      <c r="G460" s="29">
        <v>15</v>
      </c>
      <c r="H460" s="29" t="e">
        <f>_xlfn._xlws.FILTER(#REF!,#REF!&amp;#REF!&amp;#REF!&amp;#REF!=C460&amp;F460&amp;I460&amp;J460,"未发货")</f>
        <v>#REF!</v>
      </c>
      <c r="I460" s="33" t="str">
        <f>VLOOKUP(B460,辅助信息!E:I,3,FALSE)</f>
        <v>（商投建工达州中医药科技园-2工区-景观桥）达州市通川区达州中医药职业学院犀牛大道北段</v>
      </c>
      <c r="J460" s="33" t="str">
        <f>VLOOKUP(B460,辅助信息!E:I,4,FALSE)</f>
        <v>李波</v>
      </c>
      <c r="K460" s="33">
        <f>VLOOKUP(J460,辅助信息!H:I,2,FALSE)</f>
        <v>18381899787</v>
      </c>
      <c r="M460" s="84">
        <v>45706</v>
      </c>
      <c r="N460" s="50"/>
      <c r="O460" s="55">
        <f ca="1" t="shared" si="8"/>
        <v>0</v>
      </c>
      <c r="P460" s="55">
        <f ca="1" t="shared" si="9"/>
        <v>251</v>
      </c>
      <c r="Q460" s="19" t="str">
        <f>VLOOKUP(B460,辅助信息!E:M,9,FALSE)</f>
        <v>ZTWM-CDGS-XS-2024-0134-商投建工达州中医药科技成果示范园项目</v>
      </c>
      <c r="R460" s="19"/>
    </row>
    <row r="461" hidden="1" spans="2:18">
      <c r="B461" s="76" t="s">
        <v>68</v>
      </c>
      <c r="C461" s="77">
        <v>45704</v>
      </c>
      <c r="D461" s="76" t="str">
        <f>VLOOKUP(B461,辅助信息!E:K,7,FALSE)</f>
        <v>JWDDCD2025052800131</v>
      </c>
      <c r="E461" s="76" t="str">
        <f>VLOOKUP(F461,辅助信息!A:B,2,FALSE)</f>
        <v>螺纹钢</v>
      </c>
      <c r="F461" s="76" t="s">
        <v>65</v>
      </c>
      <c r="G461" s="78">
        <v>15</v>
      </c>
      <c r="H461" s="78" t="e">
        <f>_xlfn._xlws.FILTER(#REF!,#REF!&amp;#REF!&amp;#REF!&amp;#REF!=C461&amp;F461&amp;I461&amp;J461,"未发货")</f>
        <v>#REF!</v>
      </c>
      <c r="I461" s="76" t="str">
        <f>VLOOKUP(B461,辅助信息!E:I,3,FALSE)</f>
        <v>（商投建工达州中医药科技园-2工区-景观桥）达州市通川区达州中医药职业学院犀牛大道北段</v>
      </c>
      <c r="J461" s="76" t="str">
        <f>VLOOKUP(B461,辅助信息!E:I,4,FALSE)</f>
        <v>李波</v>
      </c>
      <c r="K461" s="76">
        <f>VLOOKUP(J461,辅助信息!H:I,2,FALSE)</f>
        <v>18381899787</v>
      </c>
      <c r="M461" s="84">
        <v>45706</v>
      </c>
      <c r="N461" s="50"/>
      <c r="O461" s="55">
        <f ca="1" t="shared" si="8"/>
        <v>0</v>
      </c>
      <c r="P461" s="55">
        <f ca="1" t="shared" si="9"/>
        <v>251</v>
      </c>
      <c r="Q461" s="19" t="str">
        <f>VLOOKUP(B461,辅助信息!E:M,9,FALSE)</f>
        <v>ZTWM-CDGS-XS-2024-0134-商投建工达州中医药科技成果示范园项目</v>
      </c>
      <c r="R461" s="19"/>
    </row>
    <row r="462" hidden="1" spans="1:18">
      <c r="A462" s="19"/>
      <c r="B462" s="33" t="s">
        <v>80</v>
      </c>
      <c r="C462" s="63">
        <v>45705</v>
      </c>
      <c r="D462" s="33" t="e">
        <f>VLOOKUP(B462,辅助信息!E:K,7,FALSE)</f>
        <v>#N/A</v>
      </c>
      <c r="E462" s="33" t="str">
        <f>VLOOKUP(F462,辅助信息!A:B,2,FALSE)</f>
        <v>盘螺</v>
      </c>
      <c r="F462" s="33" t="s">
        <v>49</v>
      </c>
      <c r="G462" s="33">
        <v>7.5</v>
      </c>
      <c r="H462" s="33" t="e">
        <f>_xlfn._xlws.FILTER('[1]2025年已发货'!$E:$E,'[1]2025年已发货'!$F:$F&amp;'[1]2025年已发货'!$C:$C&amp;'[1]2025年已发货'!$G:$G&amp;'[1]2025年已发货'!$H:$H=C462&amp;F462&amp;I462&amp;J462,"未发货")</f>
        <v>#N/A</v>
      </c>
      <c r="I462" s="33" t="e">
        <f>VLOOKUP(B462,辅助信息!E:I,3,FALSE)</f>
        <v>#N/A</v>
      </c>
      <c r="J462" s="33" t="e">
        <f>VLOOKUP(B462,辅助信息!E:I,4,FALSE)</f>
        <v>#N/A</v>
      </c>
      <c r="K462" s="33" t="e">
        <f>VLOOKUP(J462,辅助信息!H:I,2,FALSE)</f>
        <v>#N/A</v>
      </c>
      <c r="L462" s="33" t="e">
        <f>VLOOKUP(B462,辅助信息!E:J,6,FALSE)</f>
        <v>#N/A</v>
      </c>
      <c r="M462" s="88">
        <v>45703</v>
      </c>
      <c r="N462" s="88"/>
      <c r="O462" s="19">
        <f ca="1" t="shared" si="8"/>
        <v>0</v>
      </c>
      <c r="P462" s="19">
        <f ca="1" t="shared" si="9"/>
        <v>254</v>
      </c>
      <c r="Q462" s="19" t="e">
        <f>VLOOKUP(B462,辅助信息!E:M,9,FALSE)</f>
        <v>#N/A</v>
      </c>
      <c r="R462" s="19"/>
    </row>
    <row r="463" hidden="1" spans="1:18">
      <c r="A463" s="19"/>
      <c r="B463" s="33" t="s">
        <v>80</v>
      </c>
      <c r="C463" s="63">
        <v>45705</v>
      </c>
      <c r="D463" s="33" t="e">
        <f>VLOOKUP(B463,辅助信息!E:K,7,FALSE)</f>
        <v>#N/A</v>
      </c>
      <c r="E463" s="33" t="str">
        <f>VLOOKUP(F463,辅助信息!A:B,2,FALSE)</f>
        <v>盘螺</v>
      </c>
      <c r="F463" s="33" t="s">
        <v>40</v>
      </c>
      <c r="G463" s="33">
        <v>15</v>
      </c>
      <c r="H463" s="33" t="e">
        <f>_xlfn._xlws.FILTER('[1]2025年已发货'!$E:$E,'[1]2025年已发货'!$F:$F&amp;'[1]2025年已发货'!$C:$C&amp;'[1]2025年已发货'!$G:$G&amp;'[1]2025年已发货'!$H:$H=C463&amp;F463&amp;I463&amp;J463,"未发货")</f>
        <v>#N/A</v>
      </c>
      <c r="I463" s="33" t="e">
        <f>VLOOKUP(B463,辅助信息!E:I,3,FALSE)</f>
        <v>#N/A</v>
      </c>
      <c r="J463" s="33" t="e">
        <f>VLOOKUP(B463,辅助信息!E:I,4,FALSE)</f>
        <v>#N/A</v>
      </c>
      <c r="K463" s="33" t="e">
        <f>VLOOKUP(J463,辅助信息!H:I,2,FALSE)</f>
        <v>#N/A</v>
      </c>
      <c r="L463" s="71"/>
      <c r="M463" s="88">
        <v>45703</v>
      </c>
      <c r="N463" s="88"/>
      <c r="O463" s="19">
        <f ca="1" t="shared" si="8"/>
        <v>0</v>
      </c>
      <c r="P463" s="19">
        <f ca="1" t="shared" si="9"/>
        <v>254</v>
      </c>
      <c r="Q463" s="19" t="e">
        <f>VLOOKUP(B463,辅助信息!E:M,9,FALSE)</f>
        <v>#N/A</v>
      </c>
      <c r="R463" s="19"/>
    </row>
    <row r="464" hidden="1" spans="1:18">
      <c r="A464" s="19"/>
      <c r="B464" s="33" t="s">
        <v>80</v>
      </c>
      <c r="C464" s="63">
        <v>45705</v>
      </c>
      <c r="D464" s="33" t="e">
        <f>VLOOKUP(B464,辅助信息!E:K,7,FALSE)</f>
        <v>#N/A</v>
      </c>
      <c r="E464" s="33" t="str">
        <f>VLOOKUP(F464,辅助信息!A:B,2,FALSE)</f>
        <v>螺纹钢</v>
      </c>
      <c r="F464" s="33" t="s">
        <v>27</v>
      </c>
      <c r="G464" s="33">
        <v>5</v>
      </c>
      <c r="H464" s="33" t="e">
        <f>_xlfn._xlws.FILTER('[1]2025年已发货'!$E:$E,'[1]2025年已发货'!$F:$F&amp;'[1]2025年已发货'!$C:$C&amp;'[1]2025年已发货'!$G:$G&amp;'[1]2025年已发货'!$H:$H=C464&amp;F464&amp;I464&amp;J464,"未发货")</f>
        <v>#N/A</v>
      </c>
      <c r="I464" s="33" t="e">
        <f>VLOOKUP(B464,辅助信息!E:I,3,FALSE)</f>
        <v>#N/A</v>
      </c>
      <c r="J464" s="33" t="e">
        <f>VLOOKUP(B464,辅助信息!E:I,4,FALSE)</f>
        <v>#N/A</v>
      </c>
      <c r="K464" s="33" t="e">
        <f>VLOOKUP(J464,辅助信息!H:I,2,FALSE)</f>
        <v>#N/A</v>
      </c>
      <c r="L464" s="71"/>
      <c r="M464" s="88"/>
      <c r="N464" s="88"/>
      <c r="O464" s="19"/>
      <c r="P464" s="19"/>
      <c r="Q464" s="19"/>
      <c r="R464" s="19"/>
    </row>
    <row r="465" s="19" customFormat="1" hidden="1" spans="2:14">
      <c r="B465" s="33" t="s">
        <v>80</v>
      </c>
      <c r="C465" s="63">
        <v>45705</v>
      </c>
      <c r="D465" s="33" t="e">
        <f>VLOOKUP(B465,辅助信息!E:K,7,FALSE)</f>
        <v>#N/A</v>
      </c>
      <c r="E465" s="33" t="str">
        <f>VLOOKUP(F465,辅助信息!A:B,2,FALSE)</f>
        <v>螺纹钢</v>
      </c>
      <c r="F465" s="33" t="s">
        <v>32</v>
      </c>
      <c r="G465" s="33">
        <v>7</v>
      </c>
      <c r="H465" s="33" t="e">
        <f>_xlfn._xlws.FILTER('[1]2025年已发货'!$E:$E,'[1]2025年已发货'!$F:$F&amp;'[1]2025年已发货'!$C:$C&amp;'[1]2025年已发货'!$G:$G&amp;'[1]2025年已发货'!$H:$H=C465&amp;F465&amp;I465&amp;J465,"未发货")</f>
        <v>#N/A</v>
      </c>
      <c r="I465" s="33" t="e">
        <f>VLOOKUP(B465,辅助信息!E:I,3,FALSE)</f>
        <v>#N/A</v>
      </c>
      <c r="J465" s="33" t="e">
        <f>VLOOKUP(B465,辅助信息!E:I,4,FALSE)</f>
        <v>#N/A</v>
      </c>
      <c r="K465" s="33" t="e">
        <f>VLOOKUP(J465,辅助信息!H:I,2,FALSE)</f>
        <v>#N/A</v>
      </c>
      <c r="L465" s="71"/>
      <c r="M465" s="88"/>
      <c r="N465" s="88"/>
    </row>
    <row r="466" s="19" customFormat="1" hidden="1" spans="2:17">
      <c r="B466" s="33" t="s">
        <v>80</v>
      </c>
      <c r="C466" s="63">
        <v>45705</v>
      </c>
      <c r="D466" s="33" t="e">
        <f>VLOOKUP(B466,辅助信息!E:K,7,FALSE)</f>
        <v>#N/A</v>
      </c>
      <c r="E466" s="33" t="str">
        <f>VLOOKUP(F466,辅助信息!A:B,2,FALSE)</f>
        <v>螺纹钢</v>
      </c>
      <c r="F466" s="33" t="s">
        <v>30</v>
      </c>
      <c r="G466" s="33">
        <v>12</v>
      </c>
      <c r="H466" s="33" t="e">
        <f>_xlfn._xlws.FILTER('[1]2025年已发货'!$E:$E,'[1]2025年已发货'!$F:$F&amp;'[1]2025年已发货'!$C:$C&amp;'[1]2025年已发货'!$G:$G&amp;'[1]2025年已发货'!$H:$H=C466&amp;F466&amp;I466&amp;J466,"未发货")</f>
        <v>#N/A</v>
      </c>
      <c r="I466" s="33" t="e">
        <f>VLOOKUP(B466,辅助信息!E:I,3,FALSE)</f>
        <v>#N/A</v>
      </c>
      <c r="J466" s="33" t="e">
        <f>VLOOKUP(B466,辅助信息!E:I,4,FALSE)</f>
        <v>#N/A</v>
      </c>
      <c r="K466" s="33" t="e">
        <f>VLOOKUP(J466,辅助信息!H:I,2,FALSE)</f>
        <v>#N/A</v>
      </c>
      <c r="L466" s="69"/>
      <c r="M466" s="88">
        <v>45703</v>
      </c>
      <c r="N466" s="88"/>
      <c r="O466" s="19">
        <f ca="1" t="shared" ref="O466:O529" si="10">IF(OR(M466="",N466&lt;&gt;""),"",MAX(M466-TODAY(),0))</f>
        <v>0</v>
      </c>
      <c r="P466" s="19">
        <f ca="1" t="shared" ref="P466:P529" si="11">IF(M466="","",IF(N466&lt;&gt;"",MAX(N466-M466,0),IF(TODAY()&gt;M466,TODAY()-M466,0)))</f>
        <v>254</v>
      </c>
      <c r="Q466" s="19" t="e">
        <f>VLOOKUP(B466,辅助信息!E:M,9,FALSE)</f>
        <v>#N/A</v>
      </c>
    </row>
    <row r="467" s="19" customFormat="1" hidden="1" spans="2:17">
      <c r="B467" s="33" t="s">
        <v>48</v>
      </c>
      <c r="C467" s="63">
        <v>45705</v>
      </c>
      <c r="D467" s="33" t="str">
        <f>VLOOKUP(B467,辅助信息!E:K,7,FALSE)</f>
        <v>ZTWM-CDGS-YL-20240529-006</v>
      </c>
      <c r="E467" s="33" t="str">
        <f>VLOOKUP(F467,辅助信息!A:B,2,FALSE)</f>
        <v>盘螺</v>
      </c>
      <c r="F467" s="33" t="s">
        <v>49</v>
      </c>
      <c r="G467" s="33">
        <v>3</v>
      </c>
      <c r="H467" s="33" t="str">
        <f>_xlfn._xlws.FILTER('[1]2025年已发货'!$E:$E,'[1]2025年已发货'!$F:$F&amp;'[1]2025年已发货'!$C:$C&amp;'[1]2025年已发货'!$G:$G&amp;'[1]2025年已发货'!$H:$H=C467&amp;F467&amp;I467&amp;J467,"未发货")</f>
        <v>未发货</v>
      </c>
      <c r="I467" s="33" t="str">
        <f>VLOOKUP(B467,辅助信息!E:I,3,FALSE)</f>
        <v>(华西颐海-科创农业生态谷-1号钢筋房)成都市简阳市白金山水库</v>
      </c>
      <c r="J467" s="33" t="str">
        <f>VLOOKUP(B467,辅助信息!E:I,4,FALSE)</f>
        <v>石清国</v>
      </c>
      <c r="K467" s="33">
        <f>VLOOKUP(J467,辅助信息!H:I,2,FALSE)</f>
        <v>13458642015</v>
      </c>
      <c r="L467" s="33" t="str">
        <f>VLOOKUP(B467,辅助信息!E:J,6,FALSE)</f>
        <v>优先威钢,我方卸车,新老国标钢厂不加价可直发</v>
      </c>
      <c r="M467" s="88">
        <v>45705</v>
      </c>
      <c r="O467" s="19">
        <f ca="1" t="shared" si="10"/>
        <v>0</v>
      </c>
      <c r="P467" s="19">
        <f ca="1" t="shared" si="11"/>
        <v>252</v>
      </c>
      <c r="Q467" s="19" t="str">
        <f>VLOOKUP(B467,辅助信息!E:M,9,FALSE)</f>
        <v>ZTWM-CDGS-XS-2024-0093-华西-颐海科创农业生态谷</v>
      </c>
    </row>
    <row r="468" s="19" customFormat="1" hidden="1" spans="2:17">
      <c r="B468" s="33" t="s">
        <v>29</v>
      </c>
      <c r="C468" s="63">
        <v>45705</v>
      </c>
      <c r="D468" s="33" t="e">
        <f>VLOOKUP(B468,辅助信息!E:K,7,FALSE)</f>
        <v>#N/A</v>
      </c>
      <c r="E468" s="33" t="str">
        <f>VLOOKUP(F468,辅助信息!A:B,2,FALSE)</f>
        <v>螺纹钢</v>
      </c>
      <c r="F468" s="33" t="s">
        <v>27</v>
      </c>
      <c r="G468" s="33">
        <v>15</v>
      </c>
      <c r="H468" s="33" t="e">
        <f>_xlfn._xlws.FILTER('[1]2025年已发货'!$E:$E,'[1]2025年已发货'!$F:$F&amp;'[1]2025年已发货'!$C:$C&amp;'[1]2025年已发货'!$G:$G&amp;'[1]2025年已发货'!$H:$H=C468&amp;F468&amp;I468&amp;J468,"未发货")</f>
        <v>#N/A</v>
      </c>
      <c r="I468" s="33" t="e">
        <f>VLOOKUP(B468,辅助信息!E:I,3,FALSE)</f>
        <v>#N/A</v>
      </c>
      <c r="J468" s="33" t="e">
        <f>VLOOKUP(B468,辅助信息!E:I,4,FALSE)</f>
        <v>#N/A</v>
      </c>
      <c r="K468" s="33" t="e">
        <f>VLOOKUP(J468,辅助信息!H:I,2,FALSE)</f>
        <v>#N/A</v>
      </c>
      <c r="L468" s="33" t="e">
        <f>VLOOKUP(B468,辅助信息!E:J,6,FALSE)</f>
        <v>#N/A</v>
      </c>
      <c r="M468" s="88">
        <v>45705</v>
      </c>
      <c r="O468" s="19">
        <f ca="1" t="shared" si="10"/>
        <v>0</v>
      </c>
      <c r="P468" s="19">
        <f ca="1" t="shared" si="11"/>
        <v>252</v>
      </c>
      <c r="Q468" s="19" t="e">
        <f>VLOOKUP(B468,辅助信息!E:M,9,FALSE)</f>
        <v>#N/A</v>
      </c>
    </row>
    <row r="469" s="19" customFormat="1" hidden="1" spans="2:17">
      <c r="B469" s="33" t="s">
        <v>29</v>
      </c>
      <c r="C469" s="63">
        <v>45705</v>
      </c>
      <c r="D469" s="33" t="e">
        <f>VLOOKUP(B469,辅助信息!E:K,7,FALSE)</f>
        <v>#N/A</v>
      </c>
      <c r="E469" s="33" t="str">
        <f>VLOOKUP(F469,辅助信息!A:B,2,FALSE)</f>
        <v>螺纹钢</v>
      </c>
      <c r="F469" s="33" t="s">
        <v>32</v>
      </c>
      <c r="G469" s="33">
        <v>20</v>
      </c>
      <c r="H469" s="33" t="e">
        <f>_xlfn._xlws.FILTER('[1]2025年已发货'!$E:$E,'[1]2025年已发货'!$F:$F&amp;'[1]2025年已发货'!$C:$C&amp;'[1]2025年已发货'!$G:$G&amp;'[1]2025年已发货'!$H:$H=C469&amp;F469&amp;I469&amp;J469,"未发货")</f>
        <v>#N/A</v>
      </c>
      <c r="I469" s="33" t="e">
        <f>VLOOKUP(B469,辅助信息!E:I,3,FALSE)</f>
        <v>#N/A</v>
      </c>
      <c r="J469" s="33" t="e">
        <f>VLOOKUP(B469,辅助信息!E:I,4,FALSE)</f>
        <v>#N/A</v>
      </c>
      <c r="K469" s="33" t="e">
        <f>VLOOKUP(J469,辅助信息!H:I,2,FALSE)</f>
        <v>#N/A</v>
      </c>
      <c r="L469" s="71"/>
      <c r="M469" s="88">
        <v>45705</v>
      </c>
      <c r="O469" s="19">
        <f ca="1" t="shared" si="10"/>
        <v>0</v>
      </c>
      <c r="P469" s="19">
        <f ca="1" t="shared" si="11"/>
        <v>252</v>
      </c>
      <c r="Q469" s="19" t="e">
        <f>VLOOKUP(B469,辅助信息!E:M,9,FALSE)</f>
        <v>#N/A</v>
      </c>
    </row>
    <row r="470" s="19" customFormat="1" hidden="1" spans="2:17">
      <c r="B470" s="33" t="s">
        <v>29</v>
      </c>
      <c r="C470" s="63">
        <v>45705</v>
      </c>
      <c r="D470" s="33" t="e">
        <f>VLOOKUP(B470,辅助信息!E:K,7,FALSE)</f>
        <v>#N/A</v>
      </c>
      <c r="E470" s="33" t="str">
        <f>VLOOKUP(F470,辅助信息!A:B,2,FALSE)</f>
        <v>螺纹钢</v>
      </c>
      <c r="F470" s="33" t="s">
        <v>30</v>
      </c>
      <c r="G470" s="33">
        <v>35</v>
      </c>
      <c r="H470" s="33" t="e">
        <f>_xlfn._xlws.FILTER('[1]2025年已发货'!$E:$E,'[1]2025年已发货'!$F:$F&amp;'[1]2025年已发货'!$C:$C&amp;'[1]2025年已发货'!$G:$G&amp;'[1]2025年已发货'!$H:$H=C470&amp;F470&amp;I470&amp;J470,"未发货")</f>
        <v>#N/A</v>
      </c>
      <c r="I470" s="33" t="e">
        <f>VLOOKUP(B470,辅助信息!E:I,3,FALSE)</f>
        <v>#N/A</v>
      </c>
      <c r="J470" s="33" t="e">
        <f>VLOOKUP(B470,辅助信息!E:I,4,FALSE)</f>
        <v>#N/A</v>
      </c>
      <c r="K470" s="33" t="e">
        <f>VLOOKUP(J470,辅助信息!H:I,2,FALSE)</f>
        <v>#N/A</v>
      </c>
      <c r="L470" s="69"/>
      <c r="M470" s="88">
        <v>45705</v>
      </c>
      <c r="O470" s="19">
        <f ca="1" t="shared" si="10"/>
        <v>0</v>
      </c>
      <c r="P470" s="19">
        <f ca="1" t="shared" si="11"/>
        <v>252</v>
      </c>
      <c r="Q470" s="19" t="e">
        <f>VLOOKUP(B470,辅助信息!E:M,9,FALSE)</f>
        <v>#N/A</v>
      </c>
    </row>
    <row r="471" s="19" customFormat="1" hidden="1" spans="2:17">
      <c r="B471" s="33" t="s">
        <v>78</v>
      </c>
      <c r="C471" s="63">
        <v>45705</v>
      </c>
      <c r="D471" s="33" t="e">
        <f>VLOOKUP(B471,辅助信息!E:K,7,FALSE)</f>
        <v>#N/A</v>
      </c>
      <c r="E471" s="33" t="str">
        <f>VLOOKUP(F471,辅助信息!A:B,2,FALSE)</f>
        <v>螺纹钢</v>
      </c>
      <c r="F471" s="33" t="s">
        <v>33</v>
      </c>
      <c r="G471" s="33">
        <f>55-36</f>
        <v>19</v>
      </c>
      <c r="H471" s="33" t="e">
        <f>_xlfn._xlws.FILTER('[1]2025年已发货'!$E:$E,'[1]2025年已发货'!$F:$F&amp;'[1]2025年已发货'!$C:$C&amp;'[1]2025年已发货'!$G:$G&amp;'[1]2025年已发货'!$H:$H=C471&amp;F471&amp;I471&amp;J471,"未发货")</f>
        <v>#N/A</v>
      </c>
      <c r="I471" s="33" t="e">
        <f>VLOOKUP(B471,辅助信息!E:I,3,FALSE)</f>
        <v>#N/A</v>
      </c>
      <c r="J471" s="33" t="e">
        <f>VLOOKUP(B471,辅助信息!E:I,4,FALSE)</f>
        <v>#N/A</v>
      </c>
      <c r="K471" s="33" t="e">
        <f>VLOOKUP(J471,辅助信息!H:I,2,FALSE)</f>
        <v>#N/A</v>
      </c>
      <c r="L471" s="33" t="e">
        <f>VLOOKUP(B471,辅助信息!E:J,6,FALSE)</f>
        <v>#N/A</v>
      </c>
      <c r="M471" s="88">
        <v>45705</v>
      </c>
      <c r="O471" s="19">
        <f ca="1" t="shared" si="10"/>
        <v>0</v>
      </c>
      <c r="P471" s="19">
        <f ca="1" t="shared" si="11"/>
        <v>252</v>
      </c>
      <c r="Q471" s="19" t="e">
        <f>VLOOKUP(B471,辅助信息!E:M,9,FALSE)</f>
        <v>#N/A</v>
      </c>
    </row>
    <row r="472" s="19" customFormat="1" hidden="1" spans="2:17">
      <c r="B472" s="33" t="s">
        <v>69</v>
      </c>
      <c r="C472" s="63">
        <v>45705</v>
      </c>
      <c r="D472" s="33" t="str">
        <f>VLOOKUP(B472,辅助信息!E:K,7,FALSE)</f>
        <v>JWDDCD2025052800131</v>
      </c>
      <c r="E472" s="33" t="str">
        <f>VLOOKUP(F472,辅助信息!A:B,2,FALSE)</f>
        <v>盘螺</v>
      </c>
      <c r="F472" s="33" t="s">
        <v>40</v>
      </c>
      <c r="G472" s="33">
        <v>13</v>
      </c>
      <c r="H472" s="33">
        <f>_xlfn._xlws.FILTER('[1]2025年已发货'!$E:$E,'[1]2025年已发货'!$F:$F&amp;'[1]2025年已发货'!$C:$C&amp;'[1]2025年已发货'!$G:$G&amp;'[1]2025年已发货'!$H:$H=C472&amp;F472&amp;I472&amp;J472,"未发货")</f>
        <v>13</v>
      </c>
      <c r="I472" s="33" t="str">
        <f>VLOOKUP(B472,辅助信息!E:I,3,FALSE)</f>
        <v>（商投建工达州中医药科技园-4工区-2号楼）达州市通川区达州中医药职业学院犀牛大道北段</v>
      </c>
      <c r="J472" s="33" t="str">
        <f>VLOOKUP(B472,辅助信息!E:I,4,FALSE)</f>
        <v>张扬</v>
      </c>
      <c r="K472" s="33">
        <f>VLOOKUP(J472,辅助信息!H:I,2,FALSE)</f>
        <v>18381904567</v>
      </c>
      <c r="L472" s="33" t="str">
        <f>VLOOKUP(B472,辅助信息!E:J,6,FALSE)</f>
        <v>控制炉批号！多了现场不收！,优先安排达钢,提前联系到场规格及数量</v>
      </c>
      <c r="M472" s="88">
        <v>45704</v>
      </c>
      <c r="O472" s="19">
        <f ca="1" t="shared" si="10"/>
        <v>0</v>
      </c>
      <c r="P472" s="19">
        <f ca="1" t="shared" si="11"/>
        <v>253</v>
      </c>
      <c r="Q472" s="19" t="str">
        <f>VLOOKUP(B472,辅助信息!E:M,9,FALSE)</f>
        <v>ZTWM-CDGS-XS-2024-0134-商投建工达州中医药科技成果示范园项目</v>
      </c>
    </row>
    <row r="473" s="19" customFormat="1" hidden="1" spans="2:17">
      <c r="B473" s="33" t="s">
        <v>69</v>
      </c>
      <c r="C473" s="63">
        <v>45705</v>
      </c>
      <c r="D473" s="33" t="str">
        <f>VLOOKUP(B473,辅助信息!E:K,7,FALSE)</f>
        <v>JWDDCD2025052800131</v>
      </c>
      <c r="E473" s="33" t="str">
        <f>VLOOKUP(F473,辅助信息!A:B,2,FALSE)</f>
        <v>盘螺</v>
      </c>
      <c r="F473" s="33" t="s">
        <v>41</v>
      </c>
      <c r="G473" s="33">
        <v>9</v>
      </c>
      <c r="H473" s="33">
        <f>_xlfn._xlws.FILTER('[1]2025年已发货'!$E:$E,'[1]2025年已发货'!$F:$F&amp;'[1]2025年已发货'!$C:$C&amp;'[1]2025年已发货'!$G:$G&amp;'[1]2025年已发货'!$H:$H=C473&amp;F473&amp;I473&amp;J473,"未发货")</f>
        <v>10</v>
      </c>
      <c r="I473" s="33" t="str">
        <f>VLOOKUP(B473,辅助信息!E:I,3,FALSE)</f>
        <v>（商投建工达州中医药科技园-4工区-2号楼）达州市通川区达州中医药职业学院犀牛大道北段</v>
      </c>
      <c r="J473" s="33" t="str">
        <f>VLOOKUP(B473,辅助信息!E:I,4,FALSE)</f>
        <v>张扬</v>
      </c>
      <c r="K473" s="33">
        <f>VLOOKUP(J473,辅助信息!H:I,2,FALSE)</f>
        <v>18381904567</v>
      </c>
      <c r="L473" s="71"/>
      <c r="M473" s="88">
        <v>45704</v>
      </c>
      <c r="O473" s="19">
        <f ca="1" t="shared" si="10"/>
        <v>0</v>
      </c>
      <c r="P473" s="19">
        <f ca="1" t="shared" si="11"/>
        <v>253</v>
      </c>
      <c r="Q473" s="19" t="str">
        <f>VLOOKUP(B473,辅助信息!E:M,9,FALSE)</f>
        <v>ZTWM-CDGS-XS-2024-0134-商投建工达州中医药科技成果示范园项目</v>
      </c>
    </row>
    <row r="474" s="19" customFormat="1" hidden="1" spans="2:17">
      <c r="B474" s="33" t="s">
        <v>69</v>
      </c>
      <c r="C474" s="63">
        <v>45705</v>
      </c>
      <c r="D474" s="33" t="str">
        <f>VLOOKUP(B474,辅助信息!E:K,7,FALSE)</f>
        <v>JWDDCD2025052800131</v>
      </c>
      <c r="E474" s="33" t="str">
        <f>VLOOKUP(F474,辅助信息!A:B,2,FALSE)</f>
        <v>螺纹钢</v>
      </c>
      <c r="F474" s="33" t="s">
        <v>32</v>
      </c>
      <c r="G474" s="33">
        <v>12</v>
      </c>
      <c r="H474" s="33">
        <f>_xlfn._xlws.FILTER('[1]2025年已发货'!$E:$E,'[1]2025年已发货'!$F:$F&amp;'[1]2025年已发货'!$C:$C&amp;'[1]2025年已发货'!$G:$G&amp;'[1]2025年已发货'!$H:$H=C474&amp;F474&amp;I474&amp;J474,"未发货")</f>
        <v>12</v>
      </c>
      <c r="I474" s="33" t="str">
        <f>VLOOKUP(B474,辅助信息!E:I,3,FALSE)</f>
        <v>（商投建工达州中医药科技园-4工区-2号楼）达州市通川区达州中医药职业学院犀牛大道北段</v>
      </c>
      <c r="J474" s="33" t="str">
        <f>VLOOKUP(B474,辅助信息!E:I,4,FALSE)</f>
        <v>张扬</v>
      </c>
      <c r="K474" s="33">
        <f>VLOOKUP(J474,辅助信息!H:I,2,FALSE)</f>
        <v>18381904567</v>
      </c>
      <c r="L474" s="71"/>
      <c r="M474" s="88">
        <v>45704</v>
      </c>
      <c r="O474" s="19">
        <f ca="1" t="shared" si="10"/>
        <v>0</v>
      </c>
      <c r="P474" s="19">
        <f ca="1" t="shared" si="11"/>
        <v>253</v>
      </c>
      <c r="Q474" s="19" t="str">
        <f>VLOOKUP(B474,辅助信息!E:M,9,FALSE)</f>
        <v>ZTWM-CDGS-XS-2024-0134-商投建工达州中医药科技成果示范园项目</v>
      </c>
    </row>
    <row r="475" s="19" customFormat="1" hidden="1" spans="2:17">
      <c r="B475" s="33" t="s">
        <v>69</v>
      </c>
      <c r="C475" s="63">
        <v>45705</v>
      </c>
      <c r="D475" s="33" t="str">
        <f>VLOOKUP(B475,辅助信息!E:K,7,FALSE)</f>
        <v>JWDDCD2025052800131</v>
      </c>
      <c r="E475" s="33" t="str">
        <f>VLOOKUP(F475,辅助信息!A:B,2,FALSE)</f>
        <v>螺纹钢</v>
      </c>
      <c r="F475" s="33" t="s">
        <v>21</v>
      </c>
      <c r="G475" s="33">
        <v>30</v>
      </c>
      <c r="H475" s="33" t="str">
        <f>_xlfn._xlws.FILTER('[1]2025年已发货'!$E:$E,'[1]2025年已发货'!$F:$F&amp;'[1]2025年已发货'!$C:$C&amp;'[1]2025年已发货'!$G:$G&amp;'[1]2025年已发货'!$H:$H=C475&amp;F475&amp;I475&amp;J475,"未发货")</f>
        <v>未发货</v>
      </c>
      <c r="I475" s="33" t="str">
        <f>VLOOKUP(B475,辅助信息!E:I,3,FALSE)</f>
        <v>（商投建工达州中医药科技园-4工区-2号楼）达州市通川区达州中医药职业学院犀牛大道北段</v>
      </c>
      <c r="J475" s="33" t="str">
        <f>VLOOKUP(B475,辅助信息!E:I,4,FALSE)</f>
        <v>张扬</v>
      </c>
      <c r="K475" s="33">
        <f>VLOOKUP(J475,辅助信息!H:I,2,FALSE)</f>
        <v>18381904567</v>
      </c>
      <c r="L475" s="69"/>
      <c r="M475" s="88">
        <v>45704</v>
      </c>
      <c r="O475" s="19">
        <f ca="1" t="shared" si="10"/>
        <v>0</v>
      </c>
      <c r="P475" s="19">
        <f ca="1" t="shared" si="11"/>
        <v>253</v>
      </c>
      <c r="Q475" s="19" t="str">
        <f>VLOOKUP(B475,辅助信息!E:M,9,FALSE)</f>
        <v>ZTWM-CDGS-XS-2024-0134-商投建工达州中医药科技成果示范园项目</v>
      </c>
    </row>
    <row r="476" s="19" customFormat="1" hidden="1" spans="2:17">
      <c r="B476" s="33" t="s">
        <v>84</v>
      </c>
      <c r="C476" s="63">
        <v>45705</v>
      </c>
      <c r="D476" s="33" t="e">
        <f>VLOOKUP(B476,辅助信息!E:K,7,FALSE)</f>
        <v>#N/A</v>
      </c>
      <c r="E476" s="33" t="str">
        <f>VLOOKUP(F476,辅助信息!A:B,2,FALSE)</f>
        <v>螺纹钢</v>
      </c>
      <c r="F476" s="33" t="s">
        <v>27</v>
      </c>
      <c r="G476" s="33">
        <v>8</v>
      </c>
      <c r="H476" s="33" t="e">
        <f>_xlfn._xlws.FILTER('[1]2025年已发货'!$E:$E,'[1]2025年已发货'!$F:$F&amp;'[1]2025年已发货'!$C:$C&amp;'[1]2025年已发货'!$G:$G&amp;'[1]2025年已发货'!$H:$H=C476&amp;F476&amp;I476&amp;J476,"未发货")</f>
        <v>#N/A</v>
      </c>
      <c r="I476" s="33" t="e">
        <f>VLOOKUP(B476,辅助信息!E:I,3,FALSE)</f>
        <v>#N/A</v>
      </c>
      <c r="J476" s="33" t="e">
        <f>VLOOKUP(B476,辅助信息!E:I,4,FALSE)</f>
        <v>#N/A</v>
      </c>
      <c r="K476" s="33" t="e">
        <f>VLOOKUP(J476,辅助信息!H:I,2,FALSE)</f>
        <v>#N/A</v>
      </c>
      <c r="L476" s="33" t="e">
        <f>VLOOKUP(B476,辅助信息!E:J,6,FALSE)</f>
        <v>#N/A</v>
      </c>
      <c r="M476" s="88">
        <v>45705</v>
      </c>
      <c r="O476" s="19">
        <f ca="1" t="shared" si="10"/>
        <v>0</v>
      </c>
      <c r="P476" s="19">
        <f ca="1" t="shared" si="11"/>
        <v>252</v>
      </c>
      <c r="Q476" s="19" t="e">
        <f>VLOOKUP(B476,辅助信息!E:M,9,FALSE)</f>
        <v>#N/A</v>
      </c>
    </row>
    <row r="477" s="19" customFormat="1" hidden="1" spans="2:17">
      <c r="B477" s="33" t="s">
        <v>84</v>
      </c>
      <c r="C477" s="63">
        <v>45705</v>
      </c>
      <c r="D477" s="33" t="e">
        <f>VLOOKUP(B477,辅助信息!E:K,7,FALSE)</f>
        <v>#N/A</v>
      </c>
      <c r="E477" s="33" t="str">
        <f>VLOOKUP(F477,辅助信息!A:B,2,FALSE)</f>
        <v>螺纹钢</v>
      </c>
      <c r="F477" s="33" t="s">
        <v>33</v>
      </c>
      <c r="G477" s="33">
        <v>8</v>
      </c>
      <c r="H477" s="33" t="e">
        <f>_xlfn._xlws.FILTER('[1]2025年已发货'!$E:$E,'[1]2025年已发货'!$F:$F&amp;'[1]2025年已发货'!$C:$C&amp;'[1]2025年已发货'!$G:$G&amp;'[1]2025年已发货'!$H:$H=C477&amp;F477&amp;I477&amp;J477,"未发货")</f>
        <v>#N/A</v>
      </c>
      <c r="I477" s="33" t="e">
        <f>VLOOKUP(B477,辅助信息!E:I,3,FALSE)</f>
        <v>#N/A</v>
      </c>
      <c r="J477" s="33" t="e">
        <f>VLOOKUP(B477,辅助信息!E:I,4,FALSE)</f>
        <v>#N/A</v>
      </c>
      <c r="K477" s="33" t="e">
        <f>VLOOKUP(J477,辅助信息!H:I,2,FALSE)</f>
        <v>#N/A</v>
      </c>
      <c r="L477" s="71"/>
      <c r="M477" s="88">
        <v>45705</v>
      </c>
      <c r="O477" s="19">
        <f ca="1" t="shared" si="10"/>
        <v>0</v>
      </c>
      <c r="P477" s="19">
        <f ca="1" t="shared" si="11"/>
        <v>252</v>
      </c>
      <c r="Q477" s="19" t="e">
        <f>VLOOKUP(B477,辅助信息!E:M,9,FALSE)</f>
        <v>#N/A</v>
      </c>
    </row>
    <row r="478" s="19" customFormat="1" hidden="1" spans="2:17">
      <c r="B478" s="33" t="s">
        <v>84</v>
      </c>
      <c r="C478" s="63">
        <v>45705</v>
      </c>
      <c r="D478" s="33" t="e">
        <f>VLOOKUP(B478,辅助信息!E:K,7,FALSE)</f>
        <v>#N/A</v>
      </c>
      <c r="E478" s="33" t="str">
        <f>VLOOKUP(F478,辅助信息!A:B,2,FALSE)</f>
        <v>螺纹钢</v>
      </c>
      <c r="F478" s="33" t="s">
        <v>18</v>
      </c>
      <c r="G478" s="33">
        <v>12</v>
      </c>
      <c r="H478" s="33" t="e">
        <f>_xlfn._xlws.FILTER('[1]2025年已发货'!$E:$E,'[1]2025年已发货'!$F:$F&amp;'[1]2025年已发货'!$C:$C&amp;'[1]2025年已发货'!$G:$G&amp;'[1]2025年已发货'!$H:$H=C478&amp;F478&amp;I478&amp;J478,"未发货")</f>
        <v>#N/A</v>
      </c>
      <c r="I478" s="33" t="e">
        <f>VLOOKUP(B478,辅助信息!E:I,3,FALSE)</f>
        <v>#N/A</v>
      </c>
      <c r="J478" s="33" t="e">
        <f>VLOOKUP(B478,辅助信息!E:I,4,FALSE)</f>
        <v>#N/A</v>
      </c>
      <c r="K478" s="33" t="e">
        <f>VLOOKUP(J478,辅助信息!H:I,2,FALSE)</f>
        <v>#N/A</v>
      </c>
      <c r="L478" s="69"/>
      <c r="M478" s="88">
        <v>45705</v>
      </c>
      <c r="O478" s="19">
        <f ca="1" t="shared" si="10"/>
        <v>0</v>
      </c>
      <c r="P478" s="19">
        <f ca="1" t="shared" si="11"/>
        <v>252</v>
      </c>
      <c r="Q478" s="19" t="e">
        <f>VLOOKUP(B478,辅助信息!E:M,9,FALSE)</f>
        <v>#N/A</v>
      </c>
    </row>
    <row r="479" s="19" customFormat="1" hidden="1" spans="2:17">
      <c r="B479" s="33" t="s">
        <v>75</v>
      </c>
      <c r="C479" s="63">
        <v>45705</v>
      </c>
      <c r="D479" s="33" t="e">
        <f>VLOOKUP(B479,辅助信息!E:K,7,FALSE)</f>
        <v>#N/A</v>
      </c>
      <c r="E479" s="33" t="str">
        <f>VLOOKUP(F479,辅助信息!A:B,2,FALSE)</f>
        <v>螺纹钢</v>
      </c>
      <c r="F479" s="33" t="s">
        <v>65</v>
      </c>
      <c r="G479" s="33">
        <f>36-14</f>
        <v>22</v>
      </c>
      <c r="H479" s="33" t="e">
        <f>_xlfn._xlws.FILTER('[1]2025年已发货'!$E:$E,'[1]2025年已发货'!$F:$F&amp;'[1]2025年已发货'!$C:$C&amp;'[1]2025年已发货'!$G:$G&amp;'[1]2025年已发货'!$H:$H=C479&amp;F479&amp;I479&amp;J479,"未发货")</f>
        <v>#N/A</v>
      </c>
      <c r="I479" s="33" t="e">
        <f>VLOOKUP(B479,辅助信息!E:I,3,FALSE)</f>
        <v>#N/A</v>
      </c>
      <c r="J479" s="33" t="e">
        <f>VLOOKUP(B479,辅助信息!E:I,4,FALSE)</f>
        <v>#N/A</v>
      </c>
      <c r="K479" s="33" t="e">
        <f>VLOOKUP(J479,辅助信息!H:I,2,FALSE)</f>
        <v>#N/A</v>
      </c>
      <c r="L479" s="33" t="e">
        <f>VLOOKUP(B479,辅助信息!E:J,6,FALSE)</f>
        <v>#N/A</v>
      </c>
      <c r="M479" s="88">
        <v>45709</v>
      </c>
      <c r="O479" s="19">
        <f ca="1" t="shared" si="10"/>
        <v>0</v>
      </c>
      <c r="P479" s="19">
        <f ca="1" t="shared" si="11"/>
        <v>248</v>
      </c>
      <c r="Q479" s="19" t="e">
        <f>VLOOKUP(B479,辅助信息!E:M,9,FALSE)</f>
        <v>#N/A</v>
      </c>
    </row>
    <row r="480" s="19" customFormat="1" hidden="1" spans="2:17">
      <c r="B480" s="33" t="s">
        <v>87</v>
      </c>
      <c r="C480" s="63">
        <v>45705</v>
      </c>
      <c r="D480" s="33" t="e">
        <f>VLOOKUP(B480,辅助信息!E:K,7,FALSE)</f>
        <v>#N/A</v>
      </c>
      <c r="E480" s="33" t="str">
        <f>VLOOKUP(F480,辅助信息!A:B,2,FALSE)</f>
        <v>螺纹钢</v>
      </c>
      <c r="F480" s="33" t="s">
        <v>27</v>
      </c>
      <c r="G480" s="33">
        <v>8</v>
      </c>
      <c r="H480" s="33" t="e">
        <f>_xlfn._xlws.FILTER('[1]2025年已发货'!$E:$E,'[1]2025年已发货'!$F:$F&amp;'[1]2025年已发货'!$C:$C&amp;'[1]2025年已发货'!$G:$G&amp;'[1]2025年已发货'!$H:$H=C480&amp;F480&amp;I480&amp;J480,"未发货")</f>
        <v>#N/A</v>
      </c>
      <c r="I480" s="33" t="e">
        <f>VLOOKUP(B480,辅助信息!E:I,3,FALSE)</f>
        <v>#N/A</v>
      </c>
      <c r="J480" s="33" t="e">
        <f>VLOOKUP(B480,辅助信息!E:I,4,FALSE)</f>
        <v>#N/A</v>
      </c>
      <c r="K480" s="33" t="e">
        <f>VLOOKUP(J480,辅助信息!H:I,2,FALSE)</f>
        <v>#N/A</v>
      </c>
      <c r="L480" s="33" t="e">
        <f>VLOOKUP(B480,辅助信息!E:J,6,FALSE)</f>
        <v>#N/A</v>
      </c>
      <c r="M480" s="88">
        <v>45706</v>
      </c>
      <c r="O480" s="19">
        <f ca="1" t="shared" si="10"/>
        <v>0</v>
      </c>
      <c r="P480" s="19">
        <f ca="1" t="shared" si="11"/>
        <v>251</v>
      </c>
      <c r="Q480" s="19" t="e">
        <f>VLOOKUP(B480,辅助信息!E:M,9,FALSE)</f>
        <v>#N/A</v>
      </c>
    </row>
    <row r="481" hidden="1" spans="1:18">
      <c r="A481" s="19"/>
      <c r="B481" s="33" t="s">
        <v>87</v>
      </c>
      <c r="C481" s="63">
        <v>45705</v>
      </c>
      <c r="D481" s="33" t="e">
        <f>VLOOKUP(B481,辅助信息!E:K,7,FALSE)</f>
        <v>#N/A</v>
      </c>
      <c r="E481" s="33" t="str">
        <f>VLOOKUP(F481,辅助信息!A:B,2,FALSE)</f>
        <v>螺纹钢</v>
      </c>
      <c r="F481" s="33" t="s">
        <v>65</v>
      </c>
      <c r="G481" s="33">
        <v>27</v>
      </c>
      <c r="H481" s="33" t="e">
        <f>_xlfn._xlws.FILTER('[1]2025年已发货'!$E:$E,'[1]2025年已发货'!$F:$F&amp;'[1]2025年已发货'!$C:$C&amp;'[1]2025年已发货'!$G:$G&amp;'[1]2025年已发货'!$H:$H=C481&amp;F481&amp;I481&amp;J481,"未发货")</f>
        <v>#N/A</v>
      </c>
      <c r="I481" s="33" t="e">
        <f>VLOOKUP(B481,辅助信息!E:I,3,FALSE)</f>
        <v>#N/A</v>
      </c>
      <c r="J481" s="33" t="e">
        <f>VLOOKUP(B481,辅助信息!E:I,4,FALSE)</f>
        <v>#N/A</v>
      </c>
      <c r="K481" s="33" t="e">
        <f>VLOOKUP(J481,辅助信息!H:I,2,FALSE)</f>
        <v>#N/A</v>
      </c>
      <c r="L481" s="69"/>
      <c r="M481" s="88">
        <v>45706</v>
      </c>
      <c r="N481" s="19"/>
      <c r="O481" s="19">
        <f ca="1" t="shared" si="10"/>
        <v>0</v>
      </c>
      <c r="P481" s="19">
        <f ca="1" t="shared" si="11"/>
        <v>251</v>
      </c>
      <c r="Q481" s="19" t="e">
        <f>VLOOKUP(B481,辅助信息!E:M,9,FALSE)</f>
        <v>#N/A</v>
      </c>
      <c r="R481" s="19"/>
    </row>
    <row r="482" hidden="1" spans="1:18">
      <c r="A482" s="19"/>
      <c r="B482" s="33" t="s">
        <v>74</v>
      </c>
      <c r="C482" s="63">
        <v>45705</v>
      </c>
      <c r="D482" s="33" t="e">
        <f>VLOOKUP(B482,辅助信息!E:K,7,FALSE)</f>
        <v>#N/A</v>
      </c>
      <c r="E482" s="33" t="str">
        <f>VLOOKUP(F482,辅助信息!A:B,2,FALSE)</f>
        <v>螺纹钢</v>
      </c>
      <c r="F482" s="33" t="s">
        <v>19</v>
      </c>
      <c r="G482" s="33">
        <v>12</v>
      </c>
      <c r="H482" s="33" t="e">
        <f>_xlfn._xlws.FILTER('[1]2025年已发货'!$E:$E,'[1]2025年已发货'!$F:$F&amp;'[1]2025年已发货'!$C:$C&amp;'[1]2025年已发货'!$G:$G&amp;'[1]2025年已发货'!$H:$H=C482&amp;F482&amp;I482&amp;J482,"未发货")</f>
        <v>#N/A</v>
      </c>
      <c r="I482" s="33" t="e">
        <f>VLOOKUP(B482,辅助信息!E:I,3,FALSE)</f>
        <v>#N/A</v>
      </c>
      <c r="J482" s="33" t="e">
        <f>VLOOKUP(B482,辅助信息!E:I,4,FALSE)</f>
        <v>#N/A</v>
      </c>
      <c r="K482" s="33" t="e">
        <f>VLOOKUP(J482,辅助信息!H:I,2,FALSE)</f>
        <v>#N/A</v>
      </c>
      <c r="L482" s="33" t="e">
        <f>VLOOKUP(B482,辅助信息!E:J,6,FALSE)</f>
        <v>#N/A</v>
      </c>
      <c r="M482" s="88">
        <v>45711</v>
      </c>
      <c r="N482" s="19"/>
      <c r="O482" s="19">
        <f ca="1" t="shared" si="10"/>
        <v>0</v>
      </c>
      <c r="P482" s="19">
        <f ca="1" t="shared" si="11"/>
        <v>246</v>
      </c>
      <c r="Q482" s="19" t="e">
        <f>VLOOKUP(B482,辅助信息!E:M,9,FALSE)</f>
        <v>#N/A</v>
      </c>
      <c r="R482" s="19"/>
    </row>
    <row r="483" hidden="1" spans="1:18">
      <c r="A483" s="19"/>
      <c r="B483" s="33" t="s">
        <v>74</v>
      </c>
      <c r="C483" s="63">
        <v>45705</v>
      </c>
      <c r="D483" s="33" t="e">
        <f>VLOOKUP(B483,辅助信息!E:K,7,FALSE)</f>
        <v>#N/A</v>
      </c>
      <c r="E483" s="33" t="str">
        <f>VLOOKUP(F483,辅助信息!A:B,2,FALSE)</f>
        <v>螺纹钢</v>
      </c>
      <c r="F483" s="33" t="s">
        <v>33</v>
      </c>
      <c r="G483" s="33">
        <v>12</v>
      </c>
      <c r="H483" s="33" t="e">
        <f>_xlfn._xlws.FILTER('[1]2025年已发货'!$E:$E,'[1]2025年已发货'!$F:$F&amp;'[1]2025年已发货'!$C:$C&amp;'[1]2025年已发货'!$G:$G&amp;'[1]2025年已发货'!$H:$H=C483&amp;F483&amp;I483&amp;J483,"未发货")</f>
        <v>#N/A</v>
      </c>
      <c r="I483" s="33" t="e">
        <f>VLOOKUP(B483,辅助信息!E:I,3,FALSE)</f>
        <v>#N/A</v>
      </c>
      <c r="J483" s="33" t="e">
        <f>VLOOKUP(B483,辅助信息!E:I,4,FALSE)</f>
        <v>#N/A</v>
      </c>
      <c r="K483" s="33" t="e">
        <f>VLOOKUP(J483,辅助信息!H:I,2,FALSE)</f>
        <v>#N/A</v>
      </c>
      <c r="L483" s="71"/>
      <c r="M483" s="88">
        <v>45711</v>
      </c>
      <c r="N483" s="19"/>
      <c r="O483" s="19">
        <f ca="1" t="shared" si="10"/>
        <v>0</v>
      </c>
      <c r="P483" s="19">
        <f ca="1" t="shared" si="11"/>
        <v>246</v>
      </c>
      <c r="Q483" s="19" t="e">
        <f>VLOOKUP(B483,辅助信息!E:M,9,FALSE)</f>
        <v>#N/A</v>
      </c>
      <c r="R483" s="19"/>
    </row>
    <row r="484" hidden="1" spans="1:18">
      <c r="A484" s="19"/>
      <c r="B484" s="33" t="s">
        <v>74</v>
      </c>
      <c r="C484" s="63">
        <v>45705</v>
      </c>
      <c r="D484" s="33" t="e">
        <f>VLOOKUP(B484,辅助信息!E:K,7,FALSE)</f>
        <v>#N/A</v>
      </c>
      <c r="E484" s="33" t="str">
        <f>VLOOKUP(F484,辅助信息!A:B,2,FALSE)</f>
        <v>螺纹钢</v>
      </c>
      <c r="F484" s="33" t="s">
        <v>28</v>
      </c>
      <c r="G484" s="33">
        <v>12</v>
      </c>
      <c r="H484" s="33" t="e">
        <f>_xlfn._xlws.FILTER('[1]2025年已发货'!$E:$E,'[1]2025年已发货'!$F:$F&amp;'[1]2025年已发货'!$C:$C&amp;'[1]2025年已发货'!$G:$G&amp;'[1]2025年已发货'!$H:$H=C484&amp;F484&amp;I484&amp;J484,"未发货")</f>
        <v>#N/A</v>
      </c>
      <c r="I484" s="33" t="e">
        <f>VLOOKUP(B484,辅助信息!E:I,3,FALSE)</f>
        <v>#N/A</v>
      </c>
      <c r="J484" s="33" t="e">
        <f>VLOOKUP(B484,辅助信息!E:I,4,FALSE)</f>
        <v>#N/A</v>
      </c>
      <c r="K484" s="33" t="e">
        <f>VLOOKUP(J484,辅助信息!H:I,2,FALSE)</f>
        <v>#N/A</v>
      </c>
      <c r="L484" s="71"/>
      <c r="M484" s="88">
        <v>45711</v>
      </c>
      <c r="N484" s="19"/>
      <c r="O484" s="19">
        <f ca="1" t="shared" si="10"/>
        <v>0</v>
      </c>
      <c r="P484" s="19">
        <f ca="1" t="shared" si="11"/>
        <v>246</v>
      </c>
      <c r="Q484" s="19" t="e">
        <f>VLOOKUP(B484,辅助信息!E:M,9,FALSE)</f>
        <v>#N/A</v>
      </c>
      <c r="R484" s="19"/>
    </row>
    <row r="485" hidden="1" spans="1:18">
      <c r="A485" s="19"/>
      <c r="B485" s="33" t="s">
        <v>74</v>
      </c>
      <c r="C485" s="63">
        <v>45705</v>
      </c>
      <c r="D485" s="33" t="e">
        <f>VLOOKUP(B485,辅助信息!E:K,7,FALSE)</f>
        <v>#N/A</v>
      </c>
      <c r="E485" s="33" t="str">
        <f>VLOOKUP(F485,辅助信息!A:B,2,FALSE)</f>
        <v>螺纹钢</v>
      </c>
      <c r="F485" s="33" t="s">
        <v>18</v>
      </c>
      <c r="G485" s="33">
        <v>3</v>
      </c>
      <c r="H485" s="33" t="e">
        <f>_xlfn._xlws.FILTER('[1]2025年已发货'!$E:$E,'[1]2025年已发货'!$F:$F&amp;'[1]2025年已发货'!$C:$C&amp;'[1]2025年已发货'!$G:$G&amp;'[1]2025年已发货'!$H:$H=C485&amp;F485&amp;I485&amp;J485,"未发货")</f>
        <v>#N/A</v>
      </c>
      <c r="I485" s="33" t="e">
        <f>VLOOKUP(B485,辅助信息!E:I,3,FALSE)</f>
        <v>#N/A</v>
      </c>
      <c r="J485" s="33" t="e">
        <f>VLOOKUP(B485,辅助信息!E:I,4,FALSE)</f>
        <v>#N/A</v>
      </c>
      <c r="K485" s="33" t="e">
        <f>VLOOKUP(J485,辅助信息!H:I,2,FALSE)</f>
        <v>#N/A</v>
      </c>
      <c r="L485" s="69"/>
      <c r="M485" s="88">
        <v>45711</v>
      </c>
      <c r="N485" s="19"/>
      <c r="O485" s="19">
        <f ca="1" t="shared" si="10"/>
        <v>0</v>
      </c>
      <c r="P485" s="19">
        <f ca="1" t="shared" si="11"/>
        <v>246</v>
      </c>
      <c r="Q485" s="19" t="e">
        <f>VLOOKUP(B485,辅助信息!E:M,9,FALSE)</f>
        <v>#N/A</v>
      </c>
      <c r="R485" s="19"/>
    </row>
    <row r="486" hidden="1" spans="1:18">
      <c r="A486" s="19"/>
      <c r="B486" s="33" t="s">
        <v>79</v>
      </c>
      <c r="C486" s="63">
        <v>45705</v>
      </c>
      <c r="D486" s="33" t="e">
        <f>VLOOKUP(B486,辅助信息!E:K,7,FALSE)</f>
        <v>#N/A</v>
      </c>
      <c r="E486" s="33" t="str">
        <f>VLOOKUP(F486,辅助信息!A:B,2,FALSE)</f>
        <v>螺纹钢</v>
      </c>
      <c r="F486" s="33" t="s">
        <v>19</v>
      </c>
      <c r="G486" s="33">
        <v>20</v>
      </c>
      <c r="H486" s="33" t="e">
        <f>_xlfn._xlws.FILTER('[1]2025年已发货'!$E:$E,'[1]2025年已发货'!$F:$F&amp;'[1]2025年已发货'!$C:$C&amp;'[1]2025年已发货'!$G:$G&amp;'[1]2025年已发货'!$H:$H=C486&amp;F486&amp;I486&amp;J486,"未发货")</f>
        <v>#N/A</v>
      </c>
      <c r="I486" s="33" t="e">
        <f>VLOOKUP(B486,辅助信息!E:I,3,FALSE)</f>
        <v>#N/A</v>
      </c>
      <c r="J486" s="33" t="e">
        <f>VLOOKUP(B486,辅助信息!E:I,4,FALSE)</f>
        <v>#N/A</v>
      </c>
      <c r="K486" s="33" t="e">
        <f>VLOOKUP(J486,辅助信息!H:I,2,FALSE)</f>
        <v>#N/A</v>
      </c>
      <c r="L486" s="36" t="e">
        <f>VLOOKUP(B486,辅助信息!E:J,6,FALSE)</f>
        <v>#N/A</v>
      </c>
      <c r="M486" s="19"/>
      <c r="N486" s="19"/>
      <c r="O486" s="19" t="str">
        <f ca="1" t="shared" si="10"/>
        <v/>
      </c>
      <c r="P486" s="19" t="str">
        <f ca="1" t="shared" si="11"/>
        <v/>
      </c>
      <c r="Q486" s="19" t="e">
        <f>VLOOKUP(B486,辅助信息!E:M,9,FALSE)</f>
        <v>#N/A</v>
      </c>
      <c r="R486" s="19"/>
    </row>
    <row r="487" hidden="1" spans="1:18">
      <c r="A487" s="19"/>
      <c r="B487" s="33" t="s">
        <v>79</v>
      </c>
      <c r="C487" s="63">
        <v>45705</v>
      </c>
      <c r="D487" s="33" t="e">
        <f>VLOOKUP(B487,辅助信息!E:K,7,FALSE)</f>
        <v>#N/A</v>
      </c>
      <c r="E487" s="33" t="str">
        <f>VLOOKUP(F487,辅助信息!A:B,2,FALSE)</f>
        <v>螺纹钢</v>
      </c>
      <c r="F487" s="33" t="s">
        <v>32</v>
      </c>
      <c r="G487" s="33">
        <v>9</v>
      </c>
      <c r="H487" s="33" t="e">
        <f>_xlfn._xlws.FILTER('[1]2025年已发货'!$E:$E,'[1]2025年已发货'!$F:$F&amp;'[1]2025年已发货'!$C:$C&amp;'[1]2025年已发货'!$G:$G&amp;'[1]2025年已发货'!$H:$H=C487&amp;F487&amp;I487&amp;J487,"未发货")</f>
        <v>#N/A</v>
      </c>
      <c r="I487" s="33" t="e">
        <f>VLOOKUP(B487,辅助信息!E:I,3,FALSE)</f>
        <v>#N/A</v>
      </c>
      <c r="J487" s="33" t="e">
        <f>VLOOKUP(B487,辅助信息!E:I,4,FALSE)</f>
        <v>#N/A</v>
      </c>
      <c r="K487" s="33" t="e">
        <f>VLOOKUP(J487,辅助信息!H:I,2,FALSE)</f>
        <v>#N/A</v>
      </c>
      <c r="L487" s="71"/>
      <c r="M487" s="19"/>
      <c r="N487" s="19"/>
      <c r="O487" s="19" t="str">
        <f ca="1" t="shared" si="10"/>
        <v/>
      </c>
      <c r="P487" s="19" t="str">
        <f ca="1" t="shared" si="11"/>
        <v/>
      </c>
      <c r="Q487" s="19" t="e">
        <f>VLOOKUP(B487,辅助信息!E:M,9,FALSE)</f>
        <v>#N/A</v>
      </c>
      <c r="R487" s="19"/>
    </row>
    <row r="488" hidden="1" spans="1:18">
      <c r="A488" s="19"/>
      <c r="B488" s="33" t="s">
        <v>79</v>
      </c>
      <c r="C488" s="63">
        <v>45705</v>
      </c>
      <c r="D488" s="33" t="e">
        <f>VLOOKUP(B488,辅助信息!E:K,7,FALSE)</f>
        <v>#N/A</v>
      </c>
      <c r="E488" s="33" t="str">
        <f>VLOOKUP(F488,辅助信息!A:B,2,FALSE)</f>
        <v>螺纹钢</v>
      </c>
      <c r="F488" s="33" t="s">
        <v>18</v>
      </c>
      <c r="G488" s="33">
        <f>90-69</f>
        <v>21</v>
      </c>
      <c r="H488" s="33" t="e">
        <f>_xlfn._xlws.FILTER('[1]2025年已发货'!$E:$E,'[1]2025年已发货'!$F:$F&amp;'[1]2025年已发货'!$C:$C&amp;'[1]2025年已发货'!$G:$G&amp;'[1]2025年已发货'!$H:$H=C488&amp;F488&amp;I488&amp;J488,"未发货")</f>
        <v>#N/A</v>
      </c>
      <c r="I488" s="33" t="e">
        <f>VLOOKUP(B488,辅助信息!E:I,3,FALSE)</f>
        <v>#N/A</v>
      </c>
      <c r="J488" s="33" t="e">
        <f>VLOOKUP(B488,辅助信息!E:I,4,FALSE)</f>
        <v>#N/A</v>
      </c>
      <c r="K488" s="33" t="e">
        <f>VLOOKUP(J488,辅助信息!H:I,2,FALSE)</f>
        <v>#N/A</v>
      </c>
      <c r="L488" s="69"/>
      <c r="M488" s="19"/>
      <c r="N488" s="19"/>
      <c r="O488" s="19" t="str">
        <f ca="1" t="shared" si="10"/>
        <v/>
      </c>
      <c r="P488" s="19" t="str">
        <f ca="1" t="shared" si="11"/>
        <v/>
      </c>
      <c r="Q488" s="19" t="e">
        <f>VLOOKUP(B488,辅助信息!E:M,9,FALSE)</f>
        <v>#N/A</v>
      </c>
      <c r="R488" s="19"/>
    </row>
    <row r="489" hidden="1" spans="1:18">
      <c r="A489" s="55"/>
      <c r="B489" s="33" t="s">
        <v>68</v>
      </c>
      <c r="C489" s="63">
        <v>45705</v>
      </c>
      <c r="D489" s="33" t="str">
        <f>VLOOKUP(B489,辅助信息!E:K,7,FALSE)</f>
        <v>JWDDCD2025052800131</v>
      </c>
      <c r="E489" s="33" t="str">
        <f>VLOOKUP(F489,辅助信息!A:B,2,FALSE)</f>
        <v>盘螺</v>
      </c>
      <c r="F489" s="33" t="s">
        <v>40</v>
      </c>
      <c r="G489" s="29">
        <v>3</v>
      </c>
      <c r="H489" s="33">
        <f>_xlfn._xlws.FILTER('[1]2025年已发货'!$E:$E,'[1]2025年已发货'!$F:$F&amp;'[1]2025年已发货'!$C:$C&amp;'[1]2025年已发货'!$G:$G&amp;'[1]2025年已发货'!$H:$H=C489&amp;F489&amp;I489&amp;J489,"未发货")</f>
        <v>3</v>
      </c>
      <c r="I489" s="33" t="str">
        <f>VLOOKUP(B489,辅助信息!E:I,3,FALSE)</f>
        <v>（商投建工达州中医药科技园-2工区-景观桥）达州市通川区达州中医药职业学院犀牛大道北段</v>
      </c>
      <c r="J489" s="33" t="str">
        <f>VLOOKUP(B489,辅助信息!E:I,4,FALSE)</f>
        <v>李波</v>
      </c>
      <c r="K489" s="33">
        <f>VLOOKUP(J489,辅助信息!H:I,2,FALSE)</f>
        <v>18381899787</v>
      </c>
      <c r="L489" s="36" t="str">
        <f>VLOOKUP(B489,辅助信息!E:J,6,FALSE)</f>
        <v>控制炉批号！多了现场不收！,优先安排达钢,提前联系到场规格及数量</v>
      </c>
      <c r="M489" s="84">
        <v>45706</v>
      </c>
      <c r="O489" s="55">
        <f ca="1" t="shared" si="10"/>
        <v>0</v>
      </c>
      <c r="P489" s="55">
        <f ca="1" t="shared" si="11"/>
        <v>251</v>
      </c>
      <c r="Q489" s="19" t="str">
        <f>VLOOKUP(B489,辅助信息!E:M,9,FALSE)</f>
        <v>ZTWM-CDGS-XS-2024-0134-商投建工达州中医药科技成果示范园项目</v>
      </c>
      <c r="R489" s="19"/>
    </row>
    <row r="490" hidden="1" spans="1:18">
      <c r="A490" s="55"/>
      <c r="B490" s="33" t="s">
        <v>68</v>
      </c>
      <c r="C490" s="63">
        <v>45705</v>
      </c>
      <c r="D490" s="33" t="str">
        <f>VLOOKUP(B490,辅助信息!E:K,7,FALSE)</f>
        <v>JWDDCD2025052800131</v>
      </c>
      <c r="E490" s="33" t="str">
        <f>VLOOKUP(F490,辅助信息!A:B,2,FALSE)</f>
        <v>螺纹钢</v>
      </c>
      <c r="F490" s="33" t="s">
        <v>27</v>
      </c>
      <c r="G490" s="29">
        <v>10</v>
      </c>
      <c r="H490" s="33">
        <f>_xlfn._xlws.FILTER('[1]2025年已发货'!$E:$E,'[1]2025年已发货'!$F:$F&amp;'[1]2025年已发货'!$C:$C&amp;'[1]2025年已发货'!$G:$G&amp;'[1]2025年已发货'!$H:$H=C490&amp;F490&amp;I490&amp;J490,"未发货")</f>
        <v>10</v>
      </c>
      <c r="I490" s="33" t="str">
        <f>VLOOKUP(B490,辅助信息!E:I,3,FALSE)</f>
        <v>（商投建工达州中医药科技园-2工区-景观桥）达州市通川区达州中医药职业学院犀牛大道北段</v>
      </c>
      <c r="J490" s="33" t="str">
        <f>VLOOKUP(B490,辅助信息!E:I,4,FALSE)</f>
        <v>李波</v>
      </c>
      <c r="K490" s="33">
        <f>VLOOKUP(J490,辅助信息!H:I,2,FALSE)</f>
        <v>18381899787</v>
      </c>
      <c r="L490" s="71"/>
      <c r="M490" s="84">
        <v>45706</v>
      </c>
      <c r="O490" s="55">
        <f ca="1" t="shared" si="10"/>
        <v>0</v>
      </c>
      <c r="P490" s="55">
        <f ca="1" t="shared" si="11"/>
        <v>251</v>
      </c>
      <c r="Q490" s="19" t="str">
        <f>VLOOKUP(B490,辅助信息!E:M,9,FALSE)</f>
        <v>ZTWM-CDGS-XS-2024-0134-商投建工达州中医药科技成果示范园项目</v>
      </c>
      <c r="R490" s="19"/>
    </row>
    <row r="491" hidden="1" spans="1:18">
      <c r="A491" s="55"/>
      <c r="B491" s="33" t="s">
        <v>68</v>
      </c>
      <c r="C491" s="63">
        <v>45705</v>
      </c>
      <c r="D491" s="33" t="str">
        <f>VLOOKUP(B491,辅助信息!E:K,7,FALSE)</f>
        <v>JWDDCD2025052800131</v>
      </c>
      <c r="E491" s="33" t="str">
        <f>VLOOKUP(F491,辅助信息!A:B,2,FALSE)</f>
        <v>螺纹钢</v>
      </c>
      <c r="F491" s="33" t="s">
        <v>32</v>
      </c>
      <c r="G491" s="29">
        <v>15</v>
      </c>
      <c r="H491" s="33">
        <f>_xlfn._xlws.FILTER('[1]2025年已发货'!$E:$E,'[1]2025年已发货'!$F:$F&amp;'[1]2025年已发货'!$C:$C&amp;'[1]2025年已发货'!$G:$G&amp;'[1]2025年已发货'!$H:$H=C491&amp;F491&amp;I491&amp;J491,"未发货")</f>
        <v>15</v>
      </c>
      <c r="I491" s="33" t="str">
        <f>VLOOKUP(B491,辅助信息!E:I,3,FALSE)</f>
        <v>（商投建工达州中医药科技园-2工区-景观桥）达州市通川区达州中医药职业学院犀牛大道北段</v>
      </c>
      <c r="J491" s="33" t="str">
        <f>VLOOKUP(B491,辅助信息!E:I,4,FALSE)</f>
        <v>李波</v>
      </c>
      <c r="K491" s="33">
        <f>VLOOKUP(J491,辅助信息!H:I,2,FALSE)</f>
        <v>18381899787</v>
      </c>
      <c r="L491" s="71"/>
      <c r="M491" s="84">
        <v>45706</v>
      </c>
      <c r="O491" s="55">
        <f ca="1" t="shared" si="10"/>
        <v>0</v>
      </c>
      <c r="P491" s="55">
        <f ca="1" t="shared" si="11"/>
        <v>251</v>
      </c>
      <c r="Q491" s="19" t="str">
        <f>VLOOKUP(B491,辅助信息!E:M,9,FALSE)</f>
        <v>ZTWM-CDGS-XS-2024-0134-商投建工达州中医药科技成果示范园项目</v>
      </c>
      <c r="R491" s="19"/>
    </row>
    <row r="492" hidden="1" spans="1:18">
      <c r="A492" s="55"/>
      <c r="B492" s="33" t="s">
        <v>68</v>
      </c>
      <c r="C492" s="63">
        <v>45705</v>
      </c>
      <c r="D492" s="33" t="str">
        <f>VLOOKUP(B492,辅助信息!E:K,7,FALSE)</f>
        <v>JWDDCD2025052800131</v>
      </c>
      <c r="E492" s="33" t="str">
        <f>VLOOKUP(F492,辅助信息!A:B,2,FALSE)</f>
        <v>螺纹钢</v>
      </c>
      <c r="F492" s="33" t="s">
        <v>65</v>
      </c>
      <c r="G492" s="29">
        <v>15</v>
      </c>
      <c r="H492" s="33">
        <f>_xlfn._xlws.FILTER('[1]2025年已发货'!$E:$E,'[1]2025年已发货'!$F:$F&amp;'[1]2025年已发货'!$C:$C&amp;'[1]2025年已发货'!$G:$G&amp;'[1]2025年已发货'!$H:$H=C492&amp;F492&amp;I492&amp;J492,"未发货")</f>
        <v>8</v>
      </c>
      <c r="I492" s="33" t="str">
        <f>VLOOKUP(B492,辅助信息!E:I,3,FALSE)</f>
        <v>（商投建工达州中医药科技园-2工区-景观桥）达州市通川区达州中医药职业学院犀牛大道北段</v>
      </c>
      <c r="J492" s="33" t="str">
        <f>VLOOKUP(B492,辅助信息!E:I,4,FALSE)</f>
        <v>李波</v>
      </c>
      <c r="K492" s="33">
        <f>VLOOKUP(J492,辅助信息!H:I,2,FALSE)</f>
        <v>18381899787</v>
      </c>
      <c r="L492" s="69"/>
      <c r="M492" s="84">
        <v>45706</v>
      </c>
      <c r="O492" s="55">
        <f ca="1" t="shared" si="10"/>
        <v>0</v>
      </c>
      <c r="P492" s="55">
        <f ca="1" t="shared" si="11"/>
        <v>251</v>
      </c>
      <c r="Q492" s="19" t="str">
        <f>VLOOKUP(B492,辅助信息!E:M,9,FALSE)</f>
        <v>ZTWM-CDGS-XS-2024-0134-商投建工达州中医药科技成果示范园项目</v>
      </c>
      <c r="R492" s="19"/>
    </row>
    <row r="493" hidden="1" spans="2:18">
      <c r="B493" s="33" t="s">
        <v>88</v>
      </c>
      <c r="C493" s="63">
        <v>45705</v>
      </c>
      <c r="D493" s="33" t="str">
        <f>VLOOKUP(B493,辅助信息!E:K,7,FALSE)</f>
        <v>JWDDCD2025051000019</v>
      </c>
      <c r="E493" s="33" t="str">
        <f>VLOOKUP(F493,辅助信息!A:B,2,FALSE)</f>
        <v>高线</v>
      </c>
      <c r="F493" s="33" t="s">
        <v>57</v>
      </c>
      <c r="G493" s="29">
        <v>6</v>
      </c>
      <c r="H493" s="33" t="str">
        <f>_xlfn._xlws.FILTER('[1]2025年已发货'!$E:$E,'[1]2025年已发货'!$F:$F&amp;'[1]2025年已发货'!$C:$C&amp;'[1]2025年已发货'!$G:$G&amp;'[1]2025年已发货'!$H:$H=C493&amp;F493&amp;I493&amp;J493,"未发货")</f>
        <v>未发货</v>
      </c>
      <c r="I493" s="33" t="str">
        <f>VLOOKUP(B493,辅助信息!E:I,3,FALSE)</f>
        <v>(五冶钢构医学科学产业园建设项目房建二部-四标（5-4）)四川省南充市顺庆区搬罾街道学府大道二段</v>
      </c>
      <c r="J493" s="33" t="str">
        <f>VLOOKUP(B493,辅助信息!E:I,4,FALSE)</f>
        <v>安南</v>
      </c>
      <c r="K493" s="33">
        <f>VLOOKUP(J493,辅助信息!H:I,2,FALSE)</f>
        <v>19950525030</v>
      </c>
      <c r="L493" s="36" t="str">
        <f>VLOOKUP(B493,辅助信息!E:J,6,FALSE)</f>
        <v>送货单：送货单位：南充思临新材料科技有限公司,收货单位：五冶集团川北(南充)建设有限公司,项目名称：南充医学科学产业园,送货车型13米,装货前联系收货人核实到场规格</v>
      </c>
      <c r="M493" s="84">
        <v>45706</v>
      </c>
      <c r="O493" s="55">
        <f ca="1" t="shared" si="10"/>
        <v>0</v>
      </c>
      <c r="P493" s="55">
        <f ca="1" t="shared" si="11"/>
        <v>251</v>
      </c>
      <c r="Q493" s="19" t="str">
        <f>VLOOKUP(B493,辅助信息!E:M,9,FALSE)</f>
        <v>ZTWM-CDGS-XS-2024-0248-五冶钢构-南充市医学院项目</v>
      </c>
      <c r="R493" s="19"/>
    </row>
    <row r="494" hidden="1" spans="2:18">
      <c r="B494" s="33" t="s">
        <v>88</v>
      </c>
      <c r="C494" s="63">
        <v>45705</v>
      </c>
      <c r="D494" s="33" t="str">
        <f>VLOOKUP(B494,辅助信息!E:K,7,FALSE)</f>
        <v>JWDDCD2025051000019</v>
      </c>
      <c r="E494" s="33" t="str">
        <f>VLOOKUP(F494,辅助信息!A:B,2,FALSE)</f>
        <v>盘螺</v>
      </c>
      <c r="F494" s="33" t="s">
        <v>49</v>
      </c>
      <c r="G494" s="29">
        <v>12</v>
      </c>
      <c r="H494" s="33" t="str">
        <f>_xlfn._xlws.FILTER('[1]2025年已发货'!$E:$E,'[1]2025年已发货'!$F:$F&amp;'[1]2025年已发货'!$C:$C&amp;'[1]2025年已发货'!$G:$G&amp;'[1]2025年已发货'!$H:$H=C494&amp;F494&amp;I494&amp;J494,"未发货")</f>
        <v>未发货</v>
      </c>
      <c r="I494" s="33" t="str">
        <f>VLOOKUP(B494,辅助信息!E:I,3,FALSE)</f>
        <v>(五冶钢构医学科学产业园建设项目房建二部-四标（5-4）)四川省南充市顺庆区搬罾街道学府大道二段</v>
      </c>
      <c r="J494" s="33" t="str">
        <f>VLOOKUP(B494,辅助信息!E:I,4,FALSE)</f>
        <v>安南</v>
      </c>
      <c r="K494" s="33">
        <f>VLOOKUP(J494,辅助信息!H:I,2,FALSE)</f>
        <v>19950525030</v>
      </c>
      <c r="L494" s="71"/>
      <c r="M494" s="84">
        <v>45706</v>
      </c>
      <c r="O494" s="55">
        <f ca="1" t="shared" si="10"/>
        <v>0</v>
      </c>
      <c r="P494" s="55">
        <f ca="1" t="shared" si="11"/>
        <v>251</v>
      </c>
      <c r="Q494" s="19" t="str">
        <f>VLOOKUP(B494,辅助信息!E:M,9,FALSE)</f>
        <v>ZTWM-CDGS-XS-2024-0248-五冶钢构-南充市医学院项目</v>
      </c>
      <c r="R494" s="19"/>
    </row>
    <row r="495" hidden="1" spans="2:18">
      <c r="B495" s="33" t="s">
        <v>88</v>
      </c>
      <c r="C495" s="63">
        <v>45705</v>
      </c>
      <c r="D495" s="33" t="str">
        <f>VLOOKUP(B495,辅助信息!E:K,7,FALSE)</f>
        <v>JWDDCD2025051000019</v>
      </c>
      <c r="E495" s="33" t="str">
        <f>VLOOKUP(F495,辅助信息!A:B,2,FALSE)</f>
        <v>盘螺</v>
      </c>
      <c r="F495" s="33" t="s">
        <v>40</v>
      </c>
      <c r="G495" s="29">
        <v>14</v>
      </c>
      <c r="H495" s="33" t="str">
        <f>_xlfn._xlws.FILTER('[1]2025年已发货'!$E:$E,'[1]2025年已发货'!$F:$F&amp;'[1]2025年已发货'!$C:$C&amp;'[1]2025年已发货'!$G:$G&amp;'[1]2025年已发货'!$H:$H=C495&amp;F495&amp;I495&amp;J495,"未发货")</f>
        <v>未发货</v>
      </c>
      <c r="I495" s="33" t="str">
        <f>VLOOKUP(B495,辅助信息!E:I,3,FALSE)</f>
        <v>(五冶钢构医学科学产业园建设项目房建二部-四标（5-4）)四川省南充市顺庆区搬罾街道学府大道二段</v>
      </c>
      <c r="J495" s="33" t="str">
        <f>VLOOKUP(B495,辅助信息!E:I,4,FALSE)</f>
        <v>安南</v>
      </c>
      <c r="K495" s="33">
        <f>VLOOKUP(J495,辅助信息!H:I,2,FALSE)</f>
        <v>19950525030</v>
      </c>
      <c r="L495" s="71"/>
      <c r="M495" s="84">
        <v>45706</v>
      </c>
      <c r="O495" s="55">
        <f ca="1" t="shared" si="10"/>
        <v>0</v>
      </c>
      <c r="P495" s="55">
        <f ca="1" t="shared" si="11"/>
        <v>251</v>
      </c>
      <c r="Q495" s="19" t="str">
        <f>VLOOKUP(B495,辅助信息!E:M,9,FALSE)</f>
        <v>ZTWM-CDGS-XS-2024-0248-五冶钢构-南充市医学院项目</v>
      </c>
      <c r="R495" s="19"/>
    </row>
    <row r="496" hidden="1" spans="2:18">
      <c r="B496" s="33" t="s">
        <v>88</v>
      </c>
      <c r="C496" s="63">
        <v>45705</v>
      </c>
      <c r="D496" s="33" t="str">
        <f>VLOOKUP(B496,辅助信息!E:K,7,FALSE)</f>
        <v>JWDDCD2025051000019</v>
      </c>
      <c r="E496" s="33" t="str">
        <f>VLOOKUP(F496,辅助信息!A:B,2,FALSE)</f>
        <v>螺纹钢</v>
      </c>
      <c r="F496" s="33" t="s">
        <v>30</v>
      </c>
      <c r="G496" s="29">
        <v>3</v>
      </c>
      <c r="H496" s="33" t="str">
        <f>_xlfn._xlws.FILTER('[1]2025年已发货'!$E:$E,'[1]2025年已发货'!$F:$F&amp;'[1]2025年已发货'!$C:$C&amp;'[1]2025年已发货'!$G:$G&amp;'[1]2025年已发货'!$H:$H=C496&amp;F496&amp;I496&amp;J496,"未发货")</f>
        <v>未发货</v>
      </c>
      <c r="I496" s="33" t="str">
        <f>VLOOKUP(B496,辅助信息!E:I,3,FALSE)</f>
        <v>(五冶钢构医学科学产业园建设项目房建二部-四标（5-4）)四川省南充市顺庆区搬罾街道学府大道二段</v>
      </c>
      <c r="J496" s="33" t="str">
        <f>VLOOKUP(B496,辅助信息!E:I,4,FALSE)</f>
        <v>安南</v>
      </c>
      <c r="K496" s="33">
        <f>VLOOKUP(J496,辅助信息!H:I,2,FALSE)</f>
        <v>19950525030</v>
      </c>
      <c r="L496" s="69"/>
      <c r="M496" s="84">
        <v>45706</v>
      </c>
      <c r="O496" s="55">
        <f ca="1" t="shared" si="10"/>
        <v>0</v>
      </c>
      <c r="P496" s="55">
        <f ca="1" t="shared" si="11"/>
        <v>251</v>
      </c>
      <c r="Q496" s="19" t="str">
        <f>VLOOKUP(B496,辅助信息!E:M,9,FALSE)</f>
        <v>ZTWM-CDGS-XS-2024-0248-五冶钢构-南充市医学院项目</v>
      </c>
      <c r="R496" s="19"/>
    </row>
    <row r="497" hidden="1" spans="2:18">
      <c r="B497" s="33" t="s">
        <v>60</v>
      </c>
      <c r="C497" s="63">
        <v>45705</v>
      </c>
      <c r="D497" s="33" t="str">
        <f>VLOOKUP(B497,辅助信息!E:K,7,FALSE)</f>
        <v>JWDDCD2025051000019</v>
      </c>
      <c r="E497" s="33" t="str">
        <f>VLOOKUP(F497,辅助信息!A:B,2,FALSE)</f>
        <v>螺纹钢</v>
      </c>
      <c r="F497" s="33" t="s">
        <v>27</v>
      </c>
      <c r="G497" s="29">
        <v>18</v>
      </c>
      <c r="H497" s="33">
        <f>_xlfn._xlws.FILTER('[1]2025年已发货'!$E:$E,'[1]2025年已发货'!$F:$F&amp;'[1]2025年已发货'!$C:$C&amp;'[1]2025年已发货'!$G:$G&amp;'[1]2025年已发货'!$H:$H=C497&amp;F497&amp;I497&amp;J497,"未发货")</f>
        <v>18</v>
      </c>
      <c r="I497" s="33" t="str">
        <f>VLOOKUP(B497,辅助信息!E:I,3,FALSE)</f>
        <v>(五冶钢构医学科学产业园建设项目房建二部-六标)四川省南充市顺庆区搬罾街道学府大道二段</v>
      </c>
      <c r="J497" s="33" t="str">
        <f>VLOOKUP(B497,辅助信息!E:I,4,FALSE)</f>
        <v>安南</v>
      </c>
      <c r="K497" s="33">
        <f>VLOOKUP(J497,辅助信息!H:I,2,FALSE)</f>
        <v>19950525030</v>
      </c>
      <c r="L497" s="36" t="str">
        <f>VLOOKUP(B497,辅助信息!E:J,6,FALSE)</f>
        <v>送货单：送货单位：南充思临新材料科技有限公司,收货单位：五冶集团川北(南充)建设有限公司,项目名称：南充医学科学产业园,送货车型13米,装货前联系收货人核实到场规格</v>
      </c>
      <c r="M497" s="84">
        <v>45706</v>
      </c>
      <c r="O497" s="55">
        <f ca="1" t="shared" si="10"/>
        <v>0</v>
      </c>
      <c r="P497" s="55">
        <f ca="1" t="shared" si="11"/>
        <v>251</v>
      </c>
      <c r="Q497" s="19" t="str">
        <f>VLOOKUP(B497,辅助信息!E:M,9,FALSE)</f>
        <v>ZTWM-CDGS-XS-2024-0248-五冶钢构-南充市医学院项目</v>
      </c>
      <c r="R497" s="19"/>
    </row>
    <row r="498" hidden="1" spans="2:18">
      <c r="B498" s="33" t="s">
        <v>60</v>
      </c>
      <c r="C498" s="63">
        <v>45705</v>
      </c>
      <c r="D498" s="33" t="str">
        <f>VLOOKUP(B498,辅助信息!E:K,7,FALSE)</f>
        <v>JWDDCD2025051000019</v>
      </c>
      <c r="E498" s="33" t="str">
        <f>VLOOKUP(F498,辅助信息!A:B,2,FALSE)</f>
        <v>螺纹钢</v>
      </c>
      <c r="F498" s="33" t="s">
        <v>32</v>
      </c>
      <c r="G498" s="29">
        <v>15</v>
      </c>
      <c r="H498" s="33">
        <f>_xlfn._xlws.FILTER('[1]2025年已发货'!$E:$E,'[1]2025年已发货'!$F:$F&amp;'[1]2025年已发货'!$C:$C&amp;'[1]2025年已发货'!$G:$G&amp;'[1]2025年已发货'!$H:$H=C498&amp;F498&amp;I498&amp;J498,"未发货")</f>
        <v>15</v>
      </c>
      <c r="I498" s="33" t="str">
        <f>VLOOKUP(B498,辅助信息!E:I,3,FALSE)</f>
        <v>(五冶钢构医学科学产业园建设项目房建二部-六标)四川省南充市顺庆区搬罾街道学府大道二段</v>
      </c>
      <c r="J498" s="33" t="str">
        <f>VLOOKUP(B498,辅助信息!E:I,4,FALSE)</f>
        <v>安南</v>
      </c>
      <c r="K498" s="33">
        <f>VLOOKUP(J498,辅助信息!H:I,2,FALSE)</f>
        <v>19950525030</v>
      </c>
      <c r="L498" s="71"/>
      <c r="M498" s="84">
        <v>45706</v>
      </c>
      <c r="O498" s="55">
        <f ca="1" t="shared" si="10"/>
        <v>0</v>
      </c>
      <c r="P498" s="55">
        <f ca="1" t="shared" si="11"/>
        <v>251</v>
      </c>
      <c r="Q498" s="19" t="str">
        <f>VLOOKUP(B498,辅助信息!E:M,9,FALSE)</f>
        <v>ZTWM-CDGS-XS-2024-0248-五冶钢构-南充市医学院项目</v>
      </c>
      <c r="R498" s="19"/>
    </row>
    <row r="499" hidden="1" spans="2:18">
      <c r="B499" s="33" t="s">
        <v>60</v>
      </c>
      <c r="C499" s="63">
        <v>45705</v>
      </c>
      <c r="D499" s="33" t="str">
        <f>VLOOKUP(B499,辅助信息!E:K,7,FALSE)</f>
        <v>JWDDCD2025051000019</v>
      </c>
      <c r="E499" s="33" t="str">
        <f>VLOOKUP(F499,辅助信息!A:B,2,FALSE)</f>
        <v>螺纹钢</v>
      </c>
      <c r="F499" s="33" t="s">
        <v>33</v>
      </c>
      <c r="G499" s="29">
        <v>2</v>
      </c>
      <c r="H499" s="33">
        <f>_xlfn._xlws.FILTER('[1]2025年已发货'!$E:$E,'[1]2025年已发货'!$F:$F&amp;'[1]2025年已发货'!$C:$C&amp;'[1]2025年已发货'!$G:$G&amp;'[1]2025年已发货'!$H:$H=C499&amp;F499&amp;I499&amp;J499,"未发货")</f>
        <v>3</v>
      </c>
      <c r="I499" s="33" t="str">
        <f>VLOOKUP(B499,辅助信息!E:I,3,FALSE)</f>
        <v>(五冶钢构医学科学产业园建设项目房建二部-六标)四川省南充市顺庆区搬罾街道学府大道二段</v>
      </c>
      <c r="J499" s="33" t="str">
        <f>VLOOKUP(B499,辅助信息!E:I,4,FALSE)</f>
        <v>安南</v>
      </c>
      <c r="K499" s="33">
        <f>VLOOKUP(J499,辅助信息!H:I,2,FALSE)</f>
        <v>19950525030</v>
      </c>
      <c r="L499" s="71"/>
      <c r="M499" s="84">
        <v>45706</v>
      </c>
      <c r="O499" s="55">
        <f ca="1" t="shared" si="10"/>
        <v>0</v>
      </c>
      <c r="P499" s="55">
        <f ca="1" t="shared" si="11"/>
        <v>251</v>
      </c>
      <c r="Q499" s="19" t="str">
        <f>VLOOKUP(B499,辅助信息!E:M,9,FALSE)</f>
        <v>ZTWM-CDGS-XS-2024-0248-五冶钢构-南充市医学院项目</v>
      </c>
      <c r="R499" s="19"/>
    </row>
    <row r="500" hidden="1" spans="2:18">
      <c r="B500" s="33" t="s">
        <v>60</v>
      </c>
      <c r="C500" s="63">
        <v>45705</v>
      </c>
      <c r="D500" s="33" t="str">
        <f>VLOOKUP(B500,辅助信息!E:K,7,FALSE)</f>
        <v>JWDDCD2025051000019</v>
      </c>
      <c r="E500" s="33" t="str">
        <f>VLOOKUP(F500,辅助信息!A:B,2,FALSE)</f>
        <v>螺纹钢</v>
      </c>
      <c r="F500" s="33" t="s">
        <v>18</v>
      </c>
      <c r="G500" s="29">
        <v>35</v>
      </c>
      <c r="H500" s="33">
        <f>_xlfn._xlws.FILTER('[1]2025年已发货'!$E:$E,'[1]2025年已发货'!$F:$F&amp;'[1]2025年已发货'!$C:$C&amp;'[1]2025年已发货'!$G:$G&amp;'[1]2025年已发货'!$H:$H=C500&amp;F500&amp;I500&amp;J500,"未发货")</f>
        <v>35</v>
      </c>
      <c r="I500" s="33" t="str">
        <f>VLOOKUP(B500,辅助信息!E:I,3,FALSE)</f>
        <v>(五冶钢构医学科学产业园建设项目房建二部-六标)四川省南充市顺庆区搬罾街道学府大道二段</v>
      </c>
      <c r="J500" s="33" t="str">
        <f>VLOOKUP(B500,辅助信息!E:I,4,FALSE)</f>
        <v>安南</v>
      </c>
      <c r="K500" s="33">
        <f>VLOOKUP(J500,辅助信息!H:I,2,FALSE)</f>
        <v>19950525030</v>
      </c>
      <c r="L500" s="69"/>
      <c r="M500" s="84">
        <v>45706</v>
      </c>
      <c r="O500" s="55">
        <f ca="1" t="shared" si="10"/>
        <v>0</v>
      </c>
      <c r="P500" s="55">
        <f ca="1" t="shared" si="11"/>
        <v>251</v>
      </c>
      <c r="Q500" s="19" t="str">
        <f>VLOOKUP(B500,辅助信息!E:M,9,FALSE)</f>
        <v>ZTWM-CDGS-XS-2024-0248-五冶钢构-南充市医学院项目</v>
      </c>
      <c r="R500" s="19"/>
    </row>
    <row r="501" hidden="1" spans="2:18">
      <c r="B501" s="33" t="s">
        <v>20</v>
      </c>
      <c r="C501" s="63">
        <v>45705</v>
      </c>
      <c r="D501" s="33" t="str">
        <f>VLOOKUP(B501,辅助信息!E:K,7,FALSE)</f>
        <v>JWDDCD2025051000019</v>
      </c>
      <c r="E501" s="33" t="str">
        <f>VLOOKUP(F501,辅助信息!A:B,2,FALSE)</f>
        <v>盘螺</v>
      </c>
      <c r="F501" s="33" t="s">
        <v>49</v>
      </c>
      <c r="G501" s="29">
        <v>10</v>
      </c>
      <c r="H501" s="33">
        <f>_xlfn._xlws.FILTER('[1]2025年已发货'!$E:$E,'[1]2025年已发货'!$F:$F&amp;'[1]2025年已发货'!$C:$C&amp;'[1]2025年已发货'!$G:$G&amp;'[1]2025年已发货'!$H:$H=C501&amp;F501&amp;I501&amp;J501,"未发货")</f>
        <v>10</v>
      </c>
      <c r="I501" s="33" t="str">
        <f>VLOOKUP(B501,辅助信息!E:I,3,FALSE)</f>
        <v>(五冶钢构医学科学产业园建设项目房建三部-一标（7-2）)四川省南充市顺庆区搬罾街道学府大道二段</v>
      </c>
      <c r="J501" s="33" t="str">
        <f>VLOOKUP(B501,辅助信息!E:I,4,FALSE)</f>
        <v>郑林</v>
      </c>
      <c r="K501" s="33">
        <f>VLOOKUP(J501,辅助信息!H:I,2,FALSE)</f>
        <v>18349955455</v>
      </c>
      <c r="L501" s="36" t="str">
        <f>VLOOKUP(B501,辅助信息!E:J,6,FALSE)</f>
        <v>送货单：送货单位：南充思临新材料科技有限公司,收货单位：五冶集团川北(南充)建设有限公司,项目名称：南充医学科学产业园,送货车型13米,装货前联系收货人核实到场规格</v>
      </c>
      <c r="M501" s="84">
        <v>45707</v>
      </c>
      <c r="N501" s="50"/>
      <c r="O501" s="55">
        <f ca="1" t="shared" si="10"/>
        <v>0</v>
      </c>
      <c r="P501" s="55">
        <f ca="1" t="shared" si="11"/>
        <v>250</v>
      </c>
      <c r="Q501" s="19" t="str">
        <f>VLOOKUP(B501,辅助信息!E:M,9,FALSE)</f>
        <v>ZTWM-CDGS-XS-2024-0248-五冶钢构-南充市医学院项目</v>
      </c>
      <c r="R501" s="19"/>
    </row>
    <row r="502" hidden="1" spans="2:18">
      <c r="B502" s="33" t="s">
        <v>20</v>
      </c>
      <c r="C502" s="63">
        <v>45705</v>
      </c>
      <c r="D502" s="33" t="str">
        <f>VLOOKUP(B502,辅助信息!E:K,7,FALSE)</f>
        <v>JWDDCD2025051000019</v>
      </c>
      <c r="E502" s="33" t="str">
        <f>VLOOKUP(F502,辅助信息!A:B,2,FALSE)</f>
        <v>盘螺</v>
      </c>
      <c r="F502" s="33" t="s">
        <v>40</v>
      </c>
      <c r="G502" s="29">
        <v>35</v>
      </c>
      <c r="H502" s="33">
        <f>_xlfn._xlws.FILTER('[1]2025年已发货'!$E:$E,'[1]2025年已发货'!$F:$F&amp;'[1]2025年已发货'!$C:$C&amp;'[1]2025年已发货'!$G:$G&amp;'[1]2025年已发货'!$H:$H=C502&amp;F502&amp;I502&amp;J502,"未发货")</f>
        <v>37.5</v>
      </c>
      <c r="I502" s="33" t="str">
        <f>VLOOKUP(B502,辅助信息!E:I,3,FALSE)</f>
        <v>(五冶钢构医学科学产业园建设项目房建三部-一标（7-2）)四川省南充市顺庆区搬罾街道学府大道二段</v>
      </c>
      <c r="J502" s="33" t="str">
        <f>VLOOKUP(B502,辅助信息!E:I,4,FALSE)</f>
        <v>郑林</v>
      </c>
      <c r="K502" s="33">
        <f>VLOOKUP(J502,辅助信息!H:I,2,FALSE)</f>
        <v>18349955455</v>
      </c>
      <c r="L502" s="71"/>
      <c r="M502" s="84">
        <v>45707</v>
      </c>
      <c r="N502" s="50"/>
      <c r="O502" s="55">
        <f ca="1" t="shared" si="10"/>
        <v>0</v>
      </c>
      <c r="P502" s="55">
        <f ca="1" t="shared" si="11"/>
        <v>250</v>
      </c>
      <c r="Q502" s="19" t="str">
        <f>VLOOKUP(B502,辅助信息!E:M,9,FALSE)</f>
        <v>ZTWM-CDGS-XS-2024-0248-五冶钢构-南充市医学院项目</v>
      </c>
      <c r="R502" s="19"/>
    </row>
    <row r="503" hidden="1" spans="2:18">
      <c r="B503" s="33" t="s">
        <v>20</v>
      </c>
      <c r="C503" s="63">
        <v>45705</v>
      </c>
      <c r="D503" s="33" t="str">
        <f>VLOOKUP(B503,辅助信息!E:K,7,FALSE)</f>
        <v>JWDDCD2025051000019</v>
      </c>
      <c r="E503" s="33" t="str">
        <f>VLOOKUP(F503,辅助信息!A:B,2,FALSE)</f>
        <v>盘螺</v>
      </c>
      <c r="F503" s="33" t="s">
        <v>41</v>
      </c>
      <c r="G503" s="29">
        <v>20</v>
      </c>
      <c r="H503" s="33">
        <f>_xlfn._xlws.FILTER('[1]2025年已发货'!$E:$E,'[1]2025年已发货'!$F:$F&amp;'[1]2025年已发货'!$C:$C&amp;'[1]2025年已发货'!$G:$G&amp;'[1]2025年已发货'!$H:$H=C503&amp;F503&amp;I503&amp;J503,"未发货")</f>
        <v>20</v>
      </c>
      <c r="I503" s="33" t="str">
        <f>VLOOKUP(B503,辅助信息!E:I,3,FALSE)</f>
        <v>(五冶钢构医学科学产业园建设项目房建三部-一标（7-2）)四川省南充市顺庆区搬罾街道学府大道二段</v>
      </c>
      <c r="J503" s="33" t="str">
        <f>VLOOKUP(B503,辅助信息!E:I,4,FALSE)</f>
        <v>郑林</v>
      </c>
      <c r="K503" s="33">
        <f>VLOOKUP(J503,辅助信息!H:I,2,FALSE)</f>
        <v>18349955455</v>
      </c>
      <c r="L503" s="71"/>
      <c r="M503" s="84">
        <v>45707</v>
      </c>
      <c r="N503" s="50"/>
      <c r="O503" s="55">
        <f ca="1" t="shared" si="10"/>
        <v>0</v>
      </c>
      <c r="P503" s="55">
        <f ca="1" t="shared" si="11"/>
        <v>250</v>
      </c>
      <c r="Q503" s="19" t="str">
        <f>VLOOKUP(B503,辅助信息!E:M,9,FALSE)</f>
        <v>ZTWM-CDGS-XS-2024-0248-五冶钢构-南充市医学院项目</v>
      </c>
      <c r="R503" s="19"/>
    </row>
    <row r="504" hidden="1" spans="2:18">
      <c r="B504" s="33" t="s">
        <v>20</v>
      </c>
      <c r="C504" s="63">
        <v>45705</v>
      </c>
      <c r="D504" s="33" t="str">
        <f>VLOOKUP(B504,辅助信息!E:K,7,FALSE)</f>
        <v>JWDDCD2025051000019</v>
      </c>
      <c r="E504" s="33" t="str">
        <f>VLOOKUP(F504,辅助信息!A:B,2,FALSE)</f>
        <v>盘螺</v>
      </c>
      <c r="F504" s="33" t="s">
        <v>26</v>
      </c>
      <c r="G504" s="29">
        <v>5</v>
      </c>
      <c r="H504" s="33">
        <f>_xlfn._xlws.FILTER('[1]2025年已发货'!$E:$E,'[1]2025年已发货'!$F:$F&amp;'[1]2025年已发货'!$C:$C&amp;'[1]2025年已发货'!$G:$G&amp;'[1]2025年已发货'!$H:$H=C504&amp;F504&amp;I504&amp;J504,"未发货")</f>
        <v>5</v>
      </c>
      <c r="I504" s="33" t="str">
        <f>VLOOKUP(B504,辅助信息!E:I,3,FALSE)</f>
        <v>(五冶钢构医学科学产业园建设项目房建三部-一标（7-2）)四川省南充市顺庆区搬罾街道学府大道二段</v>
      </c>
      <c r="J504" s="33" t="str">
        <f>VLOOKUP(B504,辅助信息!E:I,4,FALSE)</f>
        <v>郑林</v>
      </c>
      <c r="K504" s="33">
        <f>VLOOKUP(J504,辅助信息!H:I,2,FALSE)</f>
        <v>18349955455</v>
      </c>
      <c r="L504" s="69"/>
      <c r="M504" s="84">
        <v>45707</v>
      </c>
      <c r="N504" s="50"/>
      <c r="O504" s="55">
        <f ca="1" t="shared" si="10"/>
        <v>0</v>
      </c>
      <c r="P504" s="55">
        <f ca="1" t="shared" si="11"/>
        <v>250</v>
      </c>
      <c r="Q504" s="19" t="str">
        <f>VLOOKUP(B504,辅助信息!E:M,9,FALSE)</f>
        <v>ZTWM-CDGS-XS-2024-0248-五冶钢构-南充市医学院项目</v>
      </c>
      <c r="R504" s="19"/>
    </row>
    <row r="505" hidden="1" spans="2:18">
      <c r="B505" s="33" t="s">
        <v>89</v>
      </c>
      <c r="C505" s="63">
        <v>45705</v>
      </c>
      <c r="D505" s="33" t="str">
        <f>VLOOKUP(B505,辅助信息!E:K,7,FALSE)</f>
        <v>JWDDCD2025051000019</v>
      </c>
      <c r="E505" s="33" t="str">
        <f>VLOOKUP(F505,辅助信息!A:B,2,FALSE)</f>
        <v>螺纹钢</v>
      </c>
      <c r="F505" s="33" t="s">
        <v>32</v>
      </c>
      <c r="G505" s="29">
        <v>130</v>
      </c>
      <c r="H505" s="33">
        <f>_xlfn._xlws.FILTER('[1]2025年已发货'!$E:$E,'[1]2025年已发货'!$F:$F&amp;'[1]2025年已发货'!$C:$C&amp;'[1]2025年已发货'!$G:$G&amp;'[1]2025年已发货'!$H:$H=C505&amp;F505&amp;I505&amp;J505,"未发货")</f>
        <v>70</v>
      </c>
      <c r="I505" s="33" t="str">
        <f>VLOOKUP(B505,辅助信息!E:I,3,FALSE)</f>
        <v>(五冶钢构医学科学产业园建设项目房建三部-排洪渠)四川省南充市顺庆区搬罾街道学府大道二段</v>
      </c>
      <c r="J505" s="33" t="str">
        <f>VLOOKUP(B505,辅助信息!E:I,4,FALSE)</f>
        <v>郑林</v>
      </c>
      <c r="K505" s="33">
        <f>VLOOKUP(J505,辅助信息!H:I,2,FALSE)</f>
        <v>18349955455</v>
      </c>
      <c r="L505" s="36" t="str">
        <f>VLOOKUP(B505,辅助信息!E:J,6,FALSE)</f>
        <v>送货单：送货单位：南充思临新材料科技有限公司,收货单位：五冶集团川北(南充)建设有限公司,项目名称：南充医学科学产业园,送货车型13米,装货前联系收货人核实到场规格</v>
      </c>
      <c r="M505" s="84">
        <v>45708</v>
      </c>
      <c r="N505" s="50"/>
      <c r="O505" s="55">
        <f ca="1" t="shared" si="10"/>
        <v>0</v>
      </c>
      <c r="P505" s="55">
        <f ca="1" t="shared" si="11"/>
        <v>249</v>
      </c>
      <c r="Q505" s="19" t="str">
        <f>VLOOKUP(B505,辅助信息!E:M,9,FALSE)</f>
        <v>ZTWM-CDGS-XS-2024-0248-五冶钢构-南充市医学院项目</v>
      </c>
      <c r="R505" s="19"/>
    </row>
    <row r="506" hidden="1" spans="2:18">
      <c r="B506" s="33" t="s">
        <v>89</v>
      </c>
      <c r="C506" s="63">
        <v>45705</v>
      </c>
      <c r="D506" s="33" t="str">
        <f>VLOOKUP(B506,辅助信息!E:K,7,FALSE)</f>
        <v>JWDDCD2025051000019</v>
      </c>
      <c r="E506" s="33" t="str">
        <f>VLOOKUP(F506,辅助信息!A:B,2,FALSE)</f>
        <v>螺纹钢</v>
      </c>
      <c r="F506" s="33" t="s">
        <v>18</v>
      </c>
      <c r="G506" s="29">
        <v>200</v>
      </c>
      <c r="H506" s="33" t="str">
        <f>_xlfn._xlws.FILTER('[1]2025年已发货'!$E:$E,'[1]2025年已发货'!$F:$F&amp;'[1]2025年已发货'!$C:$C&amp;'[1]2025年已发货'!$G:$G&amp;'[1]2025年已发货'!$H:$H=C506&amp;F506&amp;I506&amp;J506,"未发货")</f>
        <v>未发货</v>
      </c>
      <c r="I506" s="33" t="str">
        <f>VLOOKUP(B506,辅助信息!E:I,3,FALSE)</f>
        <v>(五冶钢构医学科学产业园建设项目房建三部-排洪渠)四川省南充市顺庆区搬罾街道学府大道二段</v>
      </c>
      <c r="J506" s="33" t="str">
        <f>VLOOKUP(B506,辅助信息!E:I,4,FALSE)</f>
        <v>郑林</v>
      </c>
      <c r="K506" s="33">
        <f>VLOOKUP(J506,辅助信息!H:I,2,FALSE)</f>
        <v>18349955455</v>
      </c>
      <c r="L506" s="71"/>
      <c r="M506" s="84">
        <v>45708</v>
      </c>
      <c r="N506" s="50"/>
      <c r="O506" s="55">
        <f ca="1" t="shared" si="10"/>
        <v>0</v>
      </c>
      <c r="P506" s="55">
        <f ca="1" t="shared" si="11"/>
        <v>249</v>
      </c>
      <c r="Q506" s="19" t="str">
        <f>VLOOKUP(B506,辅助信息!E:M,9,FALSE)</f>
        <v>ZTWM-CDGS-XS-2024-0248-五冶钢构-南充市医学院项目</v>
      </c>
      <c r="R506" s="19"/>
    </row>
    <row r="507" hidden="1" spans="2:18">
      <c r="B507" s="33" t="s">
        <v>89</v>
      </c>
      <c r="C507" s="63">
        <v>45705</v>
      </c>
      <c r="D507" s="33" t="str">
        <f>VLOOKUP(B507,辅助信息!E:K,7,FALSE)</f>
        <v>JWDDCD2025051000019</v>
      </c>
      <c r="E507" s="33" t="str">
        <f>VLOOKUP(F507,辅助信息!A:B,2,FALSE)</f>
        <v>螺纹钢</v>
      </c>
      <c r="F507" s="33" t="s">
        <v>90</v>
      </c>
      <c r="G507" s="29">
        <v>70</v>
      </c>
      <c r="H507" s="33">
        <f>_xlfn._xlws.FILTER('[1]2025年已发货'!$E:$E,'[1]2025年已发货'!$F:$F&amp;'[1]2025年已发货'!$C:$C&amp;'[1]2025年已发货'!$G:$G&amp;'[1]2025年已发货'!$H:$H=C507&amp;F507&amp;I507&amp;J507,"未发货")</f>
        <v>70</v>
      </c>
      <c r="I507" s="33" t="str">
        <f>VLOOKUP(B507,辅助信息!E:I,3,FALSE)</f>
        <v>(五冶钢构医学科学产业园建设项目房建三部-排洪渠)四川省南充市顺庆区搬罾街道学府大道二段</v>
      </c>
      <c r="J507" s="33" t="str">
        <f>VLOOKUP(B507,辅助信息!E:I,4,FALSE)</f>
        <v>郑林</v>
      </c>
      <c r="K507" s="33">
        <f>VLOOKUP(J507,辅助信息!H:I,2,FALSE)</f>
        <v>18349955455</v>
      </c>
      <c r="L507" s="71"/>
      <c r="M507" s="84">
        <v>45708</v>
      </c>
      <c r="N507" s="50"/>
      <c r="O507" s="55">
        <f ca="1" t="shared" si="10"/>
        <v>0</v>
      </c>
      <c r="P507" s="55">
        <f ca="1" t="shared" si="11"/>
        <v>249</v>
      </c>
      <c r="Q507" s="19" t="str">
        <f>VLOOKUP(B507,辅助信息!E:M,9,FALSE)</f>
        <v>ZTWM-CDGS-XS-2024-0248-五冶钢构-南充市医学院项目</v>
      </c>
      <c r="R507" s="19"/>
    </row>
    <row r="508" hidden="1" spans="2:18">
      <c r="B508" s="33" t="s">
        <v>89</v>
      </c>
      <c r="C508" s="63">
        <v>45705</v>
      </c>
      <c r="D508" s="33" t="str">
        <f>VLOOKUP(B508,辅助信息!E:K,7,FALSE)</f>
        <v>JWDDCD2025051000019</v>
      </c>
      <c r="E508" s="33" t="str">
        <f>VLOOKUP(F508,辅助信息!A:B,2,FALSE)</f>
        <v>螺纹钢</v>
      </c>
      <c r="F508" s="33" t="s">
        <v>91</v>
      </c>
      <c r="G508" s="29">
        <v>200</v>
      </c>
      <c r="H508" s="33">
        <f>_xlfn._xlws.FILTER('[1]2025年已发货'!$E:$E,'[1]2025年已发货'!$F:$F&amp;'[1]2025年已发货'!$C:$C&amp;'[1]2025年已发货'!$G:$G&amp;'[1]2025年已发货'!$H:$H=C508&amp;F508&amp;I508&amp;J508,"未发货")</f>
        <v>105</v>
      </c>
      <c r="I508" s="33" t="str">
        <f>VLOOKUP(B508,辅助信息!E:I,3,FALSE)</f>
        <v>(五冶钢构医学科学产业园建设项目房建三部-排洪渠)四川省南充市顺庆区搬罾街道学府大道二段</v>
      </c>
      <c r="J508" s="33" t="str">
        <f>VLOOKUP(B508,辅助信息!E:I,4,FALSE)</f>
        <v>郑林</v>
      </c>
      <c r="K508" s="33">
        <f>VLOOKUP(J508,辅助信息!H:I,2,FALSE)</f>
        <v>18349955455</v>
      </c>
      <c r="L508" s="69"/>
      <c r="M508" s="84">
        <v>45708</v>
      </c>
      <c r="N508" s="50"/>
      <c r="O508" s="55">
        <f ca="1" t="shared" si="10"/>
        <v>0</v>
      </c>
      <c r="P508" s="55">
        <f ca="1" t="shared" si="11"/>
        <v>249</v>
      </c>
      <c r="Q508" s="19" t="str">
        <f>VLOOKUP(B508,辅助信息!E:M,9,FALSE)</f>
        <v>ZTWM-CDGS-XS-2024-0248-五冶钢构-南充市医学院项目</v>
      </c>
      <c r="R508" s="19"/>
    </row>
    <row r="509" hidden="1" spans="2:18">
      <c r="B509" s="33" t="s">
        <v>92</v>
      </c>
      <c r="C509" s="63">
        <v>45705</v>
      </c>
      <c r="D509" s="33" t="str">
        <f>VLOOKUP(B509,辅助信息!E:K,7,FALSE)</f>
        <v>JWDDCD2025051800046</v>
      </c>
      <c r="E509" s="33" t="str">
        <f>VLOOKUP(F509,辅助信息!A:B,2,FALSE)</f>
        <v>螺纹钢</v>
      </c>
      <c r="F509" s="33" t="s">
        <v>19</v>
      </c>
      <c r="G509" s="29">
        <v>3</v>
      </c>
      <c r="H509" s="33">
        <f>_xlfn._xlws.FILTER('[1]2025年已发货'!$E:$E,'[1]2025年已发货'!$F:$F&amp;'[1]2025年已发货'!$C:$C&amp;'[1]2025年已发货'!$G:$G&amp;'[1]2025年已发货'!$H:$H=C509&amp;F509&amp;I509&amp;J509,"未发货")</f>
        <v>3</v>
      </c>
      <c r="I509" s="33" t="str">
        <f>VLOOKUP(B509,辅助信息!E:I,3,FALSE)</f>
        <v>（华西萌海科创农业生态谷）成都市简阳市白金山水库</v>
      </c>
      <c r="J509" s="33" t="str">
        <f>VLOOKUP(B509,辅助信息!E:I,4,FALSE)</f>
        <v>石清国</v>
      </c>
      <c r="K509" s="33">
        <f>VLOOKUP(J509,辅助信息!H:I,2,FALSE)</f>
        <v>13458642015</v>
      </c>
      <c r="L509" s="36" t="str">
        <f>VLOOKUP(B509,辅助信息!E:J,6,FALSE)</f>
        <v>优先威钢,我方卸车,新老国标钢厂不加价可直发</v>
      </c>
      <c r="M509" s="84">
        <v>45708</v>
      </c>
      <c r="N509" s="50"/>
      <c r="O509" s="55">
        <f ca="1" t="shared" si="10"/>
        <v>0</v>
      </c>
      <c r="P509" s="55">
        <f ca="1" t="shared" si="11"/>
        <v>249</v>
      </c>
      <c r="Q509" s="19" t="str">
        <f>VLOOKUP(B509,辅助信息!E:M,9,FALSE)</f>
        <v>ZTWM-CDGS-XS-2024-0092-华西-萌海科创农业生态谷</v>
      </c>
      <c r="R509" s="19"/>
    </row>
    <row r="510" hidden="1" spans="2:18">
      <c r="B510" s="33" t="s">
        <v>92</v>
      </c>
      <c r="C510" s="63">
        <v>45705</v>
      </c>
      <c r="D510" s="33" t="str">
        <f>VLOOKUP(B510,辅助信息!E:K,7,FALSE)</f>
        <v>JWDDCD2025051800046</v>
      </c>
      <c r="E510" s="33" t="str">
        <f>VLOOKUP(F510,辅助信息!A:B,2,FALSE)</f>
        <v>螺纹钢</v>
      </c>
      <c r="F510" s="33" t="s">
        <v>32</v>
      </c>
      <c r="G510" s="29">
        <v>5</v>
      </c>
      <c r="H510" s="33">
        <f>_xlfn._xlws.FILTER('[1]2025年已发货'!$E:$E,'[1]2025年已发货'!$F:$F&amp;'[1]2025年已发货'!$C:$C&amp;'[1]2025年已发货'!$G:$G&amp;'[1]2025年已发货'!$H:$H=C510&amp;F510&amp;I510&amp;J510,"未发货")</f>
        <v>6</v>
      </c>
      <c r="I510" s="33" t="str">
        <f>VLOOKUP(B510,辅助信息!E:I,3,FALSE)</f>
        <v>（华西萌海科创农业生态谷）成都市简阳市白金山水库</v>
      </c>
      <c r="J510" s="33" t="str">
        <f>VLOOKUP(B510,辅助信息!E:I,4,FALSE)</f>
        <v>石清国</v>
      </c>
      <c r="K510" s="33">
        <f>VLOOKUP(J510,辅助信息!H:I,2,FALSE)</f>
        <v>13458642015</v>
      </c>
      <c r="L510" s="71"/>
      <c r="M510" s="84">
        <v>45708</v>
      </c>
      <c r="N510" s="50"/>
      <c r="O510" s="55">
        <f ca="1" t="shared" si="10"/>
        <v>0</v>
      </c>
      <c r="P510" s="55">
        <f ca="1" t="shared" si="11"/>
        <v>249</v>
      </c>
      <c r="Q510" s="19" t="str">
        <f>VLOOKUP(B510,辅助信息!E:M,9,FALSE)</f>
        <v>ZTWM-CDGS-XS-2024-0092-华西-萌海科创农业生态谷</v>
      </c>
      <c r="R510" s="19"/>
    </row>
    <row r="511" hidden="1" spans="2:18">
      <c r="B511" s="33" t="s">
        <v>92</v>
      </c>
      <c r="C511" s="63">
        <v>45705</v>
      </c>
      <c r="D511" s="33" t="str">
        <f>VLOOKUP(B511,辅助信息!E:K,7,FALSE)</f>
        <v>JWDDCD2025051800046</v>
      </c>
      <c r="E511" s="33" t="str">
        <f>VLOOKUP(F511,辅助信息!A:B,2,FALSE)</f>
        <v>螺纹钢</v>
      </c>
      <c r="F511" s="33" t="s">
        <v>28</v>
      </c>
      <c r="G511" s="29">
        <v>5</v>
      </c>
      <c r="H511" s="33">
        <f>_xlfn._xlws.FILTER('[1]2025年已发货'!$E:$E,'[1]2025年已发货'!$F:$F&amp;'[1]2025年已发货'!$C:$C&amp;'[1]2025年已发货'!$G:$G&amp;'[1]2025年已发货'!$H:$H=C511&amp;F511&amp;I511&amp;J511,"未发货")</f>
        <v>6</v>
      </c>
      <c r="I511" s="33" t="str">
        <f>VLOOKUP(B511,辅助信息!E:I,3,FALSE)</f>
        <v>（华西萌海科创农业生态谷）成都市简阳市白金山水库</v>
      </c>
      <c r="J511" s="33" t="str">
        <f>VLOOKUP(B511,辅助信息!E:I,4,FALSE)</f>
        <v>石清国</v>
      </c>
      <c r="K511" s="33">
        <f>VLOOKUP(J511,辅助信息!H:I,2,FALSE)</f>
        <v>13458642015</v>
      </c>
      <c r="L511" s="71"/>
      <c r="M511" s="84">
        <v>45708</v>
      </c>
      <c r="N511" s="50"/>
      <c r="O511" s="55">
        <f ca="1" t="shared" si="10"/>
        <v>0</v>
      </c>
      <c r="P511" s="55">
        <f ca="1" t="shared" si="11"/>
        <v>249</v>
      </c>
      <c r="Q511" s="19" t="str">
        <f>VLOOKUP(B511,辅助信息!E:M,9,FALSE)</f>
        <v>ZTWM-CDGS-XS-2024-0092-华西-萌海科创农业生态谷</v>
      </c>
      <c r="R511" s="19"/>
    </row>
    <row r="512" hidden="1" spans="2:18">
      <c r="B512" s="33" t="s">
        <v>92</v>
      </c>
      <c r="C512" s="63">
        <v>45705</v>
      </c>
      <c r="D512" s="33" t="str">
        <f>VLOOKUP(B512,辅助信息!E:K,7,FALSE)</f>
        <v>JWDDCD2025051800046</v>
      </c>
      <c r="E512" s="33" t="str">
        <f>VLOOKUP(F512,辅助信息!A:B,2,FALSE)</f>
        <v>螺纹钢</v>
      </c>
      <c r="F512" s="33" t="s">
        <v>66</v>
      </c>
      <c r="G512" s="29">
        <v>3</v>
      </c>
      <c r="H512" s="33">
        <f>_xlfn._xlws.FILTER('[1]2025年已发货'!$E:$E,'[1]2025年已发货'!$F:$F&amp;'[1]2025年已发货'!$C:$C&amp;'[1]2025年已发货'!$G:$G&amp;'[1]2025年已发货'!$H:$H=C512&amp;F512&amp;I512&amp;J512,"未发货")</f>
        <v>3</v>
      </c>
      <c r="I512" s="33" t="str">
        <f>VLOOKUP(B512,辅助信息!E:I,3,FALSE)</f>
        <v>（华西萌海科创农业生态谷）成都市简阳市白金山水库</v>
      </c>
      <c r="J512" s="33" t="str">
        <f>VLOOKUP(B512,辅助信息!E:I,4,FALSE)</f>
        <v>石清国</v>
      </c>
      <c r="K512" s="33">
        <f>VLOOKUP(J512,辅助信息!H:I,2,FALSE)</f>
        <v>13458642015</v>
      </c>
      <c r="L512" s="71"/>
      <c r="M512" s="84">
        <v>45708</v>
      </c>
      <c r="N512" s="50"/>
      <c r="O512" s="55">
        <f ca="1" t="shared" si="10"/>
        <v>0</v>
      </c>
      <c r="P512" s="55">
        <f ca="1" t="shared" si="11"/>
        <v>249</v>
      </c>
      <c r="Q512" s="19" t="str">
        <f>VLOOKUP(B512,辅助信息!E:M,9,FALSE)</f>
        <v>ZTWM-CDGS-XS-2024-0092-华西-萌海科创农业生态谷</v>
      </c>
      <c r="R512" s="19"/>
    </row>
    <row r="513" hidden="1" spans="2:18">
      <c r="B513" s="33" t="s">
        <v>92</v>
      </c>
      <c r="C513" s="63">
        <v>45705</v>
      </c>
      <c r="D513" s="33" t="str">
        <f>VLOOKUP(B513,辅助信息!E:K,7,FALSE)</f>
        <v>JWDDCD2025051800046</v>
      </c>
      <c r="E513" s="33" t="str">
        <f>VLOOKUP(F513,辅助信息!A:B,2,FALSE)</f>
        <v>螺纹钢</v>
      </c>
      <c r="F513" s="33" t="s">
        <v>58</v>
      </c>
      <c r="G513" s="29">
        <v>5</v>
      </c>
      <c r="H513" s="33">
        <f>_xlfn._xlws.FILTER('[1]2025年已发货'!$E:$E,'[1]2025年已发货'!$F:$F&amp;'[1]2025年已发货'!$C:$C&amp;'[1]2025年已发货'!$G:$G&amp;'[1]2025年已发货'!$H:$H=C513&amp;F513&amp;I513&amp;J513,"未发货")</f>
        <v>6</v>
      </c>
      <c r="I513" s="33" t="str">
        <f>VLOOKUP(B513,辅助信息!E:I,3,FALSE)</f>
        <v>（华西萌海科创农业生态谷）成都市简阳市白金山水库</v>
      </c>
      <c r="J513" s="33" t="str">
        <f>VLOOKUP(B513,辅助信息!E:I,4,FALSE)</f>
        <v>石清国</v>
      </c>
      <c r="K513" s="33">
        <f>VLOOKUP(J513,辅助信息!H:I,2,FALSE)</f>
        <v>13458642015</v>
      </c>
      <c r="L513" s="71"/>
      <c r="M513" s="84">
        <v>45708</v>
      </c>
      <c r="N513" s="50"/>
      <c r="O513" s="55">
        <f ca="1" t="shared" si="10"/>
        <v>0</v>
      </c>
      <c r="P513" s="55">
        <f ca="1" t="shared" si="11"/>
        <v>249</v>
      </c>
      <c r="Q513" s="19" t="str">
        <f>VLOOKUP(B513,辅助信息!E:M,9,FALSE)</f>
        <v>ZTWM-CDGS-XS-2024-0092-华西-萌海科创农业生态谷</v>
      </c>
      <c r="R513" s="19"/>
    </row>
    <row r="514" hidden="1" spans="2:18">
      <c r="B514" s="33" t="s">
        <v>92</v>
      </c>
      <c r="C514" s="63">
        <v>45705</v>
      </c>
      <c r="D514" s="33" t="str">
        <f>VLOOKUP(B514,辅助信息!E:K,7,FALSE)</f>
        <v>JWDDCD2025051800046</v>
      </c>
      <c r="E514" s="33" t="str">
        <f>VLOOKUP(F514,辅助信息!A:B,2,FALSE)</f>
        <v>螺纹钢</v>
      </c>
      <c r="F514" s="33" t="s">
        <v>46</v>
      </c>
      <c r="G514" s="29">
        <v>5</v>
      </c>
      <c r="H514" s="33">
        <f>_xlfn._xlws.FILTER('[1]2025年已发货'!$E:$E,'[1]2025年已发货'!$F:$F&amp;'[1]2025年已发货'!$C:$C&amp;'[1]2025年已发货'!$G:$G&amp;'[1]2025年已发货'!$H:$H=C514&amp;F514&amp;I514&amp;J514,"未发货")</f>
        <v>6</v>
      </c>
      <c r="I514" s="33" t="str">
        <f>VLOOKUP(B514,辅助信息!E:I,3,FALSE)</f>
        <v>（华西萌海科创农业生态谷）成都市简阳市白金山水库</v>
      </c>
      <c r="J514" s="33" t="str">
        <f>VLOOKUP(B514,辅助信息!E:I,4,FALSE)</f>
        <v>石清国</v>
      </c>
      <c r="K514" s="33">
        <f>VLOOKUP(J514,辅助信息!H:I,2,FALSE)</f>
        <v>13458642015</v>
      </c>
      <c r="L514" s="71"/>
      <c r="M514" s="84">
        <v>45708</v>
      </c>
      <c r="N514" s="50"/>
      <c r="O514" s="55">
        <f ca="1" t="shared" si="10"/>
        <v>0</v>
      </c>
      <c r="P514" s="55">
        <f ca="1" t="shared" si="11"/>
        <v>249</v>
      </c>
      <c r="Q514" s="19" t="str">
        <f>VLOOKUP(B514,辅助信息!E:M,9,FALSE)</f>
        <v>ZTWM-CDGS-XS-2024-0092-华西-萌海科创农业生态谷</v>
      </c>
      <c r="R514" s="19"/>
    </row>
    <row r="515" hidden="1" spans="2:18">
      <c r="B515" s="33" t="s">
        <v>92</v>
      </c>
      <c r="C515" s="63">
        <v>45705</v>
      </c>
      <c r="D515" s="33" t="str">
        <f>VLOOKUP(B515,辅助信息!E:K,7,FALSE)</f>
        <v>JWDDCD2025051800046</v>
      </c>
      <c r="E515" s="33" t="str">
        <f>VLOOKUP(F515,辅助信息!A:B,2,FALSE)</f>
        <v>螺纹钢</v>
      </c>
      <c r="F515" s="33" t="s">
        <v>22</v>
      </c>
      <c r="G515" s="29">
        <v>10</v>
      </c>
      <c r="H515" s="33">
        <f>_xlfn._xlws.FILTER('[1]2025年已发货'!$E:$E,'[1]2025年已发货'!$F:$F&amp;'[1]2025年已发货'!$C:$C&amp;'[1]2025年已发货'!$G:$G&amp;'[1]2025年已发货'!$H:$H=C515&amp;F515&amp;I515&amp;J515,"未发货")</f>
        <v>6</v>
      </c>
      <c r="I515" s="33" t="str">
        <f>VLOOKUP(B515,辅助信息!E:I,3,FALSE)</f>
        <v>（华西萌海科创农业生态谷）成都市简阳市白金山水库</v>
      </c>
      <c r="J515" s="33" t="str">
        <f>VLOOKUP(B515,辅助信息!E:I,4,FALSE)</f>
        <v>石清国</v>
      </c>
      <c r="K515" s="33">
        <f>VLOOKUP(J515,辅助信息!H:I,2,FALSE)</f>
        <v>13458642015</v>
      </c>
      <c r="L515" s="71"/>
      <c r="M515" s="84">
        <v>45708</v>
      </c>
      <c r="N515" s="50"/>
      <c r="O515" s="55">
        <f ca="1" t="shared" si="10"/>
        <v>0</v>
      </c>
      <c r="P515" s="55">
        <f ca="1" t="shared" si="11"/>
        <v>249</v>
      </c>
      <c r="Q515" s="19" t="str">
        <f>VLOOKUP(B515,辅助信息!E:M,9,FALSE)</f>
        <v>ZTWM-CDGS-XS-2024-0092-华西-萌海科创农业生态谷</v>
      </c>
      <c r="R515" s="19"/>
    </row>
    <row r="516" hidden="1" spans="2:18">
      <c r="B516" s="33" t="s">
        <v>48</v>
      </c>
      <c r="C516" s="63">
        <v>45705</v>
      </c>
      <c r="D516" s="33" t="str">
        <f>VLOOKUP(B516,辅助信息!E:K,7,FALSE)</f>
        <v>ZTWM-CDGS-YL-20240529-006</v>
      </c>
      <c r="E516" s="33" t="str">
        <f>VLOOKUP(F516,辅助信息!A:B,2,FALSE)</f>
        <v>盘螺</v>
      </c>
      <c r="F516" s="33" t="s">
        <v>40</v>
      </c>
      <c r="G516" s="29">
        <v>10</v>
      </c>
      <c r="H516" s="33" t="str">
        <f>_xlfn._xlws.FILTER('[1]2025年已发货'!$E:$E,'[1]2025年已发货'!$F:$F&amp;'[1]2025年已发货'!$C:$C&amp;'[1]2025年已发货'!$G:$G&amp;'[1]2025年已发货'!$H:$H=C516&amp;F516&amp;I516&amp;J516,"未发货")</f>
        <v>未发货</v>
      </c>
      <c r="I516" s="33" t="str">
        <f>VLOOKUP(B516,辅助信息!E:I,3,FALSE)</f>
        <v>(华西颐海-科创农业生态谷-1号钢筋房)成都市简阳市白金山水库</v>
      </c>
      <c r="J516" s="33" t="str">
        <f>VLOOKUP(B516,辅助信息!E:I,4,FALSE)</f>
        <v>石清国</v>
      </c>
      <c r="K516" s="33">
        <f>VLOOKUP(J516,辅助信息!H:I,2,FALSE)</f>
        <v>13458642015</v>
      </c>
      <c r="L516" s="71"/>
      <c r="M516" s="84">
        <v>45708</v>
      </c>
      <c r="N516" s="50"/>
      <c r="O516" s="55">
        <f ca="1" t="shared" si="10"/>
        <v>0</v>
      </c>
      <c r="P516" s="55">
        <f ca="1" t="shared" si="11"/>
        <v>249</v>
      </c>
      <c r="Q516" s="19" t="str">
        <f>VLOOKUP(B516,辅助信息!E:M,9,FALSE)</f>
        <v>ZTWM-CDGS-XS-2024-0093-华西-颐海科创农业生态谷</v>
      </c>
      <c r="R516" s="19"/>
    </row>
    <row r="517" hidden="1" spans="2:18">
      <c r="B517" s="33" t="s">
        <v>48</v>
      </c>
      <c r="C517" s="63">
        <v>45705</v>
      </c>
      <c r="D517" s="33" t="str">
        <f>VLOOKUP(B517,辅助信息!E:K,7,FALSE)</f>
        <v>ZTWM-CDGS-YL-20240529-006</v>
      </c>
      <c r="E517" s="33" t="str">
        <f>VLOOKUP(F517,辅助信息!A:B,2,FALSE)</f>
        <v>盘螺</v>
      </c>
      <c r="F517" s="33" t="s">
        <v>41</v>
      </c>
      <c r="G517" s="29">
        <v>10</v>
      </c>
      <c r="H517" s="33" t="str">
        <f>_xlfn._xlws.FILTER('[1]2025年已发货'!$E:$E,'[1]2025年已发货'!$F:$F&amp;'[1]2025年已发货'!$C:$C&amp;'[1]2025年已发货'!$G:$G&amp;'[1]2025年已发货'!$H:$H=C517&amp;F517&amp;I517&amp;J517,"未发货")</f>
        <v>未发货</v>
      </c>
      <c r="I517" s="33" t="str">
        <f>VLOOKUP(B517,辅助信息!E:I,3,FALSE)</f>
        <v>(华西颐海-科创农业生态谷-1号钢筋房)成都市简阳市白金山水库</v>
      </c>
      <c r="J517" s="33" t="str">
        <f>VLOOKUP(B517,辅助信息!E:I,4,FALSE)</f>
        <v>石清国</v>
      </c>
      <c r="K517" s="33">
        <f>VLOOKUP(J517,辅助信息!H:I,2,FALSE)</f>
        <v>13458642015</v>
      </c>
      <c r="L517" s="71"/>
      <c r="M517" s="84">
        <v>45708</v>
      </c>
      <c r="N517" s="50"/>
      <c r="O517" s="55">
        <f ca="1" t="shared" si="10"/>
        <v>0</v>
      </c>
      <c r="P517" s="55">
        <f ca="1" t="shared" si="11"/>
        <v>249</v>
      </c>
      <c r="Q517" s="19" t="str">
        <f>VLOOKUP(B517,辅助信息!E:M,9,FALSE)</f>
        <v>ZTWM-CDGS-XS-2024-0093-华西-颐海科创农业生态谷</v>
      </c>
      <c r="R517" s="19"/>
    </row>
    <row r="518" hidden="1" spans="2:18">
      <c r="B518" s="33" t="s">
        <v>48</v>
      </c>
      <c r="C518" s="63">
        <v>45705</v>
      </c>
      <c r="D518" s="33" t="str">
        <f>VLOOKUP(B518,辅助信息!E:K,7,FALSE)</f>
        <v>ZTWM-CDGS-YL-20240529-006</v>
      </c>
      <c r="E518" s="33" t="str">
        <f>VLOOKUP(F518,辅助信息!A:B,2,FALSE)</f>
        <v>螺纹钢</v>
      </c>
      <c r="F518" s="33" t="s">
        <v>66</v>
      </c>
      <c r="G518" s="29">
        <v>12</v>
      </c>
      <c r="H518" s="33" t="str">
        <f>_xlfn._xlws.FILTER('[1]2025年已发货'!$E:$E,'[1]2025年已发货'!$F:$F&amp;'[1]2025年已发货'!$C:$C&amp;'[1]2025年已发货'!$G:$G&amp;'[1]2025年已发货'!$H:$H=C518&amp;F518&amp;I518&amp;J518,"未发货")</f>
        <v>未发货</v>
      </c>
      <c r="I518" s="33" t="str">
        <f>VLOOKUP(B518,辅助信息!E:I,3,FALSE)</f>
        <v>(华西颐海-科创农业生态谷-1号钢筋房)成都市简阳市白金山水库</v>
      </c>
      <c r="J518" s="33" t="str">
        <f>VLOOKUP(B518,辅助信息!E:I,4,FALSE)</f>
        <v>石清国</v>
      </c>
      <c r="K518" s="33">
        <f>VLOOKUP(J518,辅助信息!H:I,2,FALSE)</f>
        <v>13458642015</v>
      </c>
      <c r="L518" s="71"/>
      <c r="M518" s="84">
        <v>45708</v>
      </c>
      <c r="N518" s="50"/>
      <c r="O518" s="55">
        <f ca="1" t="shared" si="10"/>
        <v>0</v>
      </c>
      <c r="P518" s="55">
        <f ca="1" t="shared" si="11"/>
        <v>249</v>
      </c>
      <c r="Q518" s="19" t="str">
        <f>VLOOKUP(B518,辅助信息!E:M,9,FALSE)</f>
        <v>ZTWM-CDGS-XS-2024-0093-华西-颐海科创农业生态谷</v>
      </c>
      <c r="R518" s="19"/>
    </row>
    <row r="519" hidden="1" spans="2:18">
      <c r="B519" s="33" t="s">
        <v>48</v>
      </c>
      <c r="C519" s="63">
        <v>45705</v>
      </c>
      <c r="D519" s="33" t="str">
        <f>VLOOKUP(B519,辅助信息!E:K,7,FALSE)</f>
        <v>ZTWM-CDGS-YL-20240529-006</v>
      </c>
      <c r="E519" s="33" t="str">
        <f>VLOOKUP(F519,辅助信息!A:B,2,FALSE)</f>
        <v>螺纹钢</v>
      </c>
      <c r="F519" s="33" t="s">
        <v>22</v>
      </c>
      <c r="G519" s="29">
        <v>6</v>
      </c>
      <c r="H519" s="33" t="str">
        <f>_xlfn._xlws.FILTER('[1]2025年已发货'!$E:$E,'[1]2025年已发货'!$F:$F&amp;'[1]2025年已发货'!$C:$C&amp;'[1]2025年已发货'!$G:$G&amp;'[1]2025年已发货'!$H:$H=C519&amp;F519&amp;I519&amp;J519,"未发货")</f>
        <v>未发货</v>
      </c>
      <c r="I519" s="33" t="str">
        <f>VLOOKUP(B519,辅助信息!E:I,3,FALSE)</f>
        <v>(华西颐海-科创农业生态谷-1号钢筋房)成都市简阳市白金山水库</v>
      </c>
      <c r="J519" s="33" t="str">
        <f>VLOOKUP(B519,辅助信息!E:I,4,FALSE)</f>
        <v>石清国</v>
      </c>
      <c r="K519" s="33">
        <f>VLOOKUP(J519,辅助信息!H:I,2,FALSE)</f>
        <v>13458642015</v>
      </c>
      <c r="L519" s="69"/>
      <c r="M519" s="84">
        <v>45708</v>
      </c>
      <c r="N519" s="50"/>
      <c r="O519" s="55">
        <f ca="1" t="shared" si="10"/>
        <v>0</v>
      </c>
      <c r="P519" s="55">
        <f ca="1" t="shared" si="11"/>
        <v>249</v>
      </c>
      <c r="Q519" s="19" t="str">
        <f>VLOOKUP(B519,辅助信息!E:M,9,FALSE)</f>
        <v>ZTWM-CDGS-XS-2024-0093-华西-颐海科创农业生态谷</v>
      </c>
      <c r="R519" s="19"/>
    </row>
    <row r="520" hidden="1" spans="1:18">
      <c r="A520" s="19"/>
      <c r="B520" s="33" t="s">
        <v>80</v>
      </c>
      <c r="C520" s="63">
        <v>45706</v>
      </c>
      <c r="D520" s="33" t="e">
        <f>VLOOKUP(B520,辅助信息!E:K,7,FALSE)</f>
        <v>#N/A</v>
      </c>
      <c r="E520" s="33" t="str">
        <f>VLOOKUP(F520,辅助信息!A:B,2,FALSE)</f>
        <v>盘螺</v>
      </c>
      <c r="F520" s="33" t="s">
        <v>49</v>
      </c>
      <c r="G520" s="33">
        <v>7.5</v>
      </c>
      <c r="H520" s="33" t="e">
        <f>_xlfn._xlws.FILTER('[1]2025年已发货'!$E:$E,'[1]2025年已发货'!$F:$F&amp;'[1]2025年已发货'!$C:$C&amp;'[1]2025年已发货'!$G:$G&amp;'[1]2025年已发货'!$H:$H=C520&amp;F520&amp;I520&amp;J520,"未发货")</f>
        <v>#N/A</v>
      </c>
      <c r="I520" s="33" t="e">
        <f>VLOOKUP(B520,辅助信息!E:I,3,FALSE)</f>
        <v>#N/A</v>
      </c>
      <c r="J520" s="33" t="e">
        <f>VLOOKUP(B520,辅助信息!E:I,4,FALSE)</f>
        <v>#N/A</v>
      </c>
      <c r="K520" s="33" t="e">
        <f>VLOOKUP(J520,辅助信息!H:I,2,FALSE)</f>
        <v>#N/A</v>
      </c>
      <c r="L520" s="33" t="e">
        <f>VLOOKUP(B520,辅助信息!E:J,6,FALSE)</f>
        <v>#N/A</v>
      </c>
      <c r="M520" s="88">
        <v>45703</v>
      </c>
      <c r="N520" s="88"/>
      <c r="O520" s="19">
        <f ca="1" t="shared" si="10"/>
        <v>0</v>
      </c>
      <c r="P520" s="19">
        <f ca="1" t="shared" si="11"/>
        <v>254</v>
      </c>
      <c r="Q520" s="19" t="e">
        <f>VLOOKUP(B520,辅助信息!E:M,9,FALSE)</f>
        <v>#N/A</v>
      </c>
      <c r="R520" s="19"/>
    </row>
    <row r="521" hidden="1" spans="1:18">
      <c r="A521" s="19"/>
      <c r="B521" s="33" t="s">
        <v>80</v>
      </c>
      <c r="C521" s="63">
        <v>45706</v>
      </c>
      <c r="D521" s="33" t="e">
        <f>VLOOKUP(B521,辅助信息!E:K,7,FALSE)</f>
        <v>#N/A</v>
      </c>
      <c r="E521" s="33" t="str">
        <f>VLOOKUP(F521,辅助信息!A:B,2,FALSE)</f>
        <v>盘螺</v>
      </c>
      <c r="F521" s="33" t="s">
        <v>40</v>
      </c>
      <c r="G521" s="33">
        <v>15</v>
      </c>
      <c r="H521" s="33" t="e">
        <f>_xlfn._xlws.FILTER('[1]2025年已发货'!$E:$E,'[1]2025年已发货'!$F:$F&amp;'[1]2025年已发货'!$C:$C&amp;'[1]2025年已发货'!$G:$G&amp;'[1]2025年已发货'!$H:$H=C521&amp;F521&amp;I521&amp;J521,"未发货")</f>
        <v>#N/A</v>
      </c>
      <c r="I521" s="33" t="e">
        <f>VLOOKUP(B521,辅助信息!E:I,3,FALSE)</f>
        <v>#N/A</v>
      </c>
      <c r="J521" s="33" t="e">
        <f>VLOOKUP(B521,辅助信息!E:I,4,FALSE)</f>
        <v>#N/A</v>
      </c>
      <c r="K521" s="33" t="e">
        <f>VLOOKUP(J521,辅助信息!H:I,2,FALSE)</f>
        <v>#N/A</v>
      </c>
      <c r="L521" s="71"/>
      <c r="M521" s="88">
        <v>45703</v>
      </c>
      <c r="N521" s="88"/>
      <c r="O521" s="19">
        <f ca="1" t="shared" si="10"/>
        <v>0</v>
      </c>
      <c r="P521" s="19">
        <f ca="1" t="shared" si="11"/>
        <v>254</v>
      </c>
      <c r="Q521" s="19" t="e">
        <f>VLOOKUP(B521,辅助信息!E:M,9,FALSE)</f>
        <v>#N/A</v>
      </c>
      <c r="R521" s="19"/>
    </row>
    <row r="522" hidden="1" spans="1:18">
      <c r="A522" s="19"/>
      <c r="B522" s="33" t="s">
        <v>80</v>
      </c>
      <c r="C522" s="63">
        <v>45706</v>
      </c>
      <c r="D522" s="33" t="e">
        <f>VLOOKUP(B522,辅助信息!E:K,7,FALSE)</f>
        <v>#N/A</v>
      </c>
      <c r="E522" s="33" t="str">
        <f>VLOOKUP(F522,辅助信息!A:B,2,FALSE)</f>
        <v>螺纹钢</v>
      </c>
      <c r="F522" s="33" t="s">
        <v>27</v>
      </c>
      <c r="G522" s="33">
        <v>5</v>
      </c>
      <c r="H522" s="33" t="e">
        <f>_xlfn._xlws.FILTER('[1]2025年已发货'!$E:$E,'[1]2025年已发货'!$F:$F&amp;'[1]2025年已发货'!$C:$C&amp;'[1]2025年已发货'!$G:$G&amp;'[1]2025年已发货'!$H:$H=C522&amp;F522&amp;I522&amp;J522,"未发货")</f>
        <v>#N/A</v>
      </c>
      <c r="I522" s="33" t="e">
        <f>VLOOKUP(B522,辅助信息!E:I,3,FALSE)</f>
        <v>#N/A</v>
      </c>
      <c r="J522" s="33" t="e">
        <f>VLOOKUP(B522,辅助信息!E:I,4,FALSE)</f>
        <v>#N/A</v>
      </c>
      <c r="K522" s="33" t="e">
        <f>VLOOKUP(J522,辅助信息!H:I,2,FALSE)</f>
        <v>#N/A</v>
      </c>
      <c r="L522" s="71"/>
      <c r="M522" s="88">
        <v>45703</v>
      </c>
      <c r="N522" s="88"/>
      <c r="O522" s="19">
        <f ca="1" t="shared" si="10"/>
        <v>0</v>
      </c>
      <c r="P522" s="19">
        <f ca="1" t="shared" si="11"/>
        <v>254</v>
      </c>
      <c r="Q522" s="19"/>
      <c r="R522" s="19"/>
    </row>
    <row r="523" hidden="1" spans="1:18">
      <c r="A523" s="19"/>
      <c r="B523" s="33" t="s">
        <v>80</v>
      </c>
      <c r="C523" s="63">
        <v>45706</v>
      </c>
      <c r="D523" s="33" t="e">
        <f>VLOOKUP(B523,辅助信息!E:K,7,FALSE)</f>
        <v>#N/A</v>
      </c>
      <c r="E523" s="33" t="str">
        <f>VLOOKUP(F523,辅助信息!A:B,2,FALSE)</f>
        <v>螺纹钢</v>
      </c>
      <c r="F523" s="33" t="s">
        <v>32</v>
      </c>
      <c r="G523" s="33">
        <v>7</v>
      </c>
      <c r="H523" s="33" t="e">
        <f>_xlfn._xlws.FILTER('[1]2025年已发货'!$E:$E,'[1]2025年已发货'!$F:$F&amp;'[1]2025年已发货'!$C:$C&amp;'[1]2025年已发货'!$G:$G&amp;'[1]2025年已发货'!$H:$H=C523&amp;F523&amp;I523&amp;J523,"未发货")</f>
        <v>#N/A</v>
      </c>
      <c r="I523" s="33" t="e">
        <f>VLOOKUP(B523,辅助信息!E:I,3,FALSE)</f>
        <v>#N/A</v>
      </c>
      <c r="J523" s="33" t="e">
        <f>VLOOKUP(B523,辅助信息!E:I,4,FALSE)</f>
        <v>#N/A</v>
      </c>
      <c r="K523" s="33" t="e">
        <f>VLOOKUP(J523,辅助信息!H:I,2,FALSE)</f>
        <v>#N/A</v>
      </c>
      <c r="L523" s="69"/>
      <c r="M523" s="88">
        <v>45703</v>
      </c>
      <c r="N523" s="88"/>
      <c r="O523" s="19">
        <f ca="1" t="shared" si="10"/>
        <v>0</v>
      </c>
      <c r="P523" s="19">
        <f ca="1" t="shared" si="11"/>
        <v>254</v>
      </c>
      <c r="Q523" s="19"/>
      <c r="R523" s="19"/>
    </row>
    <row r="524" hidden="1" spans="1:18">
      <c r="A524" s="19"/>
      <c r="B524" s="33" t="s">
        <v>29</v>
      </c>
      <c r="C524" s="63">
        <v>45706</v>
      </c>
      <c r="D524" s="33" t="e">
        <f>VLOOKUP(B524,辅助信息!E:K,7,FALSE)</f>
        <v>#N/A</v>
      </c>
      <c r="E524" s="33" t="str">
        <f>VLOOKUP(F524,辅助信息!A:B,2,FALSE)</f>
        <v>螺纹钢</v>
      </c>
      <c r="F524" s="33" t="s">
        <v>27</v>
      </c>
      <c r="G524" s="33">
        <v>15</v>
      </c>
      <c r="H524" s="33" t="e">
        <f>_xlfn._xlws.FILTER('[1]2025年已发货'!$E:$E,'[1]2025年已发货'!$F:$F&amp;'[1]2025年已发货'!$C:$C&amp;'[1]2025年已发货'!$G:$G&amp;'[1]2025年已发货'!$H:$H=C524&amp;F524&amp;I524&amp;J524,"未发货")</f>
        <v>#N/A</v>
      </c>
      <c r="I524" s="33" t="e">
        <f>VLOOKUP(B524,辅助信息!E:I,3,FALSE)</f>
        <v>#N/A</v>
      </c>
      <c r="J524" s="33" t="e">
        <f>VLOOKUP(B524,辅助信息!E:I,4,FALSE)</f>
        <v>#N/A</v>
      </c>
      <c r="K524" s="33" t="e">
        <f>VLOOKUP(J524,辅助信息!H:I,2,FALSE)</f>
        <v>#N/A</v>
      </c>
      <c r="L524" s="33" t="e">
        <f>VLOOKUP(B524,辅助信息!E:J,6,FALSE)</f>
        <v>#N/A</v>
      </c>
      <c r="M524" s="88">
        <v>45705</v>
      </c>
      <c r="N524" s="19"/>
      <c r="O524" s="19">
        <f ca="1" t="shared" si="10"/>
        <v>0</v>
      </c>
      <c r="P524" s="19">
        <f ca="1" t="shared" si="11"/>
        <v>252</v>
      </c>
      <c r="Q524" s="19" t="e">
        <f>VLOOKUP(B524,辅助信息!E:M,9,FALSE)</f>
        <v>#N/A</v>
      </c>
      <c r="R524" s="19"/>
    </row>
    <row r="525" hidden="1" spans="1:18">
      <c r="A525" s="19"/>
      <c r="B525" s="33" t="s">
        <v>29</v>
      </c>
      <c r="C525" s="63">
        <v>45706</v>
      </c>
      <c r="D525" s="33" t="e">
        <f>VLOOKUP(B525,辅助信息!E:K,7,FALSE)</f>
        <v>#N/A</v>
      </c>
      <c r="E525" s="33" t="str">
        <f>VLOOKUP(F525,辅助信息!A:B,2,FALSE)</f>
        <v>螺纹钢</v>
      </c>
      <c r="F525" s="33" t="s">
        <v>32</v>
      </c>
      <c r="G525" s="33">
        <v>20</v>
      </c>
      <c r="H525" s="33" t="e">
        <f>_xlfn._xlws.FILTER('[1]2025年已发货'!$E:$E,'[1]2025年已发货'!$F:$F&amp;'[1]2025年已发货'!$C:$C&amp;'[1]2025年已发货'!$G:$G&amp;'[1]2025年已发货'!$H:$H=C525&amp;F525&amp;I525&amp;J525,"未发货")</f>
        <v>#N/A</v>
      </c>
      <c r="I525" s="33" t="e">
        <f>VLOOKUP(B525,辅助信息!E:I,3,FALSE)</f>
        <v>#N/A</v>
      </c>
      <c r="J525" s="33" t="e">
        <f>VLOOKUP(B525,辅助信息!E:I,4,FALSE)</f>
        <v>#N/A</v>
      </c>
      <c r="K525" s="33" t="e">
        <f>VLOOKUP(J525,辅助信息!H:I,2,FALSE)</f>
        <v>#N/A</v>
      </c>
      <c r="L525" s="71"/>
      <c r="M525" s="88">
        <v>45705</v>
      </c>
      <c r="N525" s="19"/>
      <c r="O525" s="19">
        <f ca="1" t="shared" si="10"/>
        <v>0</v>
      </c>
      <c r="P525" s="19">
        <f ca="1" t="shared" si="11"/>
        <v>252</v>
      </c>
      <c r="Q525" s="19" t="e">
        <f>VLOOKUP(B525,辅助信息!E:M,9,FALSE)</f>
        <v>#N/A</v>
      </c>
      <c r="R525" s="19"/>
    </row>
    <row r="526" hidden="1" spans="1:18">
      <c r="A526" s="19"/>
      <c r="B526" s="33" t="s">
        <v>29</v>
      </c>
      <c r="C526" s="63">
        <v>45706</v>
      </c>
      <c r="D526" s="33" t="e">
        <f>VLOOKUP(B526,辅助信息!E:K,7,FALSE)</f>
        <v>#N/A</v>
      </c>
      <c r="E526" s="33" t="str">
        <f>VLOOKUP(F526,辅助信息!A:B,2,FALSE)</f>
        <v>螺纹钢</v>
      </c>
      <c r="F526" s="33" t="s">
        <v>30</v>
      </c>
      <c r="G526" s="33">
        <v>35</v>
      </c>
      <c r="H526" s="33" t="e">
        <f>_xlfn._xlws.FILTER('[1]2025年已发货'!$E:$E,'[1]2025年已发货'!$F:$F&amp;'[1]2025年已发货'!$C:$C&amp;'[1]2025年已发货'!$G:$G&amp;'[1]2025年已发货'!$H:$H=C526&amp;F526&amp;I526&amp;J526,"未发货")</f>
        <v>#N/A</v>
      </c>
      <c r="I526" s="33" t="e">
        <f>VLOOKUP(B526,辅助信息!E:I,3,FALSE)</f>
        <v>#N/A</v>
      </c>
      <c r="J526" s="33" t="e">
        <f>VLOOKUP(B526,辅助信息!E:I,4,FALSE)</f>
        <v>#N/A</v>
      </c>
      <c r="K526" s="33" t="e">
        <f>VLOOKUP(J526,辅助信息!H:I,2,FALSE)</f>
        <v>#N/A</v>
      </c>
      <c r="L526" s="69"/>
      <c r="M526" s="88">
        <v>45705</v>
      </c>
      <c r="N526" s="19"/>
      <c r="O526" s="19">
        <f ca="1" t="shared" si="10"/>
        <v>0</v>
      </c>
      <c r="P526" s="19">
        <f ca="1" t="shared" si="11"/>
        <v>252</v>
      </c>
      <c r="Q526" s="19" t="e">
        <f>VLOOKUP(B526,辅助信息!E:M,9,FALSE)</f>
        <v>#N/A</v>
      </c>
      <c r="R526" s="19"/>
    </row>
    <row r="527" hidden="1" spans="1:18">
      <c r="A527" s="19" t="s">
        <v>93</v>
      </c>
      <c r="B527" s="33" t="s">
        <v>78</v>
      </c>
      <c r="C527" s="63">
        <v>45706</v>
      </c>
      <c r="D527" s="33" t="e">
        <f>VLOOKUP(B527,辅助信息!E:K,7,FALSE)</f>
        <v>#N/A</v>
      </c>
      <c r="E527" s="33" t="str">
        <f>VLOOKUP(F527,辅助信息!A:B,2,FALSE)</f>
        <v>螺纹钢</v>
      </c>
      <c r="F527" s="33" t="s">
        <v>33</v>
      </c>
      <c r="G527" s="90">
        <v>35</v>
      </c>
      <c r="H527" s="33" t="e">
        <f>_xlfn._xlws.FILTER('[1]2025年已发货'!$E:$E,'[1]2025年已发货'!$F:$F&amp;'[1]2025年已发货'!$C:$C&amp;'[1]2025年已发货'!$G:$G&amp;'[1]2025年已发货'!$H:$H=C527&amp;F527&amp;I527&amp;J527,"未发货")</f>
        <v>#N/A</v>
      </c>
      <c r="I527" s="33" t="e">
        <f>VLOOKUP(B527,辅助信息!E:I,3,FALSE)</f>
        <v>#N/A</v>
      </c>
      <c r="J527" s="33" t="e">
        <f>VLOOKUP(B527,辅助信息!E:I,4,FALSE)</f>
        <v>#N/A</v>
      </c>
      <c r="K527" s="33" t="e">
        <f>VLOOKUP(J527,辅助信息!H:I,2,FALSE)</f>
        <v>#N/A</v>
      </c>
      <c r="L527" s="33" t="e">
        <f>VLOOKUP(B527,辅助信息!E:J,6,FALSE)</f>
        <v>#N/A</v>
      </c>
      <c r="M527" s="88">
        <v>45705</v>
      </c>
      <c r="N527" s="19"/>
      <c r="O527" s="19">
        <f ca="1" t="shared" si="10"/>
        <v>0</v>
      </c>
      <c r="P527" s="19">
        <f ca="1" t="shared" si="11"/>
        <v>252</v>
      </c>
      <c r="Q527" s="19" t="e">
        <f>VLOOKUP(B527,辅助信息!E:M,9,FALSE)</f>
        <v>#N/A</v>
      </c>
      <c r="R527" s="19"/>
    </row>
    <row r="528" hidden="1" spans="1:18">
      <c r="A528" s="19"/>
      <c r="B528" s="33" t="s">
        <v>69</v>
      </c>
      <c r="C528" s="63">
        <v>45706</v>
      </c>
      <c r="D528" s="33" t="str">
        <f>VLOOKUP(B528,辅助信息!E:K,7,FALSE)</f>
        <v>JWDDCD2025052800131</v>
      </c>
      <c r="E528" s="33" t="str">
        <f>VLOOKUP(F528,辅助信息!A:B,2,FALSE)</f>
        <v>螺纹钢</v>
      </c>
      <c r="F528" s="33" t="s">
        <v>21</v>
      </c>
      <c r="G528" s="33">
        <v>30</v>
      </c>
      <c r="H528" s="33" t="str">
        <f>_xlfn._xlws.FILTER('[1]2025年已发货'!$E:$E,'[1]2025年已发货'!$F:$F&amp;'[1]2025年已发货'!$C:$C&amp;'[1]2025年已发货'!$G:$G&amp;'[1]2025年已发货'!$H:$H=C528&amp;F528&amp;I528&amp;J528,"未发货")</f>
        <v>未发货</v>
      </c>
      <c r="I528" s="33" t="str">
        <f>VLOOKUP(B528,辅助信息!E:I,3,FALSE)</f>
        <v>（商投建工达州中医药科技园-4工区-2号楼）达州市通川区达州中医药职业学院犀牛大道北段</v>
      </c>
      <c r="J528" s="33" t="str">
        <f>VLOOKUP(B528,辅助信息!E:I,4,FALSE)</f>
        <v>张扬</v>
      </c>
      <c r="K528" s="33">
        <f>VLOOKUP(J528,辅助信息!H:I,2,FALSE)</f>
        <v>18381904567</v>
      </c>
      <c r="L528" s="33"/>
      <c r="M528" s="88">
        <v>45704</v>
      </c>
      <c r="N528" s="19"/>
      <c r="O528" s="19">
        <f ca="1" t="shared" si="10"/>
        <v>0</v>
      </c>
      <c r="P528" s="19">
        <f ca="1" t="shared" si="11"/>
        <v>253</v>
      </c>
      <c r="Q528" s="19" t="str">
        <f>VLOOKUP(B528,辅助信息!E:M,9,FALSE)</f>
        <v>ZTWM-CDGS-XS-2024-0134-商投建工达州中医药科技成果示范园项目</v>
      </c>
      <c r="R528" s="19"/>
    </row>
    <row r="529" s="19" customFormat="1" hidden="1" spans="2:17">
      <c r="B529" s="33" t="s">
        <v>84</v>
      </c>
      <c r="C529" s="63">
        <v>45706</v>
      </c>
      <c r="D529" s="33" t="e">
        <f>VLOOKUP(B529,辅助信息!E:K,7,FALSE)</f>
        <v>#N/A</v>
      </c>
      <c r="E529" s="33" t="str">
        <f>VLOOKUP(F529,辅助信息!A:B,2,FALSE)</f>
        <v>螺纹钢</v>
      </c>
      <c r="F529" s="33" t="s">
        <v>27</v>
      </c>
      <c r="G529" s="33">
        <v>8</v>
      </c>
      <c r="H529" s="33" t="e">
        <f>_xlfn._xlws.FILTER('[1]2025年已发货'!$E:$E,'[1]2025年已发货'!$F:$F&amp;'[1]2025年已发货'!$C:$C&amp;'[1]2025年已发货'!$G:$G&amp;'[1]2025年已发货'!$H:$H=C529&amp;F529&amp;I529&amp;J529,"未发货")</f>
        <v>#N/A</v>
      </c>
      <c r="I529" s="33" t="e">
        <f>VLOOKUP(B529,辅助信息!E:I,3,FALSE)</f>
        <v>#N/A</v>
      </c>
      <c r="J529" s="33" t="e">
        <f>VLOOKUP(B529,辅助信息!E:I,4,FALSE)</f>
        <v>#N/A</v>
      </c>
      <c r="K529" s="33" t="e">
        <f>VLOOKUP(J529,辅助信息!H:I,2,FALSE)</f>
        <v>#N/A</v>
      </c>
      <c r="L529" s="33" t="e">
        <f>VLOOKUP(B529,辅助信息!E:J,6,FALSE)</f>
        <v>#N/A</v>
      </c>
      <c r="M529" s="88">
        <v>45705</v>
      </c>
      <c r="O529" s="19">
        <f ca="1" t="shared" si="10"/>
        <v>0</v>
      </c>
      <c r="P529" s="19">
        <f ca="1" t="shared" si="11"/>
        <v>252</v>
      </c>
      <c r="Q529" s="19" t="e">
        <f>VLOOKUP(B529,辅助信息!E:M,9,FALSE)</f>
        <v>#N/A</v>
      </c>
    </row>
    <row r="530" s="19" customFormat="1" hidden="1" spans="2:17">
      <c r="B530" s="33" t="s">
        <v>84</v>
      </c>
      <c r="C530" s="63">
        <v>45706</v>
      </c>
      <c r="D530" s="33" t="e">
        <f>VLOOKUP(B530,辅助信息!E:K,7,FALSE)</f>
        <v>#N/A</v>
      </c>
      <c r="E530" s="33" t="str">
        <f>VLOOKUP(F530,辅助信息!A:B,2,FALSE)</f>
        <v>螺纹钢</v>
      </c>
      <c r="F530" s="33" t="s">
        <v>33</v>
      </c>
      <c r="G530" s="33">
        <v>8</v>
      </c>
      <c r="H530" s="33" t="e">
        <f>_xlfn._xlws.FILTER('[1]2025年已发货'!$E:$E,'[1]2025年已发货'!$F:$F&amp;'[1]2025年已发货'!$C:$C&amp;'[1]2025年已发货'!$G:$G&amp;'[1]2025年已发货'!$H:$H=C530&amp;F530&amp;I530&amp;J530,"未发货")</f>
        <v>#N/A</v>
      </c>
      <c r="I530" s="33" t="e">
        <f>VLOOKUP(B530,辅助信息!E:I,3,FALSE)</f>
        <v>#N/A</v>
      </c>
      <c r="J530" s="33" t="e">
        <f>VLOOKUP(B530,辅助信息!E:I,4,FALSE)</f>
        <v>#N/A</v>
      </c>
      <c r="K530" s="33" t="e">
        <f>VLOOKUP(J530,辅助信息!H:I,2,FALSE)</f>
        <v>#N/A</v>
      </c>
      <c r="L530" s="71"/>
      <c r="M530" s="88">
        <v>45705</v>
      </c>
      <c r="O530" s="19">
        <f ca="1" t="shared" ref="O530:O593" si="12">IF(OR(M530="",N530&lt;&gt;""),"",MAX(M530-TODAY(),0))</f>
        <v>0</v>
      </c>
      <c r="P530" s="19">
        <f ca="1">IF(M530="","",IF(N530&lt;&gt;"",MAX(N530-M530,0),IF(TODAY()&gt;M530,TODAY()-M530,0)))</f>
        <v>252</v>
      </c>
      <c r="Q530" s="19" t="e">
        <f>VLOOKUP(B530,辅助信息!E:M,9,FALSE)</f>
        <v>#N/A</v>
      </c>
    </row>
    <row r="531" s="19" customFormat="1" hidden="1" spans="2:17">
      <c r="B531" s="33" t="s">
        <v>84</v>
      </c>
      <c r="C531" s="63">
        <v>45706</v>
      </c>
      <c r="D531" s="33" t="e">
        <f>VLOOKUP(B531,辅助信息!E:K,7,FALSE)</f>
        <v>#N/A</v>
      </c>
      <c r="E531" s="33" t="str">
        <f>VLOOKUP(F531,辅助信息!A:B,2,FALSE)</f>
        <v>螺纹钢</v>
      </c>
      <c r="F531" s="33" t="s">
        <v>18</v>
      </c>
      <c r="G531" s="33">
        <v>12</v>
      </c>
      <c r="H531" s="33" t="e">
        <f>_xlfn._xlws.FILTER('[1]2025年已发货'!$E:$E,'[1]2025年已发货'!$F:$F&amp;'[1]2025年已发货'!$C:$C&amp;'[1]2025年已发货'!$G:$G&amp;'[1]2025年已发货'!$H:$H=C531&amp;F531&amp;I531&amp;J531,"未发货")</f>
        <v>#N/A</v>
      </c>
      <c r="I531" s="33" t="e">
        <f>VLOOKUP(B531,辅助信息!E:I,3,FALSE)</f>
        <v>#N/A</v>
      </c>
      <c r="J531" s="33" t="e">
        <f>VLOOKUP(B531,辅助信息!E:I,4,FALSE)</f>
        <v>#N/A</v>
      </c>
      <c r="K531" s="33" t="e">
        <f>VLOOKUP(J531,辅助信息!H:I,2,FALSE)</f>
        <v>#N/A</v>
      </c>
      <c r="L531" s="69"/>
      <c r="M531" s="88">
        <v>45705</v>
      </c>
      <c r="O531" s="19">
        <f ca="1" t="shared" si="12"/>
        <v>0</v>
      </c>
      <c r="P531" s="19">
        <v>3</v>
      </c>
      <c r="Q531" s="19" t="e">
        <f>VLOOKUP(B531,辅助信息!E:M,9,FALSE)</f>
        <v>#N/A</v>
      </c>
    </row>
    <row r="532" s="19" customFormat="1" hidden="1" spans="1:17">
      <c r="A532" s="19" t="s">
        <v>93</v>
      </c>
      <c r="B532" s="33" t="s">
        <v>75</v>
      </c>
      <c r="C532" s="63">
        <v>45706</v>
      </c>
      <c r="D532" s="33" t="e">
        <f>VLOOKUP(B532,辅助信息!E:K,7,FALSE)</f>
        <v>#N/A</v>
      </c>
      <c r="E532" s="33" t="str">
        <f>VLOOKUP(F532,辅助信息!A:B,2,FALSE)</f>
        <v>螺纹钢</v>
      </c>
      <c r="F532" s="33" t="s">
        <v>65</v>
      </c>
      <c r="G532" s="33">
        <v>35</v>
      </c>
      <c r="H532" s="33" t="e">
        <f>_xlfn._xlws.FILTER('[1]2025年已发货'!$E:$E,'[1]2025年已发货'!$F:$F&amp;'[1]2025年已发货'!$C:$C&amp;'[1]2025年已发货'!$G:$G&amp;'[1]2025年已发货'!$H:$H=C532&amp;F532&amp;I532&amp;J532,"未发货")</f>
        <v>#N/A</v>
      </c>
      <c r="I532" s="33" t="e">
        <f>VLOOKUP(B532,辅助信息!E:I,3,FALSE)</f>
        <v>#N/A</v>
      </c>
      <c r="J532" s="33" t="e">
        <f>VLOOKUP(B532,辅助信息!E:I,4,FALSE)</f>
        <v>#N/A</v>
      </c>
      <c r="K532" s="33" t="e">
        <f>VLOOKUP(J532,辅助信息!H:I,2,FALSE)</f>
        <v>#N/A</v>
      </c>
      <c r="L532" s="33" t="e">
        <f>VLOOKUP(B532,辅助信息!E:J,6,FALSE)</f>
        <v>#N/A</v>
      </c>
      <c r="M532" s="88">
        <v>45709</v>
      </c>
      <c r="O532" s="19">
        <f ca="1" t="shared" si="12"/>
        <v>0</v>
      </c>
      <c r="P532" s="19">
        <f ca="1" t="shared" ref="P532:P570" si="13">IF(M532="","",IF(N532&lt;&gt;"",MAX(N532-M532,0),IF(TODAY()&gt;M532,TODAY()-M532,0)))</f>
        <v>248</v>
      </c>
      <c r="Q532" s="19" t="e">
        <f>VLOOKUP(B532,辅助信息!E:M,9,FALSE)</f>
        <v>#N/A</v>
      </c>
    </row>
    <row r="533" s="19" customFormat="1" hidden="1" spans="2:17">
      <c r="B533" s="33" t="s">
        <v>87</v>
      </c>
      <c r="C533" s="63">
        <v>45706</v>
      </c>
      <c r="D533" s="33" t="e">
        <f>VLOOKUP(B533,辅助信息!E:K,7,FALSE)</f>
        <v>#N/A</v>
      </c>
      <c r="E533" s="33" t="str">
        <f>VLOOKUP(F533,辅助信息!A:B,2,FALSE)</f>
        <v>螺纹钢</v>
      </c>
      <c r="F533" s="33" t="s">
        <v>27</v>
      </c>
      <c r="G533" s="33">
        <v>8</v>
      </c>
      <c r="H533" s="33" t="e">
        <f>_xlfn._xlws.FILTER('[1]2025年已发货'!$E:$E,'[1]2025年已发货'!$F:$F&amp;'[1]2025年已发货'!$C:$C&amp;'[1]2025年已发货'!$G:$G&amp;'[1]2025年已发货'!$H:$H=C533&amp;F533&amp;I533&amp;J533,"未发货")</f>
        <v>#N/A</v>
      </c>
      <c r="I533" s="33" t="e">
        <f>VLOOKUP(B533,辅助信息!E:I,3,FALSE)</f>
        <v>#N/A</v>
      </c>
      <c r="J533" s="33" t="e">
        <f>VLOOKUP(B533,辅助信息!E:I,4,FALSE)</f>
        <v>#N/A</v>
      </c>
      <c r="K533" s="33" t="e">
        <f>VLOOKUP(J533,辅助信息!H:I,2,FALSE)</f>
        <v>#N/A</v>
      </c>
      <c r="L533" s="33" t="e">
        <f>VLOOKUP(B533,辅助信息!E:J,6,FALSE)</f>
        <v>#N/A</v>
      </c>
      <c r="M533" s="88">
        <v>45706</v>
      </c>
      <c r="O533" s="19">
        <f ca="1" t="shared" si="12"/>
        <v>0</v>
      </c>
      <c r="P533" s="19">
        <f ca="1" t="shared" si="13"/>
        <v>251</v>
      </c>
      <c r="Q533" s="19" t="e">
        <f>VLOOKUP(B533,辅助信息!E:M,9,FALSE)</f>
        <v>#N/A</v>
      </c>
    </row>
    <row r="534" s="19" customFormat="1" hidden="1" spans="2:17">
      <c r="B534" s="33" t="s">
        <v>87</v>
      </c>
      <c r="C534" s="63">
        <v>45706</v>
      </c>
      <c r="D534" s="33" t="e">
        <f>VLOOKUP(B534,辅助信息!E:K,7,FALSE)</f>
        <v>#N/A</v>
      </c>
      <c r="E534" s="33" t="str">
        <f>VLOOKUP(F534,辅助信息!A:B,2,FALSE)</f>
        <v>螺纹钢</v>
      </c>
      <c r="F534" s="33" t="s">
        <v>65</v>
      </c>
      <c r="G534" s="33">
        <v>27</v>
      </c>
      <c r="H534" s="33" t="e">
        <f>_xlfn._xlws.FILTER('[1]2025年已发货'!$E:$E,'[1]2025年已发货'!$F:$F&amp;'[1]2025年已发货'!$C:$C&amp;'[1]2025年已发货'!$G:$G&amp;'[1]2025年已发货'!$H:$H=C534&amp;F534&amp;I534&amp;J534,"未发货")</f>
        <v>#N/A</v>
      </c>
      <c r="I534" s="33" t="e">
        <f>VLOOKUP(B534,辅助信息!E:I,3,FALSE)</f>
        <v>#N/A</v>
      </c>
      <c r="J534" s="33" t="e">
        <f>VLOOKUP(B534,辅助信息!E:I,4,FALSE)</f>
        <v>#N/A</v>
      </c>
      <c r="K534" s="33" t="e">
        <f>VLOOKUP(J534,辅助信息!H:I,2,FALSE)</f>
        <v>#N/A</v>
      </c>
      <c r="L534" s="69"/>
      <c r="M534" s="88">
        <v>45706</v>
      </c>
      <c r="O534" s="19">
        <f ca="1" t="shared" si="12"/>
        <v>0</v>
      </c>
      <c r="P534" s="19">
        <f ca="1" t="shared" si="13"/>
        <v>251</v>
      </c>
      <c r="Q534" s="19" t="e">
        <f>VLOOKUP(B534,辅助信息!E:M,9,FALSE)</f>
        <v>#N/A</v>
      </c>
    </row>
    <row r="535" s="19" customFormat="1" hidden="1" spans="2:17">
      <c r="B535" s="33" t="s">
        <v>74</v>
      </c>
      <c r="C535" s="63">
        <v>45706</v>
      </c>
      <c r="D535" s="33" t="e">
        <f>VLOOKUP(B535,辅助信息!E:K,7,FALSE)</f>
        <v>#N/A</v>
      </c>
      <c r="E535" s="33" t="str">
        <f>VLOOKUP(F535,辅助信息!A:B,2,FALSE)</f>
        <v>螺纹钢</v>
      </c>
      <c r="F535" s="33" t="s">
        <v>19</v>
      </c>
      <c r="G535" s="33">
        <v>12</v>
      </c>
      <c r="H535" s="33" t="e">
        <f>_xlfn._xlws.FILTER('[1]2025年已发货'!$E:$E,'[1]2025年已发货'!$F:$F&amp;'[1]2025年已发货'!$C:$C&amp;'[1]2025年已发货'!$G:$G&amp;'[1]2025年已发货'!$H:$H=C535&amp;F535&amp;I535&amp;J535,"未发货")</f>
        <v>#N/A</v>
      </c>
      <c r="I535" s="33" t="e">
        <f>VLOOKUP(B535,辅助信息!E:I,3,FALSE)</f>
        <v>#N/A</v>
      </c>
      <c r="J535" s="33" t="e">
        <f>VLOOKUP(B535,辅助信息!E:I,4,FALSE)</f>
        <v>#N/A</v>
      </c>
      <c r="K535" s="33" t="e">
        <f>VLOOKUP(J535,辅助信息!H:I,2,FALSE)</f>
        <v>#N/A</v>
      </c>
      <c r="L535" s="33" t="e">
        <f>VLOOKUP(B535,辅助信息!E:J,6,FALSE)</f>
        <v>#N/A</v>
      </c>
      <c r="M535" s="88">
        <v>45711</v>
      </c>
      <c r="O535" s="19">
        <f ca="1" t="shared" si="12"/>
        <v>0</v>
      </c>
      <c r="P535" s="19">
        <f ca="1" t="shared" si="13"/>
        <v>246</v>
      </c>
      <c r="Q535" s="19" t="e">
        <f>VLOOKUP(B535,辅助信息!E:M,9,FALSE)</f>
        <v>#N/A</v>
      </c>
    </row>
    <row r="536" s="19" customFormat="1" hidden="1" spans="2:17">
      <c r="B536" s="33" t="s">
        <v>74</v>
      </c>
      <c r="C536" s="63">
        <v>45706</v>
      </c>
      <c r="D536" s="33" t="e">
        <f>VLOOKUP(B536,辅助信息!E:K,7,FALSE)</f>
        <v>#N/A</v>
      </c>
      <c r="E536" s="33" t="str">
        <f>VLOOKUP(F536,辅助信息!A:B,2,FALSE)</f>
        <v>螺纹钢</v>
      </c>
      <c r="F536" s="33" t="s">
        <v>33</v>
      </c>
      <c r="G536" s="33">
        <v>12</v>
      </c>
      <c r="H536" s="33" t="e">
        <f>_xlfn._xlws.FILTER('[1]2025年已发货'!$E:$E,'[1]2025年已发货'!$F:$F&amp;'[1]2025年已发货'!$C:$C&amp;'[1]2025年已发货'!$G:$G&amp;'[1]2025年已发货'!$H:$H=C536&amp;F536&amp;I536&amp;J536,"未发货")</f>
        <v>#N/A</v>
      </c>
      <c r="I536" s="33" t="e">
        <f>VLOOKUP(B536,辅助信息!E:I,3,FALSE)</f>
        <v>#N/A</v>
      </c>
      <c r="J536" s="33" t="e">
        <f>VLOOKUP(B536,辅助信息!E:I,4,FALSE)</f>
        <v>#N/A</v>
      </c>
      <c r="K536" s="33" t="e">
        <f>VLOOKUP(J536,辅助信息!H:I,2,FALSE)</f>
        <v>#N/A</v>
      </c>
      <c r="L536" s="71"/>
      <c r="M536" s="88">
        <v>45711</v>
      </c>
      <c r="O536" s="19">
        <f ca="1" t="shared" si="12"/>
        <v>0</v>
      </c>
      <c r="P536" s="19">
        <f ca="1" t="shared" si="13"/>
        <v>246</v>
      </c>
      <c r="Q536" s="19" t="e">
        <f>VLOOKUP(B536,辅助信息!E:M,9,FALSE)</f>
        <v>#N/A</v>
      </c>
    </row>
    <row r="537" s="19" customFormat="1" hidden="1" spans="2:17">
      <c r="B537" s="33" t="s">
        <v>74</v>
      </c>
      <c r="C537" s="63">
        <v>45706</v>
      </c>
      <c r="D537" s="33" t="e">
        <f>VLOOKUP(B537,辅助信息!E:K,7,FALSE)</f>
        <v>#N/A</v>
      </c>
      <c r="E537" s="33" t="str">
        <f>VLOOKUP(F537,辅助信息!A:B,2,FALSE)</f>
        <v>螺纹钢</v>
      </c>
      <c r="F537" s="33" t="s">
        <v>28</v>
      </c>
      <c r="G537" s="33">
        <v>12</v>
      </c>
      <c r="H537" s="33" t="e">
        <f>_xlfn._xlws.FILTER('[1]2025年已发货'!$E:$E,'[1]2025年已发货'!$F:$F&amp;'[1]2025年已发货'!$C:$C&amp;'[1]2025年已发货'!$G:$G&amp;'[1]2025年已发货'!$H:$H=C537&amp;F537&amp;I537&amp;J537,"未发货")</f>
        <v>#N/A</v>
      </c>
      <c r="I537" s="33" t="e">
        <f>VLOOKUP(B537,辅助信息!E:I,3,FALSE)</f>
        <v>#N/A</v>
      </c>
      <c r="J537" s="33" t="e">
        <f>VLOOKUP(B537,辅助信息!E:I,4,FALSE)</f>
        <v>#N/A</v>
      </c>
      <c r="K537" s="33" t="e">
        <f>VLOOKUP(J537,辅助信息!H:I,2,FALSE)</f>
        <v>#N/A</v>
      </c>
      <c r="L537" s="71"/>
      <c r="M537" s="88">
        <v>45711</v>
      </c>
      <c r="O537" s="19">
        <f ca="1" t="shared" si="12"/>
        <v>0</v>
      </c>
      <c r="P537" s="19">
        <f ca="1" t="shared" si="13"/>
        <v>246</v>
      </c>
      <c r="Q537" s="19" t="e">
        <f>VLOOKUP(B537,辅助信息!E:M,9,FALSE)</f>
        <v>#N/A</v>
      </c>
    </row>
    <row r="538" s="19" customFormat="1" hidden="1" spans="2:17">
      <c r="B538" s="33" t="s">
        <v>74</v>
      </c>
      <c r="C538" s="63">
        <v>45706</v>
      </c>
      <c r="D538" s="33" t="e">
        <f>VLOOKUP(B538,辅助信息!E:K,7,FALSE)</f>
        <v>#N/A</v>
      </c>
      <c r="E538" s="33" t="str">
        <f>VLOOKUP(F538,辅助信息!A:B,2,FALSE)</f>
        <v>螺纹钢</v>
      </c>
      <c r="F538" s="33" t="s">
        <v>18</v>
      </c>
      <c r="G538" s="33">
        <v>3</v>
      </c>
      <c r="H538" s="33" t="e">
        <f>_xlfn._xlws.FILTER('[1]2025年已发货'!$E:$E,'[1]2025年已发货'!$F:$F&amp;'[1]2025年已发货'!$C:$C&amp;'[1]2025年已发货'!$G:$G&amp;'[1]2025年已发货'!$H:$H=C538&amp;F538&amp;I538&amp;J538,"未发货")</f>
        <v>#N/A</v>
      </c>
      <c r="I538" s="33" t="e">
        <f>VLOOKUP(B538,辅助信息!E:I,3,FALSE)</f>
        <v>#N/A</v>
      </c>
      <c r="J538" s="33" t="e">
        <f>VLOOKUP(B538,辅助信息!E:I,4,FALSE)</f>
        <v>#N/A</v>
      </c>
      <c r="K538" s="33" t="e">
        <f>VLOOKUP(J538,辅助信息!H:I,2,FALSE)</f>
        <v>#N/A</v>
      </c>
      <c r="L538" s="69"/>
      <c r="M538" s="88">
        <v>45711</v>
      </c>
      <c r="O538" s="19">
        <f ca="1" t="shared" si="12"/>
        <v>0</v>
      </c>
      <c r="P538" s="19">
        <f ca="1" t="shared" si="13"/>
        <v>246</v>
      </c>
      <c r="Q538" s="19" t="e">
        <f>VLOOKUP(B538,辅助信息!E:M,9,FALSE)</f>
        <v>#N/A</v>
      </c>
    </row>
    <row r="539" s="19" customFormat="1" hidden="1" spans="1:17">
      <c r="A539" s="19" t="s">
        <v>94</v>
      </c>
      <c r="B539" s="33" t="s">
        <v>79</v>
      </c>
      <c r="C539" s="63">
        <v>45706</v>
      </c>
      <c r="D539" s="33" t="e">
        <f>VLOOKUP(B539,辅助信息!E:K,7,FALSE)</f>
        <v>#N/A</v>
      </c>
      <c r="E539" s="33" t="str">
        <f>VLOOKUP(F539,辅助信息!A:B,2,FALSE)</f>
        <v>螺纹钢</v>
      </c>
      <c r="F539" s="33" t="s">
        <v>19</v>
      </c>
      <c r="G539" s="33">
        <v>20</v>
      </c>
      <c r="H539" s="33" t="e">
        <f>_xlfn._xlws.FILTER('[1]2025年已发货'!$E:$E,'[1]2025年已发货'!$F:$F&amp;'[1]2025年已发货'!$C:$C&amp;'[1]2025年已发货'!$G:$G&amp;'[1]2025年已发货'!$H:$H=C539&amp;F539&amp;I539&amp;J539,"未发货")</f>
        <v>#N/A</v>
      </c>
      <c r="I539" s="33" t="e">
        <f>VLOOKUP(B539,辅助信息!E:I,3,FALSE)</f>
        <v>#N/A</v>
      </c>
      <c r="J539" s="33" t="e">
        <f>VLOOKUP(B539,辅助信息!E:I,4,FALSE)</f>
        <v>#N/A</v>
      </c>
      <c r="K539" s="33" t="e">
        <f>VLOOKUP(J539,辅助信息!H:I,2,FALSE)</f>
        <v>#N/A</v>
      </c>
      <c r="L539" s="33" t="e">
        <f>VLOOKUP(B539,辅助信息!E:J,6,FALSE)</f>
        <v>#N/A</v>
      </c>
      <c r="O539" s="19" t="str">
        <f ca="1" t="shared" si="12"/>
        <v/>
      </c>
      <c r="P539" s="19" t="str">
        <f ca="1" t="shared" si="13"/>
        <v/>
      </c>
      <c r="Q539" s="19" t="e">
        <f>VLOOKUP(B539,辅助信息!E:M,9,FALSE)</f>
        <v>#N/A</v>
      </c>
    </row>
    <row r="540" s="19" customFormat="1" hidden="1" spans="2:17">
      <c r="B540" s="33" t="s">
        <v>79</v>
      </c>
      <c r="C540" s="63">
        <v>45706</v>
      </c>
      <c r="D540" s="33" t="e">
        <f>VLOOKUP(B540,辅助信息!E:K,7,FALSE)</f>
        <v>#N/A</v>
      </c>
      <c r="E540" s="33" t="str">
        <f>VLOOKUP(F540,辅助信息!A:B,2,FALSE)</f>
        <v>螺纹钢</v>
      </c>
      <c r="F540" s="33" t="s">
        <v>32</v>
      </c>
      <c r="G540" s="33">
        <v>9</v>
      </c>
      <c r="H540" s="33" t="e">
        <f>_xlfn._xlws.FILTER('[1]2025年已发货'!$E:$E,'[1]2025年已发货'!$F:$F&amp;'[1]2025年已发货'!$C:$C&amp;'[1]2025年已发货'!$G:$G&amp;'[1]2025年已发货'!$H:$H=C540&amp;F540&amp;I540&amp;J540,"未发货")</f>
        <v>#N/A</v>
      </c>
      <c r="I540" s="33" t="e">
        <f>VLOOKUP(B540,辅助信息!E:I,3,FALSE)</f>
        <v>#N/A</v>
      </c>
      <c r="J540" s="33" t="e">
        <f>VLOOKUP(B540,辅助信息!E:I,4,FALSE)</f>
        <v>#N/A</v>
      </c>
      <c r="K540" s="33" t="e">
        <f>VLOOKUP(J540,辅助信息!H:I,2,FALSE)</f>
        <v>#N/A</v>
      </c>
      <c r="L540" s="71"/>
      <c r="O540" s="19" t="str">
        <f ca="1" t="shared" si="12"/>
        <v/>
      </c>
      <c r="P540" s="19" t="str">
        <f ca="1" t="shared" si="13"/>
        <v/>
      </c>
      <c r="Q540" s="19" t="e">
        <f>VLOOKUP(B540,辅助信息!E:M,9,FALSE)</f>
        <v>#N/A</v>
      </c>
    </row>
    <row r="541" s="19" customFormat="1" hidden="1" spans="2:17">
      <c r="B541" s="33" t="s">
        <v>79</v>
      </c>
      <c r="C541" s="63">
        <v>45706</v>
      </c>
      <c r="D541" s="33" t="e">
        <f>VLOOKUP(B541,辅助信息!E:K,7,FALSE)</f>
        <v>#N/A</v>
      </c>
      <c r="E541" s="33" t="str">
        <f>VLOOKUP(F541,辅助信息!A:B,2,FALSE)</f>
        <v>螺纹钢</v>
      </c>
      <c r="F541" s="33" t="s">
        <v>18</v>
      </c>
      <c r="G541" s="33">
        <f>90-69</f>
        <v>21</v>
      </c>
      <c r="H541" s="33" t="e">
        <f>_xlfn._xlws.FILTER('[1]2025年已发货'!$E:$E,'[1]2025年已发货'!$F:$F&amp;'[1]2025年已发货'!$C:$C&amp;'[1]2025年已发货'!$G:$G&amp;'[1]2025年已发货'!$H:$H=C541&amp;F541&amp;I541&amp;J541,"未发货")</f>
        <v>#N/A</v>
      </c>
      <c r="I541" s="33" t="e">
        <f>VLOOKUP(B541,辅助信息!E:I,3,FALSE)</f>
        <v>#N/A</v>
      </c>
      <c r="J541" s="33" t="e">
        <f>VLOOKUP(B541,辅助信息!E:I,4,FALSE)</f>
        <v>#N/A</v>
      </c>
      <c r="K541" s="33" t="e">
        <f>VLOOKUP(J541,辅助信息!H:I,2,FALSE)</f>
        <v>#N/A</v>
      </c>
      <c r="L541" s="69"/>
      <c r="O541" s="19" t="str">
        <f ca="1" t="shared" si="12"/>
        <v/>
      </c>
      <c r="P541" s="19" t="str">
        <f ca="1" t="shared" si="13"/>
        <v/>
      </c>
      <c r="Q541" s="19" t="e">
        <f>VLOOKUP(B541,辅助信息!E:M,9,FALSE)</f>
        <v>#N/A</v>
      </c>
    </row>
    <row r="542" s="19" customFormat="1" hidden="1" spans="1:17">
      <c r="A542" s="55"/>
      <c r="B542" s="33" t="s">
        <v>88</v>
      </c>
      <c r="C542" s="63">
        <v>45706</v>
      </c>
      <c r="D542" s="33" t="str">
        <f>VLOOKUP(B542,辅助信息!E:K,7,FALSE)</f>
        <v>JWDDCD2025051000019</v>
      </c>
      <c r="E542" s="33" t="str">
        <f>VLOOKUP(F542,辅助信息!A:B,2,FALSE)</f>
        <v>高线</v>
      </c>
      <c r="F542" s="33" t="s">
        <v>57</v>
      </c>
      <c r="G542" s="29">
        <v>6</v>
      </c>
      <c r="H542" s="29" t="str">
        <f>_xlfn._xlws.FILTER('[1]2025年已发货'!$E:$E,'[1]2025年已发货'!$F:$F&amp;'[1]2025年已发货'!$C:$C&amp;'[1]2025年已发货'!$G:$G&amp;'[1]2025年已发货'!$H:$H=C542&amp;F542&amp;I542&amp;J542,"未发货")</f>
        <v>未发货</v>
      </c>
      <c r="I542" s="33" t="str">
        <f>VLOOKUP(B542,辅助信息!E:I,3,FALSE)</f>
        <v>(五冶钢构医学科学产业园建设项目房建二部-四标（5-4）)四川省南充市顺庆区搬罾街道学府大道二段</v>
      </c>
      <c r="J542" s="33" t="str">
        <f>VLOOKUP(B542,辅助信息!E:I,4,FALSE)</f>
        <v>安南</v>
      </c>
      <c r="K542" s="33">
        <f>VLOOKUP(J542,辅助信息!H:I,2,FALSE)</f>
        <v>19950525030</v>
      </c>
      <c r="L542" s="36" t="str">
        <f>VLOOKUP(B542,辅助信息!E:J,6,FALSE)</f>
        <v>送货单：送货单位：南充思临新材料科技有限公司,收货单位：五冶集团川北(南充)建设有限公司,项目名称：南充医学科学产业园,送货车型13米,装货前联系收货人核实到场规格</v>
      </c>
      <c r="M542" s="84">
        <v>45706</v>
      </c>
      <c r="N542" s="55"/>
      <c r="O542" s="55">
        <f ca="1" t="shared" si="12"/>
        <v>0</v>
      </c>
      <c r="P542" s="55">
        <f ca="1" t="shared" si="13"/>
        <v>251</v>
      </c>
      <c r="Q542" s="19" t="str">
        <f>VLOOKUP(B542,辅助信息!E:M,9,FALSE)</f>
        <v>ZTWM-CDGS-XS-2024-0248-五冶钢构-南充市医学院项目</v>
      </c>
    </row>
    <row r="543" s="19" customFormat="1" hidden="1" spans="1:17">
      <c r="A543" s="55"/>
      <c r="B543" s="33" t="s">
        <v>88</v>
      </c>
      <c r="C543" s="63">
        <v>45706</v>
      </c>
      <c r="D543" s="33" t="str">
        <f>VLOOKUP(B543,辅助信息!E:K,7,FALSE)</f>
        <v>JWDDCD2025051000019</v>
      </c>
      <c r="E543" s="33" t="str">
        <f>VLOOKUP(F543,辅助信息!A:B,2,FALSE)</f>
        <v>盘螺</v>
      </c>
      <c r="F543" s="33" t="s">
        <v>49</v>
      </c>
      <c r="G543" s="29">
        <v>12</v>
      </c>
      <c r="H543" s="29" t="str">
        <f>_xlfn._xlws.FILTER('[1]2025年已发货'!$E:$E,'[1]2025年已发货'!$F:$F&amp;'[1]2025年已发货'!$C:$C&amp;'[1]2025年已发货'!$G:$G&amp;'[1]2025年已发货'!$H:$H=C543&amp;F543&amp;I543&amp;J543,"未发货")</f>
        <v>未发货</v>
      </c>
      <c r="I543" s="33" t="str">
        <f>VLOOKUP(B543,辅助信息!E:I,3,FALSE)</f>
        <v>(五冶钢构医学科学产业园建设项目房建二部-四标（5-4）)四川省南充市顺庆区搬罾街道学府大道二段</v>
      </c>
      <c r="J543" s="33" t="str">
        <f>VLOOKUP(B543,辅助信息!E:I,4,FALSE)</f>
        <v>安南</v>
      </c>
      <c r="K543" s="33">
        <f>VLOOKUP(J543,辅助信息!H:I,2,FALSE)</f>
        <v>19950525030</v>
      </c>
      <c r="L543" s="71"/>
      <c r="M543" s="84">
        <v>45706</v>
      </c>
      <c r="N543" s="55"/>
      <c r="O543" s="55">
        <f ca="1" t="shared" si="12"/>
        <v>0</v>
      </c>
      <c r="P543" s="55">
        <f ca="1" t="shared" si="13"/>
        <v>251</v>
      </c>
      <c r="Q543" s="19" t="str">
        <f>VLOOKUP(B543,辅助信息!E:M,9,FALSE)</f>
        <v>ZTWM-CDGS-XS-2024-0248-五冶钢构-南充市医学院项目</v>
      </c>
    </row>
    <row r="544" s="19" customFormat="1" hidden="1" spans="1:17">
      <c r="A544" s="55"/>
      <c r="B544" s="33" t="s">
        <v>88</v>
      </c>
      <c r="C544" s="63">
        <v>45706</v>
      </c>
      <c r="D544" s="33" t="str">
        <f>VLOOKUP(B544,辅助信息!E:K,7,FALSE)</f>
        <v>JWDDCD2025051000019</v>
      </c>
      <c r="E544" s="33" t="str">
        <f>VLOOKUP(F544,辅助信息!A:B,2,FALSE)</f>
        <v>盘螺</v>
      </c>
      <c r="F544" s="33" t="s">
        <v>40</v>
      </c>
      <c r="G544" s="29">
        <v>14</v>
      </c>
      <c r="H544" s="29" t="str">
        <f>_xlfn._xlws.FILTER('[1]2025年已发货'!$E:$E,'[1]2025年已发货'!$F:$F&amp;'[1]2025年已发货'!$C:$C&amp;'[1]2025年已发货'!$G:$G&amp;'[1]2025年已发货'!$H:$H=C544&amp;F544&amp;I544&amp;J544,"未发货")</f>
        <v>未发货</v>
      </c>
      <c r="I544" s="33" t="str">
        <f>VLOOKUP(B544,辅助信息!E:I,3,FALSE)</f>
        <v>(五冶钢构医学科学产业园建设项目房建二部-四标（5-4）)四川省南充市顺庆区搬罾街道学府大道二段</v>
      </c>
      <c r="J544" s="33" t="str">
        <f>VLOOKUP(B544,辅助信息!E:I,4,FALSE)</f>
        <v>安南</v>
      </c>
      <c r="K544" s="33">
        <f>VLOOKUP(J544,辅助信息!H:I,2,FALSE)</f>
        <v>19950525030</v>
      </c>
      <c r="L544" s="71"/>
      <c r="M544" s="84">
        <v>45706</v>
      </c>
      <c r="N544" s="55"/>
      <c r="O544" s="55">
        <f ca="1" t="shared" si="12"/>
        <v>0</v>
      </c>
      <c r="P544" s="55">
        <f ca="1" t="shared" si="13"/>
        <v>251</v>
      </c>
      <c r="Q544" s="19" t="str">
        <f>VLOOKUP(B544,辅助信息!E:M,9,FALSE)</f>
        <v>ZTWM-CDGS-XS-2024-0248-五冶钢构-南充市医学院项目</v>
      </c>
    </row>
    <row r="545" hidden="1" spans="1:18">
      <c r="A545" s="55"/>
      <c r="B545" s="33" t="s">
        <v>88</v>
      </c>
      <c r="C545" s="63">
        <v>45706</v>
      </c>
      <c r="D545" s="33" t="str">
        <f>VLOOKUP(B545,辅助信息!E:K,7,FALSE)</f>
        <v>JWDDCD2025051000019</v>
      </c>
      <c r="E545" s="33" t="str">
        <f>VLOOKUP(F545,辅助信息!A:B,2,FALSE)</f>
        <v>螺纹钢</v>
      </c>
      <c r="F545" s="33" t="s">
        <v>30</v>
      </c>
      <c r="G545" s="29">
        <v>3</v>
      </c>
      <c r="H545" s="29" t="str">
        <f>_xlfn._xlws.FILTER('[1]2025年已发货'!$E:$E,'[1]2025年已发货'!$F:$F&amp;'[1]2025年已发货'!$C:$C&amp;'[1]2025年已发货'!$G:$G&amp;'[1]2025年已发货'!$H:$H=C545&amp;F545&amp;I545&amp;J545,"未发货")</f>
        <v>未发货</v>
      </c>
      <c r="I545" s="33" t="str">
        <f>VLOOKUP(B545,辅助信息!E:I,3,FALSE)</f>
        <v>(五冶钢构医学科学产业园建设项目房建二部-四标（5-4）)四川省南充市顺庆区搬罾街道学府大道二段</v>
      </c>
      <c r="J545" s="33" t="str">
        <f>VLOOKUP(B545,辅助信息!E:I,4,FALSE)</f>
        <v>安南</v>
      </c>
      <c r="K545" s="33">
        <f>VLOOKUP(J545,辅助信息!H:I,2,FALSE)</f>
        <v>19950525030</v>
      </c>
      <c r="L545" s="69"/>
      <c r="M545" s="84">
        <v>45706</v>
      </c>
      <c r="O545" s="55">
        <f ca="1" t="shared" si="12"/>
        <v>0</v>
      </c>
      <c r="P545" s="55">
        <f ca="1" t="shared" si="13"/>
        <v>251</v>
      </c>
      <c r="Q545" s="19" t="str">
        <f>VLOOKUP(B545,辅助信息!E:M,9,FALSE)</f>
        <v>ZTWM-CDGS-XS-2024-0248-五冶钢构-南充市医学院项目</v>
      </c>
      <c r="R545" s="19"/>
    </row>
    <row r="546" hidden="1" spans="1:18">
      <c r="A546" s="55"/>
      <c r="B546" s="33" t="s">
        <v>89</v>
      </c>
      <c r="C546" s="63">
        <v>45706</v>
      </c>
      <c r="D546" s="33" t="str">
        <f>VLOOKUP(B546,辅助信息!E:K,7,FALSE)</f>
        <v>JWDDCD2025051000019</v>
      </c>
      <c r="E546" s="33" t="str">
        <f>VLOOKUP(F546,辅助信息!A:B,2,FALSE)</f>
        <v>螺纹钢</v>
      </c>
      <c r="F546" s="33" t="s">
        <v>32</v>
      </c>
      <c r="G546" s="29">
        <f>130-70</f>
        <v>60</v>
      </c>
      <c r="H546" s="29" t="str">
        <f>_xlfn._xlws.FILTER('[1]2025年已发货'!$E:$E,'[1]2025年已发货'!$F:$F&amp;'[1]2025年已发货'!$C:$C&amp;'[1]2025年已发货'!$G:$G&amp;'[1]2025年已发货'!$H:$H=C546&amp;F546&amp;I546&amp;J546,"未发货")</f>
        <v>未发货</v>
      </c>
      <c r="I546" s="33" t="str">
        <f>VLOOKUP(B546,辅助信息!E:I,3,FALSE)</f>
        <v>(五冶钢构医学科学产业园建设项目房建三部-排洪渠)四川省南充市顺庆区搬罾街道学府大道二段</v>
      </c>
      <c r="J546" s="33" t="str">
        <f>VLOOKUP(B546,辅助信息!E:I,4,FALSE)</f>
        <v>郑林</v>
      </c>
      <c r="K546" s="33">
        <f>VLOOKUP(J546,辅助信息!H:I,2,FALSE)</f>
        <v>18349955455</v>
      </c>
      <c r="L546" s="36" t="str">
        <f>VLOOKUP(B546,辅助信息!E:J,6,FALSE)</f>
        <v>送货单：送货单位：南充思临新材料科技有限公司,收货单位：五冶集团川北(南充)建设有限公司,项目名称：南充医学科学产业园,送货车型13米,装货前联系收货人核实到场规格</v>
      </c>
      <c r="M546" s="84">
        <v>45708</v>
      </c>
      <c r="O546" s="55">
        <f ca="1" t="shared" si="12"/>
        <v>0</v>
      </c>
      <c r="P546" s="55">
        <f ca="1" t="shared" si="13"/>
        <v>249</v>
      </c>
      <c r="Q546" s="19" t="str">
        <f>VLOOKUP(B546,辅助信息!E:M,9,FALSE)</f>
        <v>ZTWM-CDGS-XS-2024-0248-五冶钢构-南充市医学院项目</v>
      </c>
      <c r="R546" s="19"/>
    </row>
    <row r="547" hidden="1" spans="1:18">
      <c r="A547" s="55"/>
      <c r="B547" s="33" t="s">
        <v>89</v>
      </c>
      <c r="C547" s="63">
        <v>45706</v>
      </c>
      <c r="D547" s="33" t="str">
        <f>VLOOKUP(B547,辅助信息!E:K,7,FALSE)</f>
        <v>JWDDCD2025051000019</v>
      </c>
      <c r="E547" s="33" t="str">
        <f>VLOOKUP(F547,辅助信息!A:B,2,FALSE)</f>
        <v>螺纹钢</v>
      </c>
      <c r="F547" s="33" t="s">
        <v>18</v>
      </c>
      <c r="G547" s="29">
        <v>200</v>
      </c>
      <c r="H547" s="29">
        <f>_xlfn._xlws.FILTER('[1]2025年已发货'!$E:$E,'[1]2025年已发货'!$F:$F&amp;'[1]2025年已发货'!$C:$C&amp;'[1]2025年已发货'!$G:$G&amp;'[1]2025年已发货'!$H:$H=C547&amp;F547&amp;I547&amp;J547,"未发货")</f>
        <v>175</v>
      </c>
      <c r="I547" s="33" t="str">
        <f>VLOOKUP(B547,辅助信息!E:I,3,FALSE)</f>
        <v>(五冶钢构医学科学产业园建设项目房建三部-排洪渠)四川省南充市顺庆区搬罾街道学府大道二段</v>
      </c>
      <c r="J547" s="33" t="str">
        <f>VLOOKUP(B547,辅助信息!E:I,4,FALSE)</f>
        <v>郑林</v>
      </c>
      <c r="K547" s="33">
        <f>VLOOKUP(J547,辅助信息!H:I,2,FALSE)</f>
        <v>18349955455</v>
      </c>
      <c r="L547" s="71"/>
      <c r="M547" s="84">
        <v>45708</v>
      </c>
      <c r="O547" s="55">
        <f ca="1" t="shared" si="12"/>
        <v>0</v>
      </c>
      <c r="P547" s="55">
        <f ca="1" t="shared" si="13"/>
        <v>249</v>
      </c>
      <c r="Q547" s="19" t="str">
        <f>VLOOKUP(B547,辅助信息!E:M,9,FALSE)</f>
        <v>ZTWM-CDGS-XS-2024-0248-五冶钢构-南充市医学院项目</v>
      </c>
      <c r="R547" s="19"/>
    </row>
    <row r="548" hidden="1" spans="1:18">
      <c r="A548" s="55"/>
      <c r="B548" s="33" t="s">
        <v>89</v>
      </c>
      <c r="C548" s="63">
        <v>45706</v>
      </c>
      <c r="D548" s="33" t="str">
        <f>VLOOKUP(B548,辅助信息!E:K,7,FALSE)</f>
        <v>JWDDCD2025051000019</v>
      </c>
      <c r="E548" s="33" t="str">
        <f>VLOOKUP(F548,辅助信息!A:B,2,FALSE)</f>
        <v>螺纹钢</v>
      </c>
      <c r="F548" s="33" t="s">
        <v>91</v>
      </c>
      <c r="G548" s="29">
        <v>95</v>
      </c>
      <c r="H548" s="29">
        <f>_xlfn._xlws.FILTER('[1]2025年已发货'!$E:$E,'[1]2025年已发货'!$F:$F&amp;'[1]2025年已发货'!$C:$C&amp;'[1]2025年已发货'!$G:$G&amp;'[1]2025年已发货'!$H:$H=C548&amp;F548&amp;I548&amp;J548,"未发货")</f>
        <v>70</v>
      </c>
      <c r="I548" s="33" t="str">
        <f>VLOOKUP(B548,辅助信息!E:I,3,FALSE)</f>
        <v>(五冶钢构医学科学产业园建设项目房建三部-排洪渠)四川省南充市顺庆区搬罾街道学府大道二段</v>
      </c>
      <c r="J548" s="33" t="str">
        <f>VLOOKUP(B548,辅助信息!E:I,4,FALSE)</f>
        <v>郑林</v>
      </c>
      <c r="K548" s="33">
        <f>VLOOKUP(J548,辅助信息!H:I,2,FALSE)</f>
        <v>18349955455</v>
      </c>
      <c r="L548" s="69"/>
      <c r="M548" s="84">
        <v>45708</v>
      </c>
      <c r="O548" s="55">
        <f ca="1" t="shared" si="12"/>
        <v>0</v>
      </c>
      <c r="P548" s="55">
        <f ca="1" t="shared" si="13"/>
        <v>249</v>
      </c>
      <c r="Q548" s="19" t="str">
        <f>VLOOKUP(B548,辅助信息!E:M,9,FALSE)</f>
        <v>ZTWM-CDGS-XS-2024-0248-五冶钢构-南充市医学院项目</v>
      </c>
      <c r="R548" s="19"/>
    </row>
    <row r="549" hidden="1" spans="1:18">
      <c r="A549" s="55"/>
      <c r="B549" s="33" t="s">
        <v>48</v>
      </c>
      <c r="C549" s="63">
        <v>45706</v>
      </c>
      <c r="D549" s="33" t="str">
        <f>VLOOKUP(B549,辅助信息!E:K,7,FALSE)</f>
        <v>ZTWM-CDGS-YL-20240529-006</v>
      </c>
      <c r="E549" s="33" t="str">
        <f>VLOOKUP(F549,辅助信息!A:B,2,FALSE)</f>
        <v>盘螺</v>
      </c>
      <c r="F549" s="33" t="s">
        <v>40</v>
      </c>
      <c r="G549" s="29">
        <v>10</v>
      </c>
      <c r="H549" s="29" t="str">
        <f>_xlfn._xlws.FILTER('[1]2025年已发货'!$E:$E,'[1]2025年已发货'!$F:$F&amp;'[1]2025年已发货'!$C:$C&amp;'[1]2025年已发货'!$G:$G&amp;'[1]2025年已发货'!$H:$H=C549&amp;F549&amp;I549&amp;J549,"未发货")</f>
        <v>未发货</v>
      </c>
      <c r="I549" s="33" t="str">
        <f>VLOOKUP(B549,辅助信息!E:I,3,FALSE)</f>
        <v>(华西颐海-科创农业生态谷-1号钢筋房)成都市简阳市白金山水库</v>
      </c>
      <c r="J549" s="33" t="str">
        <f>VLOOKUP(B549,辅助信息!E:I,4,FALSE)</f>
        <v>石清国</v>
      </c>
      <c r="K549" s="33">
        <f>VLOOKUP(J549,辅助信息!H:I,2,FALSE)</f>
        <v>13458642015</v>
      </c>
      <c r="L549" s="36" t="str">
        <f>VLOOKUP(B549,辅助信息!E:J,6,FALSE)</f>
        <v>优先威钢,我方卸车,新老国标钢厂不加价可直发</v>
      </c>
      <c r="M549" s="84">
        <v>45708</v>
      </c>
      <c r="O549" s="55">
        <f ca="1" t="shared" si="12"/>
        <v>0</v>
      </c>
      <c r="P549" s="55">
        <f ca="1" t="shared" si="13"/>
        <v>249</v>
      </c>
      <c r="Q549" s="19" t="str">
        <f>VLOOKUP(B549,辅助信息!E:M,9,FALSE)</f>
        <v>ZTWM-CDGS-XS-2024-0093-华西-颐海科创农业生态谷</v>
      </c>
      <c r="R549" s="19"/>
    </row>
    <row r="550" hidden="1" spans="1:18">
      <c r="A550" s="55"/>
      <c r="B550" s="33" t="s">
        <v>48</v>
      </c>
      <c r="C550" s="63">
        <v>45706</v>
      </c>
      <c r="D550" s="33" t="str">
        <f>VLOOKUP(B550,辅助信息!E:K,7,FALSE)</f>
        <v>ZTWM-CDGS-YL-20240529-006</v>
      </c>
      <c r="E550" s="33" t="str">
        <f>VLOOKUP(F550,辅助信息!A:B,2,FALSE)</f>
        <v>盘螺</v>
      </c>
      <c r="F550" s="33" t="s">
        <v>41</v>
      </c>
      <c r="G550" s="29">
        <v>10</v>
      </c>
      <c r="H550" s="29" t="str">
        <f>_xlfn._xlws.FILTER('[1]2025年已发货'!$E:$E,'[1]2025年已发货'!$F:$F&amp;'[1]2025年已发货'!$C:$C&amp;'[1]2025年已发货'!$G:$G&amp;'[1]2025年已发货'!$H:$H=C550&amp;F550&amp;I550&amp;J550,"未发货")</f>
        <v>未发货</v>
      </c>
      <c r="I550" s="33" t="str">
        <f>VLOOKUP(B550,辅助信息!E:I,3,FALSE)</f>
        <v>(华西颐海-科创农业生态谷-1号钢筋房)成都市简阳市白金山水库</v>
      </c>
      <c r="J550" s="33" t="str">
        <f>VLOOKUP(B550,辅助信息!E:I,4,FALSE)</f>
        <v>石清国</v>
      </c>
      <c r="K550" s="33">
        <f>VLOOKUP(J550,辅助信息!H:I,2,FALSE)</f>
        <v>13458642015</v>
      </c>
      <c r="L550" s="71"/>
      <c r="M550" s="84">
        <v>45708</v>
      </c>
      <c r="O550" s="55">
        <f ca="1" t="shared" si="12"/>
        <v>0</v>
      </c>
      <c r="P550" s="55">
        <f ca="1" t="shared" si="13"/>
        <v>249</v>
      </c>
      <c r="Q550" s="19" t="str">
        <f>VLOOKUP(B550,辅助信息!E:M,9,FALSE)</f>
        <v>ZTWM-CDGS-XS-2024-0093-华西-颐海科创农业生态谷</v>
      </c>
      <c r="R550" s="19"/>
    </row>
    <row r="551" hidden="1" spans="1:18">
      <c r="A551" s="55"/>
      <c r="B551" s="33" t="s">
        <v>48</v>
      </c>
      <c r="C551" s="63">
        <v>45706</v>
      </c>
      <c r="D551" s="33" t="str">
        <f>VLOOKUP(B551,辅助信息!E:K,7,FALSE)</f>
        <v>ZTWM-CDGS-YL-20240529-006</v>
      </c>
      <c r="E551" s="33" t="str">
        <f>VLOOKUP(F551,辅助信息!A:B,2,FALSE)</f>
        <v>螺纹钢</v>
      </c>
      <c r="F551" s="33" t="s">
        <v>66</v>
      </c>
      <c r="G551" s="29">
        <v>12</v>
      </c>
      <c r="H551" s="29" t="str">
        <f>_xlfn._xlws.FILTER('[1]2025年已发货'!$E:$E,'[1]2025年已发货'!$F:$F&amp;'[1]2025年已发货'!$C:$C&amp;'[1]2025年已发货'!$G:$G&amp;'[1]2025年已发货'!$H:$H=C551&amp;F551&amp;I551&amp;J551,"未发货")</f>
        <v>未发货</v>
      </c>
      <c r="I551" s="33" t="str">
        <f>VLOOKUP(B551,辅助信息!E:I,3,FALSE)</f>
        <v>(华西颐海-科创农业生态谷-1号钢筋房)成都市简阳市白金山水库</v>
      </c>
      <c r="J551" s="33" t="str">
        <f>VLOOKUP(B551,辅助信息!E:I,4,FALSE)</f>
        <v>石清国</v>
      </c>
      <c r="K551" s="33">
        <f>VLOOKUP(J551,辅助信息!H:I,2,FALSE)</f>
        <v>13458642015</v>
      </c>
      <c r="L551" s="71"/>
      <c r="M551" s="84">
        <v>45708</v>
      </c>
      <c r="O551" s="55">
        <f ca="1" t="shared" si="12"/>
        <v>0</v>
      </c>
      <c r="P551" s="55">
        <f ca="1" t="shared" si="13"/>
        <v>249</v>
      </c>
      <c r="Q551" s="19" t="str">
        <f>VLOOKUP(B551,辅助信息!E:M,9,FALSE)</f>
        <v>ZTWM-CDGS-XS-2024-0093-华西-颐海科创农业生态谷</v>
      </c>
      <c r="R551" s="19"/>
    </row>
    <row r="552" hidden="1" spans="1:18">
      <c r="A552" s="55"/>
      <c r="B552" s="33" t="s">
        <v>48</v>
      </c>
      <c r="C552" s="63">
        <v>45706</v>
      </c>
      <c r="D552" s="33" t="str">
        <f>VLOOKUP(B552,辅助信息!E:K,7,FALSE)</f>
        <v>ZTWM-CDGS-YL-20240529-006</v>
      </c>
      <c r="E552" s="33" t="str">
        <f>VLOOKUP(F552,辅助信息!A:B,2,FALSE)</f>
        <v>螺纹钢</v>
      </c>
      <c r="F552" s="33" t="s">
        <v>22</v>
      </c>
      <c r="G552" s="29">
        <v>6</v>
      </c>
      <c r="H552" s="29" t="str">
        <f>_xlfn._xlws.FILTER('[1]2025年已发货'!$E:$E,'[1]2025年已发货'!$F:$F&amp;'[1]2025年已发货'!$C:$C&amp;'[1]2025年已发货'!$G:$G&amp;'[1]2025年已发货'!$H:$H=C552&amp;F552&amp;I552&amp;J552,"未发货")</f>
        <v>未发货</v>
      </c>
      <c r="I552" s="33" t="str">
        <f>VLOOKUP(B552,辅助信息!E:I,3,FALSE)</f>
        <v>(华西颐海-科创农业生态谷-1号钢筋房)成都市简阳市白金山水库</v>
      </c>
      <c r="J552" s="33" t="str">
        <f>VLOOKUP(B552,辅助信息!E:I,4,FALSE)</f>
        <v>石清国</v>
      </c>
      <c r="K552" s="33">
        <f>VLOOKUP(J552,辅助信息!H:I,2,FALSE)</f>
        <v>13458642015</v>
      </c>
      <c r="L552" s="69"/>
      <c r="M552" s="84">
        <v>45708</v>
      </c>
      <c r="O552" s="55">
        <f ca="1" t="shared" si="12"/>
        <v>0</v>
      </c>
      <c r="P552" s="55">
        <f ca="1" t="shared" si="13"/>
        <v>249</v>
      </c>
      <c r="Q552" s="19" t="str">
        <f>VLOOKUP(B552,辅助信息!E:M,9,FALSE)</f>
        <v>ZTWM-CDGS-XS-2024-0093-华西-颐海科创农业生态谷</v>
      </c>
      <c r="R552" s="19"/>
    </row>
    <row r="553" hidden="1" spans="2:18">
      <c r="B553" s="33" t="s">
        <v>31</v>
      </c>
      <c r="C553" s="63">
        <v>45706</v>
      </c>
      <c r="D553" s="33" t="str">
        <f>VLOOKUP(B553,辅助信息!E:K,7,FALSE)</f>
        <v>JWDDCD2024121000136</v>
      </c>
      <c r="E553" s="33" t="str">
        <f>VLOOKUP(F553,辅助信息!A:B,2,FALSE)</f>
        <v>高线</v>
      </c>
      <c r="F553" s="33" t="s">
        <v>53</v>
      </c>
      <c r="G553" s="29">
        <v>6</v>
      </c>
      <c r="H553" s="29">
        <f>_xlfn._xlws.FILTER('[1]2025年已发货'!$E:$E,'[1]2025年已发货'!$F:$F&amp;'[1]2025年已发货'!$C:$C&amp;'[1]2025年已发货'!$G:$G&amp;'[1]2025年已发货'!$H:$H=C553&amp;F553&amp;I553&amp;J553,"未发货")</f>
        <v>6</v>
      </c>
      <c r="I553" s="33" t="str">
        <f>VLOOKUP(B553,辅助信息!E:I,3,FALSE)</f>
        <v>（四川商建-射洪城乡一体化项目）遂宁市射洪市忠新幼儿园北侧约220米新溪小区</v>
      </c>
      <c r="J553" s="33" t="str">
        <f>VLOOKUP(B553,辅助信息!E:I,4,FALSE)</f>
        <v>柏子刚</v>
      </c>
      <c r="K553" s="33">
        <f>VLOOKUP(J553,辅助信息!H:I,2,FALSE)</f>
        <v>15692885305</v>
      </c>
      <c r="L553" s="36" t="str">
        <f>VLOOKUP(B553,辅助信息!E:J,6,FALSE)</f>
        <v>提前联系到场规格及数量</v>
      </c>
      <c r="M553" s="84">
        <v>45708</v>
      </c>
      <c r="N553" s="50"/>
      <c r="O553" s="55">
        <f ca="1" t="shared" si="12"/>
        <v>0</v>
      </c>
      <c r="P553" s="55">
        <f ca="1" t="shared" si="13"/>
        <v>249</v>
      </c>
      <c r="Q553" s="19" t="str">
        <f>VLOOKUP(B553,辅助信息!E:M,9,FALSE)</f>
        <v>ZTWM-CDGS-XS-2024-0179-四川商投-射洪城乡一体化建设项目</v>
      </c>
      <c r="R553" s="19"/>
    </row>
    <row r="554" hidden="1" spans="2:18">
      <c r="B554" s="33" t="s">
        <v>31</v>
      </c>
      <c r="C554" s="63">
        <v>45706</v>
      </c>
      <c r="D554" s="33" t="str">
        <f>VLOOKUP(B554,辅助信息!E:K,7,FALSE)</f>
        <v>JWDDCD2024121000136</v>
      </c>
      <c r="E554" s="33" t="str">
        <f>VLOOKUP(F554,辅助信息!A:B,2,FALSE)</f>
        <v>盘螺</v>
      </c>
      <c r="F554" s="33" t="s">
        <v>49</v>
      </c>
      <c r="G554" s="29">
        <v>9</v>
      </c>
      <c r="H554" s="29" t="str">
        <f>_xlfn._xlws.FILTER('[1]2025年已发货'!$E:$E,'[1]2025年已发货'!$F:$F&amp;'[1]2025年已发货'!$C:$C&amp;'[1]2025年已发货'!$G:$G&amp;'[1]2025年已发货'!$H:$H=C554&amp;F554&amp;I554&amp;J554,"未发货")</f>
        <v>未发货</v>
      </c>
      <c r="I554" s="33" t="str">
        <f>VLOOKUP(B554,辅助信息!E:I,3,FALSE)</f>
        <v>（四川商建-射洪城乡一体化项目）遂宁市射洪市忠新幼儿园北侧约220米新溪小区</v>
      </c>
      <c r="J554" s="33" t="str">
        <f>VLOOKUP(B554,辅助信息!E:I,4,FALSE)</f>
        <v>柏子刚</v>
      </c>
      <c r="K554" s="33">
        <f>VLOOKUP(J554,辅助信息!H:I,2,FALSE)</f>
        <v>15692885305</v>
      </c>
      <c r="L554" s="71"/>
      <c r="M554" s="84">
        <v>45708</v>
      </c>
      <c r="N554" s="50"/>
      <c r="O554" s="55">
        <f ca="1" t="shared" si="12"/>
        <v>0</v>
      </c>
      <c r="P554" s="55">
        <f ca="1" t="shared" si="13"/>
        <v>249</v>
      </c>
      <c r="Q554" s="19" t="str">
        <f>VLOOKUP(B554,辅助信息!E:M,9,FALSE)</f>
        <v>ZTWM-CDGS-XS-2024-0179-四川商投-射洪城乡一体化建设项目</v>
      </c>
      <c r="R554" s="19"/>
    </row>
    <row r="555" hidden="1" spans="2:18">
      <c r="B555" s="33" t="s">
        <v>31</v>
      </c>
      <c r="C555" s="63">
        <v>45706</v>
      </c>
      <c r="D555" s="33" t="str">
        <f>VLOOKUP(B555,辅助信息!E:K,7,FALSE)</f>
        <v>JWDDCD2024121000136</v>
      </c>
      <c r="E555" s="33" t="str">
        <f>VLOOKUP(F555,辅助信息!A:B,2,FALSE)</f>
        <v>盘螺</v>
      </c>
      <c r="F555" s="33" t="s">
        <v>40</v>
      </c>
      <c r="G555" s="29">
        <v>35</v>
      </c>
      <c r="H555" s="29">
        <f>_xlfn._xlws.FILTER('[1]2025年已发货'!$E:$E,'[1]2025年已发货'!$F:$F&amp;'[1]2025年已发货'!$C:$C&amp;'[1]2025年已发货'!$G:$G&amp;'[1]2025年已发货'!$H:$H=C555&amp;F555&amp;I555&amp;J555,"未发货")</f>
        <v>35</v>
      </c>
      <c r="I555" s="33" t="str">
        <f>VLOOKUP(B555,辅助信息!E:I,3,FALSE)</f>
        <v>（四川商建-射洪城乡一体化项目）遂宁市射洪市忠新幼儿园北侧约220米新溪小区</v>
      </c>
      <c r="J555" s="33" t="str">
        <f>VLOOKUP(B555,辅助信息!E:I,4,FALSE)</f>
        <v>柏子刚</v>
      </c>
      <c r="K555" s="33">
        <f>VLOOKUP(J555,辅助信息!H:I,2,FALSE)</f>
        <v>15692885305</v>
      </c>
      <c r="L555" s="71"/>
      <c r="M555" s="84">
        <v>45708</v>
      </c>
      <c r="N555" s="50"/>
      <c r="O555" s="55">
        <f ca="1" t="shared" si="12"/>
        <v>0</v>
      </c>
      <c r="P555" s="55">
        <f ca="1" t="shared" si="13"/>
        <v>249</v>
      </c>
      <c r="Q555" s="19" t="str">
        <f>VLOOKUP(B555,辅助信息!E:M,9,FALSE)</f>
        <v>ZTWM-CDGS-XS-2024-0179-四川商投-射洪城乡一体化建设项目</v>
      </c>
      <c r="R555" s="19"/>
    </row>
    <row r="556" hidden="1" spans="2:18">
      <c r="B556" s="33" t="s">
        <v>31</v>
      </c>
      <c r="C556" s="63">
        <v>45706</v>
      </c>
      <c r="D556" s="33" t="str">
        <f>VLOOKUP(B556,辅助信息!E:K,7,FALSE)</f>
        <v>JWDDCD2024121000136</v>
      </c>
      <c r="E556" s="33" t="str">
        <f>VLOOKUP(F556,辅助信息!A:B,2,FALSE)</f>
        <v>盘螺</v>
      </c>
      <c r="F556" s="33" t="s">
        <v>41</v>
      </c>
      <c r="G556" s="29">
        <v>35</v>
      </c>
      <c r="H556" s="29">
        <f>_xlfn._xlws.FILTER('[1]2025年已发货'!$E:$E,'[1]2025年已发货'!$F:$F&amp;'[1]2025年已发货'!$C:$C&amp;'[1]2025年已发货'!$G:$G&amp;'[1]2025年已发货'!$H:$H=C556&amp;F556&amp;I556&amp;J556,"未发货")</f>
        <v>30</v>
      </c>
      <c r="I556" s="33" t="str">
        <f>VLOOKUP(B556,辅助信息!E:I,3,FALSE)</f>
        <v>（四川商建-射洪城乡一体化项目）遂宁市射洪市忠新幼儿园北侧约220米新溪小区</v>
      </c>
      <c r="J556" s="33" t="str">
        <f>VLOOKUP(B556,辅助信息!E:I,4,FALSE)</f>
        <v>柏子刚</v>
      </c>
      <c r="K556" s="33">
        <f>VLOOKUP(J556,辅助信息!H:I,2,FALSE)</f>
        <v>15692885305</v>
      </c>
      <c r="L556" s="71"/>
      <c r="M556" s="84">
        <v>45708</v>
      </c>
      <c r="N556" s="50"/>
      <c r="O556" s="55">
        <f ca="1" t="shared" si="12"/>
        <v>0</v>
      </c>
      <c r="P556" s="55">
        <f ca="1" t="shared" si="13"/>
        <v>249</v>
      </c>
      <c r="Q556" s="19" t="str">
        <f>VLOOKUP(B556,辅助信息!E:M,9,FALSE)</f>
        <v>ZTWM-CDGS-XS-2024-0179-四川商投-射洪城乡一体化建设项目</v>
      </c>
      <c r="R556" s="19"/>
    </row>
    <row r="557" hidden="1" spans="2:18">
      <c r="B557" s="33" t="s">
        <v>31</v>
      </c>
      <c r="C557" s="63">
        <v>45706</v>
      </c>
      <c r="D557" s="33" t="str">
        <f>VLOOKUP(B557,辅助信息!E:K,7,FALSE)</f>
        <v>JWDDCD2024121000136</v>
      </c>
      <c r="E557" s="33" t="str">
        <f>VLOOKUP(F557,辅助信息!A:B,2,FALSE)</f>
        <v>螺纹钢</v>
      </c>
      <c r="F557" s="33" t="s">
        <v>27</v>
      </c>
      <c r="G557" s="29">
        <v>21</v>
      </c>
      <c r="H557" s="29">
        <f>_xlfn._xlws.FILTER('[1]2025年已发货'!$E:$E,'[1]2025年已发货'!$F:$F&amp;'[1]2025年已发货'!$C:$C&amp;'[1]2025年已发货'!$G:$G&amp;'[1]2025年已发货'!$H:$H=C557&amp;F557&amp;I557&amp;J557,"未发货")</f>
        <v>21</v>
      </c>
      <c r="I557" s="33" t="str">
        <f>VLOOKUP(B557,辅助信息!E:I,3,FALSE)</f>
        <v>（四川商建-射洪城乡一体化项目）遂宁市射洪市忠新幼儿园北侧约220米新溪小区</v>
      </c>
      <c r="J557" s="33" t="str">
        <f>VLOOKUP(B557,辅助信息!E:I,4,FALSE)</f>
        <v>柏子刚</v>
      </c>
      <c r="K557" s="33">
        <f>VLOOKUP(J557,辅助信息!H:I,2,FALSE)</f>
        <v>15692885305</v>
      </c>
      <c r="L557" s="71"/>
      <c r="M557" s="84">
        <v>45708</v>
      </c>
      <c r="N557" s="50"/>
      <c r="O557" s="55">
        <f ca="1" t="shared" si="12"/>
        <v>0</v>
      </c>
      <c r="P557" s="55">
        <f ca="1" t="shared" si="13"/>
        <v>249</v>
      </c>
      <c r="Q557" s="19" t="str">
        <f>VLOOKUP(B557,辅助信息!E:M,9,FALSE)</f>
        <v>ZTWM-CDGS-XS-2024-0179-四川商投-射洪城乡一体化建设项目</v>
      </c>
      <c r="R557" s="19"/>
    </row>
    <row r="558" hidden="1" spans="2:18">
      <c r="B558" s="33" t="s">
        <v>31</v>
      </c>
      <c r="C558" s="63">
        <v>45706</v>
      </c>
      <c r="D558" s="33" t="str">
        <f>VLOOKUP(B558,辅助信息!E:K,7,FALSE)</f>
        <v>JWDDCD2024121000136</v>
      </c>
      <c r="E558" s="33" t="str">
        <f>VLOOKUP(F558,辅助信息!A:B,2,FALSE)</f>
        <v>螺纹钢</v>
      </c>
      <c r="F558" s="33" t="s">
        <v>22</v>
      </c>
      <c r="G558" s="29">
        <v>35</v>
      </c>
      <c r="H558" s="29">
        <f>_xlfn._xlws.FILTER('[1]2025年已发货'!$E:$E,'[1]2025年已发货'!$F:$F&amp;'[1]2025年已发货'!$C:$C&amp;'[1]2025年已发货'!$G:$G&amp;'[1]2025年已发货'!$H:$H=C558&amp;F558&amp;I558&amp;J558,"未发货")</f>
        <v>15</v>
      </c>
      <c r="I558" s="33" t="str">
        <f>VLOOKUP(B558,辅助信息!E:I,3,FALSE)</f>
        <v>（四川商建-射洪城乡一体化项目）遂宁市射洪市忠新幼儿园北侧约220米新溪小区</v>
      </c>
      <c r="J558" s="33" t="str">
        <f>VLOOKUP(B558,辅助信息!E:I,4,FALSE)</f>
        <v>柏子刚</v>
      </c>
      <c r="K558" s="33">
        <f>VLOOKUP(J558,辅助信息!H:I,2,FALSE)</f>
        <v>15692885305</v>
      </c>
      <c r="L558" s="69"/>
      <c r="M558" s="84">
        <v>45708</v>
      </c>
      <c r="N558" s="50"/>
      <c r="O558" s="55">
        <f ca="1" t="shared" si="12"/>
        <v>0</v>
      </c>
      <c r="P558" s="55">
        <f ca="1" t="shared" si="13"/>
        <v>249</v>
      </c>
      <c r="Q558" s="19" t="str">
        <f>VLOOKUP(B558,辅助信息!E:M,9,FALSE)</f>
        <v>ZTWM-CDGS-XS-2024-0179-四川商投-射洪城乡一体化建设项目</v>
      </c>
      <c r="R558" s="19"/>
    </row>
    <row r="559" hidden="1" spans="2:18">
      <c r="B559" s="33" t="s">
        <v>48</v>
      </c>
      <c r="C559" s="63">
        <v>45706</v>
      </c>
      <c r="D559" s="33" t="str">
        <f>VLOOKUP(B559,辅助信息!E:K,7,FALSE)</f>
        <v>ZTWM-CDGS-YL-20240529-006</v>
      </c>
      <c r="E559" s="33" t="str">
        <f>VLOOKUP(F559,辅助信息!A:B,2,FALSE)</f>
        <v>螺纹钢</v>
      </c>
      <c r="F559" s="33" t="s">
        <v>27</v>
      </c>
      <c r="G559" s="29">
        <v>7</v>
      </c>
      <c r="H559" s="29" t="str">
        <f>_xlfn._xlws.FILTER('[1]2025年已发货'!$E:$E,'[1]2025年已发货'!$F:$F&amp;'[1]2025年已发货'!$C:$C&amp;'[1]2025年已发货'!$G:$G&amp;'[1]2025年已发货'!$H:$H=C559&amp;F559&amp;I559&amp;J559,"未发货")</f>
        <v>未发货</v>
      </c>
      <c r="I559" s="33" t="str">
        <f>VLOOKUP(B559,辅助信息!E:I,3,FALSE)</f>
        <v>(华西颐海-科创农业生态谷-1号钢筋房)成都市简阳市白金山水库</v>
      </c>
      <c r="J559" s="33" t="str">
        <f>VLOOKUP(B559,辅助信息!E:I,4,FALSE)</f>
        <v>石清国</v>
      </c>
      <c r="K559" s="33">
        <f>VLOOKUP(J559,辅助信息!H:I,2,FALSE)</f>
        <v>13458642015</v>
      </c>
      <c r="L559" s="36" t="str">
        <f>VLOOKUP(B559,辅助信息!E:J,6,FALSE)</f>
        <v>优先威钢,我方卸车,新老国标钢厂不加价可直发</v>
      </c>
      <c r="M559" s="84">
        <v>45708</v>
      </c>
      <c r="N559" s="50"/>
      <c r="O559" s="55">
        <f ca="1" t="shared" si="12"/>
        <v>0</v>
      </c>
      <c r="P559" s="55">
        <f ca="1" t="shared" si="13"/>
        <v>249</v>
      </c>
      <c r="Q559" s="19" t="str">
        <f>VLOOKUP(B559,辅助信息!E:M,9,FALSE)</f>
        <v>ZTWM-CDGS-XS-2024-0093-华西-颐海科创农业生态谷</v>
      </c>
      <c r="R559" s="19"/>
    </row>
    <row r="560" hidden="1" spans="2:18">
      <c r="B560" s="33" t="s">
        <v>48</v>
      </c>
      <c r="C560" s="63">
        <v>45706</v>
      </c>
      <c r="D560" s="33" t="str">
        <f>VLOOKUP(B560,辅助信息!E:K,7,FALSE)</f>
        <v>ZTWM-CDGS-YL-20240529-006</v>
      </c>
      <c r="E560" s="33" t="str">
        <f>VLOOKUP(F560,辅助信息!A:B,2,FALSE)</f>
        <v>螺纹钢</v>
      </c>
      <c r="F560" s="33" t="s">
        <v>30</v>
      </c>
      <c r="G560" s="29">
        <v>13</v>
      </c>
      <c r="H560" s="29" t="str">
        <f>_xlfn._xlws.FILTER('[1]2025年已发货'!$E:$E,'[1]2025年已发货'!$F:$F&amp;'[1]2025年已发货'!$C:$C&amp;'[1]2025年已发货'!$G:$G&amp;'[1]2025年已发货'!$H:$H=C560&amp;F560&amp;I560&amp;J560,"未发货")</f>
        <v>未发货</v>
      </c>
      <c r="I560" s="33" t="str">
        <f>VLOOKUP(B560,辅助信息!E:I,3,FALSE)</f>
        <v>(华西颐海-科创农业生态谷-1号钢筋房)成都市简阳市白金山水库</v>
      </c>
      <c r="J560" s="33" t="str">
        <f>VLOOKUP(B560,辅助信息!E:I,4,FALSE)</f>
        <v>石清国</v>
      </c>
      <c r="K560" s="33">
        <f>VLOOKUP(J560,辅助信息!H:I,2,FALSE)</f>
        <v>13458642015</v>
      </c>
      <c r="L560" s="71"/>
      <c r="M560" s="84">
        <v>45708</v>
      </c>
      <c r="N560" s="50"/>
      <c r="O560" s="55">
        <f ca="1" t="shared" si="12"/>
        <v>0</v>
      </c>
      <c r="P560" s="55">
        <f ca="1" t="shared" si="13"/>
        <v>249</v>
      </c>
      <c r="Q560" s="19" t="str">
        <f>VLOOKUP(B560,辅助信息!E:M,9,FALSE)</f>
        <v>ZTWM-CDGS-XS-2024-0093-华西-颐海科创农业生态谷</v>
      </c>
      <c r="R560" s="19"/>
    </row>
    <row r="561" hidden="1" spans="2:18">
      <c r="B561" s="33" t="s">
        <v>48</v>
      </c>
      <c r="C561" s="63">
        <v>45706</v>
      </c>
      <c r="D561" s="33" t="str">
        <f>VLOOKUP(B561,辅助信息!E:K,7,FALSE)</f>
        <v>ZTWM-CDGS-YL-20240529-006</v>
      </c>
      <c r="E561" s="33" t="str">
        <f>VLOOKUP(F561,辅助信息!A:B,2,FALSE)</f>
        <v>螺纹钢</v>
      </c>
      <c r="F561" s="33" t="s">
        <v>66</v>
      </c>
      <c r="G561" s="29">
        <v>5</v>
      </c>
      <c r="H561" s="29" t="str">
        <f>_xlfn._xlws.FILTER('[1]2025年已发货'!$E:$E,'[1]2025年已发货'!$F:$F&amp;'[1]2025年已发货'!$C:$C&amp;'[1]2025年已发货'!$G:$G&amp;'[1]2025年已发货'!$H:$H=C561&amp;F561&amp;I561&amp;J561,"未发货")</f>
        <v>未发货</v>
      </c>
      <c r="I561" s="33" t="str">
        <f>VLOOKUP(B561,辅助信息!E:I,3,FALSE)</f>
        <v>(华西颐海-科创农业生态谷-1号钢筋房)成都市简阳市白金山水库</v>
      </c>
      <c r="J561" s="33" t="str">
        <f>VLOOKUP(B561,辅助信息!E:I,4,FALSE)</f>
        <v>石清国</v>
      </c>
      <c r="K561" s="33">
        <f>VLOOKUP(J561,辅助信息!H:I,2,FALSE)</f>
        <v>13458642015</v>
      </c>
      <c r="L561" s="71"/>
      <c r="M561" s="84">
        <v>45708</v>
      </c>
      <c r="N561" s="50"/>
      <c r="O561" s="55">
        <f ca="1" t="shared" si="12"/>
        <v>0</v>
      </c>
      <c r="P561" s="55">
        <f ca="1" t="shared" si="13"/>
        <v>249</v>
      </c>
      <c r="Q561" s="19" t="str">
        <f>VLOOKUP(B561,辅助信息!E:M,9,FALSE)</f>
        <v>ZTWM-CDGS-XS-2024-0093-华西-颐海科创农业生态谷</v>
      </c>
      <c r="R561" s="19"/>
    </row>
    <row r="562" hidden="1" spans="2:18">
      <c r="B562" s="33" t="s">
        <v>48</v>
      </c>
      <c r="C562" s="63">
        <v>45706</v>
      </c>
      <c r="D562" s="33" t="str">
        <f>VLOOKUP(B562,辅助信息!E:K,7,FALSE)</f>
        <v>ZTWM-CDGS-YL-20240529-006</v>
      </c>
      <c r="E562" s="33" t="str">
        <f>VLOOKUP(F562,辅助信息!A:B,2,FALSE)</f>
        <v>螺纹钢</v>
      </c>
      <c r="F562" s="33" t="s">
        <v>82</v>
      </c>
      <c r="G562" s="29">
        <v>8</v>
      </c>
      <c r="H562" s="29" t="str">
        <f>_xlfn._xlws.FILTER('[1]2025年已发货'!$E:$E,'[1]2025年已发货'!$F:$F&amp;'[1]2025年已发货'!$C:$C&amp;'[1]2025年已发货'!$G:$G&amp;'[1]2025年已发货'!$H:$H=C562&amp;F562&amp;I562&amp;J562,"未发货")</f>
        <v>未发货</v>
      </c>
      <c r="I562" s="33" t="str">
        <f>VLOOKUP(B562,辅助信息!E:I,3,FALSE)</f>
        <v>(华西颐海-科创农业生态谷-1号钢筋房)成都市简阳市白金山水库</v>
      </c>
      <c r="J562" s="33" t="str">
        <f>VLOOKUP(B562,辅助信息!E:I,4,FALSE)</f>
        <v>石清国</v>
      </c>
      <c r="K562" s="33">
        <f>VLOOKUP(J562,辅助信息!H:I,2,FALSE)</f>
        <v>13458642015</v>
      </c>
      <c r="L562" s="71"/>
      <c r="M562" s="84">
        <v>45708</v>
      </c>
      <c r="N562" s="50"/>
      <c r="O562" s="55">
        <f ca="1" t="shared" si="12"/>
        <v>0</v>
      </c>
      <c r="P562" s="55">
        <f ca="1" t="shared" si="13"/>
        <v>249</v>
      </c>
      <c r="Q562" s="19" t="str">
        <f>VLOOKUP(B562,辅助信息!E:M,9,FALSE)</f>
        <v>ZTWM-CDGS-XS-2024-0093-华西-颐海科创农业生态谷</v>
      </c>
      <c r="R562" s="19"/>
    </row>
    <row r="563" hidden="1" spans="2:18">
      <c r="B563" s="33" t="s">
        <v>48</v>
      </c>
      <c r="C563" s="63">
        <v>45706</v>
      </c>
      <c r="D563" s="33" t="str">
        <f>VLOOKUP(B563,辅助信息!E:K,7,FALSE)</f>
        <v>ZTWM-CDGS-YL-20240529-006</v>
      </c>
      <c r="E563" s="33" t="str">
        <f>VLOOKUP(F563,辅助信息!A:B,2,FALSE)</f>
        <v>螺纹钢</v>
      </c>
      <c r="F563" s="33" t="s">
        <v>21</v>
      </c>
      <c r="G563" s="29">
        <v>5</v>
      </c>
      <c r="H563" s="29" t="str">
        <f>_xlfn._xlws.FILTER('[1]2025年已发货'!$E:$E,'[1]2025年已发货'!$F:$F&amp;'[1]2025年已发货'!$C:$C&amp;'[1]2025年已发货'!$G:$G&amp;'[1]2025年已发货'!$H:$H=C563&amp;F563&amp;I563&amp;J563,"未发货")</f>
        <v>未发货</v>
      </c>
      <c r="I563" s="33" t="str">
        <f>VLOOKUP(B563,辅助信息!E:I,3,FALSE)</f>
        <v>(华西颐海-科创农业生态谷-1号钢筋房)成都市简阳市白金山水库</v>
      </c>
      <c r="J563" s="33" t="str">
        <f>VLOOKUP(B563,辅助信息!E:I,4,FALSE)</f>
        <v>石清国</v>
      </c>
      <c r="K563" s="33">
        <f>VLOOKUP(J563,辅助信息!H:I,2,FALSE)</f>
        <v>13458642015</v>
      </c>
      <c r="L563" s="69"/>
      <c r="M563" s="84">
        <v>45708</v>
      </c>
      <c r="N563" s="50"/>
      <c r="O563" s="55">
        <f ca="1" t="shared" si="12"/>
        <v>0</v>
      </c>
      <c r="P563" s="55">
        <f ca="1" t="shared" si="13"/>
        <v>249</v>
      </c>
      <c r="Q563" s="19" t="str">
        <f>VLOOKUP(B563,辅助信息!E:M,9,FALSE)</f>
        <v>ZTWM-CDGS-XS-2024-0093-华西-颐海科创农业生态谷</v>
      </c>
      <c r="R563" s="19"/>
    </row>
    <row r="564" hidden="1" spans="1:18">
      <c r="A564" s="19"/>
      <c r="B564" s="33" t="s">
        <v>29</v>
      </c>
      <c r="C564" s="63">
        <v>45707</v>
      </c>
      <c r="D564" s="33" t="e">
        <f>VLOOKUP(B564,辅助信息!E:K,7,FALSE)</f>
        <v>#N/A</v>
      </c>
      <c r="E564" s="33" t="str">
        <f>VLOOKUP(F564,辅助信息!A:B,2,FALSE)</f>
        <v>螺纹钢</v>
      </c>
      <c r="F564" s="33" t="s">
        <v>27</v>
      </c>
      <c r="G564" s="33">
        <v>15</v>
      </c>
      <c r="H564" s="33" t="e">
        <f>_xlfn._xlws.FILTER('[1]2025年已发货'!$E:$E,'[1]2025年已发货'!$F:$F&amp;'[1]2025年已发货'!$C:$C&amp;'[1]2025年已发货'!$G:$G&amp;'[1]2025年已发货'!$H:$H=C564&amp;F564&amp;I564&amp;J564,"未发货")</f>
        <v>#N/A</v>
      </c>
      <c r="I564" s="33" t="e">
        <f>VLOOKUP(B564,辅助信息!E:I,3,FALSE)</f>
        <v>#N/A</v>
      </c>
      <c r="J564" s="33" t="e">
        <f>VLOOKUP(B564,辅助信息!E:I,4,FALSE)</f>
        <v>#N/A</v>
      </c>
      <c r="K564" s="33" t="e">
        <f>VLOOKUP(J564,辅助信息!H:I,2,FALSE)</f>
        <v>#N/A</v>
      </c>
      <c r="L564" s="36" t="e">
        <f>VLOOKUP(B564,辅助信息!E:J,6,FALSE)</f>
        <v>#N/A</v>
      </c>
      <c r="M564" s="88">
        <v>45705</v>
      </c>
      <c r="N564" s="19"/>
      <c r="O564" s="19">
        <f ca="1" t="shared" si="12"/>
        <v>0</v>
      </c>
      <c r="P564" s="19">
        <f ca="1" t="shared" si="13"/>
        <v>252</v>
      </c>
      <c r="Q564" s="19" t="e">
        <f>VLOOKUP(B564,辅助信息!E:M,9,FALSE)</f>
        <v>#N/A</v>
      </c>
      <c r="R564" s="19"/>
    </row>
    <row r="565" hidden="1" spans="1:18">
      <c r="A565" s="19"/>
      <c r="B565" s="33" t="s">
        <v>29</v>
      </c>
      <c r="C565" s="63">
        <v>45707</v>
      </c>
      <c r="D565" s="33" t="e">
        <f>VLOOKUP(B565,辅助信息!E:K,7,FALSE)</f>
        <v>#N/A</v>
      </c>
      <c r="E565" s="33" t="str">
        <f>VLOOKUP(F565,辅助信息!A:B,2,FALSE)</f>
        <v>螺纹钢</v>
      </c>
      <c r="F565" s="33" t="s">
        <v>32</v>
      </c>
      <c r="G565" s="33">
        <v>20</v>
      </c>
      <c r="H565" s="33" t="e">
        <f>_xlfn._xlws.FILTER('[1]2025年已发货'!$E:$E,'[1]2025年已发货'!$F:$F&amp;'[1]2025年已发货'!$C:$C&amp;'[1]2025年已发货'!$G:$G&amp;'[1]2025年已发货'!$H:$H=C565&amp;F565&amp;I565&amp;J565,"未发货")</f>
        <v>#N/A</v>
      </c>
      <c r="I565" s="33" t="e">
        <f>VLOOKUP(B565,辅助信息!E:I,3,FALSE)</f>
        <v>#N/A</v>
      </c>
      <c r="J565" s="33" t="e">
        <f>VLOOKUP(B565,辅助信息!E:I,4,FALSE)</f>
        <v>#N/A</v>
      </c>
      <c r="K565" s="33" t="e">
        <f>VLOOKUP(J565,辅助信息!H:I,2,FALSE)</f>
        <v>#N/A</v>
      </c>
      <c r="L565" s="71"/>
      <c r="M565" s="88">
        <v>45705</v>
      </c>
      <c r="N565" s="19"/>
      <c r="O565" s="19">
        <f ca="1" t="shared" si="12"/>
        <v>0</v>
      </c>
      <c r="P565" s="19">
        <f ca="1" t="shared" si="13"/>
        <v>252</v>
      </c>
      <c r="Q565" s="19" t="e">
        <f>VLOOKUP(B565,辅助信息!E:M,9,FALSE)</f>
        <v>#N/A</v>
      </c>
      <c r="R565" s="19"/>
    </row>
    <row r="566" hidden="1" spans="1:18">
      <c r="A566" s="19"/>
      <c r="B566" s="33" t="s">
        <v>29</v>
      </c>
      <c r="C566" s="63">
        <v>45707</v>
      </c>
      <c r="D566" s="33" t="e">
        <f>VLOOKUP(B566,辅助信息!E:K,7,FALSE)</f>
        <v>#N/A</v>
      </c>
      <c r="E566" s="33" t="str">
        <f>VLOOKUP(F566,辅助信息!A:B,2,FALSE)</f>
        <v>螺纹钢</v>
      </c>
      <c r="F566" s="33" t="s">
        <v>30</v>
      </c>
      <c r="G566" s="33">
        <v>35</v>
      </c>
      <c r="H566" s="33" t="e">
        <f>_xlfn._xlws.FILTER('[1]2025年已发货'!$E:$E,'[1]2025年已发货'!$F:$F&amp;'[1]2025年已发货'!$C:$C&amp;'[1]2025年已发货'!$G:$G&amp;'[1]2025年已发货'!$H:$H=C566&amp;F566&amp;I566&amp;J566,"未发货")</f>
        <v>#N/A</v>
      </c>
      <c r="I566" s="33" t="e">
        <f>VLOOKUP(B566,辅助信息!E:I,3,FALSE)</f>
        <v>#N/A</v>
      </c>
      <c r="J566" s="33" t="e">
        <f>VLOOKUP(B566,辅助信息!E:I,4,FALSE)</f>
        <v>#N/A</v>
      </c>
      <c r="K566" s="33" t="e">
        <f>VLOOKUP(J566,辅助信息!H:I,2,FALSE)</f>
        <v>#N/A</v>
      </c>
      <c r="L566" s="69"/>
      <c r="M566" s="88">
        <v>45705</v>
      </c>
      <c r="N566" s="19"/>
      <c r="O566" s="19">
        <f ca="1" t="shared" si="12"/>
        <v>0</v>
      </c>
      <c r="P566" s="19">
        <f ca="1" t="shared" si="13"/>
        <v>252</v>
      </c>
      <c r="Q566" s="19" t="e">
        <f>VLOOKUP(B566,辅助信息!E:M,9,FALSE)</f>
        <v>#N/A</v>
      </c>
      <c r="R566" s="19"/>
    </row>
    <row r="567" ht="60" hidden="1" customHeight="1" spans="1:18">
      <c r="A567" s="89" t="s">
        <v>95</v>
      </c>
      <c r="B567" s="33" t="s">
        <v>78</v>
      </c>
      <c r="C567" s="63">
        <v>45707</v>
      </c>
      <c r="D567" s="33" t="e">
        <f>VLOOKUP(B567,辅助信息!E:K,7,FALSE)</f>
        <v>#N/A</v>
      </c>
      <c r="E567" s="33" t="str">
        <f>VLOOKUP(F567,辅助信息!A:B,2,FALSE)</f>
        <v>螺纹钢</v>
      </c>
      <c r="F567" s="33" t="s">
        <v>33</v>
      </c>
      <c r="G567" s="33">
        <v>35</v>
      </c>
      <c r="H567" s="33" t="e">
        <f>_xlfn._xlws.FILTER('[1]2025年已发货'!$E:$E,'[1]2025年已发货'!$F:$F&amp;'[1]2025年已发货'!$C:$C&amp;'[1]2025年已发货'!$G:$G&amp;'[1]2025年已发货'!$H:$H=C567&amp;F567&amp;I567&amp;J567,"未发货")</f>
        <v>#N/A</v>
      </c>
      <c r="I567" s="33" t="e">
        <f>VLOOKUP(B567,辅助信息!E:I,3,FALSE)</f>
        <v>#N/A</v>
      </c>
      <c r="J567" s="33" t="e">
        <f>VLOOKUP(B567,辅助信息!E:I,4,FALSE)</f>
        <v>#N/A</v>
      </c>
      <c r="K567" s="33" t="e">
        <f>VLOOKUP(J567,辅助信息!H:I,2,FALSE)</f>
        <v>#N/A</v>
      </c>
      <c r="L567" s="36" t="e">
        <f>VLOOKUP(B567,辅助信息!E:J,6,FALSE)</f>
        <v>#N/A</v>
      </c>
      <c r="M567" s="88">
        <v>45705</v>
      </c>
      <c r="N567" s="19"/>
      <c r="O567" s="19">
        <f ca="1" t="shared" si="12"/>
        <v>0</v>
      </c>
      <c r="P567" s="19">
        <f ca="1" t="shared" si="13"/>
        <v>252</v>
      </c>
      <c r="Q567" s="19" t="e">
        <f>VLOOKUP(B567,辅助信息!E:M,9,FALSE)</f>
        <v>#N/A</v>
      </c>
      <c r="R567" s="19"/>
    </row>
    <row r="568" ht="36" hidden="1" customHeight="1" spans="1:18">
      <c r="A568" s="89" t="s">
        <v>95</v>
      </c>
      <c r="B568" s="33" t="s">
        <v>69</v>
      </c>
      <c r="C568" s="63">
        <v>45707</v>
      </c>
      <c r="D568" s="33" t="str">
        <f>VLOOKUP(B568,辅助信息!E:K,7,FALSE)</f>
        <v>JWDDCD2025052800131</v>
      </c>
      <c r="E568" s="33" t="str">
        <f>VLOOKUP(F568,辅助信息!A:B,2,FALSE)</f>
        <v>螺纹钢</v>
      </c>
      <c r="F568" s="33" t="s">
        <v>21</v>
      </c>
      <c r="G568" s="33">
        <v>35</v>
      </c>
      <c r="H568" s="33" t="str">
        <f>_xlfn._xlws.FILTER('[1]2025年已发货'!$E:$E,'[1]2025年已发货'!$F:$F&amp;'[1]2025年已发货'!$C:$C&amp;'[1]2025年已发货'!$G:$G&amp;'[1]2025年已发货'!$H:$H=C568&amp;F568&amp;I568&amp;J568,"未发货")</f>
        <v>未发货</v>
      </c>
      <c r="I568" s="33" t="str">
        <f>VLOOKUP(B568,辅助信息!E:I,3,FALSE)</f>
        <v>（商投建工达州中医药科技园-4工区-2号楼）达州市通川区达州中医药职业学院犀牛大道北段</v>
      </c>
      <c r="J568" s="33" t="str">
        <f>VLOOKUP(B568,辅助信息!E:I,4,FALSE)</f>
        <v>张扬</v>
      </c>
      <c r="K568" s="33">
        <f>VLOOKUP(J568,辅助信息!H:I,2,FALSE)</f>
        <v>18381904567</v>
      </c>
      <c r="L568" s="36" t="str">
        <f>VLOOKUP(B568,辅助信息!E:J,6,FALSE)</f>
        <v>控制炉批号！多了现场不收！,优先安排达钢,提前联系到场规格及数量</v>
      </c>
      <c r="M568" s="88">
        <v>45704</v>
      </c>
      <c r="N568" s="19"/>
      <c r="O568" s="19">
        <f ca="1" t="shared" si="12"/>
        <v>0</v>
      </c>
      <c r="P568" s="19">
        <f ca="1" t="shared" si="13"/>
        <v>253</v>
      </c>
      <c r="Q568" s="19" t="str">
        <f>VLOOKUP(B568,辅助信息!E:M,9,FALSE)</f>
        <v>ZTWM-CDGS-XS-2024-0134-商投建工达州中医药科技成果示范园项目</v>
      </c>
      <c r="R568" s="19"/>
    </row>
    <row r="569" hidden="1" spans="1:18">
      <c r="A569" s="19"/>
      <c r="B569" s="33" t="s">
        <v>84</v>
      </c>
      <c r="C569" s="63">
        <v>45707</v>
      </c>
      <c r="D569" s="33" t="e">
        <f>VLOOKUP(B569,辅助信息!E:K,7,FALSE)</f>
        <v>#N/A</v>
      </c>
      <c r="E569" s="33" t="str">
        <f>VLOOKUP(F569,辅助信息!A:B,2,FALSE)</f>
        <v>螺纹钢</v>
      </c>
      <c r="F569" s="33" t="s">
        <v>27</v>
      </c>
      <c r="G569" s="33">
        <v>8</v>
      </c>
      <c r="H569" s="33" t="e">
        <f>_xlfn._xlws.FILTER('[1]2025年已发货'!$E:$E,'[1]2025年已发货'!$F:$F&amp;'[1]2025年已发货'!$C:$C&amp;'[1]2025年已发货'!$G:$G&amp;'[1]2025年已发货'!$H:$H=C569&amp;F569&amp;I569&amp;J569,"未发货")</f>
        <v>#N/A</v>
      </c>
      <c r="I569" s="33" t="e">
        <f>VLOOKUP(B569,辅助信息!E:I,3,FALSE)</f>
        <v>#N/A</v>
      </c>
      <c r="J569" s="33" t="e">
        <f>VLOOKUP(B569,辅助信息!E:I,4,FALSE)</f>
        <v>#N/A</v>
      </c>
      <c r="K569" s="33" t="e">
        <f>VLOOKUP(J569,辅助信息!H:I,2,FALSE)</f>
        <v>#N/A</v>
      </c>
      <c r="L569" s="36" t="e">
        <f>VLOOKUP(B569,辅助信息!E:J,6,FALSE)</f>
        <v>#N/A</v>
      </c>
      <c r="M569" s="88">
        <v>45705</v>
      </c>
      <c r="N569" s="19"/>
      <c r="O569" s="19">
        <f ca="1" t="shared" si="12"/>
        <v>0</v>
      </c>
      <c r="P569" s="19">
        <f ca="1" t="shared" si="13"/>
        <v>252</v>
      </c>
      <c r="Q569" s="19" t="e">
        <f>VLOOKUP(B569,辅助信息!E:M,9,FALSE)</f>
        <v>#N/A</v>
      </c>
      <c r="R569" s="19"/>
    </row>
    <row r="570" hidden="1" spans="1:18">
      <c r="A570" s="19"/>
      <c r="B570" s="33" t="s">
        <v>84</v>
      </c>
      <c r="C570" s="63">
        <v>45707</v>
      </c>
      <c r="D570" s="33" t="e">
        <f>VLOOKUP(B570,辅助信息!E:K,7,FALSE)</f>
        <v>#N/A</v>
      </c>
      <c r="E570" s="33" t="str">
        <f>VLOOKUP(F570,辅助信息!A:B,2,FALSE)</f>
        <v>螺纹钢</v>
      </c>
      <c r="F570" s="33" t="s">
        <v>33</v>
      </c>
      <c r="G570" s="33">
        <v>8</v>
      </c>
      <c r="H570" s="33" t="e">
        <f>_xlfn._xlws.FILTER('[1]2025年已发货'!$E:$E,'[1]2025年已发货'!$F:$F&amp;'[1]2025年已发货'!$C:$C&amp;'[1]2025年已发货'!$G:$G&amp;'[1]2025年已发货'!$H:$H=C570&amp;F570&amp;I570&amp;J570,"未发货")</f>
        <v>#N/A</v>
      </c>
      <c r="I570" s="33" t="e">
        <f>VLOOKUP(B570,辅助信息!E:I,3,FALSE)</f>
        <v>#N/A</v>
      </c>
      <c r="J570" s="33" t="e">
        <f>VLOOKUP(B570,辅助信息!E:I,4,FALSE)</f>
        <v>#N/A</v>
      </c>
      <c r="K570" s="33" t="e">
        <f>VLOOKUP(J570,辅助信息!H:I,2,FALSE)</f>
        <v>#N/A</v>
      </c>
      <c r="L570" s="71"/>
      <c r="M570" s="88">
        <v>45705</v>
      </c>
      <c r="N570" s="19"/>
      <c r="O570" s="19">
        <f ca="1" t="shared" si="12"/>
        <v>0</v>
      </c>
      <c r="P570" s="19">
        <f ca="1" t="shared" si="13"/>
        <v>252</v>
      </c>
      <c r="Q570" s="19" t="e">
        <f>VLOOKUP(B570,辅助信息!E:M,9,FALSE)</f>
        <v>#N/A</v>
      </c>
      <c r="R570" s="19"/>
    </row>
    <row r="571" hidden="1" spans="1:18">
      <c r="A571" s="19"/>
      <c r="B571" s="33" t="s">
        <v>84</v>
      </c>
      <c r="C571" s="63">
        <v>45707</v>
      </c>
      <c r="D571" s="33" t="e">
        <f>VLOOKUP(B571,辅助信息!E:K,7,FALSE)</f>
        <v>#N/A</v>
      </c>
      <c r="E571" s="33" t="str">
        <f>VLOOKUP(F571,辅助信息!A:B,2,FALSE)</f>
        <v>螺纹钢</v>
      </c>
      <c r="F571" s="33" t="s">
        <v>18</v>
      </c>
      <c r="G571" s="33">
        <v>12</v>
      </c>
      <c r="H571" s="33" t="e">
        <f>_xlfn._xlws.FILTER('[1]2025年已发货'!$E:$E,'[1]2025年已发货'!$F:$F&amp;'[1]2025年已发货'!$C:$C&amp;'[1]2025年已发货'!$G:$G&amp;'[1]2025年已发货'!$H:$H=C571&amp;F571&amp;I571&amp;J571,"未发货")</f>
        <v>#N/A</v>
      </c>
      <c r="I571" s="33" t="e">
        <f>VLOOKUP(B571,辅助信息!E:I,3,FALSE)</f>
        <v>#N/A</v>
      </c>
      <c r="J571" s="33" t="e">
        <f>VLOOKUP(B571,辅助信息!E:I,4,FALSE)</f>
        <v>#N/A</v>
      </c>
      <c r="K571" s="33" t="e">
        <f>VLOOKUP(J571,辅助信息!H:I,2,FALSE)</f>
        <v>#N/A</v>
      </c>
      <c r="L571" s="71"/>
      <c r="M571" s="88">
        <v>45705</v>
      </c>
      <c r="N571" s="19"/>
      <c r="O571" s="19">
        <f ca="1" t="shared" si="12"/>
        <v>0</v>
      </c>
      <c r="P571" s="19">
        <v>3</v>
      </c>
      <c r="Q571" s="19" t="e">
        <f>VLOOKUP(B571,辅助信息!E:M,9,FALSE)</f>
        <v>#N/A</v>
      </c>
      <c r="R571" s="19"/>
    </row>
    <row r="572" hidden="1" spans="1:18">
      <c r="A572" s="19"/>
      <c r="B572" s="33" t="s">
        <v>84</v>
      </c>
      <c r="C572" s="63">
        <v>45707</v>
      </c>
      <c r="D572" s="33" t="e">
        <f>VLOOKUP(B572,辅助信息!E:K,7,FALSE)</f>
        <v>#N/A</v>
      </c>
      <c r="E572" s="33" t="str">
        <f>VLOOKUP(F572,辅助信息!A:B,2,FALSE)</f>
        <v>高线</v>
      </c>
      <c r="F572" s="33" t="s">
        <v>51</v>
      </c>
      <c r="G572" s="33">
        <v>5</v>
      </c>
      <c r="H572" s="33" t="e">
        <f>_xlfn._xlws.FILTER('[1]2025年已发货'!$E:$E,'[1]2025年已发货'!$F:$F&amp;'[1]2025年已发货'!$C:$C&amp;'[1]2025年已发货'!$G:$G&amp;'[1]2025年已发货'!$H:$H=C572&amp;F572&amp;I572&amp;J572,"未发货")</f>
        <v>#N/A</v>
      </c>
      <c r="I572" s="33" t="e">
        <f>VLOOKUP(B572,辅助信息!E:I,3,FALSE)</f>
        <v>#N/A</v>
      </c>
      <c r="J572" s="33" t="e">
        <f>VLOOKUP(B572,辅助信息!E:I,4,FALSE)</f>
        <v>#N/A</v>
      </c>
      <c r="K572" s="33" t="e">
        <f>VLOOKUP(J572,辅助信息!H:I,2,FALSE)</f>
        <v>#N/A</v>
      </c>
      <c r="L572" s="69"/>
      <c r="M572" s="88">
        <v>45705</v>
      </c>
      <c r="N572" s="19"/>
      <c r="O572" s="19">
        <f ca="1" t="shared" si="12"/>
        <v>0</v>
      </c>
      <c r="P572" s="19">
        <v>3</v>
      </c>
      <c r="Q572" s="19"/>
      <c r="R572" s="19"/>
    </row>
    <row r="573" ht="60" hidden="1" customHeight="1" spans="1:18">
      <c r="A573" s="89" t="s">
        <v>95</v>
      </c>
      <c r="B573" s="33" t="s">
        <v>75</v>
      </c>
      <c r="C573" s="63">
        <v>45707</v>
      </c>
      <c r="D573" s="33" t="e">
        <f>VLOOKUP(B573,辅助信息!E:K,7,FALSE)</f>
        <v>#N/A</v>
      </c>
      <c r="E573" s="33" t="str">
        <f>VLOOKUP(F573,辅助信息!A:B,2,FALSE)</f>
        <v>螺纹钢</v>
      </c>
      <c r="F573" s="33" t="s">
        <v>65</v>
      </c>
      <c r="G573" s="33">
        <v>35</v>
      </c>
      <c r="H573" s="33" t="e">
        <f>_xlfn._xlws.FILTER('[1]2025年已发货'!$E:$E,'[1]2025年已发货'!$F:$F&amp;'[1]2025年已发货'!$C:$C&amp;'[1]2025年已发货'!$G:$G&amp;'[1]2025年已发货'!$H:$H=C573&amp;F573&amp;I573&amp;J573,"未发货")</f>
        <v>#N/A</v>
      </c>
      <c r="I573" s="33" t="e">
        <f>VLOOKUP(B573,辅助信息!E:I,3,FALSE)</f>
        <v>#N/A</v>
      </c>
      <c r="J573" s="33" t="e">
        <f>VLOOKUP(B573,辅助信息!E:I,4,FALSE)</f>
        <v>#N/A</v>
      </c>
      <c r="K573" s="33" t="e">
        <f>VLOOKUP(J573,辅助信息!H:I,2,FALSE)</f>
        <v>#N/A</v>
      </c>
      <c r="L573" s="36" t="e">
        <f>VLOOKUP(B573,辅助信息!E:J,6,FALSE)</f>
        <v>#N/A</v>
      </c>
      <c r="M573" s="88">
        <v>45709</v>
      </c>
      <c r="N573" s="19"/>
      <c r="O573" s="19">
        <f ca="1" t="shared" si="12"/>
        <v>0</v>
      </c>
      <c r="P573" s="19">
        <f ca="1" t="shared" ref="P573:P624" si="14">IF(M573="","",IF(N573&lt;&gt;"",MAX(N573-M573,0),IF(TODAY()&gt;M573,TODAY()-M573,0)))</f>
        <v>248</v>
      </c>
      <c r="Q573" s="19" t="e">
        <f>VLOOKUP(B573,辅助信息!E:M,9,FALSE)</f>
        <v>#N/A</v>
      </c>
      <c r="R573" s="19"/>
    </row>
    <row r="574" hidden="1" spans="1:18">
      <c r="A574" s="19"/>
      <c r="B574" s="33" t="s">
        <v>87</v>
      </c>
      <c r="C574" s="63">
        <v>45707</v>
      </c>
      <c r="D574" s="33" t="e">
        <f>VLOOKUP(B574,辅助信息!E:K,7,FALSE)</f>
        <v>#N/A</v>
      </c>
      <c r="E574" s="33" t="str">
        <f>VLOOKUP(F574,辅助信息!A:B,2,FALSE)</f>
        <v>螺纹钢</v>
      </c>
      <c r="F574" s="33" t="s">
        <v>27</v>
      </c>
      <c r="G574" s="33">
        <v>8</v>
      </c>
      <c r="H574" s="33" t="e">
        <f>_xlfn._xlws.FILTER('[1]2025年已发货'!$E:$E,'[1]2025年已发货'!$F:$F&amp;'[1]2025年已发货'!$C:$C&amp;'[1]2025年已发货'!$G:$G&amp;'[1]2025年已发货'!$H:$H=C574&amp;F574&amp;I574&amp;J574,"未发货")</f>
        <v>#N/A</v>
      </c>
      <c r="I574" s="33" t="e">
        <f>VLOOKUP(B574,辅助信息!E:I,3,FALSE)</f>
        <v>#N/A</v>
      </c>
      <c r="J574" s="33" t="e">
        <f>VLOOKUP(B574,辅助信息!E:I,4,FALSE)</f>
        <v>#N/A</v>
      </c>
      <c r="K574" s="33" t="e">
        <f>VLOOKUP(J574,辅助信息!H:I,2,FALSE)</f>
        <v>#N/A</v>
      </c>
      <c r="L574" s="36" t="e">
        <f>VLOOKUP(B574,辅助信息!E:J,6,FALSE)</f>
        <v>#N/A</v>
      </c>
      <c r="M574" s="88">
        <v>45706</v>
      </c>
      <c r="N574" s="19"/>
      <c r="O574" s="19">
        <f ca="1" t="shared" si="12"/>
        <v>0</v>
      </c>
      <c r="P574" s="19">
        <f ca="1" t="shared" si="14"/>
        <v>251</v>
      </c>
      <c r="Q574" s="19" t="e">
        <f>VLOOKUP(B574,辅助信息!E:M,9,FALSE)</f>
        <v>#N/A</v>
      </c>
      <c r="R574" s="19"/>
    </row>
    <row r="575" hidden="1" spans="1:18">
      <c r="A575" s="19"/>
      <c r="B575" s="33" t="s">
        <v>87</v>
      </c>
      <c r="C575" s="63">
        <v>45707</v>
      </c>
      <c r="D575" s="33" t="e">
        <f>VLOOKUP(B575,辅助信息!E:K,7,FALSE)</f>
        <v>#N/A</v>
      </c>
      <c r="E575" s="33" t="str">
        <f>VLOOKUP(F575,辅助信息!A:B,2,FALSE)</f>
        <v>螺纹钢</v>
      </c>
      <c r="F575" s="33" t="s">
        <v>65</v>
      </c>
      <c r="G575" s="33">
        <v>27</v>
      </c>
      <c r="H575" s="33" t="e">
        <f>_xlfn._xlws.FILTER('[1]2025年已发货'!$E:$E,'[1]2025年已发货'!$F:$F&amp;'[1]2025年已发货'!$C:$C&amp;'[1]2025年已发货'!$G:$G&amp;'[1]2025年已发货'!$H:$H=C575&amp;F575&amp;I575&amp;J575,"未发货")</f>
        <v>#N/A</v>
      </c>
      <c r="I575" s="33" t="e">
        <f>VLOOKUP(B575,辅助信息!E:I,3,FALSE)</f>
        <v>#N/A</v>
      </c>
      <c r="J575" s="33" t="e">
        <f>VLOOKUP(B575,辅助信息!E:I,4,FALSE)</f>
        <v>#N/A</v>
      </c>
      <c r="K575" s="33" t="e">
        <f>VLOOKUP(J575,辅助信息!H:I,2,FALSE)</f>
        <v>#N/A</v>
      </c>
      <c r="L575" s="69"/>
      <c r="M575" s="88">
        <v>45706</v>
      </c>
      <c r="N575" s="19"/>
      <c r="O575" s="19">
        <f ca="1" t="shared" si="12"/>
        <v>0</v>
      </c>
      <c r="P575" s="19">
        <f ca="1" t="shared" si="14"/>
        <v>251</v>
      </c>
      <c r="Q575" s="19" t="e">
        <f>VLOOKUP(B575,辅助信息!E:M,9,FALSE)</f>
        <v>#N/A</v>
      </c>
      <c r="R575" s="19"/>
    </row>
    <row r="576" hidden="1" spans="1:18">
      <c r="A576" s="19"/>
      <c r="B576" s="33" t="s">
        <v>74</v>
      </c>
      <c r="C576" s="63">
        <v>45707</v>
      </c>
      <c r="D576" s="33" t="e">
        <f>VLOOKUP(B576,辅助信息!E:K,7,FALSE)</f>
        <v>#N/A</v>
      </c>
      <c r="E576" s="33" t="str">
        <f>VLOOKUP(F576,辅助信息!A:B,2,FALSE)</f>
        <v>螺纹钢</v>
      </c>
      <c r="F576" s="33" t="s">
        <v>19</v>
      </c>
      <c r="G576" s="33">
        <v>12</v>
      </c>
      <c r="H576" s="33" t="e">
        <f>_xlfn._xlws.FILTER('[1]2025年已发货'!$E:$E,'[1]2025年已发货'!$F:$F&amp;'[1]2025年已发货'!$C:$C&amp;'[1]2025年已发货'!$G:$G&amp;'[1]2025年已发货'!$H:$H=C576&amp;F576&amp;I576&amp;J576,"未发货")</f>
        <v>#N/A</v>
      </c>
      <c r="I576" s="33" t="e">
        <f>VLOOKUP(B576,辅助信息!E:I,3,FALSE)</f>
        <v>#N/A</v>
      </c>
      <c r="J576" s="33" t="e">
        <f>VLOOKUP(B576,辅助信息!E:I,4,FALSE)</f>
        <v>#N/A</v>
      </c>
      <c r="K576" s="33" t="e">
        <f>VLOOKUP(J576,辅助信息!H:I,2,FALSE)</f>
        <v>#N/A</v>
      </c>
      <c r="L576" s="36" t="e">
        <f>VLOOKUP(B576,辅助信息!E:J,6,FALSE)</f>
        <v>#N/A</v>
      </c>
      <c r="M576" s="88">
        <v>45711</v>
      </c>
      <c r="N576" s="19"/>
      <c r="O576" s="19">
        <f ca="1" t="shared" si="12"/>
        <v>0</v>
      </c>
      <c r="P576" s="19">
        <f ca="1" t="shared" si="14"/>
        <v>246</v>
      </c>
      <c r="Q576" s="19" t="e">
        <f>VLOOKUP(B576,辅助信息!E:M,9,FALSE)</f>
        <v>#N/A</v>
      </c>
      <c r="R576" s="19"/>
    </row>
    <row r="577" hidden="1" spans="1:18">
      <c r="A577" s="19"/>
      <c r="B577" s="33" t="s">
        <v>74</v>
      </c>
      <c r="C577" s="63">
        <v>45707</v>
      </c>
      <c r="D577" s="33" t="e">
        <f>VLOOKUP(B577,辅助信息!E:K,7,FALSE)</f>
        <v>#N/A</v>
      </c>
      <c r="E577" s="33" t="str">
        <f>VLOOKUP(F577,辅助信息!A:B,2,FALSE)</f>
        <v>螺纹钢</v>
      </c>
      <c r="F577" s="33" t="s">
        <v>33</v>
      </c>
      <c r="G577" s="33">
        <v>12</v>
      </c>
      <c r="H577" s="33" t="e">
        <f>_xlfn._xlws.FILTER('[1]2025年已发货'!$E:$E,'[1]2025年已发货'!$F:$F&amp;'[1]2025年已发货'!$C:$C&amp;'[1]2025年已发货'!$G:$G&amp;'[1]2025年已发货'!$H:$H=C577&amp;F577&amp;I577&amp;J577,"未发货")</f>
        <v>#N/A</v>
      </c>
      <c r="I577" s="33" t="e">
        <f>VLOOKUP(B577,辅助信息!E:I,3,FALSE)</f>
        <v>#N/A</v>
      </c>
      <c r="J577" s="33" t="e">
        <f>VLOOKUP(B577,辅助信息!E:I,4,FALSE)</f>
        <v>#N/A</v>
      </c>
      <c r="K577" s="33" t="e">
        <f>VLOOKUP(J577,辅助信息!H:I,2,FALSE)</f>
        <v>#N/A</v>
      </c>
      <c r="L577" s="71"/>
      <c r="M577" s="88">
        <v>45711</v>
      </c>
      <c r="N577" s="19"/>
      <c r="O577" s="19">
        <f ca="1" t="shared" si="12"/>
        <v>0</v>
      </c>
      <c r="P577" s="19">
        <f ca="1" t="shared" si="14"/>
        <v>246</v>
      </c>
      <c r="Q577" s="19" t="e">
        <f>VLOOKUP(B577,辅助信息!E:M,9,FALSE)</f>
        <v>#N/A</v>
      </c>
      <c r="R577" s="19"/>
    </row>
    <row r="578" hidden="1" spans="1:18">
      <c r="A578" s="19"/>
      <c r="B578" s="33" t="s">
        <v>74</v>
      </c>
      <c r="C578" s="63">
        <v>45707</v>
      </c>
      <c r="D578" s="33" t="e">
        <f>VLOOKUP(B578,辅助信息!E:K,7,FALSE)</f>
        <v>#N/A</v>
      </c>
      <c r="E578" s="33" t="str">
        <f>VLOOKUP(F578,辅助信息!A:B,2,FALSE)</f>
        <v>螺纹钢</v>
      </c>
      <c r="F578" s="33" t="s">
        <v>28</v>
      </c>
      <c r="G578" s="33">
        <v>12</v>
      </c>
      <c r="H578" s="33" t="e">
        <f>_xlfn._xlws.FILTER('[1]2025年已发货'!$E:$E,'[1]2025年已发货'!$F:$F&amp;'[1]2025年已发货'!$C:$C&amp;'[1]2025年已发货'!$G:$G&amp;'[1]2025年已发货'!$H:$H=C578&amp;F578&amp;I578&amp;J578,"未发货")</f>
        <v>#N/A</v>
      </c>
      <c r="I578" s="33" t="e">
        <f>VLOOKUP(B578,辅助信息!E:I,3,FALSE)</f>
        <v>#N/A</v>
      </c>
      <c r="J578" s="33" t="e">
        <f>VLOOKUP(B578,辅助信息!E:I,4,FALSE)</f>
        <v>#N/A</v>
      </c>
      <c r="K578" s="33" t="e">
        <f>VLOOKUP(J578,辅助信息!H:I,2,FALSE)</f>
        <v>#N/A</v>
      </c>
      <c r="L578" s="71"/>
      <c r="M578" s="88">
        <v>45711</v>
      </c>
      <c r="N578" s="19"/>
      <c r="O578" s="19">
        <f ca="1" t="shared" si="12"/>
        <v>0</v>
      </c>
      <c r="P578" s="19">
        <f ca="1" t="shared" si="14"/>
        <v>246</v>
      </c>
      <c r="Q578" s="19" t="e">
        <f>VLOOKUP(B578,辅助信息!E:M,9,FALSE)</f>
        <v>#N/A</v>
      </c>
      <c r="R578" s="19"/>
    </row>
    <row r="579" hidden="1" spans="1:18">
      <c r="A579" s="19"/>
      <c r="B579" s="33" t="s">
        <v>74</v>
      </c>
      <c r="C579" s="63">
        <v>45707</v>
      </c>
      <c r="D579" s="33" t="e">
        <f>VLOOKUP(B579,辅助信息!E:K,7,FALSE)</f>
        <v>#N/A</v>
      </c>
      <c r="E579" s="33" t="str">
        <f>VLOOKUP(F579,辅助信息!A:B,2,FALSE)</f>
        <v>螺纹钢</v>
      </c>
      <c r="F579" s="33" t="s">
        <v>18</v>
      </c>
      <c r="G579" s="33">
        <v>3</v>
      </c>
      <c r="H579" s="33" t="e">
        <f>_xlfn._xlws.FILTER('[1]2025年已发货'!$E:$E,'[1]2025年已发货'!$F:$F&amp;'[1]2025年已发货'!$C:$C&amp;'[1]2025年已发货'!$G:$G&amp;'[1]2025年已发货'!$H:$H=C579&amp;F579&amp;I579&amp;J579,"未发货")</f>
        <v>#N/A</v>
      </c>
      <c r="I579" s="33" t="e">
        <f>VLOOKUP(B579,辅助信息!E:I,3,FALSE)</f>
        <v>#N/A</v>
      </c>
      <c r="J579" s="33" t="e">
        <f>VLOOKUP(B579,辅助信息!E:I,4,FALSE)</f>
        <v>#N/A</v>
      </c>
      <c r="K579" s="33" t="e">
        <f>VLOOKUP(J579,辅助信息!H:I,2,FALSE)</f>
        <v>#N/A</v>
      </c>
      <c r="L579" s="69"/>
      <c r="M579" s="88">
        <v>45711</v>
      </c>
      <c r="N579" s="19"/>
      <c r="O579" s="19">
        <f ca="1" t="shared" si="12"/>
        <v>0</v>
      </c>
      <c r="P579" s="19">
        <f ca="1" t="shared" si="14"/>
        <v>246</v>
      </c>
      <c r="Q579" s="19" t="e">
        <f>VLOOKUP(B579,辅助信息!E:M,9,FALSE)</f>
        <v>#N/A</v>
      </c>
      <c r="R579" s="19"/>
    </row>
    <row r="580" hidden="1" spans="1:18">
      <c r="A580" s="89" t="s">
        <v>96</v>
      </c>
      <c r="B580" s="90" t="s">
        <v>88</v>
      </c>
      <c r="C580" s="63">
        <v>45707</v>
      </c>
      <c r="D580" s="33" t="str">
        <f>VLOOKUP(B580,辅助信息!E:K,7,FALSE)</f>
        <v>JWDDCD2025051000019</v>
      </c>
      <c r="E580" s="33" t="str">
        <f>VLOOKUP(F580,辅助信息!A:B,2,FALSE)</f>
        <v>高线</v>
      </c>
      <c r="F580" s="33" t="s">
        <v>57</v>
      </c>
      <c r="G580" s="33">
        <v>6</v>
      </c>
      <c r="H580" s="33" t="str">
        <f>_xlfn._xlws.FILTER('[1]2025年已发货'!$E:$E,'[1]2025年已发货'!$F:$F&amp;'[1]2025年已发货'!$C:$C&amp;'[1]2025年已发货'!$G:$G&amp;'[1]2025年已发货'!$H:$H=C580&amp;F580&amp;I580&amp;J580,"未发货")</f>
        <v>未发货</v>
      </c>
      <c r="I580" s="33" t="str">
        <f>VLOOKUP(B580,辅助信息!E:I,3,FALSE)</f>
        <v>(五冶钢构医学科学产业园建设项目房建二部-四标（5-4）)四川省南充市顺庆区搬罾街道学府大道二段</v>
      </c>
      <c r="J580" s="33" t="str">
        <f>VLOOKUP(B580,辅助信息!E:I,4,FALSE)</f>
        <v>安南</v>
      </c>
      <c r="K580" s="33">
        <f>VLOOKUP(J580,辅助信息!H:I,2,FALSE)</f>
        <v>19950525030</v>
      </c>
      <c r="L580" s="36" t="str">
        <f>VLOOKUP(B580,辅助信息!E:J,6,FALSE)</f>
        <v>送货单：送货单位：南充思临新材料科技有限公司,收货单位：五冶集团川北(南充)建设有限公司,项目名称：南充医学科学产业园,送货车型13米,装货前联系收货人核实到场规格</v>
      </c>
      <c r="M580" s="88">
        <v>45706</v>
      </c>
      <c r="N580" s="19"/>
      <c r="O580" s="19">
        <f ca="1" t="shared" si="12"/>
        <v>0</v>
      </c>
      <c r="P580" s="19">
        <f ca="1" t="shared" si="14"/>
        <v>251</v>
      </c>
      <c r="Q580" s="19" t="str">
        <f>VLOOKUP(B580,辅助信息!E:M,9,FALSE)</f>
        <v>ZTWM-CDGS-XS-2024-0248-五冶钢构-南充市医学院项目</v>
      </c>
      <c r="R580" s="19"/>
    </row>
    <row r="581" hidden="1" spans="1:18">
      <c r="A581" s="19"/>
      <c r="B581" s="90" t="s">
        <v>88</v>
      </c>
      <c r="C581" s="63">
        <v>45707</v>
      </c>
      <c r="D581" s="33" t="str">
        <f>VLOOKUP(B581,辅助信息!E:K,7,FALSE)</f>
        <v>JWDDCD2025051000019</v>
      </c>
      <c r="E581" s="33" t="str">
        <f>VLOOKUP(F581,辅助信息!A:B,2,FALSE)</f>
        <v>盘螺</v>
      </c>
      <c r="F581" s="33" t="s">
        <v>40</v>
      </c>
      <c r="G581" s="33">
        <v>14</v>
      </c>
      <c r="H581" s="33" t="str">
        <f>_xlfn._xlws.FILTER('[1]2025年已发货'!$E:$E,'[1]2025年已发货'!$F:$F&amp;'[1]2025年已发货'!$C:$C&amp;'[1]2025年已发货'!$G:$G&amp;'[1]2025年已发货'!$H:$H=C581&amp;F581&amp;I581&amp;J581,"未发货")</f>
        <v>未发货</v>
      </c>
      <c r="I581" s="33" t="str">
        <f>VLOOKUP(B581,辅助信息!E:I,3,FALSE)</f>
        <v>(五冶钢构医学科学产业园建设项目房建二部-四标（5-4）)四川省南充市顺庆区搬罾街道学府大道二段</v>
      </c>
      <c r="J581" s="33" t="str">
        <f>VLOOKUP(B581,辅助信息!E:I,4,FALSE)</f>
        <v>安南</v>
      </c>
      <c r="K581" s="33">
        <f>VLOOKUP(J581,辅助信息!H:I,2,FALSE)</f>
        <v>19950525030</v>
      </c>
      <c r="L581" s="71"/>
      <c r="M581" s="88">
        <v>45706</v>
      </c>
      <c r="N581" s="19"/>
      <c r="O581" s="19">
        <f ca="1" t="shared" si="12"/>
        <v>0</v>
      </c>
      <c r="P581" s="19">
        <f ca="1" t="shared" si="14"/>
        <v>251</v>
      </c>
      <c r="Q581" s="19" t="str">
        <f>VLOOKUP(B581,辅助信息!E:M,9,FALSE)</f>
        <v>ZTWM-CDGS-XS-2024-0248-五冶钢构-南充市医学院项目</v>
      </c>
      <c r="R581" s="19"/>
    </row>
    <row r="582" hidden="1" spans="1:18">
      <c r="A582" s="19"/>
      <c r="B582" s="90" t="s">
        <v>88</v>
      </c>
      <c r="C582" s="63">
        <v>45707</v>
      </c>
      <c r="D582" s="33" t="str">
        <f>VLOOKUP(B582,辅助信息!E:K,7,FALSE)</f>
        <v>JWDDCD2025051000019</v>
      </c>
      <c r="E582" s="33" t="str">
        <f>VLOOKUP(F582,辅助信息!A:B,2,FALSE)</f>
        <v>螺纹钢</v>
      </c>
      <c r="F582" s="33" t="s">
        <v>30</v>
      </c>
      <c r="G582" s="33">
        <v>3</v>
      </c>
      <c r="H582" s="33" t="str">
        <f>_xlfn._xlws.FILTER('[1]2025年已发货'!$E:$E,'[1]2025年已发货'!$F:$F&amp;'[1]2025年已发货'!$C:$C&amp;'[1]2025年已发货'!$G:$G&amp;'[1]2025年已发货'!$H:$H=C582&amp;F582&amp;I582&amp;J582,"未发货")</f>
        <v>未发货</v>
      </c>
      <c r="I582" s="33" t="str">
        <f>VLOOKUP(B582,辅助信息!E:I,3,FALSE)</f>
        <v>(五冶钢构医学科学产业园建设项目房建二部-四标（5-4）)四川省南充市顺庆区搬罾街道学府大道二段</v>
      </c>
      <c r="J582" s="33" t="str">
        <f>VLOOKUP(B582,辅助信息!E:I,4,FALSE)</f>
        <v>安南</v>
      </c>
      <c r="K582" s="33">
        <f>VLOOKUP(J582,辅助信息!H:I,2,FALSE)</f>
        <v>19950525030</v>
      </c>
      <c r="L582" s="71"/>
      <c r="M582" s="88">
        <v>45706</v>
      </c>
      <c r="N582" s="19"/>
      <c r="O582" s="19">
        <f ca="1" t="shared" si="12"/>
        <v>0</v>
      </c>
      <c r="P582" s="19">
        <f ca="1" t="shared" si="14"/>
        <v>251</v>
      </c>
      <c r="Q582" s="19" t="str">
        <f>VLOOKUP(B582,辅助信息!E:M,9,FALSE)</f>
        <v>ZTWM-CDGS-XS-2024-0248-五冶钢构-南充市医学院项目</v>
      </c>
      <c r="R582" s="19"/>
    </row>
    <row r="583" hidden="1" spans="1:18">
      <c r="A583" s="19"/>
      <c r="B583" s="90" t="s">
        <v>72</v>
      </c>
      <c r="C583" s="63">
        <v>45707</v>
      </c>
      <c r="D583" s="33" t="str">
        <f>VLOOKUP(B583,辅助信息!E:K,7,FALSE)</f>
        <v>JWDDCD2025051000019</v>
      </c>
      <c r="E583" s="33" t="str">
        <f>VLOOKUP(F583,辅助信息!A:B,2,FALSE)</f>
        <v>高线</v>
      </c>
      <c r="F583" s="33" t="s">
        <v>53</v>
      </c>
      <c r="G583" s="33">
        <v>6</v>
      </c>
      <c r="H583" s="33" t="str">
        <f>_xlfn._xlws.FILTER('[1]2025年已发货'!$E:$E,'[1]2025年已发货'!$F:$F&amp;'[1]2025年已发货'!$C:$C&amp;'[1]2025年已发货'!$G:$G&amp;'[1]2025年已发货'!$H:$H=C583&amp;F583&amp;I583&amp;J583,"未发货")</f>
        <v>未发货</v>
      </c>
      <c r="I583" s="33" t="str">
        <f>VLOOKUP(B583,辅助信息!E:I,3,FALSE)</f>
        <v>(五冶钢构医学科学产业园建设项目房建二部-网羽馆（6-5）)四川省南充市顺庆区搬罾街道学府大道二段</v>
      </c>
      <c r="J583" s="33" t="str">
        <f>VLOOKUP(B583,辅助信息!E:I,4,FALSE)</f>
        <v>安南</v>
      </c>
      <c r="K583" s="33">
        <f>VLOOKUP(J583,辅助信息!H:I,2,FALSE)</f>
        <v>19950525030</v>
      </c>
      <c r="L583" s="71"/>
      <c r="M583" s="88">
        <v>45708</v>
      </c>
      <c r="N583" s="19"/>
      <c r="O583" s="19">
        <f ca="1" t="shared" si="12"/>
        <v>0</v>
      </c>
      <c r="P583" s="19">
        <f ca="1" t="shared" si="14"/>
        <v>249</v>
      </c>
      <c r="Q583" s="19" t="str">
        <f>VLOOKUP(B583,辅助信息!E:M,9,FALSE)</f>
        <v>ZTWM-CDGS-XS-2024-0248-五冶钢构-南充市医学院项目</v>
      </c>
      <c r="R583" s="19"/>
    </row>
    <row r="584" hidden="1" spans="1:18">
      <c r="A584" s="19"/>
      <c r="B584" s="90" t="s">
        <v>72</v>
      </c>
      <c r="C584" s="63">
        <v>45707</v>
      </c>
      <c r="D584" s="33" t="str">
        <f>VLOOKUP(B584,辅助信息!E:K,7,FALSE)</f>
        <v>JWDDCD2025051000019</v>
      </c>
      <c r="E584" s="33" t="str">
        <f>VLOOKUP(F584,辅助信息!A:B,2,FALSE)</f>
        <v>螺纹钢</v>
      </c>
      <c r="F584" s="90" t="s">
        <v>19</v>
      </c>
      <c r="G584" s="33">
        <v>6</v>
      </c>
      <c r="H584" s="33" t="str">
        <f>_xlfn._xlws.FILTER('[1]2025年已发货'!$E:$E,'[1]2025年已发货'!$F:$F&amp;'[1]2025年已发货'!$C:$C&amp;'[1]2025年已发货'!$G:$G&amp;'[1]2025年已发货'!$H:$H=C584&amp;F584&amp;I584&amp;J584,"未发货")</f>
        <v>未发货</v>
      </c>
      <c r="I584" s="33" t="str">
        <f>VLOOKUP(B584,辅助信息!E:I,3,FALSE)</f>
        <v>(五冶钢构医学科学产业园建设项目房建二部-网羽馆（6-5）)四川省南充市顺庆区搬罾街道学府大道二段</v>
      </c>
      <c r="J584" s="33" t="str">
        <f>VLOOKUP(B584,辅助信息!E:I,4,FALSE)</f>
        <v>安南</v>
      </c>
      <c r="K584" s="33">
        <f>VLOOKUP(J584,辅助信息!H:I,2,FALSE)</f>
        <v>19950525030</v>
      </c>
      <c r="L584" s="69"/>
      <c r="M584" s="88">
        <v>45708</v>
      </c>
      <c r="N584" s="19"/>
      <c r="O584" s="19">
        <f ca="1" t="shared" si="12"/>
        <v>0</v>
      </c>
      <c r="P584" s="19">
        <f ca="1" t="shared" si="14"/>
        <v>249</v>
      </c>
      <c r="Q584" s="19" t="str">
        <f>VLOOKUP(B584,辅助信息!E:M,9,FALSE)</f>
        <v>ZTWM-CDGS-XS-2024-0248-五冶钢构-南充市医学院项目</v>
      </c>
      <c r="R584" s="19"/>
    </row>
    <row r="585" hidden="1" spans="1:18">
      <c r="A585" s="19"/>
      <c r="B585" s="33" t="s">
        <v>89</v>
      </c>
      <c r="C585" s="63">
        <v>45707</v>
      </c>
      <c r="D585" s="33" t="str">
        <f>VLOOKUP(B585,辅助信息!E:K,7,FALSE)</f>
        <v>JWDDCD2025051000019</v>
      </c>
      <c r="E585" s="33" t="str">
        <f>VLOOKUP(F585,辅助信息!A:B,2,FALSE)</f>
        <v>螺纹钢</v>
      </c>
      <c r="F585" s="33" t="s">
        <v>32</v>
      </c>
      <c r="G585" s="33">
        <f>130-70</f>
        <v>60</v>
      </c>
      <c r="H585" s="33">
        <f>_xlfn._xlws.FILTER('[1]2025年已发货'!$E:$E,'[1]2025年已发货'!$F:$F&amp;'[1]2025年已发货'!$C:$C&amp;'[1]2025年已发货'!$G:$G&amp;'[1]2025年已发货'!$H:$H=C585&amp;F585&amp;I585&amp;J585,"未发货")</f>
        <v>45</v>
      </c>
      <c r="I585" s="33" t="str">
        <f>VLOOKUP(B585,辅助信息!E:I,3,FALSE)</f>
        <v>(五冶钢构医学科学产业园建设项目房建三部-排洪渠)四川省南充市顺庆区搬罾街道学府大道二段</v>
      </c>
      <c r="J585" s="33" t="str">
        <f>VLOOKUP(B585,辅助信息!E:I,4,FALSE)</f>
        <v>郑林</v>
      </c>
      <c r="K585" s="33">
        <f>VLOOKUP(J585,辅助信息!H:I,2,FALSE)</f>
        <v>18349955455</v>
      </c>
      <c r="L585" s="36" t="str">
        <f>VLOOKUP(B585,辅助信息!E:J,6,FALSE)</f>
        <v>送货单：送货单位：南充思临新材料科技有限公司,收货单位：五冶集团川北(南充)建设有限公司,项目名称：南充医学科学产业园,送货车型13米,装货前联系收货人核实到场规格</v>
      </c>
      <c r="M585" s="88">
        <v>45708</v>
      </c>
      <c r="N585" s="19"/>
      <c r="O585" s="19">
        <f ca="1" t="shared" si="12"/>
        <v>0</v>
      </c>
      <c r="P585" s="19">
        <f ca="1" t="shared" si="14"/>
        <v>249</v>
      </c>
      <c r="Q585" s="19" t="str">
        <f>VLOOKUP(B585,辅助信息!E:M,9,FALSE)</f>
        <v>ZTWM-CDGS-XS-2024-0248-五冶钢构-南充市医学院项目</v>
      </c>
      <c r="R585" s="19"/>
    </row>
    <row r="586" hidden="1" spans="1:18">
      <c r="A586" s="19"/>
      <c r="B586" s="33" t="s">
        <v>89</v>
      </c>
      <c r="C586" s="63">
        <v>45707</v>
      </c>
      <c r="D586" s="33" t="str">
        <f>VLOOKUP(B586,辅助信息!E:K,7,FALSE)</f>
        <v>JWDDCD2025051000019</v>
      </c>
      <c r="E586" s="33" t="str">
        <f>VLOOKUP(F586,辅助信息!A:B,2,FALSE)</f>
        <v>螺纹钢</v>
      </c>
      <c r="F586" s="33" t="s">
        <v>18</v>
      </c>
      <c r="G586" s="33">
        <v>25</v>
      </c>
      <c r="H586" s="33" t="str">
        <f>_xlfn._xlws.FILTER('[1]2025年已发货'!$E:$E,'[1]2025年已发货'!$F:$F&amp;'[1]2025年已发货'!$C:$C&amp;'[1]2025年已发货'!$G:$G&amp;'[1]2025年已发货'!$H:$H=C586&amp;F586&amp;I586&amp;J586,"未发货")</f>
        <v>未发货</v>
      </c>
      <c r="I586" s="33" t="str">
        <f>VLOOKUP(B586,辅助信息!E:I,3,FALSE)</f>
        <v>(五冶钢构医学科学产业园建设项目房建三部-排洪渠)四川省南充市顺庆区搬罾街道学府大道二段</v>
      </c>
      <c r="J586" s="33" t="str">
        <f>VLOOKUP(B586,辅助信息!E:I,4,FALSE)</f>
        <v>郑林</v>
      </c>
      <c r="K586" s="33">
        <f>VLOOKUP(J586,辅助信息!H:I,2,FALSE)</f>
        <v>18349955455</v>
      </c>
      <c r="L586" s="71"/>
      <c r="M586" s="88">
        <v>45708</v>
      </c>
      <c r="N586" s="19"/>
      <c r="O586" s="19">
        <f ca="1" t="shared" si="12"/>
        <v>0</v>
      </c>
      <c r="P586" s="19">
        <f ca="1" t="shared" si="14"/>
        <v>249</v>
      </c>
      <c r="Q586" s="19" t="str">
        <f>VLOOKUP(B586,辅助信息!E:M,9,FALSE)</f>
        <v>ZTWM-CDGS-XS-2024-0248-五冶钢构-南充市医学院项目</v>
      </c>
      <c r="R586" s="19"/>
    </row>
    <row r="587" hidden="1" spans="1:18">
      <c r="A587" s="19"/>
      <c r="B587" s="33" t="s">
        <v>89</v>
      </c>
      <c r="C587" s="63">
        <v>45707</v>
      </c>
      <c r="D587" s="33" t="str">
        <f>VLOOKUP(B587,辅助信息!E:K,7,FALSE)</f>
        <v>JWDDCD2025051000019</v>
      </c>
      <c r="E587" s="33" t="str">
        <f>VLOOKUP(F587,辅助信息!A:B,2,FALSE)</f>
        <v>螺纹钢</v>
      </c>
      <c r="F587" s="33" t="s">
        <v>91</v>
      </c>
      <c r="G587" s="33">
        <v>25</v>
      </c>
      <c r="H587" s="33">
        <f>_xlfn._xlws.FILTER('[1]2025年已发货'!$E:$E,'[1]2025年已发货'!$F:$F&amp;'[1]2025年已发货'!$C:$C&amp;'[1]2025年已发货'!$G:$G&amp;'[1]2025年已发货'!$H:$H=C587&amp;F587&amp;I587&amp;J587,"未发货")</f>
        <v>25</v>
      </c>
      <c r="I587" s="33" t="str">
        <f>VLOOKUP(B587,辅助信息!E:I,3,FALSE)</f>
        <v>(五冶钢构医学科学产业园建设项目房建三部-排洪渠)四川省南充市顺庆区搬罾街道学府大道二段</v>
      </c>
      <c r="J587" s="33" t="str">
        <f>VLOOKUP(B587,辅助信息!E:I,4,FALSE)</f>
        <v>郑林</v>
      </c>
      <c r="K587" s="33">
        <f>VLOOKUP(J587,辅助信息!H:I,2,FALSE)</f>
        <v>18349955455</v>
      </c>
      <c r="L587" s="71"/>
      <c r="M587" s="88">
        <v>45708</v>
      </c>
      <c r="N587" s="19"/>
      <c r="O587" s="19">
        <f ca="1" t="shared" si="12"/>
        <v>0</v>
      </c>
      <c r="P587" s="19">
        <f ca="1" t="shared" si="14"/>
        <v>249</v>
      </c>
      <c r="Q587" s="19" t="str">
        <f>VLOOKUP(B587,辅助信息!E:M,9,FALSE)</f>
        <v>ZTWM-CDGS-XS-2024-0248-五冶钢构-南充市医学院项目</v>
      </c>
      <c r="R587" s="19"/>
    </row>
    <row r="588" hidden="1" spans="1:18">
      <c r="A588" s="64" t="s">
        <v>97</v>
      </c>
      <c r="B588" s="33" t="s">
        <v>98</v>
      </c>
      <c r="C588" s="63">
        <v>45707</v>
      </c>
      <c r="D588" s="33" t="e">
        <f>VLOOKUP(B588,辅助信息!E:K,7,FALSE)</f>
        <v>#N/A</v>
      </c>
      <c r="E588" s="33" t="str">
        <f>VLOOKUP(F588,辅助信息!A:B,2,FALSE)</f>
        <v>高线</v>
      </c>
      <c r="F588" s="33" t="s">
        <v>51</v>
      </c>
      <c r="G588" s="29">
        <v>10</v>
      </c>
      <c r="H588" s="29" t="e">
        <f>_xlfn._xlws.FILTER('[1]2025年已发货'!$E:$E,'[1]2025年已发货'!$F:$F&amp;'[1]2025年已发货'!$C:$C&amp;'[1]2025年已发货'!$G:$G&amp;'[1]2025年已发货'!$H:$H=C588&amp;F588&amp;I588&amp;J588,"未发货")</f>
        <v>#N/A</v>
      </c>
      <c r="I588" s="33" t="e">
        <f>VLOOKUP(B588,辅助信息!E:I,3,FALSE)</f>
        <v>#N/A</v>
      </c>
      <c r="J588" s="33" t="e">
        <f>VLOOKUP(B588,辅助信息!E:I,4,FALSE)</f>
        <v>#N/A</v>
      </c>
      <c r="K588" s="33" t="e">
        <f>VLOOKUP(J588,辅助信息!H:I,2,FALSE)</f>
        <v>#N/A</v>
      </c>
      <c r="L588" s="71"/>
      <c r="M588" s="84">
        <v>45709</v>
      </c>
      <c r="N588" s="50"/>
      <c r="O588" s="55">
        <f ca="1" t="shared" si="12"/>
        <v>0</v>
      </c>
      <c r="P588" s="55">
        <f ca="1" t="shared" si="14"/>
        <v>248</v>
      </c>
      <c r="Q588" s="19" t="e">
        <f>VLOOKUP(B588,辅助信息!E:M,9,FALSE)</f>
        <v>#N/A</v>
      </c>
      <c r="R588" s="19"/>
    </row>
    <row r="589" hidden="1" spans="2:18">
      <c r="B589" s="33" t="s">
        <v>99</v>
      </c>
      <c r="C589" s="63">
        <v>45707</v>
      </c>
      <c r="D589" s="33" t="e">
        <f>VLOOKUP(B589,辅助信息!E:K,7,FALSE)</f>
        <v>#N/A</v>
      </c>
      <c r="E589" s="33" t="str">
        <f>VLOOKUP(F589,辅助信息!A:B,2,FALSE)</f>
        <v>高线</v>
      </c>
      <c r="F589" s="33" t="s">
        <v>53</v>
      </c>
      <c r="G589" s="29">
        <v>2.5</v>
      </c>
      <c r="H589" s="29" t="e">
        <f>_xlfn._xlws.FILTER('[1]2025年已发货'!$E:$E,'[1]2025年已发货'!$F:$F&amp;'[1]2025年已发货'!$C:$C&amp;'[1]2025年已发货'!$G:$G&amp;'[1]2025年已发货'!$H:$H=C589&amp;F589&amp;I589&amp;J589,"未发货")</f>
        <v>#N/A</v>
      </c>
      <c r="I589" s="33" t="e">
        <f>VLOOKUP(B589,辅助信息!E:I,3,FALSE)</f>
        <v>#N/A</v>
      </c>
      <c r="J589" s="33" t="e">
        <f>VLOOKUP(B589,辅助信息!E:I,4,FALSE)</f>
        <v>#N/A</v>
      </c>
      <c r="K589" s="33" t="e">
        <f>VLOOKUP(J589,辅助信息!H:I,2,FALSE)</f>
        <v>#N/A</v>
      </c>
      <c r="L589" s="71"/>
      <c r="M589" s="84">
        <v>45709</v>
      </c>
      <c r="N589" s="50"/>
      <c r="O589" s="55">
        <f ca="1" t="shared" si="12"/>
        <v>0</v>
      </c>
      <c r="P589" s="55">
        <f ca="1" t="shared" si="14"/>
        <v>248</v>
      </c>
      <c r="Q589" s="19" t="e">
        <f>VLOOKUP(B589,辅助信息!E:M,9,FALSE)</f>
        <v>#N/A</v>
      </c>
      <c r="R589" s="19"/>
    </row>
    <row r="590" hidden="1" spans="2:18">
      <c r="B590" s="33" t="s">
        <v>99</v>
      </c>
      <c r="C590" s="63">
        <v>45707</v>
      </c>
      <c r="D590" s="33" t="e">
        <f>VLOOKUP(B590,辅助信息!E:K,7,FALSE)</f>
        <v>#N/A</v>
      </c>
      <c r="E590" s="33" t="str">
        <f>VLOOKUP(F590,辅助信息!A:B,2,FALSE)</f>
        <v>高线</v>
      </c>
      <c r="F590" s="33" t="s">
        <v>51</v>
      </c>
      <c r="G590" s="29">
        <v>2.5</v>
      </c>
      <c r="H590" s="29" t="e">
        <f>_xlfn._xlws.FILTER('[1]2025年已发货'!$E:$E,'[1]2025年已发货'!$F:$F&amp;'[1]2025年已发货'!$C:$C&amp;'[1]2025年已发货'!$G:$G&amp;'[1]2025年已发货'!$H:$H=C590&amp;F590&amp;I590&amp;J590,"未发货")</f>
        <v>#N/A</v>
      </c>
      <c r="I590" s="33" t="e">
        <f>VLOOKUP(B590,辅助信息!E:I,3,FALSE)</f>
        <v>#N/A</v>
      </c>
      <c r="J590" s="33" t="e">
        <f>VLOOKUP(B590,辅助信息!E:I,4,FALSE)</f>
        <v>#N/A</v>
      </c>
      <c r="K590" s="33" t="e">
        <f>VLOOKUP(J590,辅助信息!H:I,2,FALSE)</f>
        <v>#N/A</v>
      </c>
      <c r="L590" s="71"/>
      <c r="M590" s="84">
        <v>45709</v>
      </c>
      <c r="N590" s="50"/>
      <c r="O590" s="55">
        <f ca="1" t="shared" si="12"/>
        <v>0</v>
      </c>
      <c r="P590" s="55">
        <f ca="1" t="shared" si="14"/>
        <v>248</v>
      </c>
      <c r="Q590" s="19" t="e">
        <f>VLOOKUP(B590,辅助信息!E:M,9,FALSE)</f>
        <v>#N/A</v>
      </c>
      <c r="R590" s="19"/>
    </row>
    <row r="591" hidden="1" spans="2:18">
      <c r="B591" s="33" t="s">
        <v>99</v>
      </c>
      <c r="C591" s="63">
        <v>45707</v>
      </c>
      <c r="D591" s="33" t="e">
        <f>VLOOKUP(B591,辅助信息!E:K,7,FALSE)</f>
        <v>#N/A</v>
      </c>
      <c r="E591" s="33" t="str">
        <f>VLOOKUP(F591,辅助信息!A:B,2,FALSE)</f>
        <v>螺纹钢</v>
      </c>
      <c r="F591" s="33" t="s">
        <v>27</v>
      </c>
      <c r="G591" s="29">
        <v>3</v>
      </c>
      <c r="H591" s="29" t="e">
        <f>_xlfn._xlws.FILTER('[1]2025年已发货'!$E:$E,'[1]2025年已发货'!$F:$F&amp;'[1]2025年已发货'!$C:$C&amp;'[1]2025年已发货'!$G:$G&amp;'[1]2025年已发货'!$H:$H=C591&amp;F591&amp;I591&amp;J591,"未发货")</f>
        <v>#N/A</v>
      </c>
      <c r="I591" s="33" t="e">
        <f>VLOOKUP(B591,辅助信息!E:I,3,FALSE)</f>
        <v>#N/A</v>
      </c>
      <c r="J591" s="33" t="e">
        <f>VLOOKUP(B591,辅助信息!E:I,4,FALSE)</f>
        <v>#N/A</v>
      </c>
      <c r="K591" s="33" t="e">
        <f>VLOOKUP(J591,辅助信息!H:I,2,FALSE)</f>
        <v>#N/A</v>
      </c>
      <c r="L591" s="71"/>
      <c r="M591" s="84">
        <v>45709</v>
      </c>
      <c r="N591" s="50"/>
      <c r="O591" s="55">
        <f ca="1" t="shared" si="12"/>
        <v>0</v>
      </c>
      <c r="P591" s="55">
        <f ca="1" t="shared" si="14"/>
        <v>248</v>
      </c>
      <c r="Q591" s="19" t="e">
        <f>VLOOKUP(B591,辅助信息!E:M,9,FALSE)</f>
        <v>#N/A</v>
      </c>
      <c r="R591" s="19"/>
    </row>
    <row r="592" hidden="1" spans="2:18">
      <c r="B592" s="33" t="s">
        <v>99</v>
      </c>
      <c r="C592" s="63">
        <v>45707</v>
      </c>
      <c r="D592" s="33" t="e">
        <f>VLOOKUP(B592,辅助信息!E:K,7,FALSE)</f>
        <v>#N/A</v>
      </c>
      <c r="E592" s="33" t="str">
        <f>VLOOKUP(F592,辅助信息!A:B,2,FALSE)</f>
        <v>螺纹钢</v>
      </c>
      <c r="F592" s="33" t="s">
        <v>19</v>
      </c>
      <c r="G592" s="29">
        <v>3</v>
      </c>
      <c r="H592" s="29" t="e">
        <f>_xlfn._xlws.FILTER('[1]2025年已发货'!$E:$E,'[1]2025年已发货'!$F:$F&amp;'[1]2025年已发货'!$C:$C&amp;'[1]2025年已发货'!$G:$G&amp;'[1]2025年已发货'!$H:$H=C592&amp;F592&amp;I592&amp;J592,"未发货")</f>
        <v>#N/A</v>
      </c>
      <c r="I592" s="33" t="e">
        <f>VLOOKUP(B592,辅助信息!E:I,3,FALSE)</f>
        <v>#N/A</v>
      </c>
      <c r="J592" s="33" t="e">
        <f>VLOOKUP(B592,辅助信息!E:I,4,FALSE)</f>
        <v>#N/A</v>
      </c>
      <c r="K592" s="33" t="e">
        <f>VLOOKUP(J592,辅助信息!H:I,2,FALSE)</f>
        <v>#N/A</v>
      </c>
      <c r="L592" s="71"/>
      <c r="M592" s="84">
        <v>45709</v>
      </c>
      <c r="N592" s="50"/>
      <c r="O592" s="55">
        <f ca="1" t="shared" si="12"/>
        <v>0</v>
      </c>
      <c r="P592" s="55">
        <f ca="1" t="shared" si="14"/>
        <v>248</v>
      </c>
      <c r="Q592" s="19" t="e">
        <f>VLOOKUP(B592,辅助信息!E:M,9,FALSE)</f>
        <v>#N/A</v>
      </c>
      <c r="R592" s="19"/>
    </row>
    <row r="593" hidden="1" spans="2:18">
      <c r="B593" s="33" t="s">
        <v>99</v>
      </c>
      <c r="C593" s="63">
        <v>45707</v>
      </c>
      <c r="D593" s="33" t="e">
        <f>VLOOKUP(B593,辅助信息!E:K,7,FALSE)</f>
        <v>#N/A</v>
      </c>
      <c r="E593" s="33" t="str">
        <f>VLOOKUP(F593,辅助信息!A:B,2,FALSE)</f>
        <v>螺纹钢</v>
      </c>
      <c r="F593" s="33" t="s">
        <v>32</v>
      </c>
      <c r="G593" s="29">
        <v>3</v>
      </c>
      <c r="H593" s="29" t="e">
        <f>_xlfn._xlws.FILTER('[1]2025年已发货'!$E:$E,'[1]2025年已发货'!$F:$F&amp;'[1]2025年已发货'!$C:$C&amp;'[1]2025年已发货'!$G:$G&amp;'[1]2025年已发货'!$H:$H=C593&amp;F593&amp;I593&amp;J593,"未发货")</f>
        <v>#N/A</v>
      </c>
      <c r="I593" s="33" t="e">
        <f>VLOOKUP(B593,辅助信息!E:I,3,FALSE)</f>
        <v>#N/A</v>
      </c>
      <c r="J593" s="33" t="e">
        <f>VLOOKUP(B593,辅助信息!E:I,4,FALSE)</f>
        <v>#N/A</v>
      </c>
      <c r="K593" s="33" t="e">
        <f>VLOOKUP(J593,辅助信息!H:I,2,FALSE)</f>
        <v>#N/A</v>
      </c>
      <c r="L593" s="69"/>
      <c r="M593" s="84">
        <v>45709</v>
      </c>
      <c r="N593" s="50"/>
      <c r="O593" s="55">
        <f ca="1" t="shared" si="12"/>
        <v>0</v>
      </c>
      <c r="P593" s="55">
        <f ca="1" t="shared" si="14"/>
        <v>248</v>
      </c>
      <c r="Q593" s="19" t="e">
        <f>VLOOKUP(B593,辅助信息!E:M,9,FALSE)</f>
        <v>#N/A</v>
      </c>
      <c r="R593" s="19"/>
    </row>
    <row r="594" hidden="1" spans="1:18">
      <c r="A594" s="19"/>
      <c r="B594" s="33" t="s">
        <v>48</v>
      </c>
      <c r="C594" s="63">
        <v>45707</v>
      </c>
      <c r="D594" s="33" t="str">
        <f>VLOOKUP(B594,辅助信息!E:K,7,FALSE)</f>
        <v>ZTWM-CDGS-YL-20240529-006</v>
      </c>
      <c r="E594" s="33" t="str">
        <f>VLOOKUP(F594,辅助信息!A:B,2,FALSE)</f>
        <v>盘螺</v>
      </c>
      <c r="F594" s="33" t="s">
        <v>40</v>
      </c>
      <c r="G594" s="33">
        <v>10</v>
      </c>
      <c r="H594" s="33">
        <f>_xlfn._xlws.FILTER('[1]2025年已发货'!$E:$E,'[1]2025年已发货'!$F:$F&amp;'[1]2025年已发货'!$C:$C&amp;'[1]2025年已发货'!$G:$G&amp;'[1]2025年已发货'!$H:$H=C594&amp;F594&amp;I594&amp;J594,"未发货")</f>
        <v>10</v>
      </c>
      <c r="I594" s="33" t="str">
        <f>VLOOKUP(B594,辅助信息!E:I,3,FALSE)</f>
        <v>(华西颐海-科创农业生态谷-1号钢筋房)成都市简阳市白金山水库</v>
      </c>
      <c r="J594" s="33" t="str">
        <f>VLOOKUP(B594,辅助信息!E:I,4,FALSE)</f>
        <v>石清国</v>
      </c>
      <c r="K594" s="33">
        <f>VLOOKUP(J594,辅助信息!H:I,2,FALSE)</f>
        <v>13458642015</v>
      </c>
      <c r="L594" s="36" t="str">
        <f>VLOOKUP(B594,辅助信息!E:J,6,FALSE)</f>
        <v>优先威钢,我方卸车,新老国标钢厂不加价可直发</v>
      </c>
      <c r="M594" s="88">
        <v>45708</v>
      </c>
      <c r="N594" s="19"/>
      <c r="O594" s="19">
        <f ca="1" t="shared" ref="O594:O624" si="15">IF(OR(M594="",N594&lt;&gt;""),"",MAX(M594-TODAY(),0))</f>
        <v>0</v>
      </c>
      <c r="P594" s="19">
        <f ca="1" t="shared" si="14"/>
        <v>249</v>
      </c>
      <c r="Q594" s="19" t="str">
        <f>VLOOKUP(B594,辅助信息!E:M,9,FALSE)</f>
        <v>ZTWM-CDGS-XS-2024-0093-华西-颐海科创农业生态谷</v>
      </c>
      <c r="R594" s="19"/>
    </row>
    <row r="595" hidden="1" spans="1:18">
      <c r="A595" s="19"/>
      <c r="B595" s="33" t="s">
        <v>48</v>
      </c>
      <c r="C595" s="63">
        <v>45707</v>
      </c>
      <c r="D595" s="33" t="str">
        <f>VLOOKUP(B595,辅助信息!E:K,7,FALSE)</f>
        <v>ZTWM-CDGS-YL-20240529-006</v>
      </c>
      <c r="E595" s="33" t="str">
        <f>VLOOKUP(F595,辅助信息!A:B,2,FALSE)</f>
        <v>盘螺</v>
      </c>
      <c r="F595" s="33" t="s">
        <v>41</v>
      </c>
      <c r="G595" s="33">
        <v>10</v>
      </c>
      <c r="H595" s="33">
        <f>_xlfn._xlws.FILTER('[1]2025年已发货'!$E:$E,'[1]2025年已发货'!$F:$F&amp;'[1]2025年已发货'!$C:$C&amp;'[1]2025年已发货'!$G:$G&amp;'[1]2025年已发货'!$H:$H=C595&amp;F595&amp;I595&amp;J595,"未发货")</f>
        <v>10</v>
      </c>
      <c r="I595" s="33" t="str">
        <f>VLOOKUP(B595,辅助信息!E:I,3,FALSE)</f>
        <v>(华西颐海-科创农业生态谷-1号钢筋房)成都市简阳市白金山水库</v>
      </c>
      <c r="J595" s="33" t="str">
        <f>VLOOKUP(B595,辅助信息!E:I,4,FALSE)</f>
        <v>石清国</v>
      </c>
      <c r="K595" s="33">
        <f>VLOOKUP(J595,辅助信息!H:I,2,FALSE)</f>
        <v>13458642015</v>
      </c>
      <c r="L595" s="71"/>
      <c r="M595" s="88">
        <v>45708</v>
      </c>
      <c r="N595" s="19"/>
      <c r="O595" s="19">
        <f ca="1" t="shared" si="15"/>
        <v>0</v>
      </c>
      <c r="P595" s="19">
        <f ca="1" t="shared" si="14"/>
        <v>249</v>
      </c>
      <c r="Q595" s="19" t="str">
        <f>VLOOKUP(B595,辅助信息!E:M,9,FALSE)</f>
        <v>ZTWM-CDGS-XS-2024-0093-华西-颐海科创农业生态谷</v>
      </c>
      <c r="R595" s="19"/>
    </row>
    <row r="596" hidden="1" spans="1:18">
      <c r="A596" s="19"/>
      <c r="B596" s="33" t="s">
        <v>48</v>
      </c>
      <c r="C596" s="63">
        <v>45707</v>
      </c>
      <c r="D596" s="33" t="str">
        <f>VLOOKUP(B596,辅助信息!E:K,7,FALSE)</f>
        <v>ZTWM-CDGS-YL-20240529-006</v>
      </c>
      <c r="E596" s="33" t="str">
        <f>VLOOKUP(F596,辅助信息!A:B,2,FALSE)</f>
        <v>螺纹钢</v>
      </c>
      <c r="F596" s="33" t="s">
        <v>66</v>
      </c>
      <c r="G596" s="33">
        <v>12</v>
      </c>
      <c r="H596" s="33">
        <f>_xlfn._xlws.FILTER('[1]2025年已发货'!$E:$E,'[1]2025年已发货'!$F:$F&amp;'[1]2025年已发货'!$C:$C&amp;'[1]2025年已发货'!$G:$G&amp;'[1]2025年已发货'!$H:$H=C596&amp;F596&amp;I596&amp;J596,"未发货")</f>
        <v>17</v>
      </c>
      <c r="I596" s="33" t="str">
        <f>VLOOKUP(B596,辅助信息!E:I,3,FALSE)</f>
        <v>(华西颐海-科创农业生态谷-1号钢筋房)成都市简阳市白金山水库</v>
      </c>
      <c r="J596" s="33" t="str">
        <f>VLOOKUP(B596,辅助信息!E:I,4,FALSE)</f>
        <v>石清国</v>
      </c>
      <c r="K596" s="33">
        <f>VLOOKUP(J596,辅助信息!H:I,2,FALSE)</f>
        <v>13458642015</v>
      </c>
      <c r="L596" s="71"/>
      <c r="M596" s="88">
        <v>45708</v>
      </c>
      <c r="N596" s="19"/>
      <c r="O596" s="19">
        <f ca="1" t="shared" si="15"/>
        <v>0</v>
      </c>
      <c r="P596" s="19">
        <f ca="1" t="shared" si="14"/>
        <v>249</v>
      </c>
      <c r="Q596" s="19" t="str">
        <f>VLOOKUP(B596,辅助信息!E:M,9,FALSE)</f>
        <v>ZTWM-CDGS-XS-2024-0093-华西-颐海科创农业生态谷</v>
      </c>
      <c r="R596" s="19"/>
    </row>
    <row r="597" hidden="1" spans="1:18">
      <c r="A597" s="19"/>
      <c r="B597" s="33" t="s">
        <v>48</v>
      </c>
      <c r="C597" s="63">
        <v>45707</v>
      </c>
      <c r="D597" s="33" t="str">
        <f>VLOOKUP(B597,辅助信息!E:K,7,FALSE)</f>
        <v>ZTWM-CDGS-YL-20240529-006</v>
      </c>
      <c r="E597" s="33" t="str">
        <f>VLOOKUP(F597,辅助信息!A:B,2,FALSE)</f>
        <v>螺纹钢</v>
      </c>
      <c r="F597" s="33" t="s">
        <v>22</v>
      </c>
      <c r="G597" s="33">
        <v>6</v>
      </c>
      <c r="H597" s="33">
        <f>_xlfn._xlws.FILTER('[1]2025年已发货'!$E:$E,'[1]2025年已发货'!$F:$F&amp;'[1]2025年已发货'!$C:$C&amp;'[1]2025年已发货'!$G:$G&amp;'[1]2025年已发货'!$H:$H=C597&amp;F597&amp;I597&amp;J597,"未发货")</f>
        <v>6</v>
      </c>
      <c r="I597" s="33" t="str">
        <f>VLOOKUP(B597,辅助信息!E:I,3,FALSE)</f>
        <v>(华西颐海-科创农业生态谷-1号钢筋房)成都市简阳市白金山水库</v>
      </c>
      <c r="J597" s="33" t="str">
        <f>VLOOKUP(B597,辅助信息!E:I,4,FALSE)</f>
        <v>石清国</v>
      </c>
      <c r="K597" s="33">
        <f>VLOOKUP(J597,辅助信息!H:I,2,FALSE)</f>
        <v>13458642015</v>
      </c>
      <c r="L597" s="69"/>
      <c r="M597" s="88">
        <v>45708</v>
      </c>
      <c r="N597" s="19"/>
      <c r="O597" s="19">
        <f ca="1" t="shared" si="15"/>
        <v>0</v>
      </c>
      <c r="P597" s="19">
        <f ca="1" t="shared" si="14"/>
        <v>249</v>
      </c>
      <c r="Q597" s="19" t="str">
        <f>VLOOKUP(B597,辅助信息!E:M,9,FALSE)</f>
        <v>ZTWM-CDGS-XS-2024-0093-华西-颐海科创农业生态谷</v>
      </c>
      <c r="R597" s="19"/>
    </row>
    <row r="598" hidden="1" spans="1:18">
      <c r="A598" s="55"/>
      <c r="B598" s="33" t="s">
        <v>31</v>
      </c>
      <c r="C598" s="63">
        <v>45707</v>
      </c>
      <c r="D598" s="33" t="str">
        <f>VLOOKUP(B598,辅助信息!E:K,7,FALSE)</f>
        <v>JWDDCD2024121000136</v>
      </c>
      <c r="E598" s="33" t="str">
        <f>VLOOKUP(F598,辅助信息!A:B,2,FALSE)</f>
        <v>盘螺</v>
      </c>
      <c r="F598" s="33" t="s">
        <v>49</v>
      </c>
      <c r="G598" s="29">
        <v>9</v>
      </c>
      <c r="H598" s="29" t="str">
        <f>_xlfn._xlws.FILTER('[1]2025年已发货'!$E:$E,'[1]2025年已发货'!$F:$F&amp;'[1]2025年已发货'!$C:$C&amp;'[1]2025年已发货'!$G:$G&amp;'[1]2025年已发货'!$H:$H=C598&amp;F598&amp;I598&amp;J598,"未发货")</f>
        <v>未发货</v>
      </c>
      <c r="I598" s="33" t="str">
        <f>VLOOKUP(B598,辅助信息!E:I,3,FALSE)</f>
        <v>（四川商建-射洪城乡一体化项目）遂宁市射洪市忠新幼儿园北侧约220米新溪小区</v>
      </c>
      <c r="J598" s="33" t="str">
        <f>VLOOKUP(B598,辅助信息!E:I,4,FALSE)</f>
        <v>柏子刚</v>
      </c>
      <c r="K598" s="33">
        <f>VLOOKUP(J598,辅助信息!H:I,2,FALSE)</f>
        <v>15692885305</v>
      </c>
      <c r="L598" s="36" t="str">
        <f>VLOOKUP(B598,辅助信息!E:J,6,FALSE)</f>
        <v>提前联系到场规格及数量</v>
      </c>
      <c r="M598" s="84">
        <v>45708</v>
      </c>
      <c r="O598" s="55">
        <f ca="1" t="shared" si="15"/>
        <v>0</v>
      </c>
      <c r="P598" s="55">
        <f ca="1" t="shared" si="14"/>
        <v>249</v>
      </c>
      <c r="Q598" s="19" t="str">
        <f>VLOOKUP(B598,辅助信息!E:M,9,FALSE)</f>
        <v>ZTWM-CDGS-XS-2024-0179-四川商投-射洪城乡一体化建设项目</v>
      </c>
      <c r="R598" s="19"/>
    </row>
    <row r="599" hidden="1" spans="1:18">
      <c r="A599" s="55"/>
      <c r="B599" s="33" t="s">
        <v>31</v>
      </c>
      <c r="C599" s="63">
        <v>45707</v>
      </c>
      <c r="D599" s="33" t="str">
        <f>VLOOKUP(B599,辅助信息!E:K,7,FALSE)</f>
        <v>JWDDCD2024121000136</v>
      </c>
      <c r="E599" s="33" t="str">
        <f>VLOOKUP(F599,辅助信息!A:B,2,FALSE)</f>
        <v>螺纹钢</v>
      </c>
      <c r="F599" s="33" t="s">
        <v>22</v>
      </c>
      <c r="G599" s="29">
        <v>20</v>
      </c>
      <c r="H599" s="29" t="str">
        <f>_xlfn._xlws.FILTER('[1]2025年已发货'!$E:$E,'[1]2025年已发货'!$F:$F&amp;'[1]2025年已发货'!$C:$C&amp;'[1]2025年已发货'!$G:$G&amp;'[1]2025年已发货'!$H:$H=C599&amp;F599&amp;I599&amp;J599,"未发货")</f>
        <v>未发货</v>
      </c>
      <c r="I599" s="33" t="str">
        <f>VLOOKUP(B599,辅助信息!E:I,3,FALSE)</f>
        <v>（四川商建-射洪城乡一体化项目）遂宁市射洪市忠新幼儿园北侧约220米新溪小区</v>
      </c>
      <c r="J599" s="33" t="str">
        <f>VLOOKUP(B599,辅助信息!E:I,4,FALSE)</f>
        <v>柏子刚</v>
      </c>
      <c r="K599" s="33">
        <f>VLOOKUP(J599,辅助信息!H:I,2,FALSE)</f>
        <v>15692885305</v>
      </c>
      <c r="L599" s="69"/>
      <c r="M599" s="84">
        <v>45708</v>
      </c>
      <c r="O599" s="55">
        <f ca="1" t="shared" si="15"/>
        <v>0</v>
      </c>
      <c r="P599" s="55">
        <f ca="1" t="shared" si="14"/>
        <v>249</v>
      </c>
      <c r="Q599" s="19" t="str">
        <f>VLOOKUP(B599,辅助信息!E:M,9,FALSE)</f>
        <v>ZTWM-CDGS-XS-2024-0179-四川商投-射洪城乡一体化建设项目</v>
      </c>
      <c r="R599" s="19"/>
    </row>
    <row r="600" hidden="1" spans="1:18">
      <c r="A600" s="55"/>
      <c r="B600" s="33" t="s">
        <v>48</v>
      </c>
      <c r="C600" s="63">
        <v>45707</v>
      </c>
      <c r="D600" s="33" t="str">
        <f>VLOOKUP(B600,辅助信息!E:K,7,FALSE)</f>
        <v>ZTWM-CDGS-YL-20240529-006</v>
      </c>
      <c r="E600" s="33" t="str">
        <f>VLOOKUP(F600,辅助信息!A:B,2,FALSE)</f>
        <v>螺纹钢</v>
      </c>
      <c r="F600" s="33" t="s">
        <v>27</v>
      </c>
      <c r="G600" s="29">
        <v>7</v>
      </c>
      <c r="H600" s="29">
        <f>_xlfn._xlws.FILTER('[1]2025年已发货'!$E:$E,'[1]2025年已发货'!$F:$F&amp;'[1]2025年已发货'!$C:$C&amp;'[1]2025年已发货'!$G:$G&amp;'[1]2025年已发货'!$H:$H=C600&amp;F600&amp;I600&amp;J600,"未发货")</f>
        <v>7</v>
      </c>
      <c r="I600" s="33" t="str">
        <f>VLOOKUP(B600,辅助信息!E:I,3,FALSE)</f>
        <v>(华西颐海-科创农业生态谷-1号钢筋房)成都市简阳市白金山水库</v>
      </c>
      <c r="J600" s="33" t="str">
        <f>VLOOKUP(B600,辅助信息!E:I,4,FALSE)</f>
        <v>石清国</v>
      </c>
      <c r="K600" s="33">
        <f>VLOOKUP(J600,辅助信息!H:I,2,FALSE)</f>
        <v>13458642015</v>
      </c>
      <c r="L600" s="36" t="str">
        <f>VLOOKUP(B600,辅助信息!E:J,6,FALSE)</f>
        <v>优先威钢,我方卸车,新老国标钢厂不加价可直发</v>
      </c>
      <c r="M600" s="84">
        <v>45708</v>
      </c>
      <c r="O600" s="55">
        <f ca="1" t="shared" si="15"/>
        <v>0</v>
      </c>
      <c r="P600" s="55">
        <f ca="1" t="shared" si="14"/>
        <v>249</v>
      </c>
      <c r="Q600" s="19" t="str">
        <f>VLOOKUP(B600,辅助信息!E:M,9,FALSE)</f>
        <v>ZTWM-CDGS-XS-2024-0093-华西-颐海科创农业生态谷</v>
      </c>
      <c r="R600" s="19"/>
    </row>
    <row r="601" hidden="1" spans="1:18">
      <c r="A601" s="55"/>
      <c r="B601" s="33" t="s">
        <v>48</v>
      </c>
      <c r="C601" s="63">
        <v>45707</v>
      </c>
      <c r="D601" s="33" t="str">
        <f>VLOOKUP(B601,辅助信息!E:K,7,FALSE)</f>
        <v>ZTWM-CDGS-YL-20240529-006</v>
      </c>
      <c r="E601" s="33" t="str">
        <f>VLOOKUP(F601,辅助信息!A:B,2,FALSE)</f>
        <v>螺纹钢</v>
      </c>
      <c r="F601" s="33" t="s">
        <v>30</v>
      </c>
      <c r="G601" s="29">
        <v>13</v>
      </c>
      <c r="H601" s="29">
        <f>_xlfn._xlws.FILTER('[1]2025年已发货'!$E:$E,'[1]2025年已发货'!$F:$F&amp;'[1]2025年已发货'!$C:$C&amp;'[1]2025年已发货'!$G:$G&amp;'[1]2025年已发货'!$H:$H=C601&amp;F601&amp;I601&amp;J601,"未发货")</f>
        <v>13</v>
      </c>
      <c r="I601" s="33" t="str">
        <f>VLOOKUP(B601,辅助信息!E:I,3,FALSE)</f>
        <v>(华西颐海-科创农业生态谷-1号钢筋房)成都市简阳市白金山水库</v>
      </c>
      <c r="J601" s="33" t="str">
        <f>VLOOKUP(B601,辅助信息!E:I,4,FALSE)</f>
        <v>石清国</v>
      </c>
      <c r="K601" s="33">
        <f>VLOOKUP(J601,辅助信息!H:I,2,FALSE)</f>
        <v>13458642015</v>
      </c>
      <c r="L601" s="71"/>
      <c r="M601" s="84">
        <v>45708</v>
      </c>
      <c r="O601" s="55">
        <f ca="1" t="shared" si="15"/>
        <v>0</v>
      </c>
      <c r="P601" s="55">
        <f ca="1" t="shared" si="14"/>
        <v>249</v>
      </c>
      <c r="Q601" s="19" t="str">
        <f>VLOOKUP(B601,辅助信息!E:M,9,FALSE)</f>
        <v>ZTWM-CDGS-XS-2024-0093-华西-颐海科创农业生态谷</v>
      </c>
      <c r="R601" s="19"/>
    </row>
    <row r="602" hidden="1" spans="1:18">
      <c r="A602" s="55"/>
      <c r="B602" s="33" t="s">
        <v>48</v>
      </c>
      <c r="C602" s="63">
        <v>45707</v>
      </c>
      <c r="D602" s="33" t="str">
        <f>VLOOKUP(B602,辅助信息!E:K,7,FALSE)</f>
        <v>ZTWM-CDGS-YL-20240529-006</v>
      </c>
      <c r="E602" s="33" t="str">
        <f>VLOOKUP(F602,辅助信息!A:B,2,FALSE)</f>
        <v>螺纹钢</v>
      </c>
      <c r="F602" s="33" t="s">
        <v>66</v>
      </c>
      <c r="G602" s="29">
        <v>5</v>
      </c>
      <c r="H602" s="29">
        <f>_xlfn._xlws.FILTER('[1]2025年已发货'!$E:$E,'[1]2025年已发货'!$F:$F&amp;'[1]2025年已发货'!$C:$C&amp;'[1]2025年已发货'!$G:$G&amp;'[1]2025年已发货'!$H:$H=C602&amp;F602&amp;I602&amp;J602,"未发货")</f>
        <v>17</v>
      </c>
      <c r="I602" s="33" t="str">
        <f>VLOOKUP(B602,辅助信息!E:I,3,FALSE)</f>
        <v>(华西颐海-科创农业生态谷-1号钢筋房)成都市简阳市白金山水库</v>
      </c>
      <c r="J602" s="33" t="str">
        <f>VLOOKUP(B602,辅助信息!E:I,4,FALSE)</f>
        <v>石清国</v>
      </c>
      <c r="K602" s="33">
        <f>VLOOKUP(J602,辅助信息!H:I,2,FALSE)</f>
        <v>13458642015</v>
      </c>
      <c r="L602" s="71"/>
      <c r="M602" s="84">
        <v>45708</v>
      </c>
      <c r="O602" s="55">
        <f ca="1" t="shared" si="15"/>
        <v>0</v>
      </c>
      <c r="P602" s="55">
        <f ca="1" t="shared" si="14"/>
        <v>249</v>
      </c>
      <c r="Q602" s="19" t="str">
        <f>VLOOKUP(B602,辅助信息!E:M,9,FALSE)</f>
        <v>ZTWM-CDGS-XS-2024-0093-华西-颐海科创农业生态谷</v>
      </c>
      <c r="R602" s="19"/>
    </row>
    <row r="603" hidden="1" spans="1:18">
      <c r="A603" s="55"/>
      <c r="B603" s="33" t="s">
        <v>48</v>
      </c>
      <c r="C603" s="63">
        <v>45707</v>
      </c>
      <c r="D603" s="33" t="str">
        <f>VLOOKUP(B603,辅助信息!E:K,7,FALSE)</f>
        <v>ZTWM-CDGS-YL-20240529-006</v>
      </c>
      <c r="E603" s="33" t="str">
        <f>VLOOKUP(F603,辅助信息!A:B,2,FALSE)</f>
        <v>螺纹钢</v>
      </c>
      <c r="F603" s="33" t="s">
        <v>82</v>
      </c>
      <c r="G603" s="29">
        <v>8</v>
      </c>
      <c r="H603" s="29">
        <f>_xlfn._xlws.FILTER('[1]2025年已发货'!$E:$E,'[1]2025年已发货'!$F:$F&amp;'[1]2025年已发货'!$C:$C&amp;'[1]2025年已发货'!$G:$G&amp;'[1]2025年已发货'!$H:$H=C603&amp;F603&amp;I603&amp;J603,"未发货")</f>
        <v>8</v>
      </c>
      <c r="I603" s="33" t="str">
        <f>VLOOKUP(B603,辅助信息!E:I,3,FALSE)</f>
        <v>(华西颐海-科创农业生态谷-1号钢筋房)成都市简阳市白金山水库</v>
      </c>
      <c r="J603" s="33" t="str">
        <f>VLOOKUP(B603,辅助信息!E:I,4,FALSE)</f>
        <v>石清国</v>
      </c>
      <c r="K603" s="33">
        <f>VLOOKUP(J603,辅助信息!H:I,2,FALSE)</f>
        <v>13458642015</v>
      </c>
      <c r="L603" s="71"/>
      <c r="M603" s="84">
        <v>45708</v>
      </c>
      <c r="O603" s="55">
        <f ca="1" t="shared" si="15"/>
        <v>0</v>
      </c>
      <c r="P603" s="55">
        <f ca="1" t="shared" si="14"/>
        <v>249</v>
      </c>
      <c r="Q603" s="19" t="str">
        <f>VLOOKUP(B603,辅助信息!E:M,9,FALSE)</f>
        <v>ZTWM-CDGS-XS-2024-0093-华西-颐海科创农业生态谷</v>
      </c>
      <c r="R603" s="19"/>
    </row>
    <row r="604" hidden="1" spans="1:18">
      <c r="A604" s="55"/>
      <c r="B604" s="33" t="s">
        <v>48</v>
      </c>
      <c r="C604" s="63">
        <v>45707</v>
      </c>
      <c r="D604" s="33" t="str">
        <f>VLOOKUP(B604,辅助信息!E:K,7,FALSE)</f>
        <v>ZTWM-CDGS-YL-20240529-006</v>
      </c>
      <c r="E604" s="33" t="str">
        <f>VLOOKUP(F604,辅助信息!A:B,2,FALSE)</f>
        <v>螺纹钢</v>
      </c>
      <c r="F604" s="33" t="s">
        <v>21</v>
      </c>
      <c r="G604" s="29">
        <v>5</v>
      </c>
      <c r="H604" s="29">
        <f>_xlfn._xlws.FILTER('[1]2025年已发货'!$E:$E,'[1]2025年已发货'!$F:$F&amp;'[1]2025年已发货'!$C:$C&amp;'[1]2025年已发货'!$G:$G&amp;'[1]2025年已发货'!$H:$H=C604&amp;F604&amp;I604&amp;J604,"未发货")</f>
        <v>5</v>
      </c>
      <c r="I604" s="33" t="str">
        <f>VLOOKUP(B604,辅助信息!E:I,3,FALSE)</f>
        <v>(华西颐海-科创农业生态谷-1号钢筋房)成都市简阳市白金山水库</v>
      </c>
      <c r="J604" s="33" t="str">
        <f>VLOOKUP(B604,辅助信息!E:I,4,FALSE)</f>
        <v>石清国</v>
      </c>
      <c r="K604" s="33">
        <f>VLOOKUP(J604,辅助信息!H:I,2,FALSE)</f>
        <v>13458642015</v>
      </c>
      <c r="L604" s="69"/>
      <c r="M604" s="84">
        <v>45708</v>
      </c>
      <c r="O604" s="55">
        <f ca="1" t="shared" si="15"/>
        <v>0</v>
      </c>
      <c r="P604" s="55">
        <f ca="1" t="shared" si="14"/>
        <v>249</v>
      </c>
      <c r="Q604" s="19" t="str">
        <f>VLOOKUP(B604,辅助信息!E:M,9,FALSE)</f>
        <v>ZTWM-CDGS-XS-2024-0093-华西-颐海科创农业生态谷</v>
      </c>
      <c r="R604" s="19"/>
    </row>
    <row r="605" hidden="1" spans="2:18">
      <c r="B605" s="33" t="s">
        <v>80</v>
      </c>
      <c r="C605" s="63">
        <v>45707</v>
      </c>
      <c r="D605" s="33" t="e">
        <f>VLOOKUP(B605,辅助信息!E:K,7,FALSE)</f>
        <v>#N/A</v>
      </c>
      <c r="E605" s="33" t="str">
        <f>VLOOKUP(F605,辅助信息!A:B,2,FALSE)</f>
        <v>螺纹钢</v>
      </c>
      <c r="F605" s="33" t="s">
        <v>27</v>
      </c>
      <c r="G605" s="29">
        <v>6</v>
      </c>
      <c r="H605" s="29" t="e">
        <f>_xlfn._xlws.FILTER('[1]2025年已发货'!$E:$E,'[1]2025年已发货'!$F:$F&amp;'[1]2025年已发货'!$C:$C&amp;'[1]2025年已发货'!$G:$G&amp;'[1]2025年已发货'!$H:$H=C605&amp;F605&amp;I605&amp;J605,"未发货")</f>
        <v>#N/A</v>
      </c>
      <c r="I605" s="33" t="e">
        <f>VLOOKUP(B605,辅助信息!E:I,3,FALSE)</f>
        <v>#N/A</v>
      </c>
      <c r="J605" s="33" t="e">
        <f>VLOOKUP(B605,辅助信息!E:I,4,FALSE)</f>
        <v>#N/A</v>
      </c>
      <c r="K605" s="33" t="e">
        <f>VLOOKUP(J605,辅助信息!H:I,2,FALSE)</f>
        <v>#N/A</v>
      </c>
      <c r="L605" s="36" t="e">
        <f>VLOOKUP(B605,辅助信息!E:J,6,FALSE)</f>
        <v>#N/A</v>
      </c>
      <c r="M605" s="84">
        <v>45708</v>
      </c>
      <c r="N605" s="50"/>
      <c r="O605" s="55">
        <f ca="1" t="shared" si="15"/>
        <v>0</v>
      </c>
      <c r="P605" s="55">
        <f ca="1" t="shared" si="14"/>
        <v>249</v>
      </c>
      <c r="Q605" s="19" t="e">
        <f>VLOOKUP(B605,辅助信息!E:M,9,FALSE)</f>
        <v>#N/A</v>
      </c>
      <c r="R605" s="19"/>
    </row>
    <row r="606" hidden="1" spans="2:18">
      <c r="B606" s="33" t="s">
        <v>80</v>
      </c>
      <c r="C606" s="63">
        <v>45707</v>
      </c>
      <c r="D606" s="33" t="e">
        <f>VLOOKUP(B606,辅助信息!E:K,7,FALSE)</f>
        <v>#N/A</v>
      </c>
      <c r="E606" s="33" t="str">
        <f>VLOOKUP(F606,辅助信息!A:B,2,FALSE)</f>
        <v>螺纹钢</v>
      </c>
      <c r="F606" s="33" t="s">
        <v>32</v>
      </c>
      <c r="G606" s="29">
        <v>30</v>
      </c>
      <c r="H606" s="29" t="e">
        <f>_xlfn._xlws.FILTER('[1]2025年已发货'!$E:$E,'[1]2025年已发货'!$F:$F&amp;'[1]2025年已发货'!$C:$C&amp;'[1]2025年已发货'!$G:$G&amp;'[1]2025年已发货'!$H:$H=C606&amp;F606&amp;I606&amp;J606,"未发货")</f>
        <v>#N/A</v>
      </c>
      <c r="I606" s="33" t="e">
        <f>VLOOKUP(B606,辅助信息!E:I,3,FALSE)</f>
        <v>#N/A</v>
      </c>
      <c r="J606" s="33" t="e">
        <f>VLOOKUP(B606,辅助信息!E:I,4,FALSE)</f>
        <v>#N/A</v>
      </c>
      <c r="K606" s="33" t="e">
        <f>VLOOKUP(J606,辅助信息!H:I,2,FALSE)</f>
        <v>#N/A</v>
      </c>
      <c r="L606" s="69"/>
      <c r="M606" s="84">
        <v>45708</v>
      </c>
      <c r="N606" s="50"/>
      <c r="O606" s="55">
        <f ca="1" t="shared" si="15"/>
        <v>0</v>
      </c>
      <c r="P606" s="55">
        <f ca="1" t="shared" si="14"/>
        <v>249</v>
      </c>
      <c r="Q606" s="19" t="e">
        <f>VLOOKUP(B606,辅助信息!E:M,9,FALSE)</f>
        <v>#N/A</v>
      </c>
      <c r="R606" s="19"/>
    </row>
    <row r="607" ht="36" hidden="1" customHeight="1" spans="2:18">
      <c r="B607" s="33" t="s">
        <v>47</v>
      </c>
      <c r="C607" s="63">
        <v>45707</v>
      </c>
      <c r="D607" s="33" t="str">
        <f>VLOOKUP(B607,辅助信息!E:K,7,FALSE)</f>
        <v>JWDDCD2025052800131</v>
      </c>
      <c r="E607" s="33" t="str">
        <f>VLOOKUP(F607,辅助信息!A:B,2,FALSE)</f>
        <v>螺纹钢</v>
      </c>
      <c r="F607" s="33" t="s">
        <v>18</v>
      </c>
      <c r="G607" s="29">
        <v>225</v>
      </c>
      <c r="H607" s="29" t="str">
        <f>_xlfn._xlws.FILTER('[1]2025年已发货'!$E:$E,'[1]2025年已发货'!$F:$F&amp;'[1]2025年已发货'!$C:$C&amp;'[1]2025年已发货'!$G:$G&amp;'[1]2025年已发货'!$H:$H=C607&amp;F607&amp;I607&amp;J607,"未发货")</f>
        <v>未发货</v>
      </c>
      <c r="I607" s="33" t="str">
        <f>VLOOKUP(B607,辅助信息!E:I,3,FALSE)</f>
        <v>（商投建工达州中医药科技园-1工区）达州市通川区达州中医药职业学院犀牛大道北段</v>
      </c>
      <c r="J607" s="33" t="str">
        <f>VLOOKUP(B607,辅助信息!E:I,4,FALSE)</f>
        <v>程黄刚</v>
      </c>
      <c r="K607" s="33">
        <f>VLOOKUP(J607,辅助信息!H:I,2,FALSE)</f>
        <v>15108211617</v>
      </c>
      <c r="L607" s="36" t="str">
        <f>VLOOKUP(B607,辅助信息!E:J,6,FALSE)</f>
        <v>控制炉批号！多了现场不收！,优先安排达钢,提前联系到场规格及数量</v>
      </c>
      <c r="M607" s="84">
        <v>45710</v>
      </c>
      <c r="N607" s="50"/>
      <c r="O607" s="55">
        <f ca="1" t="shared" si="15"/>
        <v>0</v>
      </c>
      <c r="P607" s="55">
        <f ca="1" t="shared" si="14"/>
        <v>247</v>
      </c>
      <c r="Q607" s="19" t="str">
        <f>VLOOKUP(B607,辅助信息!E:M,9,FALSE)</f>
        <v>ZTWM-CDGS-XS-2024-0134-商投建工达州中医药科技成果示范园项目</v>
      </c>
      <c r="R607" s="19"/>
    </row>
    <row r="608" ht="36" hidden="1" customHeight="1" spans="1:18">
      <c r="A608" s="19"/>
      <c r="B608" s="33" t="s">
        <v>69</v>
      </c>
      <c r="C608" s="63">
        <v>45708</v>
      </c>
      <c r="D608" s="33" t="str">
        <f>VLOOKUP(B608,辅助信息!E:K,7,FALSE)</f>
        <v>JWDDCD2025052800131</v>
      </c>
      <c r="E608" s="33" t="str">
        <f>VLOOKUP(F608,辅助信息!A:B,2,FALSE)</f>
        <v>螺纹钢</v>
      </c>
      <c r="F608" s="33" t="s">
        <v>21</v>
      </c>
      <c r="G608" s="33">
        <v>35</v>
      </c>
      <c r="H608" s="33" t="str">
        <f>_xlfn._xlws.FILTER('[1]2025年已发货'!$E:$E,'[1]2025年已发货'!$F:$F&amp;'[1]2025年已发货'!$C:$C&amp;'[1]2025年已发货'!$G:$G&amp;'[1]2025年已发货'!$H:$H=C608&amp;F608&amp;I608&amp;J608,"未发货")</f>
        <v>未发货</v>
      </c>
      <c r="I608" s="33" t="str">
        <f>VLOOKUP(B608,辅助信息!E:I,3,FALSE)</f>
        <v>（商投建工达州中医药科技园-4工区-2号楼）达州市通川区达州中医药职业学院犀牛大道北段</v>
      </c>
      <c r="J608" s="33" t="str">
        <f>VLOOKUP(B608,辅助信息!E:I,4,FALSE)</f>
        <v>张扬</v>
      </c>
      <c r="K608" s="33">
        <f>VLOOKUP(J608,辅助信息!H:I,2,FALSE)</f>
        <v>18381904567</v>
      </c>
      <c r="L608" s="36" t="str">
        <f>VLOOKUP(B608,辅助信息!E:J,6,FALSE)</f>
        <v>控制炉批号！多了现场不收！,优先安排达钢,提前联系到场规格及数量</v>
      </c>
      <c r="M608" s="88">
        <v>45704</v>
      </c>
      <c r="N608" s="19"/>
      <c r="O608" s="19">
        <f ca="1" t="shared" si="15"/>
        <v>0</v>
      </c>
      <c r="P608" s="55">
        <f ca="1" t="shared" si="14"/>
        <v>253</v>
      </c>
      <c r="Q608" s="19" t="str">
        <f>VLOOKUP(B608,辅助信息!E:M,9,FALSE)</f>
        <v>ZTWM-CDGS-XS-2024-0134-商投建工达州中医药科技成果示范园项目</v>
      </c>
      <c r="R608" s="19"/>
    </row>
    <row r="609" s="19" customFormat="1" hidden="1" spans="2:17">
      <c r="B609" s="33" t="s">
        <v>84</v>
      </c>
      <c r="C609" s="63">
        <v>45708</v>
      </c>
      <c r="D609" s="33" t="e">
        <f>VLOOKUP(B609,辅助信息!E:K,7,FALSE)</f>
        <v>#N/A</v>
      </c>
      <c r="E609" s="33" t="str">
        <f>VLOOKUP(F609,辅助信息!A:B,2,FALSE)</f>
        <v>螺纹钢</v>
      </c>
      <c r="F609" s="33" t="s">
        <v>27</v>
      </c>
      <c r="G609" s="33">
        <v>20</v>
      </c>
      <c r="H609" s="33" t="e">
        <f>_xlfn._xlws.FILTER('[1]2025年已发货'!$E:$E,'[1]2025年已发货'!$F:$F&amp;'[1]2025年已发货'!$C:$C&amp;'[1]2025年已发货'!$G:$G&amp;'[1]2025年已发货'!$H:$H=C609&amp;F609&amp;I609&amp;J609,"未发货")</f>
        <v>#N/A</v>
      </c>
      <c r="I609" s="33" t="e">
        <f>VLOOKUP(B609,辅助信息!E:I,3,FALSE)</f>
        <v>#N/A</v>
      </c>
      <c r="J609" s="33" t="e">
        <f>VLOOKUP(B609,辅助信息!E:I,4,FALSE)</f>
        <v>#N/A</v>
      </c>
      <c r="K609" s="33" t="e">
        <f>VLOOKUP(J609,辅助信息!H:I,2,FALSE)</f>
        <v>#N/A</v>
      </c>
      <c r="L609" s="36" t="e">
        <f>VLOOKUP(B609,辅助信息!E:J,6,FALSE)</f>
        <v>#N/A</v>
      </c>
      <c r="M609" s="88">
        <v>45705</v>
      </c>
      <c r="O609" s="19">
        <f ca="1" t="shared" si="15"/>
        <v>0</v>
      </c>
      <c r="P609" s="55">
        <f ca="1" t="shared" si="14"/>
        <v>252</v>
      </c>
      <c r="Q609" s="19" t="e">
        <f>VLOOKUP(B609,辅助信息!E:M,9,FALSE)</f>
        <v>#N/A</v>
      </c>
    </row>
    <row r="610" s="19" customFormat="1" hidden="1" spans="2:17">
      <c r="B610" s="33" t="s">
        <v>84</v>
      </c>
      <c r="C610" s="63">
        <v>45708</v>
      </c>
      <c r="D610" s="33" t="e">
        <f>VLOOKUP(B610,辅助信息!E:K,7,FALSE)</f>
        <v>#N/A</v>
      </c>
      <c r="E610" s="33" t="str">
        <f>VLOOKUP(F610,辅助信息!A:B,2,FALSE)</f>
        <v>螺纹钢</v>
      </c>
      <c r="F610" s="33" t="s">
        <v>33</v>
      </c>
      <c r="G610" s="33">
        <v>8</v>
      </c>
      <c r="H610" s="33" t="e">
        <f>_xlfn._xlws.FILTER('[1]2025年已发货'!$E:$E,'[1]2025年已发货'!$F:$F&amp;'[1]2025年已发货'!$C:$C&amp;'[1]2025年已发货'!$G:$G&amp;'[1]2025年已发货'!$H:$H=C610&amp;F610&amp;I610&amp;J610,"未发货")</f>
        <v>#N/A</v>
      </c>
      <c r="I610" s="33" t="e">
        <f>VLOOKUP(B610,辅助信息!E:I,3,FALSE)</f>
        <v>#N/A</v>
      </c>
      <c r="J610" s="33" t="e">
        <f>VLOOKUP(B610,辅助信息!E:I,4,FALSE)</f>
        <v>#N/A</v>
      </c>
      <c r="K610" s="33" t="e">
        <f>VLOOKUP(J610,辅助信息!H:I,2,FALSE)</f>
        <v>#N/A</v>
      </c>
      <c r="L610" s="71"/>
      <c r="M610" s="88">
        <v>45705</v>
      </c>
      <c r="O610" s="19">
        <f ca="1" t="shared" si="15"/>
        <v>0</v>
      </c>
      <c r="P610" s="55">
        <f ca="1" t="shared" si="14"/>
        <v>252</v>
      </c>
      <c r="Q610" s="19" t="e">
        <f>VLOOKUP(B610,辅助信息!E:M,9,FALSE)</f>
        <v>#N/A</v>
      </c>
    </row>
    <row r="611" s="19" customFormat="1" hidden="1" spans="2:17">
      <c r="B611" s="33" t="s">
        <v>84</v>
      </c>
      <c r="C611" s="63">
        <v>45708</v>
      </c>
      <c r="D611" s="33" t="e">
        <f>VLOOKUP(B611,辅助信息!E:K,7,FALSE)</f>
        <v>#N/A</v>
      </c>
      <c r="E611" s="33" t="str">
        <f>VLOOKUP(F611,辅助信息!A:B,2,FALSE)</f>
        <v>螺纹钢</v>
      </c>
      <c r="F611" s="33" t="s">
        <v>18</v>
      </c>
      <c r="G611" s="33">
        <v>12</v>
      </c>
      <c r="H611" s="33" t="e">
        <f>_xlfn._xlws.FILTER('[1]2025年已发货'!$E:$E,'[1]2025年已发货'!$F:$F&amp;'[1]2025年已发货'!$C:$C&amp;'[1]2025年已发货'!$G:$G&amp;'[1]2025年已发货'!$H:$H=C611&amp;F611&amp;I611&amp;J611,"未发货")</f>
        <v>#N/A</v>
      </c>
      <c r="I611" s="33" t="e">
        <f>VLOOKUP(B611,辅助信息!E:I,3,FALSE)</f>
        <v>#N/A</v>
      </c>
      <c r="J611" s="33" t="e">
        <f>VLOOKUP(B611,辅助信息!E:I,4,FALSE)</f>
        <v>#N/A</v>
      </c>
      <c r="K611" s="33" t="e">
        <f>VLOOKUP(J611,辅助信息!H:I,2,FALSE)</f>
        <v>#N/A</v>
      </c>
      <c r="L611" s="71"/>
      <c r="M611" s="88">
        <v>45705</v>
      </c>
      <c r="O611" s="19">
        <f ca="1" t="shared" si="15"/>
        <v>0</v>
      </c>
      <c r="P611" s="55">
        <f ca="1" t="shared" si="14"/>
        <v>252</v>
      </c>
      <c r="Q611" s="19" t="e">
        <f>VLOOKUP(B611,辅助信息!E:M,9,FALSE)</f>
        <v>#N/A</v>
      </c>
    </row>
    <row r="612" s="19" customFormat="1" hidden="1" spans="2:17">
      <c r="B612" s="33" t="s">
        <v>84</v>
      </c>
      <c r="C612" s="63">
        <v>45708</v>
      </c>
      <c r="D612" s="33" t="e">
        <f>VLOOKUP(B612,辅助信息!E:K,7,FALSE)</f>
        <v>#N/A</v>
      </c>
      <c r="E612" s="33" t="str">
        <f>VLOOKUP(F612,辅助信息!A:B,2,FALSE)</f>
        <v>高线</v>
      </c>
      <c r="F612" s="33" t="s">
        <v>51</v>
      </c>
      <c r="G612" s="33">
        <v>5</v>
      </c>
      <c r="H612" s="33" t="e">
        <f>_xlfn._xlws.FILTER('[1]2025年已发货'!$E:$E,'[1]2025年已发货'!$F:$F&amp;'[1]2025年已发货'!$C:$C&amp;'[1]2025年已发货'!$G:$G&amp;'[1]2025年已发货'!$H:$H=C612&amp;F612&amp;I612&amp;J612,"未发货")</f>
        <v>#N/A</v>
      </c>
      <c r="I612" s="33" t="e">
        <f>VLOOKUP(B612,辅助信息!E:I,3,FALSE)</f>
        <v>#N/A</v>
      </c>
      <c r="J612" s="33" t="e">
        <f>VLOOKUP(B612,辅助信息!E:I,4,FALSE)</f>
        <v>#N/A</v>
      </c>
      <c r="K612" s="33" t="e">
        <f>VLOOKUP(J612,辅助信息!H:I,2,FALSE)</f>
        <v>#N/A</v>
      </c>
      <c r="L612" s="69"/>
      <c r="M612" s="88">
        <v>45705</v>
      </c>
      <c r="O612" s="19">
        <f ca="1" t="shared" si="15"/>
        <v>0</v>
      </c>
      <c r="P612" s="55">
        <f ca="1" t="shared" si="14"/>
        <v>252</v>
      </c>
      <c r="Q612" s="19" t="e">
        <f>VLOOKUP(B612,辅助信息!E:M,9,FALSE)</f>
        <v>#N/A</v>
      </c>
    </row>
    <row r="613" s="19" customFormat="1" ht="60" hidden="1" customHeight="1" spans="2:17">
      <c r="B613" s="33" t="s">
        <v>75</v>
      </c>
      <c r="C613" s="63">
        <v>45708</v>
      </c>
      <c r="D613" s="33" t="e">
        <f>VLOOKUP(B613,辅助信息!E:K,7,FALSE)</f>
        <v>#N/A</v>
      </c>
      <c r="E613" s="33" t="str">
        <f>VLOOKUP(F613,辅助信息!A:B,2,FALSE)</f>
        <v>螺纹钢</v>
      </c>
      <c r="F613" s="33" t="s">
        <v>65</v>
      </c>
      <c r="G613" s="33">
        <v>35</v>
      </c>
      <c r="H613" s="33" t="e">
        <f>_xlfn._xlws.FILTER('[1]2025年已发货'!$E:$E,'[1]2025年已发货'!$F:$F&amp;'[1]2025年已发货'!$C:$C&amp;'[1]2025年已发货'!$G:$G&amp;'[1]2025年已发货'!$H:$H=C613&amp;F613&amp;I613&amp;J613,"未发货")</f>
        <v>#N/A</v>
      </c>
      <c r="I613" s="33" t="e">
        <f>VLOOKUP(B613,辅助信息!E:I,3,FALSE)</f>
        <v>#N/A</v>
      </c>
      <c r="J613" s="33" t="e">
        <f>VLOOKUP(B613,辅助信息!E:I,4,FALSE)</f>
        <v>#N/A</v>
      </c>
      <c r="K613" s="33" t="e">
        <f>VLOOKUP(J613,辅助信息!H:I,2,FALSE)</f>
        <v>#N/A</v>
      </c>
      <c r="L613" s="36" t="e">
        <f>VLOOKUP(B613,辅助信息!E:J,6,FALSE)</f>
        <v>#N/A</v>
      </c>
      <c r="M613" s="88">
        <v>45709</v>
      </c>
      <c r="O613" s="19">
        <f ca="1" t="shared" si="15"/>
        <v>0</v>
      </c>
      <c r="P613" s="55">
        <f ca="1" t="shared" si="14"/>
        <v>248</v>
      </c>
      <c r="Q613" s="19" t="e">
        <f>VLOOKUP(B613,辅助信息!E:M,9,FALSE)</f>
        <v>#N/A</v>
      </c>
    </row>
    <row r="614" s="19" customFormat="1" hidden="1" spans="1:17">
      <c r="A614" s="55" t="s">
        <v>100</v>
      </c>
      <c r="B614" s="33" t="s">
        <v>87</v>
      </c>
      <c r="C614" s="63">
        <v>45708</v>
      </c>
      <c r="D614" s="33" t="e">
        <f>VLOOKUP(B614,辅助信息!E:K,7,FALSE)</f>
        <v>#N/A</v>
      </c>
      <c r="E614" s="33" t="str">
        <f>VLOOKUP(F614,辅助信息!A:B,2,FALSE)</f>
        <v>螺纹钢</v>
      </c>
      <c r="F614" s="33" t="s">
        <v>27</v>
      </c>
      <c r="G614" s="33">
        <v>8</v>
      </c>
      <c r="H614" s="33" t="e">
        <f>_xlfn._xlws.FILTER('[1]2025年已发货'!$E:$E,'[1]2025年已发货'!$F:$F&amp;'[1]2025年已发货'!$C:$C&amp;'[1]2025年已发货'!$G:$G&amp;'[1]2025年已发货'!$H:$H=C614&amp;F614&amp;I614&amp;J614,"未发货")</f>
        <v>#N/A</v>
      </c>
      <c r="I614" s="33" t="e">
        <f>VLOOKUP(B614,辅助信息!E:I,3,FALSE)</f>
        <v>#N/A</v>
      </c>
      <c r="J614" s="33" t="e">
        <f>VLOOKUP(B614,辅助信息!E:I,4,FALSE)</f>
        <v>#N/A</v>
      </c>
      <c r="K614" s="33" t="e">
        <f>VLOOKUP(J614,辅助信息!H:I,2,FALSE)</f>
        <v>#N/A</v>
      </c>
      <c r="L614" s="36" t="e">
        <f>VLOOKUP(B614,辅助信息!E:J,6,FALSE)</f>
        <v>#N/A</v>
      </c>
      <c r="M614" s="88">
        <v>45706</v>
      </c>
      <c r="O614" s="19">
        <f ca="1" t="shared" si="15"/>
        <v>0</v>
      </c>
      <c r="P614" s="55">
        <f ca="1" t="shared" si="14"/>
        <v>251</v>
      </c>
      <c r="Q614" s="19" t="e">
        <f>VLOOKUP(B614,辅助信息!E:M,9,FALSE)</f>
        <v>#N/A</v>
      </c>
    </row>
    <row r="615" s="19" customFormat="1" hidden="1" spans="2:17">
      <c r="B615" s="33" t="s">
        <v>87</v>
      </c>
      <c r="C615" s="63">
        <v>45708</v>
      </c>
      <c r="D615" s="33" t="e">
        <f>VLOOKUP(B615,辅助信息!E:K,7,FALSE)</f>
        <v>#N/A</v>
      </c>
      <c r="E615" s="33" t="str">
        <f>VLOOKUP(F615,辅助信息!A:B,2,FALSE)</f>
        <v>螺纹钢</v>
      </c>
      <c r="F615" s="33" t="s">
        <v>65</v>
      </c>
      <c r="G615" s="33">
        <v>27</v>
      </c>
      <c r="H615" s="33" t="e">
        <f>_xlfn._xlws.FILTER('[1]2025年已发货'!$E:$E,'[1]2025年已发货'!$F:$F&amp;'[1]2025年已发货'!$C:$C&amp;'[1]2025年已发货'!$G:$G&amp;'[1]2025年已发货'!$H:$H=C615&amp;F615&amp;I615&amp;J615,"未发货")</f>
        <v>#N/A</v>
      </c>
      <c r="I615" s="33" t="e">
        <f>VLOOKUP(B615,辅助信息!E:I,3,FALSE)</f>
        <v>#N/A</v>
      </c>
      <c r="J615" s="33" t="e">
        <f>VLOOKUP(B615,辅助信息!E:I,4,FALSE)</f>
        <v>#N/A</v>
      </c>
      <c r="K615" s="33" t="e">
        <f>VLOOKUP(J615,辅助信息!H:I,2,FALSE)</f>
        <v>#N/A</v>
      </c>
      <c r="L615" s="69"/>
      <c r="M615" s="88">
        <v>45706</v>
      </c>
      <c r="O615" s="19">
        <f ca="1" t="shared" si="15"/>
        <v>0</v>
      </c>
      <c r="P615" s="55">
        <f ca="1" t="shared" si="14"/>
        <v>251</v>
      </c>
      <c r="Q615" s="19" t="e">
        <f>VLOOKUP(B615,辅助信息!E:M,9,FALSE)</f>
        <v>#N/A</v>
      </c>
    </row>
    <row r="616" s="19" customFormat="1" hidden="1" spans="2:17">
      <c r="B616" s="33" t="s">
        <v>74</v>
      </c>
      <c r="C616" s="63">
        <v>45708</v>
      </c>
      <c r="D616" s="33" t="e">
        <f>VLOOKUP(B616,辅助信息!E:K,7,FALSE)</f>
        <v>#N/A</v>
      </c>
      <c r="E616" s="33" t="str">
        <f>VLOOKUP(F616,辅助信息!A:B,2,FALSE)</f>
        <v>螺纹钢</v>
      </c>
      <c r="F616" s="33" t="s">
        <v>19</v>
      </c>
      <c r="G616" s="33">
        <v>12</v>
      </c>
      <c r="H616" s="33" t="e">
        <f>_xlfn._xlws.FILTER('[1]2025年已发货'!$E:$E,'[1]2025年已发货'!$F:$F&amp;'[1]2025年已发货'!$C:$C&amp;'[1]2025年已发货'!$G:$G&amp;'[1]2025年已发货'!$H:$H=C616&amp;F616&amp;I616&amp;J616,"未发货")</f>
        <v>#N/A</v>
      </c>
      <c r="I616" s="33" t="e">
        <f>VLOOKUP(B616,辅助信息!E:I,3,FALSE)</f>
        <v>#N/A</v>
      </c>
      <c r="J616" s="33" t="e">
        <f>VLOOKUP(B616,辅助信息!E:I,4,FALSE)</f>
        <v>#N/A</v>
      </c>
      <c r="K616" s="33" t="e">
        <f>VLOOKUP(J616,辅助信息!H:I,2,FALSE)</f>
        <v>#N/A</v>
      </c>
      <c r="L616" s="36" t="e">
        <f>VLOOKUP(B616,辅助信息!E:J,6,FALSE)</f>
        <v>#N/A</v>
      </c>
      <c r="M616" s="88">
        <v>45711</v>
      </c>
      <c r="O616" s="19">
        <f ca="1" t="shared" si="15"/>
        <v>0</v>
      </c>
      <c r="P616" s="55">
        <f ca="1" t="shared" si="14"/>
        <v>246</v>
      </c>
      <c r="Q616" s="19" t="e">
        <f>VLOOKUP(B616,辅助信息!E:M,9,FALSE)</f>
        <v>#N/A</v>
      </c>
    </row>
    <row r="617" s="19" customFormat="1" hidden="1" spans="2:17">
      <c r="B617" s="33" t="s">
        <v>74</v>
      </c>
      <c r="C617" s="63">
        <v>45708</v>
      </c>
      <c r="D617" s="33" t="e">
        <f>VLOOKUP(B617,辅助信息!E:K,7,FALSE)</f>
        <v>#N/A</v>
      </c>
      <c r="E617" s="33" t="str">
        <f>VLOOKUP(F617,辅助信息!A:B,2,FALSE)</f>
        <v>螺纹钢</v>
      </c>
      <c r="F617" s="33" t="s">
        <v>33</v>
      </c>
      <c r="G617" s="33">
        <v>12</v>
      </c>
      <c r="H617" s="33" t="e">
        <f>_xlfn._xlws.FILTER('[1]2025年已发货'!$E:$E,'[1]2025年已发货'!$F:$F&amp;'[1]2025年已发货'!$C:$C&amp;'[1]2025年已发货'!$G:$G&amp;'[1]2025年已发货'!$H:$H=C617&amp;F617&amp;I617&amp;J617,"未发货")</f>
        <v>#N/A</v>
      </c>
      <c r="I617" s="33" t="e">
        <f>VLOOKUP(B617,辅助信息!E:I,3,FALSE)</f>
        <v>#N/A</v>
      </c>
      <c r="J617" s="33" t="e">
        <f>VLOOKUP(B617,辅助信息!E:I,4,FALSE)</f>
        <v>#N/A</v>
      </c>
      <c r="K617" s="33" t="e">
        <f>VLOOKUP(J617,辅助信息!H:I,2,FALSE)</f>
        <v>#N/A</v>
      </c>
      <c r="L617" s="71"/>
      <c r="M617" s="88">
        <v>45711</v>
      </c>
      <c r="O617" s="19">
        <f ca="1" t="shared" si="15"/>
        <v>0</v>
      </c>
      <c r="P617" s="55">
        <f ca="1" t="shared" si="14"/>
        <v>246</v>
      </c>
      <c r="Q617" s="19" t="e">
        <f>VLOOKUP(B617,辅助信息!E:M,9,FALSE)</f>
        <v>#N/A</v>
      </c>
    </row>
    <row r="618" s="19" customFormat="1" hidden="1" spans="2:17">
      <c r="B618" s="33" t="s">
        <v>74</v>
      </c>
      <c r="C618" s="63">
        <v>45708</v>
      </c>
      <c r="D618" s="33" t="e">
        <f>VLOOKUP(B618,辅助信息!E:K,7,FALSE)</f>
        <v>#N/A</v>
      </c>
      <c r="E618" s="33" t="str">
        <f>VLOOKUP(F618,辅助信息!A:B,2,FALSE)</f>
        <v>螺纹钢</v>
      </c>
      <c r="F618" s="33" t="s">
        <v>28</v>
      </c>
      <c r="G618" s="33">
        <v>12</v>
      </c>
      <c r="H618" s="33" t="e">
        <f>_xlfn._xlws.FILTER('[1]2025年已发货'!$E:$E,'[1]2025年已发货'!$F:$F&amp;'[1]2025年已发货'!$C:$C&amp;'[1]2025年已发货'!$G:$G&amp;'[1]2025年已发货'!$H:$H=C618&amp;F618&amp;I618&amp;J618,"未发货")</f>
        <v>#N/A</v>
      </c>
      <c r="I618" s="33" t="e">
        <f>VLOOKUP(B618,辅助信息!E:I,3,FALSE)</f>
        <v>#N/A</v>
      </c>
      <c r="J618" s="33" t="e">
        <f>VLOOKUP(B618,辅助信息!E:I,4,FALSE)</f>
        <v>#N/A</v>
      </c>
      <c r="K618" s="33" t="e">
        <f>VLOOKUP(J618,辅助信息!H:I,2,FALSE)</f>
        <v>#N/A</v>
      </c>
      <c r="L618" s="71"/>
      <c r="M618" s="88">
        <v>45711</v>
      </c>
      <c r="O618" s="19">
        <f ca="1" t="shared" si="15"/>
        <v>0</v>
      </c>
      <c r="P618" s="55">
        <f ca="1" t="shared" si="14"/>
        <v>246</v>
      </c>
      <c r="Q618" s="19" t="e">
        <f>VLOOKUP(B618,辅助信息!E:M,9,FALSE)</f>
        <v>#N/A</v>
      </c>
    </row>
    <row r="619" s="19" customFormat="1" hidden="1" spans="2:17">
      <c r="B619" s="33" t="s">
        <v>74</v>
      </c>
      <c r="C619" s="63">
        <v>45708</v>
      </c>
      <c r="D619" s="33" t="e">
        <f>VLOOKUP(B619,辅助信息!E:K,7,FALSE)</f>
        <v>#N/A</v>
      </c>
      <c r="E619" s="33" t="str">
        <f>VLOOKUP(F619,辅助信息!A:B,2,FALSE)</f>
        <v>螺纹钢</v>
      </c>
      <c r="F619" s="33" t="s">
        <v>18</v>
      </c>
      <c r="G619" s="33">
        <v>3</v>
      </c>
      <c r="H619" s="33" t="e">
        <f>_xlfn._xlws.FILTER('[1]2025年已发货'!$E:$E,'[1]2025年已发货'!$F:$F&amp;'[1]2025年已发货'!$C:$C&amp;'[1]2025年已发货'!$G:$G&amp;'[1]2025年已发货'!$H:$H=C619&amp;F619&amp;I619&amp;J619,"未发货")</f>
        <v>#N/A</v>
      </c>
      <c r="I619" s="33" t="e">
        <f>VLOOKUP(B619,辅助信息!E:I,3,FALSE)</f>
        <v>#N/A</v>
      </c>
      <c r="J619" s="33" t="e">
        <f>VLOOKUP(B619,辅助信息!E:I,4,FALSE)</f>
        <v>#N/A</v>
      </c>
      <c r="K619" s="33" t="e">
        <f>VLOOKUP(J619,辅助信息!H:I,2,FALSE)</f>
        <v>#N/A</v>
      </c>
      <c r="L619" s="69"/>
      <c r="M619" s="88">
        <v>45711</v>
      </c>
      <c r="O619" s="19">
        <f ca="1" t="shared" si="15"/>
        <v>0</v>
      </c>
      <c r="P619" s="55">
        <f ca="1" t="shared" si="14"/>
        <v>246</v>
      </c>
      <c r="Q619" s="19" t="e">
        <f>VLOOKUP(B619,辅助信息!E:M,9,FALSE)</f>
        <v>#N/A</v>
      </c>
    </row>
    <row r="620" s="19" customFormat="1" hidden="1" spans="1:17">
      <c r="A620" s="89" t="s">
        <v>101</v>
      </c>
      <c r="B620" s="33" t="s">
        <v>88</v>
      </c>
      <c r="C620" s="63">
        <v>45708</v>
      </c>
      <c r="D620" s="33" t="str">
        <f>VLOOKUP(B620,辅助信息!E:K,7,FALSE)</f>
        <v>JWDDCD2025051000019</v>
      </c>
      <c r="E620" s="33" t="str">
        <f>VLOOKUP(F620,辅助信息!A:B,2,FALSE)</f>
        <v>盘螺</v>
      </c>
      <c r="F620" s="33" t="s">
        <v>49</v>
      </c>
      <c r="G620" s="33">
        <v>18</v>
      </c>
      <c r="H620" s="33">
        <f>_xlfn._xlws.FILTER('[1]2025年已发货'!$E:$E,'[1]2025年已发货'!$F:$F&amp;'[1]2025年已发货'!$C:$C&amp;'[1]2025年已发货'!$G:$G&amp;'[1]2025年已发货'!$H:$H=C620&amp;F620&amp;I620&amp;J620,"未发货")</f>
        <v>14</v>
      </c>
      <c r="I620" s="33" t="str">
        <f>VLOOKUP(B620,辅助信息!E:I,3,FALSE)</f>
        <v>(五冶钢构医学科学产业园建设项目房建二部-四标（5-4）)四川省南充市顺庆区搬罾街道学府大道二段</v>
      </c>
      <c r="J620" s="33" t="str">
        <f>VLOOKUP(B620,辅助信息!E:I,4,FALSE)</f>
        <v>安南</v>
      </c>
      <c r="K620" s="33">
        <f>VLOOKUP(J620,辅助信息!H:I,2,FALSE)</f>
        <v>19950525030</v>
      </c>
      <c r="L620" s="91" t="str">
        <f>VLOOKUP(B620,辅助信息!E:J,6,FALSE)</f>
        <v>送货单：送货单位：南充思临新材料科技有限公司,收货单位：五冶集团川北(南充)建设有限公司,项目名称：南充医学科学产业园,送货车型13米,装货前联系收货人核实到场规格</v>
      </c>
      <c r="M620" s="88">
        <v>45706</v>
      </c>
      <c r="O620" s="19">
        <f ca="1" t="shared" si="15"/>
        <v>0</v>
      </c>
      <c r="P620" s="55">
        <f ca="1" t="shared" si="14"/>
        <v>251</v>
      </c>
      <c r="Q620" s="19" t="str">
        <f>VLOOKUP(B620,辅助信息!E:M,9,FALSE)</f>
        <v>ZTWM-CDGS-XS-2024-0248-五冶钢构-南充市医学院项目</v>
      </c>
    </row>
    <row r="621" s="19" customFormat="1" hidden="1" spans="2:17">
      <c r="B621" s="33" t="s">
        <v>88</v>
      </c>
      <c r="C621" s="63">
        <v>45708</v>
      </c>
      <c r="D621" s="33" t="str">
        <f>VLOOKUP(B621,辅助信息!E:K,7,FALSE)</f>
        <v>JWDDCD2025051000019</v>
      </c>
      <c r="E621" s="33" t="str">
        <f>VLOOKUP(F621,辅助信息!A:B,2,FALSE)</f>
        <v>盘螺</v>
      </c>
      <c r="F621" s="33" t="s">
        <v>40</v>
      </c>
      <c r="G621" s="33">
        <v>14</v>
      </c>
      <c r="H621" s="33">
        <f>_xlfn._xlws.FILTER('[1]2025年已发货'!$E:$E,'[1]2025年已发货'!$F:$F&amp;'[1]2025年已发货'!$C:$C&amp;'[1]2025年已发货'!$G:$G&amp;'[1]2025年已发货'!$H:$H=C621&amp;F621&amp;I621&amp;J621,"未发货")</f>
        <v>14</v>
      </c>
      <c r="I621" s="33" t="str">
        <f>VLOOKUP(B621,辅助信息!E:I,3,FALSE)</f>
        <v>(五冶钢构医学科学产业园建设项目房建二部-四标（5-4）)四川省南充市顺庆区搬罾街道学府大道二段</v>
      </c>
      <c r="J621" s="33" t="str">
        <f>VLOOKUP(B621,辅助信息!E:I,4,FALSE)</f>
        <v>安南</v>
      </c>
      <c r="K621" s="33">
        <f>VLOOKUP(J621,辅助信息!H:I,2,FALSE)</f>
        <v>19950525030</v>
      </c>
      <c r="L621" s="71"/>
      <c r="M621" s="88">
        <v>45706</v>
      </c>
      <c r="O621" s="19">
        <f ca="1" t="shared" si="15"/>
        <v>0</v>
      </c>
      <c r="P621" s="55">
        <f ca="1" t="shared" si="14"/>
        <v>251</v>
      </c>
      <c r="Q621" s="19" t="str">
        <f>VLOOKUP(B621,辅助信息!E:M,9,FALSE)</f>
        <v>ZTWM-CDGS-XS-2024-0248-五冶钢构-南充市医学院项目</v>
      </c>
    </row>
    <row r="622" s="19" customFormat="1" hidden="1" spans="2:17">
      <c r="B622" s="33" t="s">
        <v>88</v>
      </c>
      <c r="C622" s="63">
        <v>45708</v>
      </c>
      <c r="D622" s="33" t="str">
        <f>VLOOKUP(B622,辅助信息!E:K,7,FALSE)</f>
        <v>JWDDCD2025051000019</v>
      </c>
      <c r="E622" s="33" t="str">
        <f>VLOOKUP(F622,辅助信息!A:B,2,FALSE)</f>
        <v>螺纹钢</v>
      </c>
      <c r="F622" s="33" t="s">
        <v>30</v>
      </c>
      <c r="G622" s="33">
        <v>3</v>
      </c>
      <c r="H622" s="33">
        <f>_xlfn._xlws.FILTER('[1]2025年已发货'!$E:$E,'[1]2025年已发货'!$F:$F&amp;'[1]2025年已发货'!$C:$C&amp;'[1]2025年已发货'!$G:$G&amp;'[1]2025年已发货'!$H:$H=C622&amp;F622&amp;I622&amp;J622,"未发货")</f>
        <v>3</v>
      </c>
      <c r="I622" s="33" t="str">
        <f>VLOOKUP(B622,辅助信息!E:I,3,FALSE)</f>
        <v>(五冶钢构医学科学产业园建设项目房建二部-四标（5-4）)四川省南充市顺庆区搬罾街道学府大道二段</v>
      </c>
      <c r="J622" s="33" t="str">
        <f>VLOOKUP(B622,辅助信息!E:I,4,FALSE)</f>
        <v>安南</v>
      </c>
      <c r="K622" s="33">
        <f>VLOOKUP(J622,辅助信息!H:I,2,FALSE)</f>
        <v>19950525030</v>
      </c>
      <c r="L622" s="71"/>
      <c r="M622" s="88">
        <v>45706</v>
      </c>
      <c r="O622" s="19">
        <f ca="1" t="shared" si="15"/>
        <v>0</v>
      </c>
      <c r="P622" s="55">
        <f ca="1" t="shared" si="14"/>
        <v>251</v>
      </c>
      <c r="Q622" s="19" t="str">
        <f>VLOOKUP(B622,辅助信息!E:M,9,FALSE)</f>
        <v>ZTWM-CDGS-XS-2024-0248-五冶钢构-南充市医学院项目</v>
      </c>
    </row>
    <row r="623" s="19" customFormat="1" hidden="1" spans="2:17">
      <c r="B623" s="33" t="s">
        <v>72</v>
      </c>
      <c r="C623" s="63">
        <v>45708</v>
      </c>
      <c r="D623" s="33" t="str">
        <f>VLOOKUP(B623,辅助信息!E:K,7,FALSE)</f>
        <v>JWDDCD2025051000019</v>
      </c>
      <c r="E623" s="33" t="str">
        <f>VLOOKUP(F623,辅助信息!A:B,2,FALSE)</f>
        <v>高线</v>
      </c>
      <c r="F623" s="33" t="s">
        <v>53</v>
      </c>
      <c r="G623" s="33">
        <v>6</v>
      </c>
      <c r="H623" s="33">
        <f>_xlfn._xlws.FILTER('[1]2025年已发货'!$E:$E,'[1]2025年已发货'!$F:$F&amp;'[1]2025年已发货'!$C:$C&amp;'[1]2025年已发货'!$G:$G&amp;'[1]2025年已发货'!$H:$H=C623&amp;F623&amp;I623&amp;J623,"未发货")</f>
        <v>6</v>
      </c>
      <c r="I623" s="33" t="str">
        <f>VLOOKUP(B623,辅助信息!E:I,3,FALSE)</f>
        <v>(五冶钢构医学科学产业园建设项目房建二部-网羽馆（6-5）)四川省南充市顺庆区搬罾街道学府大道二段</v>
      </c>
      <c r="J623" s="33" t="str">
        <f>VLOOKUP(B623,辅助信息!E:I,4,FALSE)</f>
        <v>安南</v>
      </c>
      <c r="K623" s="33">
        <f>VLOOKUP(J623,辅助信息!H:I,2,FALSE)</f>
        <v>19950525030</v>
      </c>
      <c r="L623" s="71"/>
      <c r="M623" s="88">
        <v>45708</v>
      </c>
      <c r="O623" s="19">
        <f ca="1" t="shared" si="15"/>
        <v>0</v>
      </c>
      <c r="P623" s="55">
        <f ca="1" t="shared" si="14"/>
        <v>249</v>
      </c>
      <c r="Q623" s="19" t="str">
        <f>VLOOKUP(B623,辅助信息!E:M,9,FALSE)</f>
        <v>ZTWM-CDGS-XS-2024-0248-五冶钢构-南充市医学院项目</v>
      </c>
    </row>
    <row r="624" s="19" customFormat="1" hidden="1" spans="2:17">
      <c r="B624" s="33" t="s">
        <v>72</v>
      </c>
      <c r="C624" s="63">
        <v>45708</v>
      </c>
      <c r="D624" s="33" t="str">
        <f>VLOOKUP(B624,辅助信息!E:K,7,FALSE)</f>
        <v>JWDDCD2025051000019</v>
      </c>
      <c r="E624" s="33" t="str">
        <f>VLOOKUP(F624,辅助信息!A:B,2,FALSE)</f>
        <v>螺纹钢</v>
      </c>
      <c r="F624" s="33" t="s">
        <v>19</v>
      </c>
      <c r="G624" s="33">
        <v>8</v>
      </c>
      <c r="H624" s="33">
        <f>_xlfn._xlws.FILTER('[1]2025年已发货'!$E:$E,'[1]2025年已发货'!$F:$F&amp;'[1]2025年已发货'!$C:$C&amp;'[1]2025年已发货'!$G:$G&amp;'[1]2025年已发货'!$H:$H=C624&amp;F624&amp;I624&amp;J624,"未发货")</f>
        <v>8</v>
      </c>
      <c r="I624" s="33" t="str">
        <f>VLOOKUP(B624,辅助信息!E:I,3,FALSE)</f>
        <v>(五冶钢构医学科学产业园建设项目房建二部-网羽馆（6-5）)四川省南充市顺庆区搬罾街道学府大道二段</v>
      </c>
      <c r="J624" s="33" t="str">
        <f>VLOOKUP(B624,辅助信息!E:I,4,FALSE)</f>
        <v>安南</v>
      </c>
      <c r="K624" s="33">
        <f>VLOOKUP(J624,辅助信息!H:I,2,FALSE)</f>
        <v>19950525030</v>
      </c>
      <c r="L624" s="71"/>
      <c r="M624" s="88">
        <v>45708</v>
      </c>
      <c r="O624" s="19">
        <f ca="1" t="shared" si="15"/>
        <v>0</v>
      </c>
      <c r="P624" s="55">
        <f ca="1" t="shared" si="14"/>
        <v>249</v>
      </c>
      <c r="Q624" s="19" t="str">
        <f>VLOOKUP(B624,辅助信息!E:M,9,FALSE)</f>
        <v>ZTWM-CDGS-XS-2024-0248-五冶钢构-南充市医学院项目</v>
      </c>
    </row>
    <row r="625" hidden="1" spans="1:18">
      <c r="A625" s="19"/>
      <c r="B625" s="33" t="s">
        <v>72</v>
      </c>
      <c r="C625" s="63">
        <v>45708</v>
      </c>
      <c r="D625" s="33" t="str">
        <f>VLOOKUP(B625,辅助信息!E:K,7,FALSE)</f>
        <v>JWDDCD2025051000019</v>
      </c>
      <c r="E625" s="33" t="str">
        <f>VLOOKUP(F625,辅助信息!A:B,2,FALSE)</f>
        <v>螺纹钢</v>
      </c>
      <c r="F625" s="33" t="s">
        <v>18</v>
      </c>
      <c r="G625" s="33">
        <v>24</v>
      </c>
      <c r="H625" s="33">
        <f>_xlfn._xlws.FILTER('[1]2025年已发货'!$E:$E,'[1]2025年已发货'!$F:$F&amp;'[1]2025年已发货'!$C:$C&amp;'[1]2025年已发货'!$G:$G&amp;'[1]2025年已发货'!$H:$H=C625&amp;F625&amp;I625&amp;J625,"未发货")</f>
        <v>24</v>
      </c>
      <c r="I625" s="33" t="str">
        <f>VLOOKUP(B625,辅助信息!E:I,3,FALSE)</f>
        <v>(五冶钢构医学科学产业园建设项目房建二部-网羽馆（6-5）)四川省南充市顺庆区搬罾街道学府大道二段</v>
      </c>
      <c r="J625" s="33" t="str">
        <f>VLOOKUP(B625,辅助信息!E:I,4,FALSE)</f>
        <v>安南</v>
      </c>
      <c r="K625" s="33">
        <f>VLOOKUP(J625,辅助信息!H:I,2,FALSE)</f>
        <v>19950525030</v>
      </c>
      <c r="L625" s="71"/>
      <c r="M625" s="88"/>
      <c r="N625" s="19"/>
      <c r="O625" s="19"/>
      <c r="Q625" s="19"/>
      <c r="R625" s="19"/>
    </row>
    <row r="626" hidden="1" spans="1:18">
      <c r="A626" s="19"/>
      <c r="B626" s="33" t="s">
        <v>89</v>
      </c>
      <c r="C626" s="63">
        <v>45708</v>
      </c>
      <c r="D626" s="33" t="str">
        <f>VLOOKUP(B626,辅助信息!E:K,7,FALSE)</f>
        <v>JWDDCD2025051000019</v>
      </c>
      <c r="E626" s="33" t="str">
        <f>VLOOKUP(F626,辅助信息!A:B,2,FALSE)</f>
        <v>螺纹钢</v>
      </c>
      <c r="F626" s="33" t="s">
        <v>32</v>
      </c>
      <c r="G626" s="33">
        <f>130-70-45</f>
        <v>15</v>
      </c>
      <c r="H626" s="33">
        <f>_xlfn._xlws.FILTER('[1]2025年已发货'!$E:$E,'[1]2025年已发货'!$F:$F&amp;'[1]2025年已发货'!$C:$C&amp;'[1]2025年已发货'!$G:$G&amp;'[1]2025年已发货'!$H:$H=C626&amp;F626&amp;I626&amp;J626,"未发货")</f>
        <v>15</v>
      </c>
      <c r="I626" s="33" t="str">
        <f>VLOOKUP(B626,辅助信息!E:I,3,FALSE)</f>
        <v>(五冶钢构医学科学产业园建设项目房建三部-排洪渠)四川省南充市顺庆区搬罾街道学府大道二段</v>
      </c>
      <c r="J626" s="33" t="str">
        <f>VLOOKUP(B626,辅助信息!E:I,4,FALSE)</f>
        <v>郑林</v>
      </c>
      <c r="K626" s="33">
        <f>VLOOKUP(J626,辅助信息!H:I,2,FALSE)</f>
        <v>18349955455</v>
      </c>
      <c r="L626" s="36" t="str">
        <f>VLOOKUP(B626,辅助信息!E:J,6,FALSE)</f>
        <v>送货单：送货单位：南充思临新材料科技有限公司,收货单位：五冶集团川北(南充)建设有限公司,项目名称：南充医学科学产业园,送货车型13米,装货前联系收货人核实到场规格</v>
      </c>
      <c r="M626" s="88">
        <v>45708</v>
      </c>
      <c r="N626" s="19"/>
      <c r="O626" s="19">
        <f ca="1" t="shared" ref="O626:O689" si="16">IF(OR(M626="",N626&lt;&gt;""),"",MAX(M626-TODAY(),0))</f>
        <v>0</v>
      </c>
      <c r="P626" s="55">
        <f ca="1" t="shared" ref="P626:P689" si="17">IF(M626="","",IF(N626&lt;&gt;"",MAX(N626-M626,0),IF(TODAY()&gt;M626,TODAY()-M626,0)))</f>
        <v>249</v>
      </c>
      <c r="Q626" s="19" t="str">
        <f>VLOOKUP(B626,辅助信息!E:M,9,FALSE)</f>
        <v>ZTWM-CDGS-XS-2024-0248-五冶钢构-南充市医学院项目</v>
      </c>
      <c r="R626" s="19"/>
    </row>
    <row r="627" hidden="1" spans="1:18">
      <c r="A627" s="19"/>
      <c r="B627" s="33" t="s">
        <v>89</v>
      </c>
      <c r="C627" s="63">
        <v>45708</v>
      </c>
      <c r="D627" s="33" t="str">
        <f>VLOOKUP(B627,辅助信息!E:K,7,FALSE)</f>
        <v>JWDDCD2025051000019</v>
      </c>
      <c r="E627" s="33" t="str">
        <f>VLOOKUP(F627,辅助信息!A:B,2,FALSE)</f>
        <v>螺纹钢</v>
      </c>
      <c r="F627" s="33" t="s">
        <v>18</v>
      </c>
      <c r="G627" s="33">
        <v>25</v>
      </c>
      <c r="H627" s="33">
        <f>_xlfn._xlws.FILTER('[1]2025年已发货'!$E:$E,'[1]2025年已发货'!$F:$F&amp;'[1]2025年已发货'!$C:$C&amp;'[1]2025年已发货'!$G:$G&amp;'[1]2025年已发货'!$H:$H=C627&amp;F627&amp;I627&amp;J627,"未发货")</f>
        <v>21</v>
      </c>
      <c r="I627" s="33" t="str">
        <f>VLOOKUP(B627,辅助信息!E:I,3,FALSE)</f>
        <v>(五冶钢构医学科学产业园建设项目房建三部-排洪渠)四川省南充市顺庆区搬罾街道学府大道二段</v>
      </c>
      <c r="J627" s="33" t="str">
        <f>VLOOKUP(B627,辅助信息!E:I,4,FALSE)</f>
        <v>郑林</v>
      </c>
      <c r="K627" s="33">
        <f>VLOOKUP(J627,辅助信息!H:I,2,FALSE)</f>
        <v>18349955455</v>
      </c>
      <c r="L627" s="71"/>
      <c r="M627" s="88">
        <v>45708</v>
      </c>
      <c r="N627" s="19"/>
      <c r="O627" s="19">
        <f ca="1" t="shared" si="16"/>
        <v>0</v>
      </c>
      <c r="P627" s="55">
        <f ca="1" t="shared" si="17"/>
        <v>249</v>
      </c>
      <c r="Q627" s="19" t="str">
        <f>VLOOKUP(B627,辅助信息!E:M,9,FALSE)</f>
        <v>ZTWM-CDGS-XS-2024-0248-五冶钢构-南充市医学院项目</v>
      </c>
      <c r="R627" s="19"/>
    </row>
    <row r="628" hidden="1" spans="1:18">
      <c r="A628" s="55" t="s">
        <v>97</v>
      </c>
      <c r="B628" s="33" t="s">
        <v>98</v>
      </c>
      <c r="C628" s="63">
        <v>45708</v>
      </c>
      <c r="D628" s="33" t="e">
        <f>VLOOKUP(B628,辅助信息!E:K,7,FALSE)</f>
        <v>#N/A</v>
      </c>
      <c r="E628" s="33" t="str">
        <f>VLOOKUP(F628,辅助信息!A:B,2,FALSE)</f>
        <v>高线</v>
      </c>
      <c r="F628" s="33" t="s">
        <v>51</v>
      </c>
      <c r="G628" s="29">
        <v>10</v>
      </c>
      <c r="H628" s="29" t="e">
        <f>_xlfn._xlws.FILTER('[1]2025年已发货'!$E:$E,'[1]2025年已发货'!$F:$F&amp;'[1]2025年已发货'!$C:$C&amp;'[1]2025年已发货'!$G:$G&amp;'[1]2025年已发货'!$H:$H=C628&amp;F628&amp;I628&amp;J628,"未发货")</f>
        <v>#N/A</v>
      </c>
      <c r="I628" s="33" t="e">
        <f>VLOOKUP(B628,辅助信息!E:I,3,FALSE)</f>
        <v>#N/A</v>
      </c>
      <c r="J628" s="33" t="e">
        <f>VLOOKUP(B628,辅助信息!E:I,4,FALSE)</f>
        <v>#N/A</v>
      </c>
      <c r="K628" s="33" t="e">
        <f>VLOOKUP(J628,辅助信息!H:I,2,FALSE)</f>
        <v>#N/A</v>
      </c>
      <c r="L628" s="71"/>
      <c r="M628" s="84">
        <v>45709</v>
      </c>
      <c r="O628" s="55">
        <f ca="1" t="shared" si="16"/>
        <v>0</v>
      </c>
      <c r="P628" s="55">
        <f ca="1" t="shared" si="17"/>
        <v>248</v>
      </c>
      <c r="Q628" s="19" t="e">
        <f>VLOOKUP(B628,辅助信息!E:M,9,FALSE)</f>
        <v>#N/A</v>
      </c>
      <c r="R628" s="19"/>
    </row>
    <row r="629" hidden="1" spans="1:18">
      <c r="A629" s="19"/>
      <c r="B629" s="33" t="s">
        <v>99</v>
      </c>
      <c r="C629" s="63">
        <v>45708</v>
      </c>
      <c r="D629" s="33" t="e">
        <f>VLOOKUP(B629,辅助信息!E:K,7,FALSE)</f>
        <v>#N/A</v>
      </c>
      <c r="E629" s="33" t="str">
        <f>VLOOKUP(F629,辅助信息!A:B,2,FALSE)</f>
        <v>高线</v>
      </c>
      <c r="F629" s="33" t="s">
        <v>53</v>
      </c>
      <c r="G629" s="29">
        <v>2.5</v>
      </c>
      <c r="H629" s="29" t="e">
        <f>_xlfn._xlws.FILTER('[1]2025年已发货'!$E:$E,'[1]2025年已发货'!$F:$F&amp;'[1]2025年已发货'!$C:$C&amp;'[1]2025年已发货'!$G:$G&amp;'[1]2025年已发货'!$H:$H=C629&amp;F629&amp;I629&amp;J629,"未发货")</f>
        <v>#N/A</v>
      </c>
      <c r="I629" s="33" t="e">
        <f>VLOOKUP(B629,辅助信息!E:I,3,FALSE)</f>
        <v>#N/A</v>
      </c>
      <c r="J629" s="33" t="e">
        <f>VLOOKUP(B629,辅助信息!E:I,4,FALSE)</f>
        <v>#N/A</v>
      </c>
      <c r="K629" s="33" t="e">
        <f>VLOOKUP(J629,辅助信息!H:I,2,FALSE)</f>
        <v>#N/A</v>
      </c>
      <c r="L629" s="71"/>
      <c r="M629" s="84">
        <v>45709</v>
      </c>
      <c r="O629" s="55">
        <f ca="1" t="shared" si="16"/>
        <v>0</v>
      </c>
      <c r="P629" s="55">
        <f ca="1" t="shared" si="17"/>
        <v>248</v>
      </c>
      <c r="Q629" s="19" t="e">
        <f>VLOOKUP(B629,辅助信息!E:M,9,FALSE)</f>
        <v>#N/A</v>
      </c>
      <c r="R629" s="19"/>
    </row>
    <row r="630" hidden="1" spans="1:18">
      <c r="A630" s="19"/>
      <c r="B630" s="33" t="s">
        <v>99</v>
      </c>
      <c r="C630" s="63">
        <v>45708</v>
      </c>
      <c r="D630" s="33" t="e">
        <f>VLOOKUP(B630,辅助信息!E:K,7,FALSE)</f>
        <v>#N/A</v>
      </c>
      <c r="E630" s="33" t="str">
        <f>VLOOKUP(F630,辅助信息!A:B,2,FALSE)</f>
        <v>高线</v>
      </c>
      <c r="F630" s="33" t="s">
        <v>51</v>
      </c>
      <c r="G630" s="29">
        <v>2.5</v>
      </c>
      <c r="H630" s="29" t="e">
        <f>_xlfn._xlws.FILTER('[1]2025年已发货'!$E:$E,'[1]2025年已发货'!$F:$F&amp;'[1]2025年已发货'!$C:$C&amp;'[1]2025年已发货'!$G:$G&amp;'[1]2025年已发货'!$H:$H=C630&amp;F630&amp;I630&amp;J630,"未发货")</f>
        <v>#N/A</v>
      </c>
      <c r="I630" s="33" t="e">
        <f>VLOOKUP(B630,辅助信息!E:I,3,FALSE)</f>
        <v>#N/A</v>
      </c>
      <c r="J630" s="33" t="e">
        <f>VLOOKUP(B630,辅助信息!E:I,4,FALSE)</f>
        <v>#N/A</v>
      </c>
      <c r="K630" s="33" t="e">
        <f>VLOOKUP(J630,辅助信息!H:I,2,FALSE)</f>
        <v>#N/A</v>
      </c>
      <c r="L630" s="71"/>
      <c r="M630" s="84">
        <v>45709</v>
      </c>
      <c r="O630" s="55">
        <f ca="1" t="shared" si="16"/>
        <v>0</v>
      </c>
      <c r="P630" s="55">
        <f ca="1" t="shared" si="17"/>
        <v>248</v>
      </c>
      <c r="Q630" s="19" t="e">
        <f>VLOOKUP(B630,辅助信息!E:M,9,FALSE)</f>
        <v>#N/A</v>
      </c>
      <c r="R630" s="19"/>
    </row>
    <row r="631" hidden="1" spans="1:18">
      <c r="A631" s="19"/>
      <c r="B631" s="33" t="s">
        <v>99</v>
      </c>
      <c r="C631" s="63">
        <v>45708</v>
      </c>
      <c r="D631" s="33" t="e">
        <f>VLOOKUP(B631,辅助信息!E:K,7,FALSE)</f>
        <v>#N/A</v>
      </c>
      <c r="E631" s="33" t="str">
        <f>VLOOKUP(F631,辅助信息!A:B,2,FALSE)</f>
        <v>螺纹钢</v>
      </c>
      <c r="F631" s="33" t="s">
        <v>27</v>
      </c>
      <c r="G631" s="29">
        <v>3</v>
      </c>
      <c r="H631" s="29" t="e">
        <f>_xlfn._xlws.FILTER('[1]2025年已发货'!$E:$E,'[1]2025年已发货'!$F:$F&amp;'[1]2025年已发货'!$C:$C&amp;'[1]2025年已发货'!$G:$G&amp;'[1]2025年已发货'!$H:$H=C631&amp;F631&amp;I631&amp;J631,"未发货")</f>
        <v>#N/A</v>
      </c>
      <c r="I631" s="33" t="e">
        <f>VLOOKUP(B631,辅助信息!E:I,3,FALSE)</f>
        <v>#N/A</v>
      </c>
      <c r="J631" s="33" t="e">
        <f>VLOOKUP(B631,辅助信息!E:I,4,FALSE)</f>
        <v>#N/A</v>
      </c>
      <c r="K631" s="33" t="e">
        <f>VLOOKUP(J631,辅助信息!H:I,2,FALSE)</f>
        <v>#N/A</v>
      </c>
      <c r="L631" s="71"/>
      <c r="M631" s="84">
        <v>45709</v>
      </c>
      <c r="O631" s="55">
        <f ca="1" t="shared" si="16"/>
        <v>0</v>
      </c>
      <c r="P631" s="55">
        <f ca="1" t="shared" si="17"/>
        <v>248</v>
      </c>
      <c r="Q631" s="19" t="e">
        <f>VLOOKUP(B631,辅助信息!E:M,9,FALSE)</f>
        <v>#N/A</v>
      </c>
      <c r="R631" s="19"/>
    </row>
    <row r="632" hidden="1" spans="1:18">
      <c r="A632" s="19"/>
      <c r="B632" s="33" t="s">
        <v>99</v>
      </c>
      <c r="C632" s="63">
        <v>45708</v>
      </c>
      <c r="D632" s="33" t="e">
        <f>VLOOKUP(B632,辅助信息!E:K,7,FALSE)</f>
        <v>#N/A</v>
      </c>
      <c r="E632" s="33" t="str">
        <f>VLOOKUP(F632,辅助信息!A:B,2,FALSE)</f>
        <v>螺纹钢</v>
      </c>
      <c r="F632" s="33" t="s">
        <v>19</v>
      </c>
      <c r="G632" s="29">
        <v>3</v>
      </c>
      <c r="H632" s="29" t="e">
        <f>_xlfn._xlws.FILTER('[1]2025年已发货'!$E:$E,'[1]2025年已发货'!$F:$F&amp;'[1]2025年已发货'!$C:$C&amp;'[1]2025年已发货'!$G:$G&amp;'[1]2025年已发货'!$H:$H=C632&amp;F632&amp;I632&amp;J632,"未发货")</f>
        <v>#N/A</v>
      </c>
      <c r="I632" s="33" t="e">
        <f>VLOOKUP(B632,辅助信息!E:I,3,FALSE)</f>
        <v>#N/A</v>
      </c>
      <c r="J632" s="33" t="e">
        <f>VLOOKUP(B632,辅助信息!E:I,4,FALSE)</f>
        <v>#N/A</v>
      </c>
      <c r="K632" s="33" t="e">
        <f>VLOOKUP(J632,辅助信息!H:I,2,FALSE)</f>
        <v>#N/A</v>
      </c>
      <c r="L632" s="71"/>
      <c r="M632" s="84">
        <v>45709</v>
      </c>
      <c r="O632" s="55">
        <f ca="1" t="shared" si="16"/>
        <v>0</v>
      </c>
      <c r="P632" s="55">
        <f ca="1" t="shared" si="17"/>
        <v>248</v>
      </c>
      <c r="Q632" s="19" t="e">
        <f>VLOOKUP(B632,辅助信息!E:M,9,FALSE)</f>
        <v>#N/A</v>
      </c>
      <c r="R632" s="19"/>
    </row>
    <row r="633" hidden="1" spans="1:18">
      <c r="A633" s="19"/>
      <c r="B633" s="33" t="s">
        <v>99</v>
      </c>
      <c r="C633" s="63">
        <v>45708</v>
      </c>
      <c r="D633" s="33" t="e">
        <f>VLOOKUP(B633,辅助信息!E:K,7,FALSE)</f>
        <v>#N/A</v>
      </c>
      <c r="E633" s="33" t="str">
        <f>VLOOKUP(F633,辅助信息!A:B,2,FALSE)</f>
        <v>螺纹钢</v>
      </c>
      <c r="F633" s="33" t="s">
        <v>32</v>
      </c>
      <c r="G633" s="29">
        <v>3</v>
      </c>
      <c r="H633" s="29" t="e">
        <f>_xlfn._xlws.FILTER('[1]2025年已发货'!$E:$E,'[1]2025年已发货'!$F:$F&amp;'[1]2025年已发货'!$C:$C&amp;'[1]2025年已发货'!$G:$G&amp;'[1]2025年已发货'!$H:$H=C633&amp;F633&amp;I633&amp;J633,"未发货")</f>
        <v>#N/A</v>
      </c>
      <c r="I633" s="33" t="e">
        <f>VLOOKUP(B633,辅助信息!E:I,3,FALSE)</f>
        <v>#N/A</v>
      </c>
      <c r="J633" s="33" t="e">
        <f>VLOOKUP(B633,辅助信息!E:I,4,FALSE)</f>
        <v>#N/A</v>
      </c>
      <c r="K633" s="33" t="e">
        <f>VLOOKUP(J633,辅助信息!H:I,2,FALSE)</f>
        <v>#N/A</v>
      </c>
      <c r="L633" s="69"/>
      <c r="M633" s="84">
        <v>45709</v>
      </c>
      <c r="O633" s="55">
        <f ca="1" t="shared" si="16"/>
        <v>0</v>
      </c>
      <c r="P633" s="55">
        <f ca="1" t="shared" si="17"/>
        <v>248</v>
      </c>
      <c r="Q633" s="19" t="e">
        <f>VLOOKUP(B633,辅助信息!E:M,9,FALSE)</f>
        <v>#N/A</v>
      </c>
      <c r="R633" s="19"/>
    </row>
    <row r="634" hidden="1" spans="1:18">
      <c r="A634" s="19"/>
      <c r="B634" s="33" t="s">
        <v>31</v>
      </c>
      <c r="C634" s="63">
        <v>45708</v>
      </c>
      <c r="D634" s="33" t="str">
        <f>VLOOKUP(B634,辅助信息!E:K,7,FALSE)</f>
        <v>JWDDCD2024121000136</v>
      </c>
      <c r="E634" s="33" t="str">
        <f>VLOOKUP(F634,辅助信息!A:B,2,FALSE)</f>
        <v>盘螺</v>
      </c>
      <c r="F634" s="33" t="s">
        <v>49</v>
      </c>
      <c r="G634" s="33">
        <v>15</v>
      </c>
      <c r="H634" s="33" t="str">
        <f>_xlfn._xlws.FILTER('[1]2025年已发货'!$E:$E,'[1]2025年已发货'!$F:$F&amp;'[1]2025年已发货'!$C:$C&amp;'[1]2025年已发货'!$G:$G&amp;'[1]2025年已发货'!$H:$H=C634&amp;F634&amp;I634&amp;J634,"未发货")</f>
        <v>未发货</v>
      </c>
      <c r="I634" s="33" t="str">
        <f>VLOOKUP(B634,辅助信息!E:I,3,FALSE)</f>
        <v>（四川商建-射洪城乡一体化项目）遂宁市射洪市忠新幼儿园北侧约220米新溪小区</v>
      </c>
      <c r="J634" s="33" t="str">
        <f>VLOOKUP(B634,辅助信息!E:I,4,FALSE)</f>
        <v>柏子刚</v>
      </c>
      <c r="K634" s="33">
        <f>VLOOKUP(J634,辅助信息!H:I,2,FALSE)</f>
        <v>15692885305</v>
      </c>
      <c r="L634" s="36" t="str">
        <f>VLOOKUP(B634,辅助信息!E:J,6,FALSE)</f>
        <v>提前联系到场规格及数量</v>
      </c>
      <c r="M634" s="88">
        <v>45708</v>
      </c>
      <c r="N634" s="19"/>
      <c r="O634" s="19">
        <f ca="1" t="shared" si="16"/>
        <v>0</v>
      </c>
      <c r="P634" s="55">
        <f ca="1" t="shared" si="17"/>
        <v>249</v>
      </c>
      <c r="Q634" s="19" t="str">
        <f>VLOOKUP(B634,辅助信息!E:M,9,FALSE)</f>
        <v>ZTWM-CDGS-XS-2024-0179-四川商投-射洪城乡一体化建设项目</v>
      </c>
      <c r="R634" s="19"/>
    </row>
    <row r="635" hidden="1" spans="1:18">
      <c r="A635" s="19"/>
      <c r="B635" s="33" t="s">
        <v>31</v>
      </c>
      <c r="C635" s="63">
        <v>45708</v>
      </c>
      <c r="D635" s="33" t="str">
        <f>VLOOKUP(B635,辅助信息!E:K,7,FALSE)</f>
        <v>JWDDCD2024121000136</v>
      </c>
      <c r="E635" s="33" t="str">
        <f>VLOOKUP(F635,辅助信息!A:B,2,FALSE)</f>
        <v>螺纹钢</v>
      </c>
      <c r="F635" s="33" t="s">
        <v>22</v>
      </c>
      <c r="G635" s="33">
        <v>20</v>
      </c>
      <c r="H635" s="33" t="str">
        <f>_xlfn._xlws.FILTER('[1]2025年已发货'!$E:$E,'[1]2025年已发货'!$F:$F&amp;'[1]2025年已发货'!$C:$C&amp;'[1]2025年已发货'!$G:$G&amp;'[1]2025年已发货'!$H:$H=C635&amp;F635&amp;I635&amp;J635,"未发货")</f>
        <v>未发货</v>
      </c>
      <c r="I635" s="33" t="str">
        <f>VLOOKUP(B635,辅助信息!E:I,3,FALSE)</f>
        <v>（四川商建-射洪城乡一体化项目）遂宁市射洪市忠新幼儿园北侧约220米新溪小区</v>
      </c>
      <c r="J635" s="33" t="str">
        <f>VLOOKUP(B635,辅助信息!E:I,4,FALSE)</f>
        <v>柏子刚</v>
      </c>
      <c r="K635" s="33">
        <f>VLOOKUP(J635,辅助信息!H:I,2,FALSE)</f>
        <v>15692885305</v>
      </c>
      <c r="L635" s="69"/>
      <c r="M635" s="88">
        <v>45708</v>
      </c>
      <c r="N635" s="19"/>
      <c r="O635" s="19">
        <f ca="1" t="shared" si="16"/>
        <v>0</v>
      </c>
      <c r="P635" s="55">
        <f ca="1" t="shared" si="17"/>
        <v>249</v>
      </c>
      <c r="Q635" s="19" t="str">
        <f>VLOOKUP(B635,辅助信息!E:M,9,FALSE)</f>
        <v>ZTWM-CDGS-XS-2024-0179-四川商投-射洪城乡一体化建设项目</v>
      </c>
      <c r="R635" s="19"/>
    </row>
    <row r="636" ht="36" hidden="1" customHeight="1" spans="1:18">
      <c r="A636" s="55" t="s">
        <v>100</v>
      </c>
      <c r="B636" s="33" t="s">
        <v>47</v>
      </c>
      <c r="C636" s="63">
        <v>45708</v>
      </c>
      <c r="D636" s="33" t="str">
        <f>VLOOKUP(B636,辅助信息!E:K,7,FALSE)</f>
        <v>JWDDCD2025052800131</v>
      </c>
      <c r="E636" s="33" t="str">
        <f>VLOOKUP(F636,辅助信息!A:B,2,FALSE)</f>
        <v>螺纹钢</v>
      </c>
      <c r="F636" s="33" t="s">
        <v>18</v>
      </c>
      <c r="G636" s="29">
        <v>225</v>
      </c>
      <c r="H636" s="29">
        <f>_xlfn._xlws.FILTER('[1]2025年已发货'!$E:$E,'[1]2025年已发货'!$F:$F&amp;'[1]2025年已发货'!$C:$C&amp;'[1]2025年已发货'!$G:$G&amp;'[1]2025年已发货'!$H:$H=C636&amp;F636&amp;I636&amp;J636,"未发货")</f>
        <v>210</v>
      </c>
      <c r="I636" s="33" t="str">
        <f>VLOOKUP(B636,辅助信息!E:I,3,FALSE)</f>
        <v>（商投建工达州中医药科技园-1工区）达州市通川区达州中医药职业学院犀牛大道北段</v>
      </c>
      <c r="J636" s="33" t="str">
        <f>VLOOKUP(B636,辅助信息!E:I,4,FALSE)</f>
        <v>程黄刚</v>
      </c>
      <c r="K636" s="33">
        <f>VLOOKUP(J636,辅助信息!H:I,2,FALSE)</f>
        <v>15108211617</v>
      </c>
      <c r="L636" s="36" t="str">
        <f>VLOOKUP(B636,辅助信息!E:J,6,FALSE)</f>
        <v>控制炉批号！多了现场不收！,优先安排达钢,提前联系到场规格及数量</v>
      </c>
      <c r="M636" s="84">
        <v>45710</v>
      </c>
      <c r="O636" s="55">
        <f ca="1" t="shared" si="16"/>
        <v>0</v>
      </c>
      <c r="P636" s="55">
        <f ca="1" t="shared" si="17"/>
        <v>247</v>
      </c>
      <c r="Q636" s="19" t="str">
        <f>VLOOKUP(B636,辅助信息!E:M,9,FALSE)</f>
        <v>ZTWM-CDGS-XS-2024-0134-商投建工达州中医药科技成果示范园项目</v>
      </c>
      <c r="R636" s="19"/>
    </row>
    <row r="637" ht="36" hidden="1" customHeight="1" spans="1:18">
      <c r="A637" s="64" t="s">
        <v>102</v>
      </c>
      <c r="B637" s="33" t="s">
        <v>81</v>
      </c>
      <c r="C637" s="63">
        <v>45708</v>
      </c>
      <c r="D637" s="33" t="str">
        <f>VLOOKUP(B637,辅助信息!E:K,7,FALSE)</f>
        <v>JWDDCD2025060900080</v>
      </c>
      <c r="E637" s="33" t="str">
        <f>VLOOKUP(F637,辅助信息!A:B,2,FALSE)</f>
        <v>螺纹钢</v>
      </c>
      <c r="F637" s="33" t="s">
        <v>18</v>
      </c>
      <c r="G637" s="29">
        <v>70</v>
      </c>
      <c r="H637" s="29" t="str">
        <f>_xlfn._xlws.FILTER('[1]2025年已发货'!$E:$E,'[1]2025年已发货'!$F:$F&amp;'[1]2025年已发货'!$C:$C&amp;'[1]2025年已发货'!$G:$G&amp;'[1]2025年已发货'!$H:$H=C637&amp;F637&amp;I637&amp;J637,"未发货")</f>
        <v>未发货</v>
      </c>
      <c r="I637" s="33" t="str">
        <f>VLOOKUP(B637,辅助信息!E:I,3,FALSE)</f>
        <v>（华西简阳西城嘉苑）四川省成都市简阳市简城街道高屋村</v>
      </c>
      <c r="J637" s="33" t="str">
        <f>VLOOKUP(B637,辅助信息!E:I,4,FALSE)</f>
        <v>张瀚镭</v>
      </c>
      <c r="K637" s="33">
        <f>VLOOKUP(J637,辅助信息!H:I,2,FALSE)</f>
        <v>15884666220</v>
      </c>
      <c r="L637" s="36" t="str">
        <f>VLOOKUP(B637,辅助信息!E:J,6,FALSE)</f>
        <v>现场禁止使用氢能源挂车！优先威钢发货,我方卸车,新老国标钢厂不加价可直发，因陕钢多次出现磅差，项目拒绝使用</v>
      </c>
      <c r="M637" s="84">
        <v>45711</v>
      </c>
      <c r="O637" s="55">
        <f ca="1" t="shared" si="16"/>
        <v>0</v>
      </c>
      <c r="P637" s="55">
        <f ca="1" t="shared" si="17"/>
        <v>246</v>
      </c>
      <c r="Q637" s="19" t="str">
        <f>VLOOKUP(B637,辅助信息!E:M,9,FALSE)</f>
        <v>ZTWM-CDGS-XS-2024-0030-华西集采-简州大道</v>
      </c>
      <c r="R637" s="19"/>
    </row>
    <row r="638" hidden="1" spans="1:18">
      <c r="A638" s="19"/>
      <c r="B638" s="33" t="s">
        <v>69</v>
      </c>
      <c r="C638" s="63">
        <v>45709</v>
      </c>
      <c r="D638" s="33" t="str">
        <f>VLOOKUP(B638,辅助信息!E:K,7,FALSE)</f>
        <v>JWDDCD2025052800131</v>
      </c>
      <c r="E638" s="33" t="str">
        <f>VLOOKUP(F638,辅助信息!A:B,2,FALSE)</f>
        <v>螺纹钢</v>
      </c>
      <c r="F638" s="33" t="s">
        <v>21</v>
      </c>
      <c r="G638" s="33">
        <v>35</v>
      </c>
      <c r="H638" s="33" t="str">
        <f>_xlfn._xlws.FILTER('[1]2025年已发货'!$E:$E,'[1]2025年已发货'!$F:$F&amp;'[1]2025年已发货'!$C:$C&amp;'[1]2025年已发货'!$G:$G&amp;'[1]2025年已发货'!$H:$H=C638&amp;F638&amp;I638&amp;J638,"未发货")</f>
        <v>未发货</v>
      </c>
      <c r="I638" s="33" t="str">
        <f>VLOOKUP(B638,辅助信息!E:I,3,FALSE)</f>
        <v>（商投建工达州中医药科技园-4工区-2号楼）达州市通川区达州中医药职业学院犀牛大道北段</v>
      </c>
      <c r="J638" s="33" t="str">
        <f>VLOOKUP(B638,辅助信息!E:I,4,FALSE)</f>
        <v>张扬</v>
      </c>
      <c r="K638" s="33">
        <f>VLOOKUP(J638,辅助信息!H:I,2,FALSE)</f>
        <v>18381904567</v>
      </c>
      <c r="L638" s="36" t="str">
        <f>VLOOKUP(B638,辅助信息!E:J,6,FALSE)</f>
        <v>控制炉批号！多了现场不收！,优先安排达钢,提前联系到场规格及数量</v>
      </c>
      <c r="M638" s="88">
        <v>45704</v>
      </c>
      <c r="N638" s="19"/>
      <c r="O638" s="19">
        <f ca="1" t="shared" si="16"/>
        <v>0</v>
      </c>
      <c r="P638" s="55">
        <f ca="1" t="shared" si="17"/>
        <v>253</v>
      </c>
      <c r="Q638" s="19" t="str">
        <f>VLOOKUP(B638,辅助信息!E:M,9,FALSE)</f>
        <v>ZTWM-CDGS-XS-2024-0134-商投建工达州中医药科技成果示范园项目</v>
      </c>
      <c r="R638" s="19"/>
    </row>
    <row r="639" hidden="1" spans="1:18">
      <c r="A639" s="19"/>
      <c r="B639" s="33" t="s">
        <v>69</v>
      </c>
      <c r="C639" s="63">
        <v>45709</v>
      </c>
      <c r="D639" s="33" t="str">
        <f>VLOOKUP(B639,辅助信息!E:K,7,FALSE)</f>
        <v>JWDDCD2025052800131</v>
      </c>
      <c r="E639" s="33" t="str">
        <f>VLOOKUP(F639,辅助信息!A:B,2,FALSE)</f>
        <v>盘螺</v>
      </c>
      <c r="F639" s="33" t="s">
        <v>40</v>
      </c>
      <c r="G639" s="33">
        <v>16</v>
      </c>
      <c r="H639" s="33">
        <f>_xlfn._xlws.FILTER('[1]2025年已发货'!$E:$E,'[1]2025年已发货'!$F:$F&amp;'[1]2025年已发货'!$C:$C&amp;'[1]2025年已发货'!$G:$G&amp;'[1]2025年已发货'!$H:$H=C639&amp;F639&amp;I639&amp;J639,"未发货")</f>
        <v>18</v>
      </c>
      <c r="I639" s="33" t="str">
        <f>VLOOKUP(B639,辅助信息!E:I,3,FALSE)</f>
        <v>（商投建工达州中医药科技园-4工区-2号楼）达州市通川区达州中医药职业学院犀牛大道北段</v>
      </c>
      <c r="J639" s="33" t="str">
        <f>VLOOKUP(B639,辅助信息!E:I,4,FALSE)</f>
        <v>张扬</v>
      </c>
      <c r="K639" s="33">
        <f>VLOOKUP(J639,辅助信息!H:I,2,FALSE)</f>
        <v>18381904567</v>
      </c>
      <c r="L639" s="71"/>
      <c r="M639" s="88">
        <v>45710</v>
      </c>
      <c r="N639" s="19"/>
      <c r="O639" s="19">
        <f ca="1" t="shared" si="16"/>
        <v>0</v>
      </c>
      <c r="P639" s="55">
        <f ca="1" t="shared" si="17"/>
        <v>247</v>
      </c>
      <c r="Q639" s="19"/>
      <c r="R639" s="19"/>
    </row>
    <row r="640" hidden="1" spans="1:18">
      <c r="A640" s="19"/>
      <c r="B640" s="33" t="s">
        <v>69</v>
      </c>
      <c r="C640" s="63">
        <v>45709</v>
      </c>
      <c r="D640" s="33" t="str">
        <f>VLOOKUP(B640,辅助信息!E:K,7,FALSE)</f>
        <v>JWDDCD2025052800131</v>
      </c>
      <c r="E640" s="33" t="str">
        <f>VLOOKUP(F640,辅助信息!A:B,2,FALSE)</f>
        <v>盘螺</v>
      </c>
      <c r="F640" s="33" t="s">
        <v>41</v>
      </c>
      <c r="G640" s="33">
        <v>16</v>
      </c>
      <c r="H640" s="33">
        <f>_xlfn._xlws.FILTER('[1]2025年已发货'!$E:$E,'[1]2025年已发货'!$F:$F&amp;'[1]2025年已发货'!$C:$C&amp;'[1]2025年已发货'!$G:$G&amp;'[1]2025年已发货'!$H:$H=C640&amp;F640&amp;I640&amp;J640,"未发货")</f>
        <v>18</v>
      </c>
      <c r="I640" s="33" t="str">
        <f>VLOOKUP(B640,辅助信息!E:I,3,FALSE)</f>
        <v>（商投建工达州中医药科技园-4工区-2号楼）达州市通川区达州中医药职业学院犀牛大道北段</v>
      </c>
      <c r="J640" s="33" t="str">
        <f>VLOOKUP(B640,辅助信息!E:I,4,FALSE)</f>
        <v>张扬</v>
      </c>
      <c r="K640" s="33">
        <f>VLOOKUP(J640,辅助信息!H:I,2,FALSE)</f>
        <v>18381904567</v>
      </c>
      <c r="L640" s="69"/>
      <c r="M640" s="88">
        <v>45710</v>
      </c>
      <c r="N640" s="19"/>
      <c r="O640" s="19">
        <f ca="1" t="shared" si="16"/>
        <v>0</v>
      </c>
      <c r="P640" s="55">
        <f ca="1" t="shared" si="17"/>
        <v>247</v>
      </c>
      <c r="Q640" s="19"/>
      <c r="R640" s="19"/>
    </row>
    <row r="641" s="19" customFormat="1" hidden="1" spans="2:17">
      <c r="B641" s="33" t="s">
        <v>84</v>
      </c>
      <c r="C641" s="63">
        <v>45709</v>
      </c>
      <c r="D641" s="33" t="e">
        <f>VLOOKUP(B641,辅助信息!E:K,7,FALSE)</f>
        <v>#N/A</v>
      </c>
      <c r="E641" s="33" t="str">
        <f>VLOOKUP(F641,辅助信息!A:B,2,FALSE)</f>
        <v>螺纹钢</v>
      </c>
      <c r="F641" s="33" t="s">
        <v>27</v>
      </c>
      <c r="G641" s="33">
        <v>20</v>
      </c>
      <c r="H641" s="33" t="e">
        <f>_xlfn._xlws.FILTER('[1]2025年已发货'!$E:$E,'[1]2025年已发货'!$F:$F&amp;'[1]2025年已发货'!$C:$C&amp;'[1]2025年已发货'!$G:$G&amp;'[1]2025年已发货'!$H:$H=C641&amp;F641&amp;I641&amp;J641,"未发货")</f>
        <v>#N/A</v>
      </c>
      <c r="I641" s="33" t="e">
        <f>VLOOKUP(B641,辅助信息!E:I,3,FALSE)</f>
        <v>#N/A</v>
      </c>
      <c r="J641" s="33" t="e">
        <f>VLOOKUP(B641,辅助信息!E:I,4,FALSE)</f>
        <v>#N/A</v>
      </c>
      <c r="K641" s="33" t="e">
        <f>VLOOKUP(J641,辅助信息!H:I,2,FALSE)</f>
        <v>#N/A</v>
      </c>
      <c r="L641" s="36" t="e">
        <f>VLOOKUP(B641,辅助信息!E:J,6,FALSE)</f>
        <v>#N/A</v>
      </c>
      <c r="M641" s="88">
        <v>45705</v>
      </c>
      <c r="O641" s="19">
        <f ca="1" t="shared" si="16"/>
        <v>0</v>
      </c>
      <c r="P641" s="55">
        <f ca="1" t="shared" si="17"/>
        <v>252</v>
      </c>
      <c r="Q641" s="19" t="e">
        <f>VLOOKUP(B641,辅助信息!E:M,9,FALSE)</f>
        <v>#N/A</v>
      </c>
    </row>
    <row r="642" s="19" customFormat="1" hidden="1" spans="2:17">
      <c r="B642" s="33" t="s">
        <v>84</v>
      </c>
      <c r="C642" s="63">
        <v>45709</v>
      </c>
      <c r="D642" s="33" t="e">
        <f>VLOOKUP(B642,辅助信息!E:K,7,FALSE)</f>
        <v>#N/A</v>
      </c>
      <c r="E642" s="33" t="str">
        <f>VLOOKUP(F642,辅助信息!A:B,2,FALSE)</f>
        <v>螺纹钢</v>
      </c>
      <c r="F642" s="33" t="s">
        <v>33</v>
      </c>
      <c r="G642" s="33">
        <v>8</v>
      </c>
      <c r="H642" s="33" t="e">
        <f>_xlfn._xlws.FILTER('[1]2025年已发货'!$E:$E,'[1]2025年已发货'!$F:$F&amp;'[1]2025年已发货'!$C:$C&amp;'[1]2025年已发货'!$G:$G&amp;'[1]2025年已发货'!$H:$H=C642&amp;F642&amp;I642&amp;J642,"未发货")</f>
        <v>#N/A</v>
      </c>
      <c r="I642" s="33" t="e">
        <f>VLOOKUP(B642,辅助信息!E:I,3,FALSE)</f>
        <v>#N/A</v>
      </c>
      <c r="J642" s="33" t="e">
        <f>VLOOKUP(B642,辅助信息!E:I,4,FALSE)</f>
        <v>#N/A</v>
      </c>
      <c r="K642" s="33" t="e">
        <f>VLOOKUP(J642,辅助信息!H:I,2,FALSE)</f>
        <v>#N/A</v>
      </c>
      <c r="L642" s="71"/>
      <c r="M642" s="88">
        <v>45705</v>
      </c>
      <c r="O642" s="19">
        <f ca="1" t="shared" si="16"/>
        <v>0</v>
      </c>
      <c r="P642" s="55">
        <f ca="1" t="shared" si="17"/>
        <v>252</v>
      </c>
      <c r="Q642" s="19" t="e">
        <f>VLOOKUP(B642,辅助信息!E:M,9,FALSE)</f>
        <v>#N/A</v>
      </c>
    </row>
    <row r="643" s="19" customFormat="1" hidden="1" spans="2:17">
      <c r="B643" s="33" t="s">
        <v>84</v>
      </c>
      <c r="C643" s="63">
        <v>45709</v>
      </c>
      <c r="D643" s="33" t="e">
        <f>VLOOKUP(B643,辅助信息!E:K,7,FALSE)</f>
        <v>#N/A</v>
      </c>
      <c r="E643" s="33" t="str">
        <f>VLOOKUP(F643,辅助信息!A:B,2,FALSE)</f>
        <v>螺纹钢</v>
      </c>
      <c r="F643" s="33" t="s">
        <v>18</v>
      </c>
      <c r="G643" s="33">
        <v>12</v>
      </c>
      <c r="H643" s="33" t="e">
        <f>_xlfn._xlws.FILTER('[1]2025年已发货'!$E:$E,'[1]2025年已发货'!$F:$F&amp;'[1]2025年已发货'!$C:$C&amp;'[1]2025年已发货'!$G:$G&amp;'[1]2025年已发货'!$H:$H=C643&amp;F643&amp;I643&amp;J643,"未发货")</f>
        <v>#N/A</v>
      </c>
      <c r="I643" s="33" t="e">
        <f>VLOOKUP(B643,辅助信息!E:I,3,FALSE)</f>
        <v>#N/A</v>
      </c>
      <c r="J643" s="33" t="e">
        <f>VLOOKUP(B643,辅助信息!E:I,4,FALSE)</f>
        <v>#N/A</v>
      </c>
      <c r="K643" s="33" t="e">
        <f>VLOOKUP(J643,辅助信息!H:I,2,FALSE)</f>
        <v>#N/A</v>
      </c>
      <c r="L643" s="71"/>
      <c r="M643" s="88">
        <v>45705</v>
      </c>
      <c r="O643" s="19">
        <f ca="1" t="shared" si="16"/>
        <v>0</v>
      </c>
      <c r="P643" s="55">
        <f ca="1" t="shared" si="17"/>
        <v>252</v>
      </c>
      <c r="Q643" s="19" t="e">
        <f>VLOOKUP(B643,辅助信息!E:M,9,FALSE)</f>
        <v>#N/A</v>
      </c>
    </row>
    <row r="644" s="19" customFormat="1" hidden="1" spans="2:17">
      <c r="B644" s="33" t="s">
        <v>84</v>
      </c>
      <c r="C644" s="63">
        <v>45709</v>
      </c>
      <c r="D644" s="33" t="e">
        <f>VLOOKUP(B644,辅助信息!E:K,7,FALSE)</f>
        <v>#N/A</v>
      </c>
      <c r="E644" s="33" t="str">
        <f>VLOOKUP(F644,辅助信息!A:B,2,FALSE)</f>
        <v>高线</v>
      </c>
      <c r="F644" s="33" t="s">
        <v>51</v>
      </c>
      <c r="G644" s="33">
        <v>5</v>
      </c>
      <c r="H644" s="33" t="e">
        <f>_xlfn._xlws.FILTER('[1]2025年已发货'!$E:$E,'[1]2025年已发货'!$F:$F&amp;'[1]2025年已发货'!$C:$C&amp;'[1]2025年已发货'!$G:$G&amp;'[1]2025年已发货'!$H:$H=C644&amp;F644&amp;I644&amp;J644,"未发货")</f>
        <v>#N/A</v>
      </c>
      <c r="I644" s="33" t="e">
        <f>VLOOKUP(B644,辅助信息!E:I,3,FALSE)</f>
        <v>#N/A</v>
      </c>
      <c r="J644" s="33" t="e">
        <f>VLOOKUP(B644,辅助信息!E:I,4,FALSE)</f>
        <v>#N/A</v>
      </c>
      <c r="K644" s="33" t="e">
        <f>VLOOKUP(J644,辅助信息!H:I,2,FALSE)</f>
        <v>#N/A</v>
      </c>
      <c r="L644" s="69"/>
      <c r="M644" s="88">
        <v>45705</v>
      </c>
      <c r="O644" s="19">
        <f ca="1" t="shared" si="16"/>
        <v>0</v>
      </c>
      <c r="P644" s="55">
        <f ca="1" t="shared" si="17"/>
        <v>252</v>
      </c>
      <c r="Q644" s="19" t="e">
        <f>VLOOKUP(B644,辅助信息!E:M,9,FALSE)</f>
        <v>#N/A</v>
      </c>
    </row>
    <row r="645" s="19" customFormat="1" hidden="1" spans="2:17">
      <c r="B645" s="33" t="s">
        <v>74</v>
      </c>
      <c r="C645" s="63">
        <v>45709</v>
      </c>
      <c r="D645" s="33" t="e">
        <f>VLOOKUP(B645,辅助信息!E:K,7,FALSE)</f>
        <v>#N/A</v>
      </c>
      <c r="E645" s="33" t="str">
        <f>VLOOKUP(F645,辅助信息!A:B,2,FALSE)</f>
        <v>螺纹钢</v>
      </c>
      <c r="F645" s="33" t="s">
        <v>19</v>
      </c>
      <c r="G645" s="33">
        <v>12</v>
      </c>
      <c r="H645" s="33" t="e">
        <f>_xlfn._xlws.FILTER('[1]2025年已发货'!$E:$E,'[1]2025年已发货'!$F:$F&amp;'[1]2025年已发货'!$C:$C&amp;'[1]2025年已发货'!$G:$G&amp;'[1]2025年已发货'!$H:$H=C645&amp;F645&amp;I645&amp;J645,"未发货")</f>
        <v>#N/A</v>
      </c>
      <c r="I645" s="33" t="e">
        <f>VLOOKUP(B645,辅助信息!E:I,3,FALSE)</f>
        <v>#N/A</v>
      </c>
      <c r="J645" s="33" t="e">
        <f>VLOOKUP(B645,辅助信息!E:I,4,FALSE)</f>
        <v>#N/A</v>
      </c>
      <c r="K645" s="33" t="e">
        <f>VLOOKUP(J645,辅助信息!H:I,2,FALSE)</f>
        <v>#N/A</v>
      </c>
      <c r="L645" s="36" t="e">
        <f>VLOOKUP(B645,辅助信息!E:J,6,FALSE)</f>
        <v>#N/A</v>
      </c>
      <c r="M645" s="88">
        <v>45711</v>
      </c>
      <c r="O645" s="19">
        <f ca="1" t="shared" si="16"/>
        <v>0</v>
      </c>
      <c r="P645" s="55">
        <f ca="1" t="shared" si="17"/>
        <v>246</v>
      </c>
      <c r="Q645" s="19" t="e">
        <f>VLOOKUP(B645,辅助信息!E:M,9,FALSE)</f>
        <v>#N/A</v>
      </c>
    </row>
    <row r="646" s="19" customFormat="1" hidden="1" spans="2:17">
      <c r="B646" s="33" t="s">
        <v>74</v>
      </c>
      <c r="C646" s="63">
        <v>45709</v>
      </c>
      <c r="D646" s="33" t="e">
        <f>VLOOKUP(B646,辅助信息!E:K,7,FALSE)</f>
        <v>#N/A</v>
      </c>
      <c r="E646" s="33" t="str">
        <f>VLOOKUP(F646,辅助信息!A:B,2,FALSE)</f>
        <v>螺纹钢</v>
      </c>
      <c r="F646" s="33" t="s">
        <v>33</v>
      </c>
      <c r="G646" s="33">
        <v>12</v>
      </c>
      <c r="H646" s="33" t="e">
        <f>_xlfn._xlws.FILTER('[1]2025年已发货'!$E:$E,'[1]2025年已发货'!$F:$F&amp;'[1]2025年已发货'!$C:$C&amp;'[1]2025年已发货'!$G:$G&amp;'[1]2025年已发货'!$H:$H=C646&amp;F646&amp;I646&amp;J646,"未发货")</f>
        <v>#N/A</v>
      </c>
      <c r="I646" s="33" t="e">
        <f>VLOOKUP(B646,辅助信息!E:I,3,FALSE)</f>
        <v>#N/A</v>
      </c>
      <c r="J646" s="33" t="e">
        <f>VLOOKUP(B646,辅助信息!E:I,4,FALSE)</f>
        <v>#N/A</v>
      </c>
      <c r="K646" s="33" t="e">
        <f>VLOOKUP(J646,辅助信息!H:I,2,FALSE)</f>
        <v>#N/A</v>
      </c>
      <c r="L646" s="71"/>
      <c r="M646" s="88">
        <v>45711</v>
      </c>
      <c r="O646" s="19">
        <f ca="1" t="shared" si="16"/>
        <v>0</v>
      </c>
      <c r="P646" s="55">
        <f ca="1" t="shared" si="17"/>
        <v>246</v>
      </c>
      <c r="Q646" s="19" t="e">
        <f>VLOOKUP(B646,辅助信息!E:M,9,FALSE)</f>
        <v>#N/A</v>
      </c>
    </row>
    <row r="647" s="19" customFormat="1" hidden="1" spans="2:17">
      <c r="B647" s="33" t="s">
        <v>74</v>
      </c>
      <c r="C647" s="63">
        <v>45709</v>
      </c>
      <c r="D647" s="33" t="e">
        <f>VLOOKUP(B647,辅助信息!E:K,7,FALSE)</f>
        <v>#N/A</v>
      </c>
      <c r="E647" s="33" t="str">
        <f>VLOOKUP(F647,辅助信息!A:B,2,FALSE)</f>
        <v>螺纹钢</v>
      </c>
      <c r="F647" s="33" t="s">
        <v>28</v>
      </c>
      <c r="G647" s="33">
        <v>12</v>
      </c>
      <c r="H647" s="33" t="e">
        <f>_xlfn._xlws.FILTER('[1]2025年已发货'!$E:$E,'[1]2025年已发货'!$F:$F&amp;'[1]2025年已发货'!$C:$C&amp;'[1]2025年已发货'!$G:$G&amp;'[1]2025年已发货'!$H:$H=C647&amp;F647&amp;I647&amp;J647,"未发货")</f>
        <v>#N/A</v>
      </c>
      <c r="I647" s="33" t="e">
        <f>VLOOKUP(B647,辅助信息!E:I,3,FALSE)</f>
        <v>#N/A</v>
      </c>
      <c r="J647" s="33" t="e">
        <f>VLOOKUP(B647,辅助信息!E:I,4,FALSE)</f>
        <v>#N/A</v>
      </c>
      <c r="K647" s="33" t="e">
        <f>VLOOKUP(J647,辅助信息!H:I,2,FALSE)</f>
        <v>#N/A</v>
      </c>
      <c r="L647" s="71"/>
      <c r="M647" s="88">
        <v>45711</v>
      </c>
      <c r="O647" s="19">
        <f ca="1" t="shared" si="16"/>
        <v>0</v>
      </c>
      <c r="P647" s="55">
        <f ca="1" t="shared" si="17"/>
        <v>246</v>
      </c>
      <c r="Q647" s="19" t="e">
        <f>VLOOKUP(B647,辅助信息!E:M,9,FALSE)</f>
        <v>#N/A</v>
      </c>
    </row>
    <row r="648" s="19" customFormat="1" hidden="1" spans="2:17">
      <c r="B648" s="33" t="s">
        <v>74</v>
      </c>
      <c r="C648" s="63">
        <v>45709</v>
      </c>
      <c r="D648" s="33" t="e">
        <f>VLOOKUP(B648,辅助信息!E:K,7,FALSE)</f>
        <v>#N/A</v>
      </c>
      <c r="E648" s="33" t="str">
        <f>VLOOKUP(F648,辅助信息!A:B,2,FALSE)</f>
        <v>螺纹钢</v>
      </c>
      <c r="F648" s="33" t="s">
        <v>18</v>
      </c>
      <c r="G648" s="33">
        <v>3</v>
      </c>
      <c r="H648" s="33" t="e">
        <f>_xlfn._xlws.FILTER('[1]2025年已发货'!$E:$E,'[1]2025年已发货'!$F:$F&amp;'[1]2025年已发货'!$C:$C&amp;'[1]2025年已发货'!$G:$G&amp;'[1]2025年已发货'!$H:$H=C648&amp;F648&amp;I648&amp;J648,"未发货")</f>
        <v>#N/A</v>
      </c>
      <c r="I648" s="33" t="e">
        <f>VLOOKUP(B648,辅助信息!E:I,3,FALSE)</f>
        <v>#N/A</v>
      </c>
      <c r="J648" s="33" t="e">
        <f>VLOOKUP(B648,辅助信息!E:I,4,FALSE)</f>
        <v>#N/A</v>
      </c>
      <c r="K648" s="33" t="e">
        <f>VLOOKUP(J648,辅助信息!H:I,2,FALSE)</f>
        <v>#N/A</v>
      </c>
      <c r="L648" s="69"/>
      <c r="M648" s="88">
        <v>45711</v>
      </c>
      <c r="O648" s="19">
        <f ca="1" t="shared" si="16"/>
        <v>0</v>
      </c>
      <c r="P648" s="55">
        <f ca="1" t="shared" si="17"/>
        <v>246</v>
      </c>
      <c r="Q648" s="19" t="e">
        <f>VLOOKUP(B648,辅助信息!E:M,9,FALSE)</f>
        <v>#N/A</v>
      </c>
    </row>
    <row r="649" s="19" customFormat="1" hidden="1" spans="1:17">
      <c r="A649" s="89" t="s">
        <v>97</v>
      </c>
      <c r="B649" s="33" t="s">
        <v>98</v>
      </c>
      <c r="C649" s="63">
        <v>45709</v>
      </c>
      <c r="D649" s="33" t="e">
        <f>VLOOKUP(B649,辅助信息!E:K,7,FALSE)</f>
        <v>#N/A</v>
      </c>
      <c r="E649" s="33" t="str">
        <f>VLOOKUP(F649,辅助信息!A:B,2,FALSE)</f>
        <v>高线</v>
      </c>
      <c r="F649" s="33" t="s">
        <v>51</v>
      </c>
      <c r="G649" s="33">
        <v>10</v>
      </c>
      <c r="H649" s="33" t="e">
        <f>_xlfn._xlws.FILTER('[1]2025年已发货'!$E:$E,'[1]2025年已发货'!$F:$F&amp;'[1]2025年已发货'!$C:$C&amp;'[1]2025年已发货'!$G:$G&amp;'[1]2025年已发货'!$H:$H=C649&amp;F649&amp;I649&amp;J649,"未发货")</f>
        <v>#N/A</v>
      </c>
      <c r="I649" s="33" t="e">
        <f>VLOOKUP(B649,辅助信息!E:I,3,FALSE)</f>
        <v>#N/A</v>
      </c>
      <c r="J649" s="33" t="e">
        <f>VLOOKUP(B649,辅助信息!E:I,4,FALSE)</f>
        <v>#N/A</v>
      </c>
      <c r="K649" s="33" t="e">
        <f>VLOOKUP(J649,辅助信息!H:I,2,FALSE)</f>
        <v>#N/A</v>
      </c>
      <c r="L649" s="36" t="e">
        <f>VLOOKUP(B649,辅助信息!E:J,6,FALSE)</f>
        <v>#N/A</v>
      </c>
      <c r="M649" s="88">
        <v>45709</v>
      </c>
      <c r="O649" s="19">
        <f ca="1" t="shared" si="16"/>
        <v>0</v>
      </c>
      <c r="P649" s="55">
        <f ca="1" t="shared" si="17"/>
        <v>248</v>
      </c>
      <c r="Q649" s="19" t="e">
        <f>VLOOKUP(B649,辅助信息!E:M,9,FALSE)</f>
        <v>#N/A</v>
      </c>
    </row>
    <row r="650" s="19" customFormat="1" hidden="1" spans="2:17">
      <c r="B650" s="33" t="s">
        <v>99</v>
      </c>
      <c r="C650" s="63">
        <v>45709</v>
      </c>
      <c r="D650" s="33" t="e">
        <f>VLOOKUP(B650,辅助信息!E:K,7,FALSE)</f>
        <v>#N/A</v>
      </c>
      <c r="E650" s="33" t="str">
        <f>VLOOKUP(F650,辅助信息!A:B,2,FALSE)</f>
        <v>高线</v>
      </c>
      <c r="F650" s="33" t="s">
        <v>53</v>
      </c>
      <c r="G650" s="33">
        <v>2.5</v>
      </c>
      <c r="H650" s="33" t="e">
        <f>_xlfn._xlws.FILTER('[1]2025年已发货'!$E:$E,'[1]2025年已发货'!$F:$F&amp;'[1]2025年已发货'!$C:$C&amp;'[1]2025年已发货'!$G:$G&amp;'[1]2025年已发货'!$H:$H=C650&amp;F650&amp;I650&amp;J650,"未发货")</f>
        <v>#N/A</v>
      </c>
      <c r="I650" s="33" t="e">
        <f>VLOOKUP(B650,辅助信息!E:I,3,FALSE)</f>
        <v>#N/A</v>
      </c>
      <c r="J650" s="33" t="e">
        <f>VLOOKUP(B650,辅助信息!E:I,4,FALSE)</f>
        <v>#N/A</v>
      </c>
      <c r="K650" s="33" t="e">
        <f>VLOOKUP(J650,辅助信息!H:I,2,FALSE)</f>
        <v>#N/A</v>
      </c>
      <c r="L650" s="71"/>
      <c r="M650" s="88">
        <v>45709</v>
      </c>
      <c r="O650" s="19">
        <f ca="1" t="shared" si="16"/>
        <v>0</v>
      </c>
      <c r="P650" s="55">
        <f ca="1" t="shared" si="17"/>
        <v>248</v>
      </c>
      <c r="Q650" s="19" t="e">
        <f>VLOOKUP(B650,辅助信息!E:M,9,FALSE)</f>
        <v>#N/A</v>
      </c>
    </row>
    <row r="651" s="19" customFormat="1" hidden="1" spans="2:17">
      <c r="B651" s="33" t="s">
        <v>99</v>
      </c>
      <c r="C651" s="63">
        <v>45709</v>
      </c>
      <c r="D651" s="33" t="e">
        <f>VLOOKUP(B651,辅助信息!E:K,7,FALSE)</f>
        <v>#N/A</v>
      </c>
      <c r="E651" s="33" t="str">
        <f>VLOOKUP(F651,辅助信息!A:B,2,FALSE)</f>
        <v>高线</v>
      </c>
      <c r="F651" s="33" t="s">
        <v>51</v>
      </c>
      <c r="G651" s="33">
        <v>2.5</v>
      </c>
      <c r="H651" s="33" t="e">
        <f>_xlfn._xlws.FILTER('[1]2025年已发货'!$E:$E,'[1]2025年已发货'!$F:$F&amp;'[1]2025年已发货'!$C:$C&amp;'[1]2025年已发货'!$G:$G&amp;'[1]2025年已发货'!$H:$H=C651&amp;F651&amp;I651&amp;J651,"未发货")</f>
        <v>#N/A</v>
      </c>
      <c r="I651" s="33" t="e">
        <f>VLOOKUP(B651,辅助信息!E:I,3,FALSE)</f>
        <v>#N/A</v>
      </c>
      <c r="J651" s="33" t="e">
        <f>VLOOKUP(B651,辅助信息!E:I,4,FALSE)</f>
        <v>#N/A</v>
      </c>
      <c r="K651" s="33" t="e">
        <f>VLOOKUP(J651,辅助信息!H:I,2,FALSE)</f>
        <v>#N/A</v>
      </c>
      <c r="L651" s="71"/>
      <c r="M651" s="88">
        <v>45709</v>
      </c>
      <c r="O651" s="19">
        <f ca="1" t="shared" si="16"/>
        <v>0</v>
      </c>
      <c r="P651" s="55">
        <f ca="1" t="shared" si="17"/>
        <v>248</v>
      </c>
      <c r="Q651" s="19" t="e">
        <f>VLOOKUP(B651,辅助信息!E:M,9,FALSE)</f>
        <v>#N/A</v>
      </c>
    </row>
    <row r="652" s="19" customFormat="1" hidden="1" spans="2:17">
      <c r="B652" s="33" t="s">
        <v>99</v>
      </c>
      <c r="C652" s="63">
        <v>45709</v>
      </c>
      <c r="D652" s="33" t="e">
        <f>VLOOKUP(B652,辅助信息!E:K,7,FALSE)</f>
        <v>#N/A</v>
      </c>
      <c r="E652" s="33" t="str">
        <f>VLOOKUP(F652,辅助信息!A:B,2,FALSE)</f>
        <v>螺纹钢</v>
      </c>
      <c r="F652" s="33" t="s">
        <v>27</v>
      </c>
      <c r="G652" s="33">
        <v>3</v>
      </c>
      <c r="H652" s="33" t="e">
        <f>_xlfn._xlws.FILTER('[1]2025年已发货'!$E:$E,'[1]2025年已发货'!$F:$F&amp;'[1]2025年已发货'!$C:$C&amp;'[1]2025年已发货'!$G:$G&amp;'[1]2025年已发货'!$H:$H=C652&amp;F652&amp;I652&amp;J652,"未发货")</f>
        <v>#N/A</v>
      </c>
      <c r="I652" s="33" t="e">
        <f>VLOOKUP(B652,辅助信息!E:I,3,FALSE)</f>
        <v>#N/A</v>
      </c>
      <c r="J652" s="33" t="e">
        <f>VLOOKUP(B652,辅助信息!E:I,4,FALSE)</f>
        <v>#N/A</v>
      </c>
      <c r="K652" s="33" t="e">
        <f>VLOOKUP(J652,辅助信息!H:I,2,FALSE)</f>
        <v>#N/A</v>
      </c>
      <c r="L652" s="71"/>
      <c r="M652" s="88">
        <v>45709</v>
      </c>
      <c r="O652" s="19">
        <f ca="1" t="shared" si="16"/>
        <v>0</v>
      </c>
      <c r="P652" s="55">
        <f ca="1" t="shared" si="17"/>
        <v>248</v>
      </c>
      <c r="Q652" s="19" t="e">
        <f>VLOOKUP(B652,辅助信息!E:M,9,FALSE)</f>
        <v>#N/A</v>
      </c>
    </row>
    <row r="653" s="19" customFormat="1" hidden="1" spans="2:17">
      <c r="B653" s="33" t="s">
        <v>99</v>
      </c>
      <c r="C653" s="63">
        <v>45709</v>
      </c>
      <c r="D653" s="33" t="e">
        <f>VLOOKUP(B653,辅助信息!E:K,7,FALSE)</f>
        <v>#N/A</v>
      </c>
      <c r="E653" s="33" t="str">
        <f>VLOOKUP(F653,辅助信息!A:B,2,FALSE)</f>
        <v>螺纹钢</v>
      </c>
      <c r="F653" s="33" t="s">
        <v>19</v>
      </c>
      <c r="G653" s="33">
        <v>3</v>
      </c>
      <c r="H653" s="33" t="e">
        <f>_xlfn._xlws.FILTER('[1]2025年已发货'!$E:$E,'[1]2025年已发货'!$F:$F&amp;'[1]2025年已发货'!$C:$C&amp;'[1]2025年已发货'!$G:$G&amp;'[1]2025年已发货'!$H:$H=C653&amp;F653&amp;I653&amp;J653,"未发货")</f>
        <v>#N/A</v>
      </c>
      <c r="I653" s="33" t="e">
        <f>VLOOKUP(B653,辅助信息!E:I,3,FALSE)</f>
        <v>#N/A</v>
      </c>
      <c r="J653" s="33" t="e">
        <f>VLOOKUP(B653,辅助信息!E:I,4,FALSE)</f>
        <v>#N/A</v>
      </c>
      <c r="K653" s="33" t="e">
        <f>VLOOKUP(J653,辅助信息!H:I,2,FALSE)</f>
        <v>#N/A</v>
      </c>
      <c r="L653" s="71"/>
      <c r="M653" s="88">
        <v>45709</v>
      </c>
      <c r="O653" s="19">
        <f ca="1" t="shared" si="16"/>
        <v>0</v>
      </c>
      <c r="P653" s="55">
        <f ca="1" t="shared" si="17"/>
        <v>248</v>
      </c>
      <c r="Q653" s="19" t="e">
        <f>VLOOKUP(B653,辅助信息!E:M,9,FALSE)</f>
        <v>#N/A</v>
      </c>
    </row>
    <row r="654" s="19" customFormat="1" hidden="1" spans="2:17">
      <c r="B654" s="33" t="s">
        <v>99</v>
      </c>
      <c r="C654" s="63">
        <v>45709</v>
      </c>
      <c r="D654" s="33" t="e">
        <f>VLOOKUP(B654,辅助信息!E:K,7,FALSE)</f>
        <v>#N/A</v>
      </c>
      <c r="E654" s="33" t="str">
        <f>VLOOKUP(F654,辅助信息!A:B,2,FALSE)</f>
        <v>螺纹钢</v>
      </c>
      <c r="F654" s="33" t="s">
        <v>32</v>
      </c>
      <c r="G654" s="33">
        <v>3</v>
      </c>
      <c r="H654" s="33" t="e">
        <f>_xlfn._xlws.FILTER('[1]2025年已发货'!$E:$E,'[1]2025年已发货'!$F:$F&amp;'[1]2025年已发货'!$C:$C&amp;'[1]2025年已发货'!$G:$G&amp;'[1]2025年已发货'!$H:$H=C654&amp;F654&amp;I654&amp;J654,"未发货")</f>
        <v>#N/A</v>
      </c>
      <c r="I654" s="33" t="e">
        <f>VLOOKUP(B654,辅助信息!E:I,3,FALSE)</f>
        <v>#N/A</v>
      </c>
      <c r="J654" s="33" t="e">
        <f>VLOOKUP(B654,辅助信息!E:I,4,FALSE)</f>
        <v>#N/A</v>
      </c>
      <c r="K654" s="33" t="e">
        <f>VLOOKUP(J654,辅助信息!H:I,2,FALSE)</f>
        <v>#N/A</v>
      </c>
      <c r="L654" s="69"/>
      <c r="M654" s="88">
        <v>45709</v>
      </c>
      <c r="O654" s="19">
        <f ca="1" t="shared" si="16"/>
        <v>0</v>
      </c>
      <c r="P654" s="55">
        <f ca="1" t="shared" si="17"/>
        <v>248</v>
      </c>
      <c r="Q654" s="19" t="e">
        <f>VLOOKUP(B654,辅助信息!E:M,9,FALSE)</f>
        <v>#N/A</v>
      </c>
    </row>
    <row r="655" s="19" customFormat="1" hidden="1" spans="2:17">
      <c r="B655" s="33" t="s">
        <v>31</v>
      </c>
      <c r="C655" s="63">
        <v>45709</v>
      </c>
      <c r="D655" s="33" t="str">
        <f>VLOOKUP(B655,辅助信息!E:K,7,FALSE)</f>
        <v>JWDDCD2024121000136</v>
      </c>
      <c r="E655" s="33" t="str">
        <f>VLOOKUP(F655,辅助信息!A:B,2,FALSE)</f>
        <v>盘螺</v>
      </c>
      <c r="F655" s="33" t="s">
        <v>49</v>
      </c>
      <c r="G655" s="33">
        <v>15</v>
      </c>
      <c r="H655" s="33" t="str">
        <f>_xlfn._xlws.FILTER('[1]2025年已发货'!$E:$E,'[1]2025年已发货'!$F:$F&amp;'[1]2025年已发货'!$C:$C&amp;'[1]2025年已发货'!$G:$G&amp;'[1]2025年已发货'!$H:$H=C655&amp;F655&amp;I655&amp;J655,"未发货")</f>
        <v>未发货</v>
      </c>
      <c r="I655" s="33" t="str">
        <f>VLOOKUP(B655,辅助信息!E:I,3,FALSE)</f>
        <v>（四川商建-射洪城乡一体化项目）遂宁市射洪市忠新幼儿园北侧约220米新溪小区</v>
      </c>
      <c r="J655" s="33" t="str">
        <f>VLOOKUP(B655,辅助信息!E:I,4,FALSE)</f>
        <v>柏子刚</v>
      </c>
      <c r="K655" s="33">
        <f>VLOOKUP(J655,辅助信息!H:I,2,FALSE)</f>
        <v>15692885305</v>
      </c>
      <c r="L655" s="36" t="str">
        <f>VLOOKUP(B655,辅助信息!E:J,6,FALSE)</f>
        <v>提前联系到场规格及数量</v>
      </c>
      <c r="M655" s="88">
        <v>45708</v>
      </c>
      <c r="O655" s="19">
        <f ca="1" t="shared" si="16"/>
        <v>0</v>
      </c>
      <c r="P655" s="55">
        <f ca="1" t="shared" si="17"/>
        <v>249</v>
      </c>
      <c r="Q655" s="19" t="str">
        <f>VLOOKUP(B655,辅助信息!E:M,9,FALSE)</f>
        <v>ZTWM-CDGS-XS-2024-0179-四川商投-射洪城乡一体化建设项目</v>
      </c>
    </row>
    <row r="656" s="19" customFormat="1" hidden="1" spans="2:17">
      <c r="B656" s="33" t="s">
        <v>31</v>
      </c>
      <c r="C656" s="63">
        <v>45709</v>
      </c>
      <c r="D656" s="33" t="str">
        <f>VLOOKUP(B656,辅助信息!E:K,7,FALSE)</f>
        <v>JWDDCD2024121000136</v>
      </c>
      <c r="E656" s="33" t="str">
        <f>VLOOKUP(F656,辅助信息!A:B,2,FALSE)</f>
        <v>螺纹钢</v>
      </c>
      <c r="F656" s="33" t="s">
        <v>22</v>
      </c>
      <c r="G656" s="33">
        <v>20</v>
      </c>
      <c r="H656" s="33" t="str">
        <f>_xlfn._xlws.FILTER('[1]2025年已发货'!$E:$E,'[1]2025年已发货'!$F:$F&amp;'[1]2025年已发货'!$C:$C&amp;'[1]2025年已发货'!$G:$G&amp;'[1]2025年已发货'!$H:$H=C656&amp;F656&amp;I656&amp;J656,"未发货")</f>
        <v>未发货</v>
      </c>
      <c r="I656" s="33" t="str">
        <f>VLOOKUP(B656,辅助信息!E:I,3,FALSE)</f>
        <v>（四川商建-射洪城乡一体化项目）遂宁市射洪市忠新幼儿园北侧约220米新溪小区</v>
      </c>
      <c r="J656" s="33" t="str">
        <f>VLOOKUP(B656,辅助信息!E:I,4,FALSE)</f>
        <v>柏子刚</v>
      </c>
      <c r="K656" s="33">
        <f>VLOOKUP(J656,辅助信息!H:I,2,FALSE)</f>
        <v>15692885305</v>
      </c>
      <c r="L656" s="69"/>
      <c r="M656" s="88">
        <v>45708</v>
      </c>
      <c r="O656" s="19">
        <f ca="1" t="shared" si="16"/>
        <v>0</v>
      </c>
      <c r="P656" s="55">
        <f ca="1" t="shared" si="17"/>
        <v>249</v>
      </c>
      <c r="Q656" s="19" t="str">
        <f>VLOOKUP(B656,辅助信息!E:M,9,FALSE)</f>
        <v>ZTWM-CDGS-XS-2024-0179-四川商投-射洪城乡一体化建设项目</v>
      </c>
    </row>
    <row r="657" s="19" customFormat="1" ht="36" hidden="1" customHeight="1" spans="1:17">
      <c r="A657" s="55" t="s">
        <v>103</v>
      </c>
      <c r="B657" s="33" t="s">
        <v>81</v>
      </c>
      <c r="C657" s="63">
        <v>45709</v>
      </c>
      <c r="D657" s="33" t="str">
        <f>VLOOKUP(B657,辅助信息!E:K,7,FALSE)</f>
        <v>JWDDCD2025060900080</v>
      </c>
      <c r="E657" s="33" t="str">
        <f>VLOOKUP(F657,辅助信息!A:B,2,FALSE)</f>
        <v>螺纹钢</v>
      </c>
      <c r="F657" s="33" t="s">
        <v>18</v>
      </c>
      <c r="G657" s="29">
        <v>70</v>
      </c>
      <c r="H657" s="29">
        <f>_xlfn._xlws.FILTER('[1]2025年已发货'!$E:$E,'[1]2025年已发货'!$F:$F&amp;'[1]2025年已发货'!$C:$C&amp;'[1]2025年已发货'!$G:$G&amp;'[1]2025年已发货'!$H:$H=C657&amp;F657&amp;I657&amp;J657,"未发货")</f>
        <v>70</v>
      </c>
      <c r="I657" s="33" t="str">
        <f>VLOOKUP(B657,辅助信息!E:I,3,FALSE)</f>
        <v>（华西简阳西城嘉苑）四川省成都市简阳市简城街道高屋村</v>
      </c>
      <c r="J657" s="33" t="str">
        <f>VLOOKUP(B657,辅助信息!E:I,4,FALSE)</f>
        <v>张瀚镭</v>
      </c>
      <c r="K657" s="33">
        <f>VLOOKUP(J657,辅助信息!H:I,2,FALSE)</f>
        <v>15884666220</v>
      </c>
      <c r="L657" s="36" t="str">
        <f>VLOOKUP(B657,辅助信息!E:J,6,FALSE)</f>
        <v>现场禁止使用氢能源挂车！优先威钢发货,我方卸车,新老国标钢厂不加价可直发，因陕钢多次出现磅差，项目拒绝使用</v>
      </c>
      <c r="M657" s="84">
        <v>45711</v>
      </c>
      <c r="N657" s="55"/>
      <c r="O657" s="19">
        <f ca="1" t="shared" si="16"/>
        <v>0</v>
      </c>
      <c r="P657" s="55">
        <f ca="1" t="shared" si="17"/>
        <v>246</v>
      </c>
      <c r="Q657" s="19" t="str">
        <f>VLOOKUP(B657,辅助信息!E:M,9,FALSE)</f>
        <v>ZTWM-CDGS-XS-2024-0030-华西集采-简州大道</v>
      </c>
    </row>
    <row r="658" s="19" customFormat="1" ht="36" hidden="1" customHeight="1" spans="2:17">
      <c r="B658" s="33" t="s">
        <v>69</v>
      </c>
      <c r="C658" s="63">
        <v>45710</v>
      </c>
      <c r="D658" s="33" t="str">
        <f>VLOOKUP(B658,辅助信息!E:K,7,FALSE)</f>
        <v>JWDDCD2025052800131</v>
      </c>
      <c r="E658" s="33" t="str">
        <f>VLOOKUP(F658,辅助信息!A:B,2,FALSE)</f>
        <v>螺纹钢</v>
      </c>
      <c r="F658" s="33" t="s">
        <v>21</v>
      </c>
      <c r="G658" s="33">
        <v>35</v>
      </c>
      <c r="H658" s="33">
        <f>_xlfn._xlws.FILTER('[1]2025年已发货'!$E:$E,'[1]2025年已发货'!$F:$F&amp;'[1]2025年已发货'!$C:$C&amp;'[1]2025年已发货'!$G:$G&amp;'[1]2025年已发货'!$H:$H=C658&amp;F658&amp;I658&amp;J658,"未发货")</f>
        <v>35</v>
      </c>
      <c r="I658" s="33" t="str">
        <f>VLOOKUP(B658,辅助信息!E:I,3,FALSE)</f>
        <v>（商投建工达州中医药科技园-4工区-2号楼）达州市通川区达州中医药职业学院犀牛大道北段</v>
      </c>
      <c r="J658" s="33" t="str">
        <f>VLOOKUP(B658,辅助信息!E:I,4,FALSE)</f>
        <v>张扬</v>
      </c>
      <c r="K658" s="33">
        <f>VLOOKUP(J658,辅助信息!H:I,2,FALSE)</f>
        <v>18381904567</v>
      </c>
      <c r="L658" s="36" t="str">
        <f>VLOOKUP(B658,辅助信息!E:J,6,FALSE)</f>
        <v>控制炉批号！多了现场不收！,优先安排达钢,提前联系到场规格及数量</v>
      </c>
      <c r="M658" s="88">
        <v>45704</v>
      </c>
      <c r="O658" s="19">
        <f ca="1" t="shared" si="16"/>
        <v>0</v>
      </c>
      <c r="P658" s="55">
        <f ca="1" t="shared" si="17"/>
        <v>253</v>
      </c>
      <c r="Q658" s="19" t="str">
        <f>VLOOKUP(B658,辅助信息!E:M,9,FALSE)</f>
        <v>ZTWM-CDGS-XS-2024-0134-商投建工达州中医药科技成果示范园项目</v>
      </c>
    </row>
    <row r="659" s="19" customFormat="1" hidden="1" spans="2:17">
      <c r="B659" s="33" t="s">
        <v>84</v>
      </c>
      <c r="C659" s="63">
        <v>45710</v>
      </c>
      <c r="D659" s="33" t="e">
        <f>VLOOKUP(B659,辅助信息!E:K,7,FALSE)</f>
        <v>#N/A</v>
      </c>
      <c r="E659" s="33" t="str">
        <f>VLOOKUP(F659,辅助信息!A:B,2,FALSE)</f>
        <v>螺纹钢</v>
      </c>
      <c r="F659" s="33" t="s">
        <v>27</v>
      </c>
      <c r="G659" s="33">
        <v>20</v>
      </c>
      <c r="H659" s="33" t="e">
        <f>_xlfn._xlws.FILTER('[1]2025年已发货'!$E:$E,'[1]2025年已发货'!$F:$F&amp;'[1]2025年已发货'!$C:$C&amp;'[1]2025年已发货'!$G:$G&amp;'[1]2025年已发货'!$H:$H=C659&amp;F659&amp;I659&amp;J659,"未发货")</f>
        <v>#N/A</v>
      </c>
      <c r="I659" s="33" t="e">
        <f>VLOOKUP(B659,辅助信息!E:I,3,FALSE)</f>
        <v>#N/A</v>
      </c>
      <c r="J659" s="33" t="e">
        <f>VLOOKUP(B659,辅助信息!E:I,4,FALSE)</f>
        <v>#N/A</v>
      </c>
      <c r="K659" s="33" t="e">
        <f>VLOOKUP(J659,辅助信息!H:I,2,FALSE)</f>
        <v>#N/A</v>
      </c>
      <c r="L659" s="36" t="e">
        <f>VLOOKUP(B659,辅助信息!E:J,6,FALSE)</f>
        <v>#N/A</v>
      </c>
      <c r="M659" s="88">
        <v>45705</v>
      </c>
      <c r="O659" s="19">
        <f ca="1" t="shared" si="16"/>
        <v>0</v>
      </c>
      <c r="P659" s="55">
        <f ca="1" t="shared" si="17"/>
        <v>252</v>
      </c>
      <c r="Q659" s="19" t="e">
        <f>VLOOKUP(B659,辅助信息!E:M,9,FALSE)</f>
        <v>#N/A</v>
      </c>
    </row>
    <row r="660" s="19" customFormat="1" hidden="1" spans="2:17">
      <c r="B660" s="33" t="s">
        <v>84</v>
      </c>
      <c r="C660" s="63">
        <v>45710</v>
      </c>
      <c r="D660" s="33" t="e">
        <f>VLOOKUP(B660,辅助信息!E:K,7,FALSE)</f>
        <v>#N/A</v>
      </c>
      <c r="E660" s="33" t="str">
        <f>VLOOKUP(F660,辅助信息!A:B,2,FALSE)</f>
        <v>螺纹钢</v>
      </c>
      <c r="F660" s="33" t="s">
        <v>33</v>
      </c>
      <c r="G660" s="33">
        <v>8</v>
      </c>
      <c r="H660" s="33" t="e">
        <f>_xlfn._xlws.FILTER('[1]2025年已发货'!$E:$E,'[1]2025年已发货'!$F:$F&amp;'[1]2025年已发货'!$C:$C&amp;'[1]2025年已发货'!$G:$G&amp;'[1]2025年已发货'!$H:$H=C660&amp;F660&amp;I660&amp;J660,"未发货")</f>
        <v>#N/A</v>
      </c>
      <c r="I660" s="33" t="e">
        <f>VLOOKUP(B660,辅助信息!E:I,3,FALSE)</f>
        <v>#N/A</v>
      </c>
      <c r="J660" s="33" t="e">
        <f>VLOOKUP(B660,辅助信息!E:I,4,FALSE)</f>
        <v>#N/A</v>
      </c>
      <c r="K660" s="33" t="e">
        <f>VLOOKUP(J660,辅助信息!H:I,2,FALSE)</f>
        <v>#N/A</v>
      </c>
      <c r="L660" s="71"/>
      <c r="M660" s="88">
        <v>45705</v>
      </c>
      <c r="O660" s="19">
        <f ca="1" t="shared" si="16"/>
        <v>0</v>
      </c>
      <c r="P660" s="55">
        <f ca="1" t="shared" si="17"/>
        <v>252</v>
      </c>
      <c r="Q660" s="19" t="e">
        <f>VLOOKUP(B660,辅助信息!E:M,9,FALSE)</f>
        <v>#N/A</v>
      </c>
    </row>
    <row r="661" s="19" customFormat="1" hidden="1" spans="2:17">
      <c r="B661" s="33" t="s">
        <v>84</v>
      </c>
      <c r="C661" s="63">
        <v>45710</v>
      </c>
      <c r="D661" s="33" t="e">
        <f>VLOOKUP(B661,辅助信息!E:K,7,FALSE)</f>
        <v>#N/A</v>
      </c>
      <c r="E661" s="33" t="str">
        <f>VLOOKUP(F661,辅助信息!A:B,2,FALSE)</f>
        <v>螺纹钢</v>
      </c>
      <c r="F661" s="33" t="s">
        <v>18</v>
      </c>
      <c r="G661" s="33">
        <v>12</v>
      </c>
      <c r="H661" s="33" t="e">
        <f>_xlfn._xlws.FILTER('[1]2025年已发货'!$E:$E,'[1]2025年已发货'!$F:$F&amp;'[1]2025年已发货'!$C:$C&amp;'[1]2025年已发货'!$G:$G&amp;'[1]2025年已发货'!$H:$H=C661&amp;F661&amp;I661&amp;J661,"未发货")</f>
        <v>#N/A</v>
      </c>
      <c r="I661" s="33" t="e">
        <f>VLOOKUP(B661,辅助信息!E:I,3,FALSE)</f>
        <v>#N/A</v>
      </c>
      <c r="J661" s="33" t="e">
        <f>VLOOKUP(B661,辅助信息!E:I,4,FALSE)</f>
        <v>#N/A</v>
      </c>
      <c r="K661" s="33" t="e">
        <f>VLOOKUP(J661,辅助信息!H:I,2,FALSE)</f>
        <v>#N/A</v>
      </c>
      <c r="L661" s="71"/>
      <c r="M661" s="88">
        <v>45705</v>
      </c>
      <c r="O661" s="19">
        <f ca="1" t="shared" si="16"/>
        <v>0</v>
      </c>
      <c r="P661" s="55">
        <f ca="1" t="shared" si="17"/>
        <v>252</v>
      </c>
      <c r="Q661" s="19" t="e">
        <f>VLOOKUP(B661,辅助信息!E:M,9,FALSE)</f>
        <v>#N/A</v>
      </c>
    </row>
    <row r="662" s="19" customFormat="1" hidden="1" spans="2:17">
      <c r="B662" s="33" t="s">
        <v>84</v>
      </c>
      <c r="C662" s="63">
        <v>45710</v>
      </c>
      <c r="D662" s="33" t="e">
        <f>VLOOKUP(B662,辅助信息!E:K,7,FALSE)</f>
        <v>#N/A</v>
      </c>
      <c r="E662" s="33" t="str">
        <f>VLOOKUP(F662,辅助信息!A:B,2,FALSE)</f>
        <v>高线</v>
      </c>
      <c r="F662" s="33" t="s">
        <v>51</v>
      </c>
      <c r="G662" s="33">
        <v>5</v>
      </c>
      <c r="H662" s="33" t="e">
        <f>_xlfn._xlws.FILTER('[1]2025年已发货'!$E:$E,'[1]2025年已发货'!$F:$F&amp;'[1]2025年已发货'!$C:$C&amp;'[1]2025年已发货'!$G:$G&amp;'[1]2025年已发货'!$H:$H=C662&amp;F662&amp;I662&amp;J662,"未发货")</f>
        <v>#N/A</v>
      </c>
      <c r="I662" s="33" t="e">
        <f>VLOOKUP(B662,辅助信息!E:I,3,FALSE)</f>
        <v>#N/A</v>
      </c>
      <c r="J662" s="33" t="e">
        <f>VLOOKUP(B662,辅助信息!E:I,4,FALSE)</f>
        <v>#N/A</v>
      </c>
      <c r="K662" s="33" t="e">
        <f>VLOOKUP(J662,辅助信息!H:I,2,FALSE)</f>
        <v>#N/A</v>
      </c>
      <c r="L662" s="69"/>
      <c r="M662" s="88">
        <v>45705</v>
      </c>
      <c r="O662" s="19">
        <f ca="1" t="shared" si="16"/>
        <v>0</v>
      </c>
      <c r="P662" s="55">
        <f ca="1" t="shared" si="17"/>
        <v>252</v>
      </c>
      <c r="Q662" s="19" t="e">
        <f>VLOOKUP(B662,辅助信息!E:M,9,FALSE)</f>
        <v>#N/A</v>
      </c>
    </row>
    <row r="663" s="19" customFormat="1" hidden="1" spans="2:17">
      <c r="B663" s="33" t="s">
        <v>74</v>
      </c>
      <c r="C663" s="63">
        <v>45710</v>
      </c>
      <c r="D663" s="33" t="e">
        <f>VLOOKUP(B663,辅助信息!E:K,7,FALSE)</f>
        <v>#N/A</v>
      </c>
      <c r="E663" s="33" t="str">
        <f>VLOOKUP(F663,辅助信息!A:B,2,FALSE)</f>
        <v>螺纹钢</v>
      </c>
      <c r="F663" s="33" t="s">
        <v>19</v>
      </c>
      <c r="G663" s="33">
        <v>12</v>
      </c>
      <c r="H663" s="33" t="e">
        <f>_xlfn._xlws.FILTER('[1]2025年已发货'!$E:$E,'[1]2025年已发货'!$F:$F&amp;'[1]2025年已发货'!$C:$C&amp;'[1]2025年已发货'!$G:$G&amp;'[1]2025年已发货'!$H:$H=C663&amp;F663&amp;I663&amp;J663,"未发货")</f>
        <v>#N/A</v>
      </c>
      <c r="I663" s="33" t="e">
        <f>VLOOKUP(B663,辅助信息!E:I,3,FALSE)</f>
        <v>#N/A</v>
      </c>
      <c r="J663" s="33" t="e">
        <f>VLOOKUP(B663,辅助信息!E:I,4,FALSE)</f>
        <v>#N/A</v>
      </c>
      <c r="K663" s="33" t="e">
        <f>VLOOKUP(J663,辅助信息!H:I,2,FALSE)</f>
        <v>#N/A</v>
      </c>
      <c r="L663" s="36" t="e">
        <f>VLOOKUP(B663,辅助信息!E:J,6,FALSE)</f>
        <v>#N/A</v>
      </c>
      <c r="M663" s="88">
        <v>45711</v>
      </c>
      <c r="O663" s="19">
        <f ca="1" t="shared" si="16"/>
        <v>0</v>
      </c>
      <c r="P663" s="55">
        <f ca="1" t="shared" si="17"/>
        <v>246</v>
      </c>
      <c r="Q663" s="19" t="e">
        <f>VLOOKUP(B663,辅助信息!E:M,9,FALSE)</f>
        <v>#N/A</v>
      </c>
    </row>
    <row r="664" s="19" customFormat="1" hidden="1" spans="2:17">
      <c r="B664" s="33" t="s">
        <v>74</v>
      </c>
      <c r="C664" s="63">
        <v>45710</v>
      </c>
      <c r="D664" s="33" t="e">
        <f>VLOOKUP(B664,辅助信息!E:K,7,FALSE)</f>
        <v>#N/A</v>
      </c>
      <c r="E664" s="33" t="str">
        <f>VLOOKUP(F664,辅助信息!A:B,2,FALSE)</f>
        <v>螺纹钢</v>
      </c>
      <c r="F664" s="33" t="s">
        <v>33</v>
      </c>
      <c r="G664" s="33">
        <v>12</v>
      </c>
      <c r="H664" s="33" t="e">
        <f>_xlfn._xlws.FILTER('[1]2025年已发货'!$E:$E,'[1]2025年已发货'!$F:$F&amp;'[1]2025年已发货'!$C:$C&amp;'[1]2025年已发货'!$G:$G&amp;'[1]2025年已发货'!$H:$H=C664&amp;F664&amp;I664&amp;J664,"未发货")</f>
        <v>#N/A</v>
      </c>
      <c r="I664" s="33" t="e">
        <f>VLOOKUP(B664,辅助信息!E:I,3,FALSE)</f>
        <v>#N/A</v>
      </c>
      <c r="J664" s="33" t="e">
        <f>VLOOKUP(B664,辅助信息!E:I,4,FALSE)</f>
        <v>#N/A</v>
      </c>
      <c r="K664" s="33" t="e">
        <f>VLOOKUP(J664,辅助信息!H:I,2,FALSE)</f>
        <v>#N/A</v>
      </c>
      <c r="L664" s="71"/>
      <c r="M664" s="88">
        <v>45711</v>
      </c>
      <c r="O664" s="19">
        <f ca="1" t="shared" si="16"/>
        <v>0</v>
      </c>
      <c r="P664" s="55">
        <f ca="1" t="shared" si="17"/>
        <v>246</v>
      </c>
      <c r="Q664" s="19" t="e">
        <f>VLOOKUP(B664,辅助信息!E:M,9,FALSE)</f>
        <v>#N/A</v>
      </c>
    </row>
    <row r="665" s="19" customFormat="1" hidden="1" spans="2:17">
      <c r="B665" s="33" t="s">
        <v>74</v>
      </c>
      <c r="C665" s="63">
        <v>45710</v>
      </c>
      <c r="D665" s="33" t="e">
        <f>VLOOKUP(B665,辅助信息!E:K,7,FALSE)</f>
        <v>#N/A</v>
      </c>
      <c r="E665" s="33" t="str">
        <f>VLOOKUP(F665,辅助信息!A:B,2,FALSE)</f>
        <v>螺纹钢</v>
      </c>
      <c r="F665" s="33" t="s">
        <v>28</v>
      </c>
      <c r="G665" s="33">
        <v>12</v>
      </c>
      <c r="H665" s="33" t="e">
        <f>_xlfn._xlws.FILTER('[1]2025年已发货'!$E:$E,'[1]2025年已发货'!$F:$F&amp;'[1]2025年已发货'!$C:$C&amp;'[1]2025年已发货'!$G:$G&amp;'[1]2025年已发货'!$H:$H=C665&amp;F665&amp;I665&amp;J665,"未发货")</f>
        <v>#N/A</v>
      </c>
      <c r="I665" s="33" t="e">
        <f>VLOOKUP(B665,辅助信息!E:I,3,FALSE)</f>
        <v>#N/A</v>
      </c>
      <c r="J665" s="33" t="e">
        <f>VLOOKUP(B665,辅助信息!E:I,4,FALSE)</f>
        <v>#N/A</v>
      </c>
      <c r="K665" s="33" t="e">
        <f>VLOOKUP(J665,辅助信息!H:I,2,FALSE)</f>
        <v>#N/A</v>
      </c>
      <c r="L665" s="71"/>
      <c r="M665" s="88">
        <v>45711</v>
      </c>
      <c r="O665" s="19">
        <f ca="1" t="shared" si="16"/>
        <v>0</v>
      </c>
      <c r="P665" s="55">
        <f ca="1" t="shared" si="17"/>
        <v>246</v>
      </c>
      <c r="Q665" s="19" t="e">
        <f>VLOOKUP(B665,辅助信息!E:M,9,FALSE)</f>
        <v>#N/A</v>
      </c>
    </row>
    <row r="666" s="19" customFormat="1" hidden="1" spans="2:17">
      <c r="B666" s="33" t="s">
        <v>74</v>
      </c>
      <c r="C666" s="63">
        <v>45710</v>
      </c>
      <c r="D666" s="33" t="e">
        <f>VLOOKUP(B666,辅助信息!E:K,7,FALSE)</f>
        <v>#N/A</v>
      </c>
      <c r="E666" s="33" t="str">
        <f>VLOOKUP(F666,辅助信息!A:B,2,FALSE)</f>
        <v>螺纹钢</v>
      </c>
      <c r="F666" s="33" t="s">
        <v>18</v>
      </c>
      <c r="G666" s="33">
        <v>3</v>
      </c>
      <c r="H666" s="33" t="e">
        <f>_xlfn._xlws.FILTER('[1]2025年已发货'!$E:$E,'[1]2025年已发货'!$F:$F&amp;'[1]2025年已发货'!$C:$C&amp;'[1]2025年已发货'!$G:$G&amp;'[1]2025年已发货'!$H:$H=C666&amp;F666&amp;I666&amp;J666,"未发货")</f>
        <v>#N/A</v>
      </c>
      <c r="I666" s="33" t="e">
        <f>VLOOKUP(B666,辅助信息!E:I,3,FALSE)</f>
        <v>#N/A</v>
      </c>
      <c r="J666" s="33" t="e">
        <f>VLOOKUP(B666,辅助信息!E:I,4,FALSE)</f>
        <v>#N/A</v>
      </c>
      <c r="K666" s="33" t="e">
        <f>VLOOKUP(J666,辅助信息!H:I,2,FALSE)</f>
        <v>#N/A</v>
      </c>
      <c r="L666" s="69"/>
      <c r="M666" s="88">
        <v>45711</v>
      </c>
      <c r="O666" s="19">
        <f ca="1" t="shared" si="16"/>
        <v>0</v>
      </c>
      <c r="P666" s="55">
        <f ca="1" t="shared" si="17"/>
        <v>246</v>
      </c>
      <c r="Q666" s="19" t="e">
        <f>VLOOKUP(B666,辅助信息!E:M,9,FALSE)</f>
        <v>#N/A</v>
      </c>
    </row>
    <row r="667" s="19" customFormat="1" hidden="1" spans="1:17">
      <c r="A667" s="19" t="s">
        <v>97</v>
      </c>
      <c r="B667" s="33" t="s">
        <v>98</v>
      </c>
      <c r="C667" s="63">
        <v>45710</v>
      </c>
      <c r="D667" s="33" t="e">
        <f>VLOOKUP(B667,辅助信息!E:K,7,FALSE)</f>
        <v>#N/A</v>
      </c>
      <c r="E667" s="33" t="str">
        <f>VLOOKUP(F667,辅助信息!A:B,2,FALSE)</f>
        <v>高线</v>
      </c>
      <c r="F667" s="33" t="s">
        <v>51</v>
      </c>
      <c r="G667" s="33">
        <v>10</v>
      </c>
      <c r="H667" s="33" t="e">
        <f>_xlfn._xlws.FILTER('[1]2025年已发货'!$E:$E,'[1]2025年已发货'!$F:$F&amp;'[1]2025年已发货'!$C:$C&amp;'[1]2025年已发货'!$G:$G&amp;'[1]2025年已发货'!$H:$H=C667&amp;F667&amp;I667&amp;J667,"未发货")</f>
        <v>#N/A</v>
      </c>
      <c r="I667" s="33" t="e">
        <f>VLOOKUP(B667,辅助信息!E:I,3,FALSE)</f>
        <v>#N/A</v>
      </c>
      <c r="J667" s="33" t="e">
        <f>VLOOKUP(B667,辅助信息!E:I,4,FALSE)</f>
        <v>#N/A</v>
      </c>
      <c r="K667" s="33" t="e">
        <f>VLOOKUP(J667,辅助信息!H:I,2,FALSE)</f>
        <v>#N/A</v>
      </c>
      <c r="L667" s="36" t="e">
        <f>VLOOKUP(B667,辅助信息!E:J,6,FALSE)</f>
        <v>#N/A</v>
      </c>
      <c r="M667" s="88">
        <v>45709</v>
      </c>
      <c r="O667" s="19">
        <f ca="1" t="shared" si="16"/>
        <v>0</v>
      </c>
      <c r="P667" s="55">
        <f ca="1" t="shared" si="17"/>
        <v>248</v>
      </c>
      <c r="Q667" s="19" t="e">
        <f>VLOOKUP(B667,辅助信息!E:M,9,FALSE)</f>
        <v>#N/A</v>
      </c>
    </row>
    <row r="668" s="19" customFormat="1" hidden="1" spans="2:17">
      <c r="B668" s="33" t="s">
        <v>99</v>
      </c>
      <c r="C668" s="63">
        <v>45710</v>
      </c>
      <c r="D668" s="33" t="e">
        <f>VLOOKUP(B668,辅助信息!E:K,7,FALSE)</f>
        <v>#N/A</v>
      </c>
      <c r="E668" s="33" t="str">
        <f>VLOOKUP(F668,辅助信息!A:B,2,FALSE)</f>
        <v>高线</v>
      </c>
      <c r="F668" s="33" t="s">
        <v>53</v>
      </c>
      <c r="G668" s="33">
        <v>2.5</v>
      </c>
      <c r="H668" s="33" t="e">
        <f>_xlfn._xlws.FILTER('[1]2025年已发货'!$E:$E,'[1]2025年已发货'!$F:$F&amp;'[1]2025年已发货'!$C:$C&amp;'[1]2025年已发货'!$G:$G&amp;'[1]2025年已发货'!$H:$H=C668&amp;F668&amp;I668&amp;J668,"未发货")</f>
        <v>#N/A</v>
      </c>
      <c r="I668" s="33" t="e">
        <f>VLOOKUP(B668,辅助信息!E:I,3,FALSE)</f>
        <v>#N/A</v>
      </c>
      <c r="J668" s="33" t="e">
        <f>VLOOKUP(B668,辅助信息!E:I,4,FALSE)</f>
        <v>#N/A</v>
      </c>
      <c r="K668" s="33" t="e">
        <f>VLOOKUP(J668,辅助信息!H:I,2,FALSE)</f>
        <v>#N/A</v>
      </c>
      <c r="L668" s="71"/>
      <c r="M668" s="88">
        <v>45709</v>
      </c>
      <c r="O668" s="19">
        <f ca="1" t="shared" si="16"/>
        <v>0</v>
      </c>
      <c r="P668" s="55">
        <f ca="1" t="shared" si="17"/>
        <v>248</v>
      </c>
      <c r="Q668" s="19" t="e">
        <f>VLOOKUP(B668,辅助信息!E:M,9,FALSE)</f>
        <v>#N/A</v>
      </c>
    </row>
    <row r="669" s="19" customFormat="1" hidden="1" spans="2:17">
      <c r="B669" s="33" t="s">
        <v>99</v>
      </c>
      <c r="C669" s="63">
        <v>45710</v>
      </c>
      <c r="D669" s="33" t="e">
        <f>VLOOKUP(B669,辅助信息!E:K,7,FALSE)</f>
        <v>#N/A</v>
      </c>
      <c r="E669" s="33" t="str">
        <f>VLOOKUP(F669,辅助信息!A:B,2,FALSE)</f>
        <v>高线</v>
      </c>
      <c r="F669" s="33" t="s">
        <v>51</v>
      </c>
      <c r="G669" s="33">
        <v>2.5</v>
      </c>
      <c r="H669" s="33" t="e">
        <f>_xlfn._xlws.FILTER('[1]2025年已发货'!$E:$E,'[1]2025年已发货'!$F:$F&amp;'[1]2025年已发货'!$C:$C&amp;'[1]2025年已发货'!$G:$G&amp;'[1]2025年已发货'!$H:$H=C669&amp;F669&amp;I669&amp;J669,"未发货")</f>
        <v>#N/A</v>
      </c>
      <c r="I669" s="33" t="e">
        <f>VLOOKUP(B669,辅助信息!E:I,3,FALSE)</f>
        <v>#N/A</v>
      </c>
      <c r="J669" s="33" t="e">
        <f>VLOOKUP(B669,辅助信息!E:I,4,FALSE)</f>
        <v>#N/A</v>
      </c>
      <c r="K669" s="33" t="e">
        <f>VLOOKUP(J669,辅助信息!H:I,2,FALSE)</f>
        <v>#N/A</v>
      </c>
      <c r="L669" s="71"/>
      <c r="M669" s="88">
        <v>45709</v>
      </c>
      <c r="O669" s="19">
        <f ca="1" t="shared" si="16"/>
        <v>0</v>
      </c>
      <c r="P669" s="55">
        <f ca="1" t="shared" si="17"/>
        <v>248</v>
      </c>
      <c r="Q669" s="19" t="e">
        <f>VLOOKUP(B669,辅助信息!E:M,9,FALSE)</f>
        <v>#N/A</v>
      </c>
    </row>
    <row r="670" s="19" customFormat="1" hidden="1" spans="2:17">
      <c r="B670" s="33" t="s">
        <v>99</v>
      </c>
      <c r="C670" s="63">
        <v>45710</v>
      </c>
      <c r="D670" s="33" t="e">
        <f>VLOOKUP(B670,辅助信息!E:K,7,FALSE)</f>
        <v>#N/A</v>
      </c>
      <c r="E670" s="33" t="str">
        <f>VLOOKUP(F670,辅助信息!A:B,2,FALSE)</f>
        <v>螺纹钢</v>
      </c>
      <c r="F670" s="33" t="s">
        <v>27</v>
      </c>
      <c r="G670" s="33">
        <v>3</v>
      </c>
      <c r="H670" s="33" t="e">
        <f>_xlfn._xlws.FILTER('[1]2025年已发货'!$E:$E,'[1]2025年已发货'!$F:$F&amp;'[1]2025年已发货'!$C:$C&amp;'[1]2025年已发货'!$G:$G&amp;'[1]2025年已发货'!$H:$H=C670&amp;F670&amp;I670&amp;J670,"未发货")</f>
        <v>#N/A</v>
      </c>
      <c r="I670" s="33" t="e">
        <f>VLOOKUP(B670,辅助信息!E:I,3,FALSE)</f>
        <v>#N/A</v>
      </c>
      <c r="J670" s="33" t="e">
        <f>VLOOKUP(B670,辅助信息!E:I,4,FALSE)</f>
        <v>#N/A</v>
      </c>
      <c r="K670" s="33" t="e">
        <f>VLOOKUP(J670,辅助信息!H:I,2,FALSE)</f>
        <v>#N/A</v>
      </c>
      <c r="L670" s="71"/>
      <c r="M670" s="88">
        <v>45709</v>
      </c>
      <c r="O670" s="19">
        <f ca="1" t="shared" si="16"/>
        <v>0</v>
      </c>
      <c r="P670" s="55">
        <f ca="1" t="shared" si="17"/>
        <v>248</v>
      </c>
      <c r="Q670" s="19" t="e">
        <f>VLOOKUP(B670,辅助信息!E:M,9,FALSE)</f>
        <v>#N/A</v>
      </c>
    </row>
    <row r="671" s="19" customFormat="1" hidden="1" spans="2:17">
      <c r="B671" s="33" t="s">
        <v>99</v>
      </c>
      <c r="C671" s="63">
        <v>45710</v>
      </c>
      <c r="D671" s="33" t="e">
        <f>VLOOKUP(B671,辅助信息!E:K,7,FALSE)</f>
        <v>#N/A</v>
      </c>
      <c r="E671" s="33" t="str">
        <f>VLOOKUP(F671,辅助信息!A:B,2,FALSE)</f>
        <v>螺纹钢</v>
      </c>
      <c r="F671" s="33" t="s">
        <v>19</v>
      </c>
      <c r="G671" s="33">
        <v>3</v>
      </c>
      <c r="H671" s="33" t="e">
        <f>_xlfn._xlws.FILTER('[1]2025年已发货'!$E:$E,'[1]2025年已发货'!$F:$F&amp;'[1]2025年已发货'!$C:$C&amp;'[1]2025年已发货'!$G:$G&amp;'[1]2025年已发货'!$H:$H=C671&amp;F671&amp;I671&amp;J671,"未发货")</f>
        <v>#N/A</v>
      </c>
      <c r="I671" s="33" t="e">
        <f>VLOOKUP(B671,辅助信息!E:I,3,FALSE)</f>
        <v>#N/A</v>
      </c>
      <c r="J671" s="33" t="e">
        <f>VLOOKUP(B671,辅助信息!E:I,4,FALSE)</f>
        <v>#N/A</v>
      </c>
      <c r="K671" s="33" t="e">
        <f>VLOOKUP(J671,辅助信息!H:I,2,FALSE)</f>
        <v>#N/A</v>
      </c>
      <c r="L671" s="71"/>
      <c r="M671" s="88">
        <v>45709</v>
      </c>
      <c r="O671" s="19">
        <f ca="1" t="shared" si="16"/>
        <v>0</v>
      </c>
      <c r="P671" s="55">
        <f ca="1" t="shared" si="17"/>
        <v>248</v>
      </c>
      <c r="Q671" s="19" t="e">
        <f>VLOOKUP(B671,辅助信息!E:M,9,FALSE)</f>
        <v>#N/A</v>
      </c>
    </row>
    <row r="672" s="19" customFormat="1" hidden="1" spans="2:17">
      <c r="B672" s="33" t="s">
        <v>99</v>
      </c>
      <c r="C672" s="63">
        <v>45710</v>
      </c>
      <c r="D672" s="33" t="e">
        <f>VLOOKUP(B672,辅助信息!E:K,7,FALSE)</f>
        <v>#N/A</v>
      </c>
      <c r="E672" s="33" t="str">
        <f>VLOOKUP(F672,辅助信息!A:B,2,FALSE)</f>
        <v>螺纹钢</v>
      </c>
      <c r="F672" s="33" t="s">
        <v>32</v>
      </c>
      <c r="G672" s="33">
        <v>3</v>
      </c>
      <c r="H672" s="33" t="e">
        <f>_xlfn._xlws.FILTER('[1]2025年已发货'!$E:$E,'[1]2025年已发货'!$F:$F&amp;'[1]2025年已发货'!$C:$C&amp;'[1]2025年已发货'!$G:$G&amp;'[1]2025年已发货'!$H:$H=C672&amp;F672&amp;I672&amp;J672,"未发货")</f>
        <v>#N/A</v>
      </c>
      <c r="I672" s="33" t="e">
        <f>VLOOKUP(B672,辅助信息!E:I,3,FALSE)</f>
        <v>#N/A</v>
      </c>
      <c r="J672" s="33" t="e">
        <f>VLOOKUP(B672,辅助信息!E:I,4,FALSE)</f>
        <v>#N/A</v>
      </c>
      <c r="K672" s="33" t="e">
        <f>VLOOKUP(J672,辅助信息!H:I,2,FALSE)</f>
        <v>#N/A</v>
      </c>
      <c r="L672" s="69"/>
      <c r="M672" s="88">
        <v>45709</v>
      </c>
      <c r="O672" s="19">
        <f ca="1" t="shared" si="16"/>
        <v>0</v>
      </c>
      <c r="P672" s="55">
        <f ca="1" t="shared" si="17"/>
        <v>248</v>
      </c>
      <c r="Q672" s="19" t="e">
        <f>VLOOKUP(B672,辅助信息!E:M,9,FALSE)</f>
        <v>#N/A</v>
      </c>
    </row>
    <row r="673" s="19" customFormat="1" hidden="1" spans="2:17">
      <c r="B673" s="33" t="s">
        <v>31</v>
      </c>
      <c r="C673" s="63">
        <v>45710</v>
      </c>
      <c r="D673" s="33" t="str">
        <f>VLOOKUP(B673,辅助信息!E:K,7,FALSE)</f>
        <v>JWDDCD2024121000136</v>
      </c>
      <c r="E673" s="33" t="str">
        <f>VLOOKUP(F673,辅助信息!A:B,2,FALSE)</f>
        <v>盘螺</v>
      </c>
      <c r="F673" s="33" t="s">
        <v>49</v>
      </c>
      <c r="G673" s="33">
        <v>15</v>
      </c>
      <c r="H673" s="33">
        <f>_xlfn._xlws.FILTER('[1]2025年已发货'!$E:$E,'[1]2025年已发货'!$F:$F&amp;'[1]2025年已发货'!$C:$C&amp;'[1]2025年已发货'!$G:$G&amp;'[1]2025年已发货'!$H:$H=C673&amp;F673&amp;I673&amp;J673,"未发货")</f>
        <v>35</v>
      </c>
      <c r="I673" s="33" t="str">
        <f>VLOOKUP(B673,辅助信息!E:I,3,FALSE)</f>
        <v>（四川商建-射洪城乡一体化项目）遂宁市射洪市忠新幼儿园北侧约220米新溪小区</v>
      </c>
      <c r="J673" s="33" t="str">
        <f>VLOOKUP(B673,辅助信息!E:I,4,FALSE)</f>
        <v>柏子刚</v>
      </c>
      <c r="K673" s="33">
        <f>VLOOKUP(J673,辅助信息!H:I,2,FALSE)</f>
        <v>15692885305</v>
      </c>
      <c r="L673" s="36" t="str">
        <f>VLOOKUP(B673,辅助信息!E:J,6,FALSE)</f>
        <v>提前联系到场规格及数量</v>
      </c>
      <c r="M673" s="88">
        <v>45708</v>
      </c>
      <c r="O673" s="19">
        <f ca="1" t="shared" si="16"/>
        <v>0</v>
      </c>
      <c r="P673" s="55">
        <f ca="1" t="shared" si="17"/>
        <v>249</v>
      </c>
      <c r="Q673" s="19" t="str">
        <f>VLOOKUP(B673,辅助信息!E:M,9,FALSE)</f>
        <v>ZTWM-CDGS-XS-2024-0179-四川商投-射洪城乡一体化建设项目</v>
      </c>
    </row>
    <row r="674" s="19" customFormat="1" hidden="1" spans="2:17">
      <c r="B674" s="33" t="s">
        <v>31</v>
      </c>
      <c r="C674" s="63">
        <v>45710</v>
      </c>
      <c r="D674" s="33" t="str">
        <f>VLOOKUP(B674,辅助信息!E:K,7,FALSE)</f>
        <v>JWDDCD2024121000136</v>
      </c>
      <c r="E674" s="33" t="str">
        <f>VLOOKUP(F674,辅助信息!A:B,2,FALSE)</f>
        <v>螺纹钢</v>
      </c>
      <c r="F674" s="33" t="s">
        <v>22</v>
      </c>
      <c r="G674" s="33">
        <v>20</v>
      </c>
      <c r="H674" s="33">
        <f>_xlfn._xlws.FILTER('[1]2025年已发货'!$E:$E,'[1]2025年已发货'!$F:$F&amp;'[1]2025年已发货'!$C:$C&amp;'[1]2025年已发货'!$G:$G&amp;'[1]2025年已发货'!$H:$H=C674&amp;F674&amp;I674&amp;J674,"未发货")</f>
        <v>35</v>
      </c>
      <c r="I674" s="33" t="str">
        <f>VLOOKUP(B674,辅助信息!E:I,3,FALSE)</f>
        <v>（四川商建-射洪城乡一体化项目）遂宁市射洪市忠新幼儿园北侧约220米新溪小区</v>
      </c>
      <c r="J674" s="33" t="str">
        <f>VLOOKUP(B674,辅助信息!E:I,4,FALSE)</f>
        <v>柏子刚</v>
      </c>
      <c r="K674" s="33">
        <f>VLOOKUP(J674,辅助信息!H:I,2,FALSE)</f>
        <v>15692885305</v>
      </c>
      <c r="L674" s="69"/>
      <c r="M674" s="88">
        <v>45708</v>
      </c>
      <c r="O674" s="19">
        <f ca="1" t="shared" si="16"/>
        <v>0</v>
      </c>
      <c r="P674" s="55">
        <f ca="1" t="shared" si="17"/>
        <v>249</v>
      </c>
      <c r="Q674" s="19" t="str">
        <f>VLOOKUP(B674,辅助信息!E:M,9,FALSE)</f>
        <v>ZTWM-CDGS-XS-2024-0179-四川商投-射洪城乡一体化建设项目</v>
      </c>
    </row>
    <row r="675" hidden="1" spans="2:18">
      <c r="B675" s="33" t="s">
        <v>25</v>
      </c>
      <c r="C675" s="63">
        <v>45711</v>
      </c>
      <c r="D675" s="33" t="e">
        <f>VLOOKUP(B675,辅助信息!E:K,7,FALSE)</f>
        <v>#N/A</v>
      </c>
      <c r="E675" s="33" t="str">
        <f>VLOOKUP(F675,辅助信息!A:B,2,FALSE)</f>
        <v>螺纹钢</v>
      </c>
      <c r="F675" s="33" t="s">
        <v>27</v>
      </c>
      <c r="G675" s="29">
        <v>22</v>
      </c>
      <c r="H675" s="33" t="e">
        <f>_xlfn._xlws.FILTER('[1]2025年已发货'!$E:$E,'[1]2025年已发货'!$F:$F&amp;'[1]2025年已发货'!$C:$C&amp;'[1]2025年已发货'!$G:$G&amp;'[1]2025年已发货'!$H:$H=C675&amp;F675&amp;I675&amp;J675,"未发货")</f>
        <v>#N/A</v>
      </c>
      <c r="I675" s="33" t="e">
        <f>VLOOKUP(B675,辅助信息!E:I,3,FALSE)</f>
        <v>#N/A</v>
      </c>
      <c r="J675" s="33" t="e">
        <f>VLOOKUP(B675,辅助信息!E:I,4,FALSE)</f>
        <v>#N/A</v>
      </c>
      <c r="K675" s="33" t="e">
        <f>VLOOKUP(J675,辅助信息!H:I,2,FALSE)</f>
        <v>#N/A</v>
      </c>
      <c r="L675" s="36" t="e">
        <f>VLOOKUP(B675,辅助信息!E:J,6,FALSE)</f>
        <v>#N/A</v>
      </c>
      <c r="M675" s="88">
        <v>45712</v>
      </c>
      <c r="N675" s="50"/>
      <c r="O675" s="19">
        <f ca="1" t="shared" si="16"/>
        <v>0</v>
      </c>
      <c r="P675" s="55">
        <f ca="1" t="shared" si="17"/>
        <v>245</v>
      </c>
      <c r="Q675" s="19" t="e">
        <f>VLOOKUP(B675,辅助信息!E:M,9,FALSE)</f>
        <v>#N/A</v>
      </c>
      <c r="R675" s="19"/>
    </row>
    <row r="676" hidden="1" spans="2:18">
      <c r="B676" s="33" t="s">
        <v>25</v>
      </c>
      <c r="C676" s="63">
        <v>45711</v>
      </c>
      <c r="D676" s="33" t="e">
        <f>VLOOKUP(B676,辅助信息!E:K,7,FALSE)</f>
        <v>#N/A</v>
      </c>
      <c r="E676" s="33" t="str">
        <f>VLOOKUP(F676,辅助信息!A:B,2,FALSE)</f>
        <v>螺纹钢</v>
      </c>
      <c r="F676" s="33" t="s">
        <v>19</v>
      </c>
      <c r="G676" s="29">
        <v>10</v>
      </c>
      <c r="H676" s="33" t="e">
        <f>_xlfn._xlws.FILTER('[1]2025年已发货'!$E:$E,'[1]2025年已发货'!$F:$F&amp;'[1]2025年已发货'!$C:$C&amp;'[1]2025年已发货'!$G:$G&amp;'[1]2025年已发货'!$H:$H=C676&amp;F676&amp;I676&amp;J676,"未发货")</f>
        <v>#N/A</v>
      </c>
      <c r="I676" s="33" t="e">
        <f>VLOOKUP(B676,辅助信息!E:I,3,FALSE)</f>
        <v>#N/A</v>
      </c>
      <c r="J676" s="33" t="e">
        <f>VLOOKUP(B676,辅助信息!E:I,4,FALSE)</f>
        <v>#N/A</v>
      </c>
      <c r="K676" s="33" t="e">
        <f>VLOOKUP(J676,辅助信息!H:I,2,FALSE)</f>
        <v>#N/A</v>
      </c>
      <c r="L676" s="71"/>
      <c r="M676" s="88">
        <v>45712</v>
      </c>
      <c r="N676" s="50"/>
      <c r="O676" s="19">
        <f ca="1" t="shared" si="16"/>
        <v>0</v>
      </c>
      <c r="P676" s="55">
        <f ca="1" t="shared" si="17"/>
        <v>245</v>
      </c>
      <c r="Q676" s="19" t="e">
        <f>VLOOKUP(B676,辅助信息!E:M,9,FALSE)</f>
        <v>#N/A</v>
      </c>
      <c r="R676" s="19"/>
    </row>
    <row r="677" hidden="1" spans="2:18">
      <c r="B677" s="33" t="s">
        <v>25</v>
      </c>
      <c r="C677" s="63">
        <v>45711</v>
      </c>
      <c r="D677" s="33" t="e">
        <f>VLOOKUP(B677,辅助信息!E:K,7,FALSE)</f>
        <v>#N/A</v>
      </c>
      <c r="E677" s="33" t="str">
        <f>VLOOKUP(F677,辅助信息!A:B,2,FALSE)</f>
        <v>螺纹钢</v>
      </c>
      <c r="F677" s="33" t="s">
        <v>32</v>
      </c>
      <c r="G677" s="29">
        <v>50</v>
      </c>
      <c r="H677" s="33" t="e">
        <f>_xlfn._xlws.FILTER('[1]2025年已发货'!$E:$E,'[1]2025年已发货'!$F:$F&amp;'[1]2025年已发货'!$C:$C&amp;'[1]2025年已发货'!$G:$G&amp;'[1]2025年已发货'!$H:$H=C677&amp;F677&amp;I677&amp;J677,"未发货")</f>
        <v>#N/A</v>
      </c>
      <c r="I677" s="33" t="e">
        <f>VLOOKUP(B677,辅助信息!E:I,3,FALSE)</f>
        <v>#N/A</v>
      </c>
      <c r="J677" s="33" t="e">
        <f>VLOOKUP(B677,辅助信息!E:I,4,FALSE)</f>
        <v>#N/A</v>
      </c>
      <c r="K677" s="33" t="e">
        <f>VLOOKUP(J677,辅助信息!H:I,2,FALSE)</f>
        <v>#N/A</v>
      </c>
      <c r="L677" s="71"/>
      <c r="M677" s="88">
        <v>45712</v>
      </c>
      <c r="N677" s="50"/>
      <c r="O677" s="19">
        <f ca="1" t="shared" si="16"/>
        <v>0</v>
      </c>
      <c r="P677" s="55">
        <f ca="1" t="shared" si="17"/>
        <v>245</v>
      </c>
      <c r="Q677" s="19" t="e">
        <f>VLOOKUP(B677,辅助信息!E:M,9,FALSE)</f>
        <v>#N/A</v>
      </c>
      <c r="R677" s="19"/>
    </row>
    <row r="678" hidden="1" spans="2:18">
      <c r="B678" s="33" t="s">
        <v>25</v>
      </c>
      <c r="C678" s="63">
        <v>45711</v>
      </c>
      <c r="D678" s="33" t="e">
        <f>VLOOKUP(B678,辅助信息!E:K,7,FALSE)</f>
        <v>#N/A</v>
      </c>
      <c r="E678" s="33" t="str">
        <f>VLOOKUP(F678,辅助信息!A:B,2,FALSE)</f>
        <v>螺纹钢</v>
      </c>
      <c r="F678" s="33" t="s">
        <v>30</v>
      </c>
      <c r="G678" s="29">
        <v>4</v>
      </c>
      <c r="H678" s="33" t="e">
        <f>_xlfn._xlws.FILTER('[1]2025年已发货'!$E:$E,'[1]2025年已发货'!$F:$F&amp;'[1]2025年已发货'!$C:$C&amp;'[1]2025年已发货'!$G:$G&amp;'[1]2025年已发货'!$H:$H=C678&amp;F678&amp;I678&amp;J678,"未发货")</f>
        <v>#N/A</v>
      </c>
      <c r="I678" s="33" t="e">
        <f>VLOOKUP(B678,辅助信息!E:I,3,FALSE)</f>
        <v>#N/A</v>
      </c>
      <c r="J678" s="33" t="e">
        <f>VLOOKUP(B678,辅助信息!E:I,4,FALSE)</f>
        <v>#N/A</v>
      </c>
      <c r="K678" s="33" t="e">
        <f>VLOOKUP(J678,辅助信息!H:I,2,FALSE)</f>
        <v>#N/A</v>
      </c>
      <c r="L678" s="71"/>
      <c r="M678" s="88">
        <v>45712</v>
      </c>
      <c r="N678" s="50"/>
      <c r="O678" s="19">
        <f ca="1" t="shared" si="16"/>
        <v>0</v>
      </c>
      <c r="P678" s="55">
        <f ca="1" t="shared" si="17"/>
        <v>245</v>
      </c>
      <c r="Q678" s="19" t="e">
        <f>VLOOKUP(B678,辅助信息!E:M,9,FALSE)</f>
        <v>#N/A</v>
      </c>
      <c r="R678" s="19"/>
    </row>
    <row r="679" hidden="1" spans="2:18">
      <c r="B679" s="33" t="s">
        <v>25</v>
      </c>
      <c r="C679" s="63">
        <v>45711</v>
      </c>
      <c r="D679" s="33" t="e">
        <f>VLOOKUP(B679,辅助信息!E:K,7,FALSE)</f>
        <v>#N/A</v>
      </c>
      <c r="E679" s="33" t="str">
        <f>VLOOKUP(F679,辅助信息!A:B,2,FALSE)</f>
        <v>螺纹钢</v>
      </c>
      <c r="F679" s="33" t="s">
        <v>65</v>
      </c>
      <c r="G679" s="29">
        <v>16</v>
      </c>
      <c r="H679" s="33" t="e">
        <f>_xlfn._xlws.FILTER('[1]2025年已发货'!$E:$E,'[1]2025年已发货'!$F:$F&amp;'[1]2025年已发货'!$C:$C&amp;'[1]2025年已发货'!$G:$G&amp;'[1]2025年已发货'!$H:$H=C679&amp;F679&amp;I679&amp;J679,"未发货")</f>
        <v>#N/A</v>
      </c>
      <c r="I679" s="33" t="e">
        <f>VLOOKUP(B679,辅助信息!E:I,3,FALSE)</f>
        <v>#N/A</v>
      </c>
      <c r="J679" s="33" t="e">
        <f>VLOOKUP(B679,辅助信息!E:I,4,FALSE)</f>
        <v>#N/A</v>
      </c>
      <c r="K679" s="33" t="e">
        <f>VLOOKUP(J679,辅助信息!H:I,2,FALSE)</f>
        <v>#N/A</v>
      </c>
      <c r="L679" s="71"/>
      <c r="M679" s="88">
        <v>45712</v>
      </c>
      <c r="N679" s="50"/>
      <c r="O679" s="19">
        <f ca="1" t="shared" si="16"/>
        <v>0</v>
      </c>
      <c r="P679" s="55">
        <f ca="1" t="shared" si="17"/>
        <v>245</v>
      </c>
      <c r="Q679" s="19" t="e">
        <f>VLOOKUP(B679,辅助信息!E:M,9,FALSE)</f>
        <v>#N/A</v>
      </c>
      <c r="R679" s="19"/>
    </row>
    <row r="680" hidden="1" spans="2:18">
      <c r="B680" s="33" t="s">
        <v>25</v>
      </c>
      <c r="C680" s="63">
        <v>45711</v>
      </c>
      <c r="D680" s="33" t="e">
        <f>VLOOKUP(B680,辅助信息!E:K,7,FALSE)</f>
        <v>#N/A</v>
      </c>
      <c r="E680" s="33" t="str">
        <f>VLOOKUP(F680,辅助信息!A:B,2,FALSE)</f>
        <v>螺纹钢</v>
      </c>
      <c r="F680" s="33" t="s">
        <v>52</v>
      </c>
      <c r="G680" s="29">
        <v>6</v>
      </c>
      <c r="H680" s="33" t="e">
        <f>_xlfn._xlws.FILTER('[1]2025年已发货'!$E:$E,'[1]2025年已发货'!$F:$F&amp;'[1]2025年已发货'!$C:$C&amp;'[1]2025年已发货'!$G:$G&amp;'[1]2025年已发货'!$H:$H=C680&amp;F680&amp;I680&amp;J680,"未发货")</f>
        <v>#N/A</v>
      </c>
      <c r="I680" s="33" t="e">
        <f>VLOOKUP(B680,辅助信息!E:I,3,FALSE)</f>
        <v>#N/A</v>
      </c>
      <c r="J680" s="33" t="e">
        <f>VLOOKUP(B680,辅助信息!E:I,4,FALSE)</f>
        <v>#N/A</v>
      </c>
      <c r="K680" s="33" t="e">
        <f>VLOOKUP(J680,辅助信息!H:I,2,FALSE)</f>
        <v>#N/A</v>
      </c>
      <c r="L680" s="69"/>
      <c r="M680" s="88">
        <v>45712</v>
      </c>
      <c r="N680" s="50"/>
      <c r="O680" s="19">
        <f ca="1" t="shared" si="16"/>
        <v>0</v>
      </c>
      <c r="P680" s="55">
        <f ca="1" t="shared" si="17"/>
        <v>245</v>
      </c>
      <c r="Q680" s="19" t="e">
        <f>VLOOKUP(B680,辅助信息!E:M,9,FALSE)</f>
        <v>#N/A</v>
      </c>
      <c r="R680" s="19"/>
    </row>
    <row r="681" hidden="1" spans="2:18">
      <c r="B681" s="33" t="s">
        <v>74</v>
      </c>
      <c r="C681" s="63">
        <v>45711</v>
      </c>
      <c r="D681" s="33" t="e">
        <f>VLOOKUP(B681,辅助信息!E:K,7,FALSE)</f>
        <v>#N/A</v>
      </c>
      <c r="E681" s="33" t="str">
        <f>VLOOKUP(F681,辅助信息!A:B,2,FALSE)</f>
        <v>螺纹钢</v>
      </c>
      <c r="F681" s="33" t="s">
        <v>19</v>
      </c>
      <c r="G681" s="29">
        <v>15</v>
      </c>
      <c r="H681" s="33" t="e">
        <f>_xlfn._xlws.FILTER('[1]2025年已发货'!$E:$E,'[1]2025年已发货'!$F:$F&amp;'[1]2025年已发货'!$C:$C&amp;'[1]2025年已发货'!$G:$G&amp;'[1]2025年已发货'!$H:$H=C681&amp;F681&amp;I681&amp;J681,"未发货")</f>
        <v>#N/A</v>
      </c>
      <c r="I681" s="33" t="e">
        <f>VLOOKUP(B681,辅助信息!E:I,3,FALSE)</f>
        <v>#N/A</v>
      </c>
      <c r="J681" s="33" t="e">
        <f>VLOOKUP(B681,辅助信息!E:I,4,FALSE)</f>
        <v>#N/A</v>
      </c>
      <c r="K681" s="33" t="e">
        <f>VLOOKUP(J681,辅助信息!H:I,2,FALSE)</f>
        <v>#N/A</v>
      </c>
      <c r="L681" s="36" t="e">
        <f>VLOOKUP(B681,辅助信息!E:J,6,FALSE)</f>
        <v>#N/A</v>
      </c>
      <c r="M681" s="88">
        <v>45718</v>
      </c>
      <c r="N681" s="50"/>
      <c r="O681" s="19">
        <f ca="1" t="shared" si="16"/>
        <v>0</v>
      </c>
      <c r="P681" s="55">
        <f ca="1" t="shared" si="17"/>
        <v>239</v>
      </c>
      <c r="Q681" s="19" t="e">
        <f>VLOOKUP(B681,辅助信息!E:M,9,FALSE)</f>
        <v>#N/A</v>
      </c>
      <c r="R681" s="19"/>
    </row>
    <row r="682" hidden="1" spans="2:18">
      <c r="B682" s="33" t="s">
        <v>74</v>
      </c>
      <c r="C682" s="63">
        <v>45711</v>
      </c>
      <c r="D682" s="33" t="e">
        <f>VLOOKUP(B682,辅助信息!E:K,7,FALSE)</f>
        <v>#N/A</v>
      </c>
      <c r="E682" s="33" t="str">
        <f>VLOOKUP(F682,辅助信息!A:B,2,FALSE)</f>
        <v>螺纹钢</v>
      </c>
      <c r="F682" s="33" t="s">
        <v>33</v>
      </c>
      <c r="G682" s="29">
        <v>15</v>
      </c>
      <c r="H682" s="33" t="e">
        <f>_xlfn._xlws.FILTER('[1]2025年已发货'!$E:$E,'[1]2025年已发货'!$F:$F&amp;'[1]2025年已发货'!$C:$C&amp;'[1]2025年已发货'!$G:$G&amp;'[1]2025年已发货'!$H:$H=C682&amp;F682&amp;I682&amp;J682,"未发货")</f>
        <v>#N/A</v>
      </c>
      <c r="I682" s="33" t="e">
        <f>VLOOKUP(B682,辅助信息!E:I,3,FALSE)</f>
        <v>#N/A</v>
      </c>
      <c r="J682" s="33" t="e">
        <f>VLOOKUP(B682,辅助信息!E:I,4,FALSE)</f>
        <v>#N/A</v>
      </c>
      <c r="K682" s="33" t="e">
        <f>VLOOKUP(J682,辅助信息!H:I,2,FALSE)</f>
        <v>#N/A</v>
      </c>
      <c r="L682" s="71"/>
      <c r="M682" s="88">
        <v>45718</v>
      </c>
      <c r="N682" s="50"/>
      <c r="O682" s="19">
        <f ca="1" t="shared" si="16"/>
        <v>0</v>
      </c>
      <c r="P682" s="55">
        <f ca="1" t="shared" si="17"/>
        <v>239</v>
      </c>
      <c r="Q682" s="19" t="e">
        <f>VLOOKUP(B682,辅助信息!E:M,9,FALSE)</f>
        <v>#N/A</v>
      </c>
      <c r="R682" s="19"/>
    </row>
    <row r="683" hidden="1" spans="2:18">
      <c r="B683" s="33" t="s">
        <v>74</v>
      </c>
      <c r="C683" s="63">
        <v>45711</v>
      </c>
      <c r="D683" s="33" t="e">
        <f>VLOOKUP(B683,辅助信息!E:K,7,FALSE)</f>
        <v>#N/A</v>
      </c>
      <c r="E683" s="33" t="str">
        <f>VLOOKUP(F683,辅助信息!A:B,2,FALSE)</f>
        <v>螺纹钢</v>
      </c>
      <c r="F683" s="33" t="s">
        <v>28</v>
      </c>
      <c r="G683" s="29">
        <v>15</v>
      </c>
      <c r="H683" s="33" t="e">
        <f>_xlfn._xlws.FILTER('[1]2025年已发货'!$E:$E,'[1]2025年已发货'!$F:$F&amp;'[1]2025年已发货'!$C:$C&amp;'[1]2025年已发货'!$G:$G&amp;'[1]2025年已发货'!$H:$H=C683&amp;F683&amp;I683&amp;J683,"未发货")</f>
        <v>#N/A</v>
      </c>
      <c r="I683" s="33" t="e">
        <f>VLOOKUP(B683,辅助信息!E:I,3,FALSE)</f>
        <v>#N/A</v>
      </c>
      <c r="J683" s="33" t="e">
        <f>VLOOKUP(B683,辅助信息!E:I,4,FALSE)</f>
        <v>#N/A</v>
      </c>
      <c r="K683" s="33" t="e">
        <f>VLOOKUP(J683,辅助信息!H:I,2,FALSE)</f>
        <v>#N/A</v>
      </c>
      <c r="L683" s="71"/>
      <c r="M683" s="88">
        <v>45718</v>
      </c>
      <c r="N683" s="50"/>
      <c r="O683" s="19">
        <f ca="1" t="shared" si="16"/>
        <v>0</v>
      </c>
      <c r="P683" s="55">
        <f ca="1" t="shared" si="17"/>
        <v>239</v>
      </c>
      <c r="Q683" s="19" t="e">
        <f>VLOOKUP(B683,辅助信息!E:M,9,FALSE)</f>
        <v>#N/A</v>
      </c>
      <c r="R683" s="19"/>
    </row>
    <row r="684" hidden="1" spans="2:18">
      <c r="B684" s="33" t="s">
        <v>74</v>
      </c>
      <c r="C684" s="63">
        <v>45711</v>
      </c>
      <c r="D684" s="33" t="e">
        <f>VLOOKUP(B684,辅助信息!E:K,7,FALSE)</f>
        <v>#N/A</v>
      </c>
      <c r="E684" s="33" t="str">
        <f>VLOOKUP(F684,辅助信息!A:B,2,FALSE)</f>
        <v>螺纹钢</v>
      </c>
      <c r="F684" s="33" t="s">
        <v>18</v>
      </c>
      <c r="G684" s="29">
        <v>6</v>
      </c>
      <c r="H684" s="33" t="e">
        <f>_xlfn._xlws.FILTER('[1]2025年已发货'!$E:$E,'[1]2025年已发货'!$F:$F&amp;'[1]2025年已发货'!$C:$C&amp;'[1]2025年已发货'!$G:$G&amp;'[1]2025年已发货'!$H:$H=C684&amp;F684&amp;I684&amp;J684,"未发货")</f>
        <v>#N/A</v>
      </c>
      <c r="I684" s="33" t="e">
        <f>VLOOKUP(B684,辅助信息!E:I,3,FALSE)</f>
        <v>#N/A</v>
      </c>
      <c r="J684" s="33" t="e">
        <f>VLOOKUP(B684,辅助信息!E:I,4,FALSE)</f>
        <v>#N/A</v>
      </c>
      <c r="K684" s="33" t="e">
        <f>VLOOKUP(J684,辅助信息!H:I,2,FALSE)</f>
        <v>#N/A</v>
      </c>
      <c r="L684" s="71"/>
      <c r="M684" s="88">
        <v>45718</v>
      </c>
      <c r="N684" s="50"/>
      <c r="O684" s="19">
        <f ca="1" t="shared" si="16"/>
        <v>0</v>
      </c>
      <c r="P684" s="55">
        <f ca="1" t="shared" si="17"/>
        <v>239</v>
      </c>
      <c r="Q684" s="19" t="e">
        <f>VLOOKUP(B684,辅助信息!E:M,9,FALSE)</f>
        <v>#N/A</v>
      </c>
      <c r="R684" s="19"/>
    </row>
    <row r="685" hidden="1" spans="2:18">
      <c r="B685" s="33" t="s">
        <v>74</v>
      </c>
      <c r="C685" s="63">
        <v>45711</v>
      </c>
      <c r="D685" s="33" t="e">
        <f>VLOOKUP(B685,辅助信息!E:K,7,FALSE)</f>
        <v>#N/A</v>
      </c>
      <c r="E685" s="33" t="str">
        <f>VLOOKUP(F685,辅助信息!A:B,2,FALSE)</f>
        <v>螺纹钢</v>
      </c>
      <c r="F685" s="33" t="s">
        <v>65</v>
      </c>
      <c r="G685" s="29">
        <v>30</v>
      </c>
      <c r="H685" s="33" t="e">
        <f>_xlfn._xlws.FILTER('[1]2025年已发货'!$E:$E,'[1]2025年已发货'!$F:$F&amp;'[1]2025年已发货'!$C:$C&amp;'[1]2025年已发货'!$G:$G&amp;'[1]2025年已发货'!$H:$H=C685&amp;F685&amp;I685&amp;J685,"未发货")</f>
        <v>#N/A</v>
      </c>
      <c r="I685" s="33" t="e">
        <f>VLOOKUP(B685,辅助信息!E:I,3,FALSE)</f>
        <v>#N/A</v>
      </c>
      <c r="J685" s="33" t="e">
        <f>VLOOKUP(B685,辅助信息!E:I,4,FALSE)</f>
        <v>#N/A</v>
      </c>
      <c r="K685" s="33" t="e">
        <f>VLOOKUP(J685,辅助信息!H:I,2,FALSE)</f>
        <v>#N/A</v>
      </c>
      <c r="L685" s="69"/>
      <c r="M685" s="88">
        <v>45718</v>
      </c>
      <c r="N685" s="50"/>
      <c r="O685" s="19">
        <f ca="1" t="shared" si="16"/>
        <v>0</v>
      </c>
      <c r="P685" s="55">
        <f ca="1" t="shared" si="17"/>
        <v>239</v>
      </c>
      <c r="Q685" s="19" t="e">
        <f>VLOOKUP(B685,辅助信息!E:M,9,FALSE)</f>
        <v>#N/A</v>
      </c>
      <c r="R685" s="19"/>
    </row>
    <row r="686" hidden="1" spans="2:18">
      <c r="B686" s="33" t="s">
        <v>63</v>
      </c>
      <c r="C686" s="63">
        <v>45711</v>
      </c>
      <c r="D686" s="33" t="e">
        <f>VLOOKUP(B686,辅助信息!E:K,7,FALSE)</f>
        <v>#N/A</v>
      </c>
      <c r="E686" s="33" t="str">
        <f>VLOOKUP(F686,辅助信息!A:B,2,FALSE)</f>
        <v>高线</v>
      </c>
      <c r="F686" s="33" t="s">
        <v>51</v>
      </c>
      <c r="G686" s="29">
        <v>7</v>
      </c>
      <c r="H686" s="33" t="e">
        <f>_xlfn._xlws.FILTER('[1]2025年已发货'!$E:$E,'[1]2025年已发货'!$F:$F&amp;'[1]2025年已发货'!$C:$C&amp;'[1]2025年已发货'!$G:$G&amp;'[1]2025年已发货'!$H:$H=C686&amp;F686&amp;I686&amp;J686,"未发货")</f>
        <v>#N/A</v>
      </c>
      <c r="I686" s="33" t="e">
        <f>VLOOKUP(B686,辅助信息!E:I,3,FALSE)</f>
        <v>#N/A</v>
      </c>
      <c r="J686" s="33" t="e">
        <f>VLOOKUP(B686,辅助信息!E:I,4,FALSE)</f>
        <v>#N/A</v>
      </c>
      <c r="K686" s="33" t="e">
        <f>VLOOKUP(J686,辅助信息!H:I,2,FALSE)</f>
        <v>#N/A</v>
      </c>
      <c r="L686" s="36" t="e">
        <f>VLOOKUP(B686,辅助信息!E:J,6,FALSE)</f>
        <v>#N/A</v>
      </c>
      <c r="M686" s="88">
        <v>45714</v>
      </c>
      <c r="N686" s="50"/>
      <c r="O686" s="19">
        <f ca="1" t="shared" si="16"/>
        <v>0</v>
      </c>
      <c r="P686" s="55">
        <f ca="1" t="shared" si="17"/>
        <v>243</v>
      </c>
      <c r="Q686" s="19" t="e">
        <f>VLOOKUP(B686,辅助信息!E:M,9,FALSE)</f>
        <v>#N/A</v>
      </c>
      <c r="R686" s="19"/>
    </row>
    <row r="687" hidden="1" spans="2:18">
      <c r="B687" s="33" t="s">
        <v>63</v>
      </c>
      <c r="C687" s="63">
        <v>45711</v>
      </c>
      <c r="D687" s="33" t="e">
        <f>VLOOKUP(B687,辅助信息!E:K,7,FALSE)</f>
        <v>#N/A</v>
      </c>
      <c r="E687" s="33" t="str">
        <f>VLOOKUP(F687,辅助信息!A:B,2,FALSE)</f>
        <v>螺纹钢</v>
      </c>
      <c r="F687" s="33" t="s">
        <v>52</v>
      </c>
      <c r="G687" s="29">
        <v>30</v>
      </c>
      <c r="H687" s="33" t="e">
        <f>_xlfn._xlws.FILTER('[1]2025年已发货'!$E:$E,'[1]2025年已发货'!$F:$F&amp;'[1]2025年已发货'!$C:$C&amp;'[1]2025年已发货'!$G:$G&amp;'[1]2025年已发货'!$H:$H=C687&amp;F687&amp;I687&amp;J687,"未发货")</f>
        <v>#N/A</v>
      </c>
      <c r="I687" s="33" t="e">
        <f>VLOOKUP(B687,辅助信息!E:I,3,FALSE)</f>
        <v>#N/A</v>
      </c>
      <c r="J687" s="33" t="e">
        <f>VLOOKUP(B687,辅助信息!E:I,4,FALSE)</f>
        <v>#N/A</v>
      </c>
      <c r="K687" s="33" t="e">
        <f>VLOOKUP(J687,辅助信息!H:I,2,FALSE)</f>
        <v>#N/A</v>
      </c>
      <c r="L687" s="69"/>
      <c r="M687" s="88">
        <v>45714</v>
      </c>
      <c r="N687" s="50"/>
      <c r="O687" s="19">
        <f ca="1" t="shared" si="16"/>
        <v>0</v>
      </c>
      <c r="P687" s="55">
        <f ca="1" t="shared" si="17"/>
        <v>243</v>
      </c>
      <c r="Q687" s="19" t="e">
        <f>VLOOKUP(B687,辅助信息!E:M,9,FALSE)</f>
        <v>#N/A</v>
      </c>
      <c r="R687" s="19"/>
    </row>
    <row r="688" hidden="1" spans="2:18">
      <c r="B688" s="33" t="s">
        <v>75</v>
      </c>
      <c r="C688" s="63">
        <v>45711</v>
      </c>
      <c r="D688" s="33" t="e">
        <f>VLOOKUP(B688,辅助信息!E:K,7,FALSE)</f>
        <v>#N/A</v>
      </c>
      <c r="E688" s="33" t="str">
        <f>VLOOKUP(F688,辅助信息!A:B,2,FALSE)</f>
        <v>螺纹钢</v>
      </c>
      <c r="F688" s="33" t="s">
        <v>28</v>
      </c>
      <c r="G688" s="29">
        <v>15</v>
      </c>
      <c r="H688" s="33" t="e">
        <f>_xlfn._xlws.FILTER('[1]2025年已发货'!$E:$E,'[1]2025年已发货'!$F:$F&amp;'[1]2025年已发货'!$C:$C&amp;'[1]2025年已发货'!$G:$G&amp;'[1]2025年已发货'!$H:$H=C688&amp;F688&amp;I688&amp;J688,"未发货")</f>
        <v>#N/A</v>
      </c>
      <c r="I688" s="33" t="e">
        <f>VLOOKUP(B688,辅助信息!E:I,3,FALSE)</f>
        <v>#N/A</v>
      </c>
      <c r="J688" s="33" t="e">
        <f>VLOOKUP(B688,辅助信息!E:I,4,FALSE)</f>
        <v>#N/A</v>
      </c>
      <c r="K688" s="33" t="e">
        <f>VLOOKUP(J688,辅助信息!H:I,2,FALSE)</f>
        <v>#N/A</v>
      </c>
      <c r="L688" s="36" t="e">
        <f>VLOOKUP(B688,辅助信息!E:J,6,FALSE)</f>
        <v>#N/A</v>
      </c>
      <c r="M688" s="88">
        <v>45716</v>
      </c>
      <c r="N688" s="50"/>
      <c r="O688" s="19">
        <f ca="1" t="shared" si="16"/>
        <v>0</v>
      </c>
      <c r="P688" s="55">
        <f ca="1" t="shared" si="17"/>
        <v>241</v>
      </c>
      <c r="Q688" s="19" t="e">
        <f>VLOOKUP(B688,辅助信息!E:M,9,FALSE)</f>
        <v>#N/A</v>
      </c>
      <c r="R688" s="19"/>
    </row>
    <row r="689" hidden="1" spans="2:18">
      <c r="B689" s="33" t="s">
        <v>75</v>
      </c>
      <c r="C689" s="63">
        <v>45711</v>
      </c>
      <c r="D689" s="33" t="e">
        <f>VLOOKUP(B689,辅助信息!E:K,7,FALSE)</f>
        <v>#N/A</v>
      </c>
      <c r="E689" s="33" t="str">
        <f>VLOOKUP(F689,辅助信息!A:B,2,FALSE)</f>
        <v>螺纹钢</v>
      </c>
      <c r="F689" s="33" t="s">
        <v>18</v>
      </c>
      <c r="G689" s="29">
        <v>15</v>
      </c>
      <c r="H689" s="33" t="e">
        <f>_xlfn._xlws.FILTER('[1]2025年已发货'!$E:$E,'[1]2025年已发货'!$F:$F&amp;'[1]2025年已发货'!$C:$C&amp;'[1]2025年已发货'!$G:$G&amp;'[1]2025年已发货'!$H:$H=C689&amp;F689&amp;I689&amp;J689,"未发货")</f>
        <v>#N/A</v>
      </c>
      <c r="I689" s="33" t="e">
        <f>VLOOKUP(B689,辅助信息!E:I,3,FALSE)</f>
        <v>#N/A</v>
      </c>
      <c r="J689" s="33" t="e">
        <f>VLOOKUP(B689,辅助信息!E:I,4,FALSE)</f>
        <v>#N/A</v>
      </c>
      <c r="K689" s="33" t="e">
        <f>VLOOKUP(J689,辅助信息!H:I,2,FALSE)</f>
        <v>#N/A</v>
      </c>
      <c r="L689" s="71"/>
      <c r="M689" s="88">
        <v>45716</v>
      </c>
      <c r="N689" s="50"/>
      <c r="O689" s="19">
        <f ca="1" t="shared" si="16"/>
        <v>0</v>
      </c>
      <c r="P689" s="55">
        <f ca="1" t="shared" si="17"/>
        <v>241</v>
      </c>
      <c r="Q689" s="19" t="e">
        <f>VLOOKUP(B689,辅助信息!E:M,9,FALSE)</f>
        <v>#N/A</v>
      </c>
      <c r="R689" s="19"/>
    </row>
    <row r="690" hidden="1" spans="2:18">
      <c r="B690" s="33" t="s">
        <v>75</v>
      </c>
      <c r="C690" s="63">
        <v>45711</v>
      </c>
      <c r="D690" s="33" t="e">
        <f>VLOOKUP(B690,辅助信息!E:K,7,FALSE)</f>
        <v>#N/A</v>
      </c>
      <c r="E690" s="33" t="str">
        <f>VLOOKUP(F690,辅助信息!A:B,2,FALSE)</f>
        <v>螺纹钢</v>
      </c>
      <c r="F690" s="33" t="s">
        <v>65</v>
      </c>
      <c r="G690" s="29">
        <v>45</v>
      </c>
      <c r="H690" s="33" t="e">
        <f>_xlfn._xlws.FILTER('[1]2025年已发货'!$E:$E,'[1]2025年已发货'!$F:$F&amp;'[1]2025年已发货'!$C:$C&amp;'[1]2025年已发货'!$G:$G&amp;'[1]2025年已发货'!$H:$H=C690&amp;F690&amp;I690&amp;J690,"未发货")</f>
        <v>#N/A</v>
      </c>
      <c r="I690" s="33" t="e">
        <f>VLOOKUP(B690,辅助信息!E:I,3,FALSE)</f>
        <v>#N/A</v>
      </c>
      <c r="J690" s="33" t="e">
        <f>VLOOKUP(B690,辅助信息!E:I,4,FALSE)</f>
        <v>#N/A</v>
      </c>
      <c r="K690" s="33" t="e">
        <f>VLOOKUP(J690,辅助信息!H:I,2,FALSE)</f>
        <v>#N/A</v>
      </c>
      <c r="L690" s="71"/>
      <c r="M690" s="88">
        <v>45716</v>
      </c>
      <c r="N690" s="50"/>
      <c r="O690" s="19">
        <f ca="1" t="shared" ref="O690:O712" si="18">IF(OR(M690="",N690&lt;&gt;""),"",MAX(M690-TODAY(),0))</f>
        <v>0</v>
      </c>
      <c r="P690" s="55">
        <f ca="1" t="shared" ref="P690:P712" si="19">IF(M690="","",IF(N690&lt;&gt;"",MAX(N690-M690,0),IF(TODAY()&gt;M690,TODAY()-M690,0)))</f>
        <v>241</v>
      </c>
      <c r="Q690" s="19" t="e">
        <f>VLOOKUP(B690,辅助信息!E:M,9,FALSE)</f>
        <v>#N/A</v>
      </c>
      <c r="R690" s="19"/>
    </row>
    <row r="691" hidden="1" spans="2:18">
      <c r="B691" s="33" t="s">
        <v>75</v>
      </c>
      <c r="C691" s="63">
        <v>45711</v>
      </c>
      <c r="D691" s="33" t="e">
        <f>VLOOKUP(B691,辅助信息!E:K,7,FALSE)</f>
        <v>#N/A</v>
      </c>
      <c r="E691" s="33" t="str">
        <f>VLOOKUP(F691,辅助信息!A:B,2,FALSE)</f>
        <v>螺纹钢</v>
      </c>
      <c r="F691" s="33" t="s">
        <v>52</v>
      </c>
      <c r="G691" s="29">
        <v>30</v>
      </c>
      <c r="H691" s="33" t="e">
        <f>_xlfn._xlws.FILTER('[1]2025年已发货'!$E:$E,'[1]2025年已发货'!$F:$F&amp;'[1]2025年已发货'!$C:$C&amp;'[1]2025年已发货'!$G:$G&amp;'[1]2025年已发货'!$H:$H=C691&amp;F691&amp;I691&amp;J691,"未发货")</f>
        <v>#N/A</v>
      </c>
      <c r="I691" s="33" t="e">
        <f>VLOOKUP(B691,辅助信息!E:I,3,FALSE)</f>
        <v>#N/A</v>
      </c>
      <c r="J691" s="33" t="e">
        <f>VLOOKUP(B691,辅助信息!E:I,4,FALSE)</f>
        <v>#N/A</v>
      </c>
      <c r="K691" s="33" t="e">
        <f>VLOOKUP(J691,辅助信息!H:I,2,FALSE)</f>
        <v>#N/A</v>
      </c>
      <c r="L691" s="71"/>
      <c r="M691" s="88">
        <v>45716</v>
      </c>
      <c r="N691" s="50"/>
      <c r="O691" s="19">
        <f ca="1" t="shared" si="18"/>
        <v>0</v>
      </c>
      <c r="P691" s="55">
        <f ca="1" t="shared" si="19"/>
        <v>241</v>
      </c>
      <c r="Q691" s="19" t="e">
        <f>VLOOKUP(B691,辅助信息!E:M,9,FALSE)</f>
        <v>#N/A</v>
      </c>
      <c r="R691" s="19"/>
    </row>
    <row r="692" hidden="1" spans="2:18">
      <c r="B692" s="33" t="s">
        <v>75</v>
      </c>
      <c r="C692" s="63">
        <v>45711</v>
      </c>
      <c r="D692" s="33" t="e">
        <f>VLOOKUP(B692,辅助信息!E:K,7,FALSE)</f>
        <v>#N/A</v>
      </c>
      <c r="E692" s="33" t="str">
        <f>VLOOKUP(F692,辅助信息!A:B,2,FALSE)</f>
        <v>螺纹钢</v>
      </c>
      <c r="F692" s="33" t="s">
        <v>86</v>
      </c>
      <c r="G692" s="29">
        <v>30</v>
      </c>
      <c r="H692" s="33" t="e">
        <f>_xlfn._xlws.FILTER('[1]2025年已发货'!$E:$E,'[1]2025年已发货'!$F:$F&amp;'[1]2025年已发货'!$C:$C&amp;'[1]2025年已发货'!$G:$G&amp;'[1]2025年已发货'!$H:$H=C692&amp;F692&amp;I692&amp;J692,"未发货")</f>
        <v>#N/A</v>
      </c>
      <c r="I692" s="33" t="e">
        <f>VLOOKUP(B692,辅助信息!E:I,3,FALSE)</f>
        <v>#N/A</v>
      </c>
      <c r="J692" s="33" t="e">
        <f>VLOOKUP(B692,辅助信息!E:I,4,FALSE)</f>
        <v>#N/A</v>
      </c>
      <c r="K692" s="33" t="e">
        <f>VLOOKUP(J692,辅助信息!H:I,2,FALSE)</f>
        <v>#N/A</v>
      </c>
      <c r="L692" s="69"/>
      <c r="M692" s="88">
        <v>45716</v>
      </c>
      <c r="N692" s="50"/>
      <c r="O692" s="19">
        <f ca="1" t="shared" si="18"/>
        <v>0</v>
      </c>
      <c r="P692" s="55">
        <f ca="1" t="shared" si="19"/>
        <v>241</v>
      </c>
      <c r="Q692" s="19" t="e">
        <f>VLOOKUP(B692,辅助信息!E:M,9,FALSE)</f>
        <v>#N/A</v>
      </c>
      <c r="R692" s="19"/>
    </row>
    <row r="693" hidden="1" spans="2:18">
      <c r="B693" s="33" t="s">
        <v>25</v>
      </c>
      <c r="C693" s="63">
        <v>45713</v>
      </c>
      <c r="D693" s="33" t="e">
        <f>VLOOKUP(B693,辅助信息!E:K,7,FALSE)</f>
        <v>#N/A</v>
      </c>
      <c r="E693" s="33" t="str">
        <f>VLOOKUP(F693,辅助信息!A:B,2,FALSE)</f>
        <v>螺纹钢</v>
      </c>
      <c r="F693" s="33" t="s">
        <v>19</v>
      </c>
      <c r="G693" s="29">
        <v>8</v>
      </c>
      <c r="H693" s="29" t="e">
        <f>_xlfn._xlws.FILTER('[1]2025年已发货'!$E:$E,'[1]2025年已发货'!$F:$F&amp;'[1]2025年已发货'!$C:$C&amp;'[1]2025年已发货'!$G:$G&amp;'[1]2025年已发货'!$H:$H=C693&amp;F693&amp;I693&amp;J693,"未发货")</f>
        <v>#N/A</v>
      </c>
      <c r="I693" s="33" t="e">
        <f>VLOOKUP(B693,辅助信息!E:I,3,FALSE)</f>
        <v>#N/A</v>
      </c>
      <c r="J693" s="33" t="e">
        <f>VLOOKUP(B693,辅助信息!E:I,4,FALSE)</f>
        <v>#N/A</v>
      </c>
      <c r="K693" s="33" t="e">
        <f>VLOOKUP(J693,辅助信息!H:I,2,FALSE)</f>
        <v>#N/A</v>
      </c>
      <c r="L693" s="50" t="e">
        <f>VLOOKUP(B694,辅助信息!E:J,6,FALSE)</f>
        <v>#N/A</v>
      </c>
      <c r="M693" s="84">
        <v>45712</v>
      </c>
      <c r="O693" s="55">
        <f ca="1" t="shared" si="18"/>
        <v>0</v>
      </c>
      <c r="P693" s="55">
        <f ca="1" t="shared" si="19"/>
        <v>245</v>
      </c>
      <c r="Q693" s="19"/>
      <c r="R693" s="19"/>
    </row>
    <row r="694" hidden="1" spans="2:18">
      <c r="B694" s="33" t="s">
        <v>25</v>
      </c>
      <c r="C694" s="63">
        <v>45713</v>
      </c>
      <c r="D694" s="33" t="e">
        <f>VLOOKUP(B694,辅助信息!E:K,7,FALSE)</f>
        <v>#N/A</v>
      </c>
      <c r="E694" s="33" t="str">
        <f>VLOOKUP(F694,辅助信息!A:B,2,FALSE)</f>
        <v>螺纹钢</v>
      </c>
      <c r="F694" s="33" t="s">
        <v>32</v>
      </c>
      <c r="G694" s="29">
        <v>8</v>
      </c>
      <c r="H694" s="29" t="e">
        <f>_xlfn._xlws.FILTER('[1]2025年已发货'!$E:$E,'[1]2025年已发货'!$F:$F&amp;'[1]2025年已发货'!$C:$C&amp;'[1]2025年已发货'!$G:$G&amp;'[1]2025年已发货'!$H:$H=C694&amp;F694&amp;I694&amp;J694,"未发货")</f>
        <v>#N/A</v>
      </c>
      <c r="I694" s="33" t="e">
        <f>VLOOKUP(B694,辅助信息!E:I,3,FALSE)</f>
        <v>#N/A</v>
      </c>
      <c r="J694" s="33" t="e">
        <f>VLOOKUP(B694,辅助信息!E:I,4,FALSE)</f>
        <v>#N/A</v>
      </c>
      <c r="K694" s="33" t="e">
        <f>VLOOKUP(J694,辅助信息!H:I,2,FALSE)</f>
        <v>#N/A</v>
      </c>
      <c r="M694" s="84">
        <v>45712</v>
      </c>
      <c r="O694" s="55">
        <f ca="1" t="shared" si="18"/>
        <v>0</v>
      </c>
      <c r="P694" s="55">
        <f ca="1" t="shared" si="19"/>
        <v>245</v>
      </c>
      <c r="Q694" s="19" t="e">
        <f>VLOOKUP(B694,辅助信息!E:M,9,FALSE)</f>
        <v>#N/A</v>
      </c>
      <c r="R694" s="19"/>
    </row>
    <row r="695" hidden="1" spans="2:18">
      <c r="B695" s="33" t="s">
        <v>25</v>
      </c>
      <c r="C695" s="63">
        <v>45713</v>
      </c>
      <c r="D695" s="33" t="e">
        <f>VLOOKUP(B695,辅助信息!E:K,7,FALSE)</f>
        <v>#N/A</v>
      </c>
      <c r="E695" s="33" t="str">
        <f>VLOOKUP(F695,辅助信息!A:B,2,FALSE)</f>
        <v>螺纹钢</v>
      </c>
      <c r="F695" s="33" t="s">
        <v>65</v>
      </c>
      <c r="G695" s="29">
        <v>18</v>
      </c>
      <c r="H695" s="29" t="e">
        <f>_xlfn._xlws.FILTER('[1]2025年已发货'!$E:$E,'[1]2025年已发货'!$F:$F&amp;'[1]2025年已发货'!$C:$C&amp;'[1]2025年已发货'!$G:$G&amp;'[1]2025年已发货'!$H:$H=C695&amp;F695&amp;I695&amp;J695,"未发货")</f>
        <v>#N/A</v>
      </c>
      <c r="I695" s="33" t="e">
        <f>VLOOKUP(B695,辅助信息!E:I,3,FALSE)</f>
        <v>#N/A</v>
      </c>
      <c r="J695" s="33" t="e">
        <f>VLOOKUP(B695,辅助信息!E:I,4,FALSE)</f>
        <v>#N/A</v>
      </c>
      <c r="K695" s="33" t="e">
        <f>VLOOKUP(J695,辅助信息!H:I,2,FALSE)</f>
        <v>#N/A</v>
      </c>
      <c r="M695" s="84">
        <v>45712</v>
      </c>
      <c r="O695" s="55">
        <f ca="1" t="shared" si="18"/>
        <v>0</v>
      </c>
      <c r="P695" s="55">
        <f ca="1" t="shared" si="19"/>
        <v>245</v>
      </c>
      <c r="Q695" s="19" t="e">
        <f>VLOOKUP(B695,辅助信息!E:M,9,FALSE)</f>
        <v>#N/A</v>
      </c>
      <c r="R695" s="19"/>
    </row>
    <row r="696" hidden="1" spans="2:18">
      <c r="B696" s="33" t="s">
        <v>25</v>
      </c>
      <c r="C696" s="63">
        <v>45713</v>
      </c>
      <c r="D696" s="33" t="e">
        <f>VLOOKUP(B696,辅助信息!E:K,7,FALSE)</f>
        <v>#N/A</v>
      </c>
      <c r="E696" s="33" t="str">
        <f>VLOOKUP(F696,辅助信息!A:B,2,FALSE)</f>
        <v>螺纹钢</v>
      </c>
      <c r="F696" s="33" t="s">
        <v>52</v>
      </c>
      <c r="G696" s="29">
        <v>2</v>
      </c>
      <c r="H696" s="29" t="e">
        <f>_xlfn._xlws.FILTER('[1]2025年已发货'!$E:$E,'[1]2025年已发货'!$F:$F&amp;'[1]2025年已发货'!$C:$C&amp;'[1]2025年已发货'!$G:$G&amp;'[1]2025年已发货'!$H:$H=C696&amp;F696&amp;I696&amp;J696,"未发货")</f>
        <v>#N/A</v>
      </c>
      <c r="I696" s="33" t="e">
        <f>VLOOKUP(B696,辅助信息!E:I,3,FALSE)</f>
        <v>#N/A</v>
      </c>
      <c r="J696" s="33" t="e">
        <f>VLOOKUP(B696,辅助信息!E:I,4,FALSE)</f>
        <v>#N/A</v>
      </c>
      <c r="K696" s="33" t="e">
        <f>VLOOKUP(J696,辅助信息!H:I,2,FALSE)</f>
        <v>#N/A</v>
      </c>
      <c r="M696" s="84">
        <v>45712</v>
      </c>
      <c r="O696" s="55">
        <f ca="1" t="shared" si="18"/>
        <v>0</v>
      </c>
      <c r="P696" s="55">
        <f ca="1" t="shared" si="19"/>
        <v>245</v>
      </c>
      <c r="Q696" s="19" t="e">
        <f>VLOOKUP(B696,辅助信息!E:M,9,FALSE)</f>
        <v>#N/A</v>
      </c>
      <c r="R696" s="19"/>
    </row>
    <row r="697" hidden="1" spans="2:18">
      <c r="B697" s="33" t="s">
        <v>63</v>
      </c>
      <c r="C697" s="63">
        <v>45713</v>
      </c>
      <c r="D697" s="33" t="e">
        <f>VLOOKUP(B697,辅助信息!E:K,7,FALSE)</f>
        <v>#N/A</v>
      </c>
      <c r="E697" s="33" t="str">
        <f>VLOOKUP(F697,辅助信息!A:B,2,FALSE)</f>
        <v>高线</v>
      </c>
      <c r="F697" s="33" t="s">
        <v>51</v>
      </c>
      <c r="G697" s="29">
        <v>7</v>
      </c>
      <c r="H697" s="29" t="e">
        <f>_xlfn._xlws.FILTER('[1]2025年已发货'!$E:$E,'[1]2025年已发货'!$F:$F&amp;'[1]2025年已发货'!$C:$C&amp;'[1]2025年已发货'!$G:$G&amp;'[1]2025年已发货'!$H:$H=C697&amp;F697&amp;I697&amp;J697,"未发货")</f>
        <v>#N/A</v>
      </c>
      <c r="I697" s="33" t="e">
        <f>VLOOKUP(B697,辅助信息!E:I,3,FALSE)</f>
        <v>#N/A</v>
      </c>
      <c r="J697" s="33" t="e">
        <f>VLOOKUP(B697,辅助信息!E:I,4,FALSE)</f>
        <v>#N/A</v>
      </c>
      <c r="K697" s="33" t="e">
        <f>VLOOKUP(J697,辅助信息!H:I,2,FALSE)</f>
        <v>#N/A</v>
      </c>
      <c r="L697" s="50" t="e">
        <f>VLOOKUP(B697,辅助信息!E:J,6,FALSE)</f>
        <v>#N/A</v>
      </c>
      <c r="M697" s="84">
        <v>45714</v>
      </c>
      <c r="O697" s="55">
        <f ca="1" t="shared" si="18"/>
        <v>0</v>
      </c>
      <c r="P697" s="55">
        <f ca="1" t="shared" si="19"/>
        <v>243</v>
      </c>
      <c r="Q697" s="19" t="e">
        <f>VLOOKUP(B697,辅助信息!E:M,9,FALSE)</f>
        <v>#N/A</v>
      </c>
      <c r="R697" s="19"/>
    </row>
    <row r="698" hidden="1" spans="2:18">
      <c r="B698" s="33" t="s">
        <v>63</v>
      </c>
      <c r="C698" s="63">
        <v>45713</v>
      </c>
      <c r="D698" s="33" t="e">
        <f>VLOOKUP(B698,辅助信息!E:K,7,FALSE)</f>
        <v>#N/A</v>
      </c>
      <c r="E698" s="33" t="str">
        <f>VLOOKUP(F698,辅助信息!A:B,2,FALSE)</f>
        <v>螺纹钢</v>
      </c>
      <c r="F698" s="33" t="s">
        <v>52</v>
      </c>
      <c r="G698" s="29">
        <v>30</v>
      </c>
      <c r="H698" s="29" t="e">
        <f>_xlfn._xlws.FILTER('[1]2025年已发货'!$E:$E,'[1]2025年已发货'!$F:$F&amp;'[1]2025年已发货'!$C:$C&amp;'[1]2025年已发货'!$G:$G&amp;'[1]2025年已发货'!$H:$H=C698&amp;F698&amp;I698&amp;J698,"未发货")</f>
        <v>#N/A</v>
      </c>
      <c r="I698" s="33" t="e">
        <f>VLOOKUP(B698,辅助信息!E:I,3,FALSE)</f>
        <v>#N/A</v>
      </c>
      <c r="J698" s="33" t="e">
        <f>VLOOKUP(B698,辅助信息!E:I,4,FALSE)</f>
        <v>#N/A</v>
      </c>
      <c r="K698" s="33" t="e">
        <f>VLOOKUP(J698,辅助信息!H:I,2,FALSE)</f>
        <v>#N/A</v>
      </c>
      <c r="M698" s="84">
        <v>45714</v>
      </c>
      <c r="O698" s="55">
        <f ca="1" t="shared" si="18"/>
        <v>0</v>
      </c>
      <c r="P698" s="55">
        <f ca="1" t="shared" si="19"/>
        <v>243</v>
      </c>
      <c r="Q698" s="19" t="e">
        <f>VLOOKUP(B698,辅助信息!E:M,9,FALSE)</f>
        <v>#N/A</v>
      </c>
      <c r="R698" s="19"/>
    </row>
    <row r="699" hidden="1" spans="2:18">
      <c r="B699" s="33" t="s">
        <v>75</v>
      </c>
      <c r="C699" s="63">
        <v>45713</v>
      </c>
      <c r="D699" s="33" t="e">
        <f>VLOOKUP(B699,辅助信息!E:K,7,FALSE)</f>
        <v>#N/A</v>
      </c>
      <c r="E699" s="33" t="str">
        <f>VLOOKUP(F699,辅助信息!A:B,2,FALSE)</f>
        <v>螺纹钢</v>
      </c>
      <c r="F699" s="33" t="s">
        <v>65</v>
      </c>
      <c r="G699" s="29">
        <v>30</v>
      </c>
      <c r="H699" s="29" t="e">
        <f>_xlfn._xlws.FILTER('[1]2025年已发货'!$E:$E,'[1]2025年已发货'!$F:$F&amp;'[1]2025年已发货'!$C:$C&amp;'[1]2025年已发货'!$G:$G&amp;'[1]2025年已发货'!$H:$H=C699&amp;F699&amp;I699&amp;J699,"未发货")</f>
        <v>#N/A</v>
      </c>
      <c r="I699" s="33" t="e">
        <f>VLOOKUP(B699,辅助信息!E:I,3,FALSE)</f>
        <v>#N/A</v>
      </c>
      <c r="J699" s="33" t="e">
        <f>VLOOKUP(B699,辅助信息!E:I,4,FALSE)</f>
        <v>#N/A</v>
      </c>
      <c r="K699" s="33" t="e">
        <f>VLOOKUP(J699,辅助信息!H:I,2,FALSE)</f>
        <v>#N/A</v>
      </c>
      <c r="L699" s="50" t="e">
        <f>VLOOKUP(B699,辅助信息!E:J,6,FALSE)</f>
        <v>#N/A</v>
      </c>
      <c r="M699" s="84">
        <v>45716</v>
      </c>
      <c r="O699" s="55">
        <f ca="1" t="shared" si="18"/>
        <v>0</v>
      </c>
      <c r="P699" s="55">
        <f ca="1" t="shared" si="19"/>
        <v>241</v>
      </c>
      <c r="Q699" s="19" t="e">
        <f>VLOOKUP(B699,辅助信息!E:M,9,FALSE)</f>
        <v>#N/A</v>
      </c>
      <c r="R699" s="19"/>
    </row>
    <row r="700" hidden="1" spans="2:18">
      <c r="B700" s="33" t="s">
        <v>75</v>
      </c>
      <c r="C700" s="63">
        <v>45713</v>
      </c>
      <c r="D700" s="33" t="e">
        <f>VLOOKUP(B700,辅助信息!E:K,7,FALSE)</f>
        <v>#N/A</v>
      </c>
      <c r="E700" s="33" t="str">
        <f>VLOOKUP(F700,辅助信息!A:B,2,FALSE)</f>
        <v>螺纹钢</v>
      </c>
      <c r="F700" s="33" t="s">
        <v>52</v>
      </c>
      <c r="G700" s="29">
        <v>30</v>
      </c>
      <c r="H700" s="29" t="e">
        <f>_xlfn._xlws.FILTER('[1]2025年已发货'!$E:$E,'[1]2025年已发货'!$F:$F&amp;'[1]2025年已发货'!$C:$C&amp;'[1]2025年已发货'!$G:$G&amp;'[1]2025年已发货'!$H:$H=C700&amp;F700&amp;I700&amp;J700,"未发货")</f>
        <v>#N/A</v>
      </c>
      <c r="I700" s="33" t="e">
        <f>VLOOKUP(B700,辅助信息!E:I,3,FALSE)</f>
        <v>#N/A</v>
      </c>
      <c r="J700" s="33" t="e">
        <f>VLOOKUP(B700,辅助信息!E:I,4,FALSE)</f>
        <v>#N/A</v>
      </c>
      <c r="K700" s="33" t="e">
        <f>VLOOKUP(J700,辅助信息!H:I,2,FALSE)</f>
        <v>#N/A</v>
      </c>
      <c r="M700" s="84">
        <v>45716</v>
      </c>
      <c r="O700" s="55">
        <f ca="1" t="shared" si="18"/>
        <v>0</v>
      </c>
      <c r="P700" s="55">
        <f ca="1" t="shared" si="19"/>
        <v>241</v>
      </c>
      <c r="Q700" s="19" t="e">
        <f>VLOOKUP(B700,辅助信息!E:M,9,FALSE)</f>
        <v>#N/A</v>
      </c>
      <c r="R700" s="19"/>
    </row>
    <row r="701" hidden="1" spans="2:18">
      <c r="B701" s="76" t="s">
        <v>75</v>
      </c>
      <c r="C701" s="63">
        <v>45713</v>
      </c>
      <c r="D701" s="76" t="e">
        <f>VLOOKUP(B701,辅助信息!E:K,7,FALSE)</f>
        <v>#N/A</v>
      </c>
      <c r="E701" s="76" t="str">
        <f>VLOOKUP(F701,辅助信息!A:B,2,FALSE)</f>
        <v>螺纹钢</v>
      </c>
      <c r="F701" s="76" t="s">
        <v>86</v>
      </c>
      <c r="G701" s="78">
        <v>30</v>
      </c>
      <c r="H701" s="78" t="e">
        <f>_xlfn._xlws.FILTER('[1]2025年已发货'!$E:$E,'[1]2025年已发货'!$F:$F&amp;'[1]2025年已发货'!$C:$C&amp;'[1]2025年已发货'!$G:$G&amp;'[1]2025年已发货'!$H:$H=C701&amp;F701&amp;I701&amp;J701,"未发货")</f>
        <v>#N/A</v>
      </c>
      <c r="I701" s="76" t="e">
        <f>VLOOKUP(B701,辅助信息!E:I,3,FALSE)</f>
        <v>#N/A</v>
      </c>
      <c r="J701" s="76" t="e">
        <f>VLOOKUP(B701,辅助信息!E:I,4,FALSE)</f>
        <v>#N/A</v>
      </c>
      <c r="K701" s="76" t="e">
        <f>VLOOKUP(J701,辅助信息!H:I,2,FALSE)</f>
        <v>#N/A</v>
      </c>
      <c r="M701" s="84">
        <v>45716</v>
      </c>
      <c r="O701" s="55">
        <f ca="1" t="shared" si="18"/>
        <v>0</v>
      </c>
      <c r="P701" s="55">
        <f ca="1" t="shared" si="19"/>
        <v>241</v>
      </c>
      <c r="Q701" s="19" t="e">
        <f>VLOOKUP(B701,辅助信息!E:M,9,FALSE)</f>
        <v>#N/A</v>
      </c>
      <c r="R701" s="19"/>
    </row>
    <row r="702" hidden="1" spans="1:18">
      <c r="A702" s="75" t="s">
        <v>96</v>
      </c>
      <c r="B702" s="33" t="s">
        <v>43</v>
      </c>
      <c r="C702" s="63">
        <v>45713</v>
      </c>
      <c r="D702" s="33" t="str">
        <f>VLOOKUP(B702,辅助信息!E:K,7,FALSE)</f>
        <v>JWDDCD2024101600090</v>
      </c>
      <c r="E702" s="33" t="str">
        <f>VLOOKUP(F702,辅助信息!A:B,2,FALSE)</f>
        <v>盘螺</v>
      </c>
      <c r="F702" s="33" t="s">
        <v>49</v>
      </c>
      <c r="G702" s="29">
        <v>12</v>
      </c>
      <c r="H702" s="29">
        <f>_xlfn._xlws.FILTER('[1]2025年已发货'!$E:$E,'[1]2025年已发货'!$F:$F&amp;'[1]2025年已发货'!$C:$C&amp;'[1]2025年已发货'!$G:$G&amp;'[1]2025年已发货'!$H:$H=C702&amp;F702&amp;I702&amp;J702,"未发货")</f>
        <v>12</v>
      </c>
      <c r="I702" s="33" t="str">
        <f>VLOOKUP(B702,辅助信息!E:I,3,FALSE)</f>
        <v>（达州市公共卫生医疗中心项目-二标-3号楼）达州市通川区西外复兴镇公共卫生临床医疗中心项目</v>
      </c>
      <c r="J702" s="33" t="str">
        <f>VLOOKUP(B702,辅助信息!E:I,4,FALSE)</f>
        <v>黄永林</v>
      </c>
      <c r="K702" s="33">
        <f>VLOOKUP(J702,辅助信息!H:I,2,FALSE)</f>
        <v>15982487227</v>
      </c>
      <c r="L702" s="70" t="str">
        <f>VLOOKUP(B702,辅助信息!E:J,6,FALSE)</f>
        <v>提前联系到场规格,一天到场车辆不低于2车</v>
      </c>
      <c r="M702" s="84">
        <v>45714</v>
      </c>
      <c r="O702" s="55">
        <f ca="1" t="shared" si="18"/>
        <v>0</v>
      </c>
      <c r="P702" s="55">
        <f ca="1" t="shared" si="19"/>
        <v>243</v>
      </c>
      <c r="Q702" s="19"/>
      <c r="R702" s="19"/>
    </row>
    <row r="703" hidden="1" spans="1:18">
      <c r="A703" s="71"/>
      <c r="B703" s="33" t="s">
        <v>43</v>
      </c>
      <c r="C703" s="63">
        <v>45713</v>
      </c>
      <c r="D703" s="33" t="str">
        <f>VLOOKUP(B703,辅助信息!E:K,7,FALSE)</f>
        <v>JWDDCD2024101600090</v>
      </c>
      <c r="E703" s="33" t="str">
        <f>VLOOKUP(F703,辅助信息!A:B,2,FALSE)</f>
        <v>盘螺</v>
      </c>
      <c r="F703" s="33" t="s">
        <v>40</v>
      </c>
      <c r="G703" s="29">
        <v>9</v>
      </c>
      <c r="H703" s="29">
        <f>_xlfn._xlws.FILTER('[1]2025年已发货'!$E:$E,'[1]2025年已发货'!$F:$F&amp;'[1]2025年已发货'!$C:$C&amp;'[1]2025年已发货'!$G:$G&amp;'[1]2025年已发货'!$H:$H=C703&amp;F703&amp;I703&amp;J703,"未发货")</f>
        <v>9</v>
      </c>
      <c r="I703" s="33" t="str">
        <f>VLOOKUP(B703,辅助信息!E:I,3,FALSE)</f>
        <v>（达州市公共卫生医疗中心项目-二标-3号楼）达州市通川区西外复兴镇公共卫生临床医疗中心项目</v>
      </c>
      <c r="J703" s="33" t="str">
        <f>VLOOKUP(B703,辅助信息!E:I,4,FALSE)</f>
        <v>黄永林</v>
      </c>
      <c r="K703" s="33">
        <f>VLOOKUP(J703,辅助信息!H:I,2,FALSE)</f>
        <v>15982487227</v>
      </c>
      <c r="L703" s="71"/>
      <c r="M703" s="84">
        <v>45714</v>
      </c>
      <c r="O703" s="55">
        <f ca="1" t="shared" si="18"/>
        <v>0</v>
      </c>
      <c r="P703" s="55">
        <f ca="1" t="shared" si="19"/>
        <v>243</v>
      </c>
      <c r="Q703" s="19"/>
      <c r="R703" s="19"/>
    </row>
    <row r="704" hidden="1" spans="1:18">
      <c r="A704" s="71"/>
      <c r="B704" s="33" t="s">
        <v>43</v>
      </c>
      <c r="C704" s="63">
        <v>45713</v>
      </c>
      <c r="D704" s="33" t="str">
        <f>VLOOKUP(B704,辅助信息!E:K,7,FALSE)</f>
        <v>JWDDCD2024101600090</v>
      </c>
      <c r="E704" s="33" t="str">
        <f>VLOOKUP(F704,辅助信息!A:B,2,FALSE)</f>
        <v>螺纹钢</v>
      </c>
      <c r="F704" s="33" t="s">
        <v>27</v>
      </c>
      <c r="G704" s="29">
        <v>25</v>
      </c>
      <c r="H704" s="29">
        <f>_xlfn._xlws.FILTER('[1]2025年已发货'!$E:$E,'[1]2025年已发货'!$F:$F&amp;'[1]2025年已发货'!$C:$C&amp;'[1]2025年已发货'!$G:$G&amp;'[1]2025年已发货'!$H:$H=C704&amp;F704&amp;I704&amp;J704,"未发货")</f>
        <v>25</v>
      </c>
      <c r="I704" s="33" t="str">
        <f>VLOOKUP(B704,辅助信息!E:I,3,FALSE)</f>
        <v>（达州市公共卫生医疗中心项目-二标-3号楼）达州市通川区西外复兴镇公共卫生临床医疗中心项目</v>
      </c>
      <c r="J704" s="33" t="str">
        <f>VLOOKUP(B704,辅助信息!E:I,4,FALSE)</f>
        <v>黄永林</v>
      </c>
      <c r="K704" s="33">
        <f>VLOOKUP(J704,辅助信息!H:I,2,FALSE)</f>
        <v>15982487227</v>
      </c>
      <c r="L704" s="71"/>
      <c r="M704" s="84">
        <v>45714</v>
      </c>
      <c r="O704" s="55">
        <f ca="1" t="shared" si="18"/>
        <v>0</v>
      </c>
      <c r="P704" s="55">
        <f ca="1" t="shared" si="19"/>
        <v>243</v>
      </c>
      <c r="Q704" s="19"/>
      <c r="R704" s="19"/>
    </row>
    <row r="705" hidden="1" spans="1:18">
      <c r="A705" s="71"/>
      <c r="B705" s="33" t="s">
        <v>104</v>
      </c>
      <c r="C705" s="63">
        <v>45713</v>
      </c>
      <c r="D705" s="33" t="str">
        <f>VLOOKUP(B705,辅助信息!E:K,7,FALSE)</f>
        <v>JWDDCD2024101600090</v>
      </c>
      <c r="E705" s="33" t="str">
        <f>VLOOKUP(F705,辅助信息!A:B,2,FALSE)</f>
        <v>盘螺</v>
      </c>
      <c r="F705" s="33" t="s">
        <v>40</v>
      </c>
      <c r="G705" s="29">
        <v>7</v>
      </c>
      <c r="H705" s="29">
        <f>_xlfn._xlws.FILTER('[1]2025年已发货'!$E:$E,'[1]2025年已发货'!$F:$F&amp;'[1]2025年已发货'!$C:$C&amp;'[1]2025年已发货'!$G:$G&amp;'[1]2025年已发货'!$H:$H=C705&amp;F705&amp;I705&amp;J705,"未发货")</f>
        <v>7</v>
      </c>
      <c r="I705" s="33" t="str">
        <f>VLOOKUP(B705,辅助信息!E:I,3,FALSE)</f>
        <v>（达州市公共卫生医疗中心项目-二标-78号楼）达州市通川区西外复兴镇公共卫生临床医疗中心项目</v>
      </c>
      <c r="J705" s="33" t="str">
        <f>VLOOKUP(B705,辅助信息!E:I,4,FALSE)</f>
        <v>黄永林</v>
      </c>
      <c r="K705" s="33">
        <f>VLOOKUP(J705,辅助信息!H:I,2,FALSE)</f>
        <v>15982487227</v>
      </c>
      <c r="L705" s="71"/>
      <c r="M705" s="84">
        <v>45714</v>
      </c>
      <c r="O705" s="55">
        <f ca="1" t="shared" si="18"/>
        <v>0</v>
      </c>
      <c r="P705" s="55">
        <f ca="1" t="shared" si="19"/>
        <v>243</v>
      </c>
      <c r="Q705" s="19"/>
      <c r="R705" s="19"/>
    </row>
    <row r="706" hidden="1" spans="1:18">
      <c r="A706" s="71"/>
      <c r="B706" s="33" t="s">
        <v>104</v>
      </c>
      <c r="C706" s="63">
        <v>45713</v>
      </c>
      <c r="D706" s="33" t="str">
        <f>VLOOKUP(B706,辅助信息!E:K,7,FALSE)</f>
        <v>JWDDCD2024101600090</v>
      </c>
      <c r="E706" s="33" t="str">
        <f>VLOOKUP(F706,辅助信息!A:B,2,FALSE)</f>
        <v>盘螺</v>
      </c>
      <c r="F706" s="33" t="s">
        <v>41</v>
      </c>
      <c r="G706" s="29">
        <v>4</v>
      </c>
      <c r="H706" s="29">
        <f>_xlfn._xlws.FILTER('[1]2025年已发货'!$E:$E,'[1]2025年已发货'!$F:$F&amp;'[1]2025年已发货'!$C:$C&amp;'[1]2025年已发货'!$G:$G&amp;'[1]2025年已发货'!$H:$H=C706&amp;F706&amp;I706&amp;J706,"未发货")</f>
        <v>4</v>
      </c>
      <c r="I706" s="33" t="str">
        <f>VLOOKUP(B706,辅助信息!E:I,3,FALSE)</f>
        <v>（达州市公共卫生医疗中心项目-二标-78号楼）达州市通川区西外复兴镇公共卫生临床医疗中心项目</v>
      </c>
      <c r="J706" s="33" t="str">
        <f>VLOOKUP(B706,辅助信息!E:I,4,FALSE)</f>
        <v>黄永林</v>
      </c>
      <c r="K706" s="33">
        <f>VLOOKUP(J706,辅助信息!H:I,2,FALSE)</f>
        <v>15982487227</v>
      </c>
      <c r="L706" s="71"/>
      <c r="M706" s="84">
        <v>45714</v>
      </c>
      <c r="O706" s="55">
        <f ca="1" t="shared" si="18"/>
        <v>0</v>
      </c>
      <c r="P706" s="55">
        <f ca="1" t="shared" si="19"/>
        <v>243</v>
      </c>
      <c r="Q706" s="19"/>
      <c r="R706" s="19"/>
    </row>
    <row r="707" hidden="1" spans="1:18">
      <c r="A707" s="69"/>
      <c r="B707" s="33" t="s">
        <v>104</v>
      </c>
      <c r="C707" s="63">
        <v>45713</v>
      </c>
      <c r="D707" s="33" t="str">
        <f>VLOOKUP(B707,辅助信息!E:K,7,FALSE)</f>
        <v>JWDDCD2024101600090</v>
      </c>
      <c r="E707" s="33" t="str">
        <f>VLOOKUP(F707,辅助信息!A:B,2,FALSE)</f>
        <v>螺纹钢</v>
      </c>
      <c r="F707" s="33" t="s">
        <v>27</v>
      </c>
      <c r="G707" s="29">
        <v>18</v>
      </c>
      <c r="H707" s="29">
        <f>_xlfn._xlws.FILTER('[1]2025年已发货'!$E:$E,'[1]2025年已发货'!$F:$F&amp;'[1]2025年已发货'!$C:$C&amp;'[1]2025年已发货'!$G:$G&amp;'[1]2025年已发货'!$H:$H=C707&amp;F707&amp;I707&amp;J707,"未发货")</f>
        <v>18</v>
      </c>
      <c r="I707" s="33" t="str">
        <f>VLOOKUP(B707,辅助信息!E:I,3,FALSE)</f>
        <v>（达州市公共卫生医疗中心项目-二标-78号楼）达州市通川区西外复兴镇公共卫生临床医疗中心项目</v>
      </c>
      <c r="J707" s="33" t="str">
        <f>VLOOKUP(B707,辅助信息!E:I,4,FALSE)</f>
        <v>黄永林</v>
      </c>
      <c r="K707" s="33">
        <f>VLOOKUP(J707,辅助信息!H:I,2,FALSE)</f>
        <v>15982487227</v>
      </c>
      <c r="L707" s="69"/>
      <c r="M707" s="84">
        <v>45714</v>
      </c>
      <c r="O707" s="55">
        <f ca="1" t="shared" si="18"/>
        <v>0</v>
      </c>
      <c r="P707" s="55">
        <f ca="1" t="shared" si="19"/>
        <v>243</v>
      </c>
      <c r="Q707" s="19"/>
      <c r="R707" s="19"/>
    </row>
    <row r="708" hidden="1" spans="1:18">
      <c r="A708" s="92" t="s">
        <v>105</v>
      </c>
      <c r="B708" s="33" t="s">
        <v>99</v>
      </c>
      <c r="C708" s="63">
        <v>45713</v>
      </c>
      <c r="D708" s="33" t="e">
        <f>VLOOKUP(B708,辅助信息!E:K,7,FALSE)</f>
        <v>#N/A</v>
      </c>
      <c r="E708" s="33" t="str">
        <f>VLOOKUP(F708,辅助信息!A:B,2,FALSE)</f>
        <v>高线</v>
      </c>
      <c r="F708" s="33" t="s">
        <v>53</v>
      </c>
      <c r="G708" s="33">
        <v>2.5</v>
      </c>
      <c r="H708" s="33" t="e">
        <f>_xlfn._xlws.FILTER('[1]2025年已发货'!$E:$E,'[1]2025年已发货'!$F:$F&amp;'[1]2025年已发货'!$C:$C&amp;'[1]2025年已发货'!$G:$G&amp;'[1]2025年已发货'!$H:$H=C708&amp;F708&amp;I708&amp;J708,"未发货")</f>
        <v>#N/A</v>
      </c>
      <c r="I708" s="33" t="e">
        <f>VLOOKUP(B708,辅助信息!E:I,3,FALSE)</f>
        <v>#N/A</v>
      </c>
      <c r="J708" s="33" t="e">
        <f>VLOOKUP(B708,辅助信息!E:I,4,FALSE)</f>
        <v>#N/A</v>
      </c>
      <c r="K708" s="33" t="e">
        <f>VLOOKUP(J708,辅助信息!H:I,2,FALSE)</f>
        <v>#N/A</v>
      </c>
      <c r="L708" s="55" t="s">
        <v>34</v>
      </c>
      <c r="M708" s="88">
        <v>45709</v>
      </c>
      <c r="N708" s="19"/>
      <c r="O708" s="19">
        <f ca="1" t="shared" si="18"/>
        <v>0</v>
      </c>
      <c r="P708" s="19">
        <f ca="1" t="shared" si="19"/>
        <v>248</v>
      </c>
      <c r="Q708" s="19" t="e">
        <f>VLOOKUP(B708,辅助信息!E:M,9,FALSE)</f>
        <v>#N/A</v>
      </c>
      <c r="R708" s="19"/>
    </row>
    <row r="709" hidden="1" spans="1:18">
      <c r="A709" s="71"/>
      <c r="B709" s="33" t="s">
        <v>99</v>
      </c>
      <c r="C709" s="63">
        <v>45713</v>
      </c>
      <c r="D709" s="33" t="e">
        <f>VLOOKUP(B709,辅助信息!E:K,7,FALSE)</f>
        <v>#N/A</v>
      </c>
      <c r="E709" s="33" t="str">
        <f>VLOOKUP(F709,辅助信息!A:B,2,FALSE)</f>
        <v>高线</v>
      </c>
      <c r="F709" s="33" t="s">
        <v>51</v>
      </c>
      <c r="G709" s="33">
        <v>2.5</v>
      </c>
      <c r="H709" s="33" t="e">
        <f>_xlfn._xlws.FILTER('[1]2025年已发货'!$E:$E,'[1]2025年已发货'!$F:$F&amp;'[1]2025年已发货'!$C:$C&amp;'[1]2025年已发货'!$G:$G&amp;'[1]2025年已发货'!$H:$H=C709&amp;F709&amp;I709&amp;J709,"未发货")</f>
        <v>#N/A</v>
      </c>
      <c r="I709" s="33" t="e">
        <f>VLOOKUP(B709,辅助信息!E:I,3,FALSE)</f>
        <v>#N/A</v>
      </c>
      <c r="J709" s="33" t="e">
        <f>VLOOKUP(B709,辅助信息!E:I,4,FALSE)</f>
        <v>#N/A</v>
      </c>
      <c r="K709" s="33" t="e">
        <f>VLOOKUP(J709,辅助信息!H:I,2,FALSE)</f>
        <v>#N/A</v>
      </c>
      <c r="L709" s="19"/>
      <c r="M709" s="88">
        <v>45709</v>
      </c>
      <c r="N709" s="19"/>
      <c r="O709" s="19">
        <f ca="1" t="shared" si="18"/>
        <v>0</v>
      </c>
      <c r="P709" s="19">
        <f ca="1" t="shared" si="19"/>
        <v>248</v>
      </c>
      <c r="Q709" s="19" t="e">
        <f>VLOOKUP(B709,辅助信息!E:M,9,FALSE)</f>
        <v>#N/A</v>
      </c>
      <c r="R709" s="19"/>
    </row>
    <row r="710" hidden="1" spans="1:18">
      <c r="A710" s="71"/>
      <c r="B710" s="33" t="s">
        <v>99</v>
      </c>
      <c r="C710" s="63">
        <v>45713</v>
      </c>
      <c r="D710" s="33" t="e">
        <f>VLOOKUP(B710,辅助信息!E:K,7,FALSE)</f>
        <v>#N/A</v>
      </c>
      <c r="E710" s="33" t="str">
        <f>VLOOKUP(F710,辅助信息!A:B,2,FALSE)</f>
        <v>螺纹钢</v>
      </c>
      <c r="F710" s="33" t="s">
        <v>27</v>
      </c>
      <c r="G710" s="33">
        <v>17</v>
      </c>
      <c r="H710" s="33" t="e">
        <f>_xlfn._xlws.FILTER('[1]2025年已发货'!$E:$E,'[1]2025年已发货'!$F:$F&amp;'[1]2025年已发货'!$C:$C&amp;'[1]2025年已发货'!$G:$G&amp;'[1]2025年已发货'!$H:$H=C710&amp;F710&amp;I710&amp;J710,"未发货")</f>
        <v>#N/A</v>
      </c>
      <c r="I710" s="33" t="e">
        <f>VLOOKUP(B710,辅助信息!E:I,3,FALSE)</f>
        <v>#N/A</v>
      </c>
      <c r="J710" s="33" t="e">
        <f>VLOOKUP(B710,辅助信息!E:I,4,FALSE)</f>
        <v>#N/A</v>
      </c>
      <c r="K710" s="33" t="e">
        <f>VLOOKUP(J710,辅助信息!H:I,2,FALSE)</f>
        <v>#N/A</v>
      </c>
      <c r="L710" s="19"/>
      <c r="M710" s="88">
        <v>45709</v>
      </c>
      <c r="N710" s="19"/>
      <c r="O710" s="19">
        <f ca="1" t="shared" si="18"/>
        <v>0</v>
      </c>
      <c r="P710" s="19">
        <f ca="1" t="shared" si="19"/>
        <v>248</v>
      </c>
      <c r="Q710" s="19" t="e">
        <f>VLOOKUP(B710,辅助信息!E:M,9,FALSE)</f>
        <v>#N/A</v>
      </c>
      <c r="R710" s="19"/>
    </row>
    <row r="711" hidden="1" spans="1:18">
      <c r="A711" s="71"/>
      <c r="B711" s="33" t="s">
        <v>99</v>
      </c>
      <c r="C711" s="63">
        <v>45713</v>
      </c>
      <c r="D711" s="33" t="e">
        <f>VLOOKUP(B711,辅助信息!E:K,7,FALSE)</f>
        <v>#N/A</v>
      </c>
      <c r="E711" s="33" t="str">
        <f>VLOOKUP(F711,辅助信息!A:B,2,FALSE)</f>
        <v>螺纹钢</v>
      </c>
      <c r="F711" s="33" t="s">
        <v>19</v>
      </c>
      <c r="G711" s="33">
        <v>10</v>
      </c>
      <c r="H711" s="33" t="e">
        <f>_xlfn._xlws.FILTER('[1]2025年已发货'!$E:$E,'[1]2025年已发货'!$F:$F&amp;'[1]2025年已发货'!$C:$C&amp;'[1]2025年已发货'!$G:$G&amp;'[1]2025年已发货'!$H:$H=C711&amp;F711&amp;I711&amp;J711,"未发货")</f>
        <v>#N/A</v>
      </c>
      <c r="I711" s="33" t="e">
        <f>VLOOKUP(B711,辅助信息!E:I,3,FALSE)</f>
        <v>#N/A</v>
      </c>
      <c r="J711" s="33" t="e">
        <f>VLOOKUP(B711,辅助信息!E:I,4,FALSE)</f>
        <v>#N/A</v>
      </c>
      <c r="K711" s="33" t="e">
        <f>VLOOKUP(J711,辅助信息!H:I,2,FALSE)</f>
        <v>#N/A</v>
      </c>
      <c r="L711" s="19"/>
      <c r="M711" s="88">
        <v>45709</v>
      </c>
      <c r="N711" s="19"/>
      <c r="O711" s="19">
        <f ca="1" t="shared" si="18"/>
        <v>0</v>
      </c>
      <c r="P711" s="19">
        <f ca="1" t="shared" si="19"/>
        <v>248</v>
      </c>
      <c r="Q711" s="19" t="e">
        <f>VLOOKUP(B711,辅助信息!E:M,9,FALSE)</f>
        <v>#N/A</v>
      </c>
      <c r="R711" s="19"/>
    </row>
    <row r="712" hidden="1" spans="1:18">
      <c r="A712" s="69"/>
      <c r="B712" s="33" t="s">
        <v>99</v>
      </c>
      <c r="C712" s="63">
        <v>45713</v>
      </c>
      <c r="D712" s="33" t="e">
        <f>VLOOKUP(B712,辅助信息!E:K,7,FALSE)</f>
        <v>#N/A</v>
      </c>
      <c r="E712" s="33" t="str">
        <f>VLOOKUP(F712,辅助信息!A:B,2,FALSE)</f>
        <v>螺纹钢</v>
      </c>
      <c r="F712" s="33" t="s">
        <v>32</v>
      </c>
      <c r="G712" s="33">
        <v>3</v>
      </c>
      <c r="H712" s="33" t="e">
        <f>_xlfn._xlws.FILTER('[1]2025年已发货'!$E:$E,'[1]2025年已发货'!$F:$F&amp;'[1]2025年已发货'!$C:$C&amp;'[1]2025年已发货'!$G:$G&amp;'[1]2025年已发货'!$H:$H=C712&amp;F712&amp;I712&amp;J712,"未发货")</f>
        <v>#N/A</v>
      </c>
      <c r="I712" s="33" t="e">
        <f>VLOOKUP(B712,辅助信息!E:I,3,FALSE)</f>
        <v>#N/A</v>
      </c>
      <c r="J712" s="33" t="e">
        <f>VLOOKUP(B712,辅助信息!E:I,4,FALSE)</f>
        <v>#N/A</v>
      </c>
      <c r="K712" s="33" t="e">
        <f>VLOOKUP(J712,辅助信息!H:I,2,FALSE)</f>
        <v>#N/A</v>
      </c>
      <c r="L712" s="19"/>
      <c r="M712" s="88">
        <v>45709</v>
      </c>
      <c r="N712" s="19"/>
      <c r="O712" s="19">
        <f ca="1" t="shared" si="18"/>
        <v>0</v>
      </c>
      <c r="P712" s="19">
        <f ca="1" t="shared" si="19"/>
        <v>248</v>
      </c>
      <c r="Q712" s="19" t="e">
        <f>VLOOKUP(B712,辅助信息!E:M,9,FALSE)</f>
        <v>#N/A</v>
      </c>
      <c r="R712" s="19"/>
    </row>
    <row r="713" hidden="1" spans="2:18">
      <c r="B713" s="33" t="s">
        <v>79</v>
      </c>
      <c r="C713" s="63">
        <v>45713</v>
      </c>
      <c r="D713" s="33" t="e">
        <f>VLOOKUP(B713,辅助信息!E:K,7,FALSE)</f>
        <v>#N/A</v>
      </c>
      <c r="E713" s="33" t="str">
        <f>VLOOKUP(F713,辅助信息!A:B,2,FALSE)</f>
        <v>盘螺</v>
      </c>
      <c r="F713" s="33" t="s">
        <v>40</v>
      </c>
      <c r="G713" s="29">
        <v>2</v>
      </c>
      <c r="H713" s="33" t="e">
        <f>_xlfn._xlws.FILTER('[1]2025年已发货'!$E:$E,'[1]2025年已发货'!$F:$F&amp;'[1]2025年已发货'!$C:$C&amp;'[1]2025年已发货'!$G:$G&amp;'[1]2025年已发货'!$H:$H=C713&amp;F713&amp;I713&amp;J713,"未发货")</f>
        <v>#N/A</v>
      </c>
      <c r="I713" s="33" t="e">
        <f>VLOOKUP(B713,辅助信息!E:I,3,FALSE)</f>
        <v>#N/A</v>
      </c>
      <c r="J713" s="33" t="e">
        <f>VLOOKUP(B713,辅助信息!E:I,4,FALSE)</f>
        <v>#N/A</v>
      </c>
      <c r="K713" s="33" t="e">
        <f>VLOOKUP(J713,辅助信息!H:I,2,FALSE)</f>
        <v>#N/A</v>
      </c>
      <c r="L713" s="50" t="e">
        <f>VLOOKUP(B713,辅助信息!E:J,6,FALSE)</f>
        <v>#N/A</v>
      </c>
      <c r="M713" s="50"/>
      <c r="N713" s="50"/>
      <c r="O713" s="50"/>
      <c r="P713" s="50"/>
      <c r="Q713" s="19"/>
      <c r="R713" s="19"/>
    </row>
    <row r="714" hidden="1" spans="2:18">
      <c r="B714" s="33" t="s">
        <v>79</v>
      </c>
      <c r="C714" s="63">
        <v>45713</v>
      </c>
      <c r="D714" s="33" t="e">
        <f>VLOOKUP(B714,辅助信息!E:K,7,FALSE)</f>
        <v>#N/A</v>
      </c>
      <c r="E714" s="33" t="str">
        <f>VLOOKUP(F714,辅助信息!A:B,2,FALSE)</f>
        <v>螺纹钢</v>
      </c>
      <c r="F714" s="33" t="s">
        <v>27</v>
      </c>
      <c r="G714" s="29">
        <v>3</v>
      </c>
      <c r="H714" s="33" t="e">
        <f>_xlfn._xlws.FILTER('[1]2025年已发货'!$E:$E,'[1]2025年已发货'!$F:$F&amp;'[1]2025年已发货'!$C:$C&amp;'[1]2025年已发货'!$G:$G&amp;'[1]2025年已发货'!$H:$H=C714&amp;F714&amp;I714&amp;J714,"未发货")</f>
        <v>#N/A</v>
      </c>
      <c r="I714" s="33" t="e">
        <f>VLOOKUP(B714,辅助信息!E:I,3,FALSE)</f>
        <v>#N/A</v>
      </c>
      <c r="J714" s="33" t="e">
        <f>VLOOKUP(B714,辅助信息!E:I,4,FALSE)</f>
        <v>#N/A</v>
      </c>
      <c r="K714" s="33" t="e">
        <f>VLOOKUP(J714,辅助信息!H:I,2,FALSE)</f>
        <v>#N/A</v>
      </c>
      <c r="M714" s="50"/>
      <c r="N714" s="50"/>
      <c r="O714" s="50"/>
      <c r="P714" s="50"/>
      <c r="Q714" s="19"/>
      <c r="R714" s="19"/>
    </row>
    <row r="715" hidden="1" spans="2:18">
      <c r="B715" s="33" t="s">
        <v>79</v>
      </c>
      <c r="C715" s="63">
        <v>45713</v>
      </c>
      <c r="D715" s="33" t="e">
        <f>VLOOKUP(B715,辅助信息!E:K,7,FALSE)</f>
        <v>#N/A</v>
      </c>
      <c r="E715" s="33" t="str">
        <f>VLOOKUP(F715,辅助信息!A:B,2,FALSE)</f>
        <v>螺纹钢</v>
      </c>
      <c r="F715" s="33" t="s">
        <v>32</v>
      </c>
      <c r="G715" s="29">
        <v>91</v>
      </c>
      <c r="H715" s="33" t="e">
        <f>_xlfn._xlws.FILTER('[1]2025年已发货'!$E:$E,'[1]2025年已发货'!$F:$F&amp;'[1]2025年已发货'!$C:$C&amp;'[1]2025年已发货'!$G:$G&amp;'[1]2025年已发货'!$H:$H=C715&amp;F715&amp;I715&amp;J715,"未发货")</f>
        <v>#N/A</v>
      </c>
      <c r="I715" s="33" t="e">
        <f>VLOOKUP(B715,辅助信息!E:I,3,FALSE)</f>
        <v>#N/A</v>
      </c>
      <c r="J715" s="33" t="e">
        <f>VLOOKUP(B715,辅助信息!E:I,4,FALSE)</f>
        <v>#N/A</v>
      </c>
      <c r="K715" s="33" t="e">
        <f>VLOOKUP(J715,辅助信息!H:I,2,FALSE)</f>
        <v>#N/A</v>
      </c>
      <c r="M715" s="50"/>
      <c r="N715" s="50"/>
      <c r="O715" s="50"/>
      <c r="P715" s="50"/>
      <c r="Q715" s="19"/>
      <c r="R715" s="19"/>
    </row>
    <row r="716" hidden="1" spans="2:18">
      <c r="B716" s="33" t="s">
        <v>79</v>
      </c>
      <c r="C716" s="63">
        <v>45713</v>
      </c>
      <c r="D716" s="33" t="e">
        <f>VLOOKUP(B716,辅助信息!E:K,7,FALSE)</f>
        <v>#N/A</v>
      </c>
      <c r="E716" s="33" t="str">
        <f>VLOOKUP(F716,辅助信息!A:B,2,FALSE)</f>
        <v>螺纹钢</v>
      </c>
      <c r="F716" s="33" t="s">
        <v>33</v>
      </c>
      <c r="G716" s="29">
        <v>22</v>
      </c>
      <c r="H716" s="33" t="e">
        <f>_xlfn._xlws.FILTER('[1]2025年已发货'!$E:$E,'[1]2025年已发货'!$F:$F&amp;'[1]2025年已发货'!$C:$C&amp;'[1]2025年已发货'!$G:$G&amp;'[1]2025年已发货'!$H:$H=C716&amp;F716&amp;I716&amp;J716,"未发货")</f>
        <v>#N/A</v>
      </c>
      <c r="I716" s="33" t="e">
        <f>VLOOKUP(B716,辅助信息!E:I,3,FALSE)</f>
        <v>#N/A</v>
      </c>
      <c r="J716" s="33" t="e">
        <f>VLOOKUP(B716,辅助信息!E:I,4,FALSE)</f>
        <v>#N/A</v>
      </c>
      <c r="K716" s="33" t="e">
        <f>VLOOKUP(J716,辅助信息!H:I,2,FALSE)</f>
        <v>#N/A</v>
      </c>
      <c r="M716" s="50"/>
      <c r="N716" s="50"/>
      <c r="O716" s="50"/>
      <c r="P716" s="50"/>
      <c r="Q716" s="19"/>
      <c r="R716" s="19"/>
    </row>
    <row r="717" hidden="1" spans="2:18">
      <c r="B717" s="76" t="s">
        <v>79</v>
      </c>
      <c r="C717" s="77">
        <v>45713</v>
      </c>
      <c r="D717" s="76" t="e">
        <f>VLOOKUP(B717,辅助信息!E:K,7,FALSE)</f>
        <v>#N/A</v>
      </c>
      <c r="E717" s="76" t="str">
        <f>VLOOKUP(F717,辅助信息!A:B,2,FALSE)</f>
        <v>螺纹钢</v>
      </c>
      <c r="F717" s="76" t="s">
        <v>18</v>
      </c>
      <c r="G717" s="78">
        <v>45</v>
      </c>
      <c r="H717" s="76" t="e">
        <f>_xlfn._xlws.FILTER('[1]2025年已发货'!$E:$E,'[1]2025年已发货'!$F:$F&amp;'[1]2025年已发货'!$C:$C&amp;'[1]2025年已发货'!$G:$G&amp;'[1]2025年已发货'!$H:$H=C717&amp;F717&amp;I717&amp;J717,"未发货")</f>
        <v>#N/A</v>
      </c>
      <c r="I717" s="76" t="e">
        <f>VLOOKUP(B717,辅助信息!E:I,3,FALSE)</f>
        <v>#N/A</v>
      </c>
      <c r="J717" s="76" t="e">
        <f>VLOOKUP(B717,辅助信息!E:I,4,FALSE)</f>
        <v>#N/A</v>
      </c>
      <c r="K717" s="76" t="e">
        <f>VLOOKUP(J717,辅助信息!H:I,2,FALSE)</f>
        <v>#N/A</v>
      </c>
      <c r="M717" s="50"/>
      <c r="N717" s="50"/>
      <c r="O717" s="50"/>
      <c r="P717" s="50"/>
      <c r="Q717" s="19"/>
      <c r="R717" s="19"/>
    </row>
    <row r="718" hidden="1" spans="2:18">
      <c r="B718" s="33" t="s">
        <v>75</v>
      </c>
      <c r="C718" s="63">
        <v>45714</v>
      </c>
      <c r="D718" s="33" t="e">
        <f>VLOOKUP(B718,辅助信息!E:K,7,FALSE)</f>
        <v>#N/A</v>
      </c>
      <c r="E718" s="33" t="str">
        <f>VLOOKUP(F718,辅助信息!A:B,2,FALSE)</f>
        <v>螺纹钢</v>
      </c>
      <c r="F718" s="33" t="s">
        <v>52</v>
      </c>
      <c r="G718" s="29">
        <v>35</v>
      </c>
      <c r="H718" s="29" t="e">
        <f>_xlfn._xlws.FILTER('[1]2025年已发货'!$E:$E,'[1]2025年已发货'!$F:$F&amp;'[1]2025年已发货'!$C:$C&amp;'[1]2025年已发货'!$G:$G&amp;'[1]2025年已发货'!$H:$H=C718&amp;F718&amp;I718&amp;J718,"未发货")</f>
        <v>#N/A</v>
      </c>
      <c r="I718" s="33" t="e">
        <f>VLOOKUP(B718,辅助信息!E:I,3,FALSE)</f>
        <v>#N/A</v>
      </c>
      <c r="J718" s="33" t="e">
        <f>VLOOKUP(B718,辅助信息!E:I,4,FALSE)</f>
        <v>#N/A</v>
      </c>
      <c r="K718" s="33" t="e">
        <f>VLOOKUP(J718,辅助信息!H:I,2,FALSE)</f>
        <v>#N/A</v>
      </c>
      <c r="L718" s="70"/>
      <c r="M718" s="93">
        <v>45716</v>
      </c>
      <c r="N718" s="50"/>
      <c r="O718" s="50">
        <f ca="1" t="shared" ref="O718:O781" si="20">IF(OR(M718="",N718&lt;&gt;""),"",MAX(M718-TODAY(),0))</f>
        <v>0</v>
      </c>
      <c r="P718" s="50">
        <f ca="1" t="shared" ref="P718:P781" si="21">IF(M718="","",IF(N718&lt;&gt;"",MAX(N718-M718,0),IF(TODAY()&gt;M718,TODAY()-M718,0)))</f>
        <v>241</v>
      </c>
      <c r="Q718" s="19" t="e">
        <f>VLOOKUP(B718,辅助信息!E:M,9,FALSE)</f>
        <v>#N/A</v>
      </c>
      <c r="R718" s="19"/>
    </row>
    <row r="719" hidden="1" spans="2:18">
      <c r="B719" s="33" t="s">
        <v>106</v>
      </c>
      <c r="C719" s="63">
        <v>45714</v>
      </c>
      <c r="D719" s="33" t="str">
        <f>VLOOKUP(B719,辅助信息!E:K,7,FALSE)</f>
        <v>JWDDCD2024101600133</v>
      </c>
      <c r="E719" s="33" t="str">
        <f>VLOOKUP(F719,辅助信息!A:B,2,FALSE)</f>
        <v>螺纹钢</v>
      </c>
      <c r="F719" s="33" t="s">
        <v>27</v>
      </c>
      <c r="G719" s="29">
        <v>3</v>
      </c>
      <c r="H719" s="29">
        <f>_xlfn._xlws.FILTER('[1]2025年已发货'!$E:$E,'[1]2025年已发货'!$F:$F&amp;'[1]2025年已发货'!$C:$C&amp;'[1]2025年已发货'!$G:$G&amp;'[1]2025年已发货'!$H:$H=C719&amp;F719&amp;I719&amp;J719,"未发货")</f>
        <v>3</v>
      </c>
      <c r="I719" s="33" t="str">
        <f>VLOOKUP(B719,辅助信息!E:I,3,FALSE)</f>
        <v>（五冶钢构宜宾高县月江镇建设项目）  四川省宜宾市高县月江镇刚记超市斜对面(还阳组团沪碳二期项目)</v>
      </c>
      <c r="J719" s="33" t="str">
        <f>VLOOKUP(B719,辅助信息!E:I,4,FALSE)</f>
        <v>张朝亮</v>
      </c>
      <c r="K719" s="33">
        <f>VLOOKUP(J719,辅助信息!H:I,2,FALSE)</f>
        <v>15228205853</v>
      </c>
      <c r="L719" s="70" t="str">
        <f>VLOOKUP(B719,辅助信息!E:J,6,FALSE)</f>
        <v>提前联系到场规格</v>
      </c>
      <c r="M719" s="93">
        <v>45716</v>
      </c>
      <c r="N719" s="50"/>
      <c r="O719" s="50">
        <f ca="1" t="shared" si="20"/>
        <v>0</v>
      </c>
      <c r="P719" s="50">
        <f ca="1" t="shared" si="21"/>
        <v>241</v>
      </c>
      <c r="Q719" s="19" t="str">
        <f>VLOOKUP(B719,辅助信息!E:M,9,FALSE)</f>
        <v>ZTWM-CDGS-XS-2024-0169-中冶西部钢构-宜宾市南溪区幸福路东路,高县月江镇建设项目</v>
      </c>
      <c r="R719" s="19"/>
    </row>
    <row r="720" hidden="1" spans="2:18">
      <c r="B720" s="33" t="s">
        <v>106</v>
      </c>
      <c r="C720" s="63">
        <v>45714</v>
      </c>
      <c r="D720" s="33" t="str">
        <f>VLOOKUP(B720,辅助信息!E:K,7,FALSE)</f>
        <v>JWDDCD2024101600133</v>
      </c>
      <c r="E720" s="33" t="str">
        <f>VLOOKUP(F720,辅助信息!A:B,2,FALSE)</f>
        <v>螺纹钢</v>
      </c>
      <c r="F720" s="33" t="s">
        <v>19</v>
      </c>
      <c r="G720" s="29">
        <v>3</v>
      </c>
      <c r="H720" s="29">
        <f>_xlfn._xlws.FILTER('[1]2025年已发货'!$E:$E,'[1]2025年已发货'!$F:$F&amp;'[1]2025年已发货'!$C:$C&amp;'[1]2025年已发货'!$G:$G&amp;'[1]2025年已发货'!$H:$H=C720&amp;F720&amp;I720&amp;J720,"未发货")</f>
        <v>3</v>
      </c>
      <c r="I720" s="33" t="str">
        <f>VLOOKUP(B720,辅助信息!E:I,3,FALSE)</f>
        <v>（五冶钢构宜宾高县月江镇建设项目）  四川省宜宾市高县月江镇刚记超市斜对面(还阳组团沪碳二期项目)</v>
      </c>
      <c r="J720" s="33" t="str">
        <f>VLOOKUP(B720,辅助信息!E:I,4,FALSE)</f>
        <v>张朝亮</v>
      </c>
      <c r="K720" s="33">
        <f>VLOOKUP(J720,辅助信息!H:I,2,FALSE)</f>
        <v>15228205853</v>
      </c>
      <c r="L720" s="71"/>
      <c r="M720" s="93">
        <v>45716</v>
      </c>
      <c r="N720" s="50"/>
      <c r="O720" s="50">
        <f ca="1" t="shared" si="20"/>
        <v>0</v>
      </c>
      <c r="P720" s="50">
        <f ca="1" t="shared" si="21"/>
        <v>241</v>
      </c>
      <c r="Q720" s="19" t="str">
        <f>VLOOKUP(B720,辅助信息!E:M,9,FALSE)</f>
        <v>ZTWM-CDGS-XS-2024-0169-中冶西部钢构-宜宾市南溪区幸福路东路,高县月江镇建设项目</v>
      </c>
      <c r="R720" s="19"/>
    </row>
    <row r="721" hidden="1" spans="2:18">
      <c r="B721" s="33" t="s">
        <v>106</v>
      </c>
      <c r="C721" s="63">
        <v>45714</v>
      </c>
      <c r="D721" s="33" t="str">
        <f>VLOOKUP(B721,辅助信息!E:K,7,FALSE)</f>
        <v>JWDDCD2024101600133</v>
      </c>
      <c r="E721" s="33" t="str">
        <f>VLOOKUP(F721,辅助信息!A:B,2,FALSE)</f>
        <v>螺纹钢</v>
      </c>
      <c r="F721" s="33" t="s">
        <v>32</v>
      </c>
      <c r="G721" s="29">
        <v>3</v>
      </c>
      <c r="H721" s="29">
        <f>_xlfn._xlws.FILTER('[1]2025年已发货'!$E:$E,'[1]2025年已发货'!$F:$F&amp;'[1]2025年已发货'!$C:$C&amp;'[1]2025年已发货'!$G:$G&amp;'[1]2025年已发货'!$H:$H=C721&amp;F721&amp;I721&amp;J721,"未发货")</f>
        <v>3</v>
      </c>
      <c r="I721" s="33" t="str">
        <f>VLOOKUP(B721,辅助信息!E:I,3,FALSE)</f>
        <v>（五冶钢构宜宾高县月江镇建设项目）  四川省宜宾市高县月江镇刚记超市斜对面(还阳组团沪碳二期项目)</v>
      </c>
      <c r="J721" s="33" t="str">
        <f>VLOOKUP(B721,辅助信息!E:I,4,FALSE)</f>
        <v>张朝亮</v>
      </c>
      <c r="K721" s="33">
        <f>VLOOKUP(J721,辅助信息!H:I,2,FALSE)</f>
        <v>15228205853</v>
      </c>
      <c r="L721" s="71"/>
      <c r="M721" s="93">
        <v>45716</v>
      </c>
      <c r="N721" s="50"/>
      <c r="O721" s="50">
        <f ca="1" t="shared" si="20"/>
        <v>0</v>
      </c>
      <c r="P721" s="50">
        <f ca="1" t="shared" si="21"/>
        <v>241</v>
      </c>
      <c r="Q721" s="19" t="str">
        <f>VLOOKUP(B721,辅助信息!E:M,9,FALSE)</f>
        <v>ZTWM-CDGS-XS-2024-0169-中冶西部钢构-宜宾市南溪区幸福路东路,高县月江镇建设项目</v>
      </c>
      <c r="R721" s="19"/>
    </row>
    <row r="722" hidden="1" spans="2:18">
      <c r="B722" s="33" t="s">
        <v>106</v>
      </c>
      <c r="C722" s="63">
        <v>45714</v>
      </c>
      <c r="D722" s="33" t="str">
        <f>VLOOKUP(B722,辅助信息!E:K,7,FALSE)</f>
        <v>JWDDCD2024101600133</v>
      </c>
      <c r="E722" s="33" t="str">
        <f>VLOOKUP(F722,辅助信息!A:B,2,FALSE)</f>
        <v>螺纹钢</v>
      </c>
      <c r="F722" s="33" t="s">
        <v>30</v>
      </c>
      <c r="G722" s="29">
        <v>3</v>
      </c>
      <c r="H722" s="29">
        <f>_xlfn._xlws.FILTER('[1]2025年已发货'!$E:$E,'[1]2025年已发货'!$F:$F&amp;'[1]2025年已发货'!$C:$C&amp;'[1]2025年已发货'!$G:$G&amp;'[1]2025年已发货'!$H:$H=C722&amp;F722&amp;I722&amp;J722,"未发货")</f>
        <v>3</v>
      </c>
      <c r="I722" s="33" t="str">
        <f>VLOOKUP(B722,辅助信息!E:I,3,FALSE)</f>
        <v>（五冶钢构宜宾高县月江镇建设项目）  四川省宜宾市高县月江镇刚记超市斜对面(还阳组团沪碳二期项目)</v>
      </c>
      <c r="J722" s="33" t="str">
        <f>VLOOKUP(B722,辅助信息!E:I,4,FALSE)</f>
        <v>张朝亮</v>
      </c>
      <c r="K722" s="33">
        <f>VLOOKUP(J722,辅助信息!H:I,2,FALSE)</f>
        <v>15228205853</v>
      </c>
      <c r="L722" s="71"/>
      <c r="M722" s="93">
        <v>45716</v>
      </c>
      <c r="N722" s="50"/>
      <c r="O722" s="50">
        <f ca="1" t="shared" si="20"/>
        <v>0</v>
      </c>
      <c r="P722" s="50">
        <f ca="1" t="shared" si="21"/>
        <v>241</v>
      </c>
      <c r="Q722" s="19" t="str">
        <f>VLOOKUP(B722,辅助信息!E:M,9,FALSE)</f>
        <v>ZTWM-CDGS-XS-2024-0169-中冶西部钢构-宜宾市南溪区幸福路东路,高县月江镇建设项目</v>
      </c>
      <c r="R722" s="19"/>
    </row>
    <row r="723" hidden="1" spans="2:18">
      <c r="B723" s="33" t="s">
        <v>106</v>
      </c>
      <c r="C723" s="63">
        <v>45714</v>
      </c>
      <c r="D723" s="33" t="str">
        <f>VLOOKUP(B723,辅助信息!E:K,7,FALSE)</f>
        <v>JWDDCD2024101600133</v>
      </c>
      <c r="E723" s="33" t="str">
        <f>VLOOKUP(F723,辅助信息!A:B,2,FALSE)</f>
        <v>螺纹钢</v>
      </c>
      <c r="F723" s="33" t="s">
        <v>33</v>
      </c>
      <c r="G723" s="29">
        <v>12</v>
      </c>
      <c r="H723" s="29">
        <f>_xlfn._xlws.FILTER('[1]2025年已发货'!$E:$E,'[1]2025年已发货'!$F:$F&amp;'[1]2025年已发货'!$C:$C&amp;'[1]2025年已发货'!$G:$G&amp;'[1]2025年已发货'!$H:$H=C723&amp;F723&amp;I723&amp;J723,"未发货")</f>
        <v>12</v>
      </c>
      <c r="I723" s="33" t="str">
        <f>VLOOKUP(B723,辅助信息!E:I,3,FALSE)</f>
        <v>（五冶钢构宜宾高县月江镇建设项目）  四川省宜宾市高县月江镇刚记超市斜对面(还阳组团沪碳二期项目)</v>
      </c>
      <c r="J723" s="33" t="str">
        <f>VLOOKUP(B723,辅助信息!E:I,4,FALSE)</f>
        <v>张朝亮</v>
      </c>
      <c r="K723" s="33">
        <f>VLOOKUP(J723,辅助信息!H:I,2,FALSE)</f>
        <v>15228205853</v>
      </c>
      <c r="L723" s="71"/>
      <c r="M723" s="93">
        <v>45716</v>
      </c>
      <c r="N723" s="50"/>
      <c r="O723" s="50">
        <f ca="1" t="shared" si="20"/>
        <v>0</v>
      </c>
      <c r="P723" s="50">
        <f ca="1" t="shared" si="21"/>
        <v>241</v>
      </c>
      <c r="Q723" s="19" t="str">
        <f>VLOOKUP(B723,辅助信息!E:M,9,FALSE)</f>
        <v>ZTWM-CDGS-XS-2024-0169-中冶西部钢构-宜宾市南溪区幸福路东路,高县月江镇建设项目</v>
      </c>
      <c r="R723" s="19"/>
    </row>
    <row r="724" hidden="1" spans="2:18">
      <c r="B724" s="33" t="s">
        <v>106</v>
      </c>
      <c r="C724" s="63">
        <v>45714</v>
      </c>
      <c r="D724" s="33" t="str">
        <f>VLOOKUP(B724,辅助信息!E:K,7,FALSE)</f>
        <v>JWDDCD2024101600133</v>
      </c>
      <c r="E724" s="33" t="str">
        <f>VLOOKUP(F724,辅助信息!A:B,2,FALSE)</f>
        <v>螺纹钢</v>
      </c>
      <c r="F724" s="33" t="s">
        <v>28</v>
      </c>
      <c r="G724" s="29">
        <v>6</v>
      </c>
      <c r="H724" s="29">
        <f>_xlfn._xlws.FILTER('[1]2025年已发货'!$E:$E,'[1]2025年已发货'!$F:$F&amp;'[1]2025年已发货'!$C:$C&amp;'[1]2025年已发货'!$G:$G&amp;'[1]2025年已发货'!$H:$H=C724&amp;F724&amp;I724&amp;J724,"未发货")</f>
        <v>6</v>
      </c>
      <c r="I724" s="33" t="str">
        <f>VLOOKUP(B724,辅助信息!E:I,3,FALSE)</f>
        <v>（五冶钢构宜宾高县月江镇建设项目）  四川省宜宾市高县月江镇刚记超市斜对面(还阳组团沪碳二期项目)</v>
      </c>
      <c r="J724" s="33" t="str">
        <f>VLOOKUP(B724,辅助信息!E:I,4,FALSE)</f>
        <v>张朝亮</v>
      </c>
      <c r="K724" s="33">
        <f>VLOOKUP(J724,辅助信息!H:I,2,FALSE)</f>
        <v>15228205853</v>
      </c>
      <c r="L724" s="71"/>
      <c r="M724" s="93">
        <v>45716</v>
      </c>
      <c r="N724" s="50"/>
      <c r="O724" s="50">
        <f ca="1" t="shared" si="20"/>
        <v>0</v>
      </c>
      <c r="P724" s="50">
        <f ca="1" t="shared" si="21"/>
        <v>241</v>
      </c>
      <c r="Q724" s="19" t="str">
        <f>VLOOKUP(B724,辅助信息!E:M,9,FALSE)</f>
        <v>ZTWM-CDGS-XS-2024-0169-中冶西部钢构-宜宾市南溪区幸福路东路,高县月江镇建设项目</v>
      </c>
      <c r="R724" s="19"/>
    </row>
    <row r="725" hidden="1" spans="2:18">
      <c r="B725" s="33" t="s">
        <v>106</v>
      </c>
      <c r="C725" s="63">
        <v>45714</v>
      </c>
      <c r="D725" s="33" t="str">
        <f>VLOOKUP(B725,辅助信息!E:K,7,FALSE)</f>
        <v>JWDDCD2024101600133</v>
      </c>
      <c r="E725" s="33" t="str">
        <f>VLOOKUP(F725,辅助信息!A:B,2,FALSE)</f>
        <v>螺纹钢</v>
      </c>
      <c r="F725" s="33" t="s">
        <v>18</v>
      </c>
      <c r="G725" s="29">
        <v>6</v>
      </c>
      <c r="H725" s="29">
        <f>_xlfn._xlws.FILTER('[1]2025年已发货'!$E:$E,'[1]2025年已发货'!$F:$F&amp;'[1]2025年已发货'!$C:$C&amp;'[1]2025年已发货'!$G:$G&amp;'[1]2025年已发货'!$H:$H=C725&amp;F725&amp;I725&amp;J725,"未发货")</f>
        <v>6</v>
      </c>
      <c r="I725" s="33" t="str">
        <f>VLOOKUP(B725,辅助信息!E:I,3,FALSE)</f>
        <v>（五冶钢构宜宾高县月江镇建设项目）  四川省宜宾市高县月江镇刚记超市斜对面(还阳组团沪碳二期项目)</v>
      </c>
      <c r="J725" s="33" t="str">
        <f>VLOOKUP(B725,辅助信息!E:I,4,FALSE)</f>
        <v>张朝亮</v>
      </c>
      <c r="K725" s="33">
        <f>VLOOKUP(J725,辅助信息!H:I,2,FALSE)</f>
        <v>15228205853</v>
      </c>
      <c r="L725" s="69"/>
      <c r="M725" s="93">
        <v>45716</v>
      </c>
      <c r="N725" s="50"/>
      <c r="O725" s="50">
        <f ca="1" t="shared" si="20"/>
        <v>0</v>
      </c>
      <c r="P725" s="50">
        <f ca="1" t="shared" si="21"/>
        <v>241</v>
      </c>
      <c r="Q725" s="19" t="str">
        <f>VLOOKUP(B725,辅助信息!E:M,9,FALSE)</f>
        <v>ZTWM-CDGS-XS-2024-0169-中冶西部钢构-宜宾市南溪区幸福路东路,高县月江镇建设项目</v>
      </c>
      <c r="R725" s="19"/>
    </row>
    <row r="726" hidden="1" spans="2:18">
      <c r="B726" s="33" t="s">
        <v>107</v>
      </c>
      <c r="C726" s="63">
        <v>45714</v>
      </c>
      <c r="D726" s="33" t="str">
        <f>VLOOKUP(B726,辅助信息!E:K,7,FALSE)</f>
        <v>JWDDCD2024101600133</v>
      </c>
      <c r="E726" s="33" t="str">
        <f>VLOOKUP(F726,辅助信息!A:B,2,FALSE)</f>
        <v>螺纹钢</v>
      </c>
      <c r="F726" s="33" t="s">
        <v>27</v>
      </c>
      <c r="G726" s="29">
        <v>6</v>
      </c>
      <c r="H726" s="29">
        <f>_xlfn._xlws.FILTER('[1]2025年已发货'!$E:$E,'[1]2025年已发货'!$F:$F&amp;'[1]2025年已发货'!$C:$C&amp;'[1]2025年已发货'!$G:$G&amp;'[1]2025年已发货'!$H:$H=C726&amp;F726&amp;I726&amp;J726,"未发货")</f>
        <v>6</v>
      </c>
      <c r="I726" s="33" t="str">
        <f>VLOOKUP(B726,辅助信息!E:I,3,FALSE)</f>
        <v>(五冶钢构宜宾高县月江镇建设项目-2)四川省宜宾市高县月江镇高县宜宾保润汽车维修服务有限公司西南(S436西)(污水管网项目)</v>
      </c>
      <c r="J726" s="33" t="str">
        <f>VLOOKUP(B726,辅助信息!E:I,4,FALSE)</f>
        <v>张朝亮</v>
      </c>
      <c r="K726" s="33">
        <f>VLOOKUP(J726,辅助信息!H:I,2,FALSE)</f>
        <v>15228205853</v>
      </c>
      <c r="L726" s="70" t="str">
        <f>VLOOKUP(B726,辅助信息!E:J,6,FALSE)</f>
        <v>提前联系到场规格</v>
      </c>
      <c r="M726" s="93">
        <v>45716</v>
      </c>
      <c r="N726" s="50"/>
      <c r="O726" s="50">
        <f ca="1" t="shared" si="20"/>
        <v>0</v>
      </c>
      <c r="P726" s="50">
        <f ca="1" t="shared" si="21"/>
        <v>241</v>
      </c>
      <c r="Q726" s="19" t="str">
        <f>VLOOKUP(B726,辅助信息!E:M,9,FALSE)</f>
        <v>ZTWM-CDGS-XS-2024-0169-中冶西部钢构-宜宾市南溪区幸福路东路,高县月江镇建设项目</v>
      </c>
      <c r="R726" s="19"/>
    </row>
    <row r="727" hidden="1" spans="2:18">
      <c r="B727" s="33" t="s">
        <v>107</v>
      </c>
      <c r="C727" s="63">
        <v>45714</v>
      </c>
      <c r="D727" s="33" t="str">
        <f>VLOOKUP(B727,辅助信息!E:K,7,FALSE)</f>
        <v>JWDDCD2024101600133</v>
      </c>
      <c r="E727" s="33" t="str">
        <f>VLOOKUP(F727,辅助信息!A:B,2,FALSE)</f>
        <v>螺纹钢</v>
      </c>
      <c r="F727" s="33" t="s">
        <v>19</v>
      </c>
      <c r="G727" s="29">
        <v>6</v>
      </c>
      <c r="H727" s="29">
        <f>_xlfn._xlws.FILTER('[1]2025年已发货'!$E:$E,'[1]2025年已发货'!$F:$F&amp;'[1]2025年已发货'!$C:$C&amp;'[1]2025年已发货'!$G:$G&amp;'[1]2025年已发货'!$H:$H=C727&amp;F727&amp;I727&amp;J727,"未发货")</f>
        <v>6</v>
      </c>
      <c r="I727" s="33" t="str">
        <f>VLOOKUP(B727,辅助信息!E:I,3,FALSE)</f>
        <v>(五冶钢构宜宾高县月江镇建设项目-2)四川省宜宾市高县月江镇高县宜宾保润汽车维修服务有限公司西南(S436西)(污水管网项目)</v>
      </c>
      <c r="J727" s="33" t="str">
        <f>VLOOKUP(B727,辅助信息!E:I,4,FALSE)</f>
        <v>张朝亮</v>
      </c>
      <c r="K727" s="33">
        <f>VLOOKUP(J727,辅助信息!H:I,2,FALSE)</f>
        <v>15228205853</v>
      </c>
      <c r="L727" s="71"/>
      <c r="M727" s="93">
        <v>45716</v>
      </c>
      <c r="N727" s="50"/>
      <c r="O727" s="50">
        <f ca="1" t="shared" si="20"/>
        <v>0</v>
      </c>
      <c r="P727" s="50">
        <f ca="1" t="shared" si="21"/>
        <v>241</v>
      </c>
      <c r="Q727" s="19" t="str">
        <f>VLOOKUP(B727,辅助信息!E:M,9,FALSE)</f>
        <v>ZTWM-CDGS-XS-2024-0169-中冶西部钢构-宜宾市南溪区幸福路东路,高县月江镇建设项目</v>
      </c>
      <c r="R727" s="19"/>
    </row>
    <row r="728" hidden="1" spans="2:18">
      <c r="B728" s="33" t="s">
        <v>107</v>
      </c>
      <c r="C728" s="63">
        <v>45714</v>
      </c>
      <c r="D728" s="33" t="str">
        <f>VLOOKUP(B728,辅助信息!E:K,7,FALSE)</f>
        <v>JWDDCD2024101600133</v>
      </c>
      <c r="E728" s="33" t="str">
        <f>VLOOKUP(F728,辅助信息!A:B,2,FALSE)</f>
        <v>螺纹钢</v>
      </c>
      <c r="F728" s="33" t="s">
        <v>32</v>
      </c>
      <c r="G728" s="29">
        <v>6</v>
      </c>
      <c r="H728" s="29">
        <f>_xlfn._xlws.FILTER('[1]2025年已发货'!$E:$E,'[1]2025年已发货'!$F:$F&amp;'[1]2025年已发货'!$C:$C&amp;'[1]2025年已发货'!$G:$G&amp;'[1]2025年已发货'!$H:$H=C728&amp;F728&amp;I728&amp;J728,"未发货")</f>
        <v>6</v>
      </c>
      <c r="I728" s="33" t="str">
        <f>VLOOKUP(B728,辅助信息!E:I,3,FALSE)</f>
        <v>(五冶钢构宜宾高县月江镇建设项目-2)四川省宜宾市高县月江镇高县宜宾保润汽车维修服务有限公司西南(S436西)(污水管网项目)</v>
      </c>
      <c r="J728" s="33" t="str">
        <f>VLOOKUP(B728,辅助信息!E:I,4,FALSE)</f>
        <v>张朝亮</v>
      </c>
      <c r="K728" s="33">
        <f>VLOOKUP(J728,辅助信息!H:I,2,FALSE)</f>
        <v>15228205853</v>
      </c>
      <c r="L728" s="71"/>
      <c r="M728" s="93">
        <v>45716</v>
      </c>
      <c r="N728" s="50"/>
      <c r="O728" s="50">
        <f ca="1" t="shared" si="20"/>
        <v>0</v>
      </c>
      <c r="P728" s="50">
        <f ca="1" t="shared" si="21"/>
        <v>241</v>
      </c>
      <c r="Q728" s="19" t="str">
        <f>VLOOKUP(B728,辅助信息!E:M,9,FALSE)</f>
        <v>ZTWM-CDGS-XS-2024-0169-中冶西部钢构-宜宾市南溪区幸福路东路,高县月江镇建设项目</v>
      </c>
      <c r="R728" s="19"/>
    </row>
    <row r="729" hidden="1" spans="2:18">
      <c r="B729" s="33" t="s">
        <v>107</v>
      </c>
      <c r="C729" s="63">
        <v>45714</v>
      </c>
      <c r="D729" s="33" t="str">
        <f>VLOOKUP(B729,辅助信息!E:K,7,FALSE)</f>
        <v>JWDDCD2024101600133</v>
      </c>
      <c r="E729" s="33" t="str">
        <f>VLOOKUP(F729,辅助信息!A:B,2,FALSE)</f>
        <v>螺纹钢</v>
      </c>
      <c r="F729" s="33" t="s">
        <v>30</v>
      </c>
      <c r="G729" s="29">
        <v>9</v>
      </c>
      <c r="H729" s="29">
        <f>_xlfn._xlws.FILTER('[1]2025年已发货'!$E:$E,'[1]2025年已发货'!$F:$F&amp;'[1]2025年已发货'!$C:$C&amp;'[1]2025年已发货'!$G:$G&amp;'[1]2025年已发货'!$H:$H=C729&amp;F729&amp;I729&amp;J729,"未发货")</f>
        <v>9</v>
      </c>
      <c r="I729" s="33" t="str">
        <f>VLOOKUP(B729,辅助信息!E:I,3,FALSE)</f>
        <v>(五冶钢构宜宾高县月江镇建设项目-2)四川省宜宾市高县月江镇高县宜宾保润汽车维修服务有限公司西南(S436西)(污水管网项目)</v>
      </c>
      <c r="J729" s="33" t="str">
        <f>VLOOKUP(B729,辅助信息!E:I,4,FALSE)</f>
        <v>张朝亮</v>
      </c>
      <c r="K729" s="33">
        <f>VLOOKUP(J729,辅助信息!H:I,2,FALSE)</f>
        <v>15228205853</v>
      </c>
      <c r="L729" s="71"/>
      <c r="M729" s="93">
        <v>45716</v>
      </c>
      <c r="N729" s="50"/>
      <c r="O729" s="50">
        <f ca="1" t="shared" si="20"/>
        <v>0</v>
      </c>
      <c r="P729" s="50">
        <f ca="1" t="shared" si="21"/>
        <v>241</v>
      </c>
      <c r="Q729" s="19" t="str">
        <f>VLOOKUP(B729,辅助信息!E:M,9,FALSE)</f>
        <v>ZTWM-CDGS-XS-2024-0169-中冶西部钢构-宜宾市南溪区幸福路东路,高县月江镇建设项目</v>
      </c>
      <c r="R729" s="19"/>
    </row>
    <row r="730" hidden="1" spans="2:18">
      <c r="B730" s="33" t="s">
        <v>107</v>
      </c>
      <c r="C730" s="63">
        <v>45714</v>
      </c>
      <c r="D730" s="33" t="str">
        <f>VLOOKUP(B730,辅助信息!E:K,7,FALSE)</f>
        <v>JWDDCD2024101600133</v>
      </c>
      <c r="E730" s="33" t="str">
        <f>VLOOKUP(F730,辅助信息!A:B,2,FALSE)</f>
        <v>螺纹钢</v>
      </c>
      <c r="F730" s="33" t="s">
        <v>33</v>
      </c>
      <c r="G730" s="29">
        <v>12</v>
      </c>
      <c r="H730" s="29">
        <f>_xlfn._xlws.FILTER('[1]2025年已发货'!$E:$E,'[1]2025年已发货'!$F:$F&amp;'[1]2025年已发货'!$C:$C&amp;'[1]2025年已发货'!$G:$G&amp;'[1]2025年已发货'!$H:$H=C730&amp;F730&amp;I730&amp;J730,"未发货")</f>
        <v>12</v>
      </c>
      <c r="I730" s="33" t="str">
        <f>VLOOKUP(B730,辅助信息!E:I,3,FALSE)</f>
        <v>(五冶钢构宜宾高县月江镇建设项目-2)四川省宜宾市高县月江镇高县宜宾保润汽车维修服务有限公司西南(S436西)(污水管网项目)</v>
      </c>
      <c r="J730" s="33" t="str">
        <f>VLOOKUP(B730,辅助信息!E:I,4,FALSE)</f>
        <v>张朝亮</v>
      </c>
      <c r="K730" s="33">
        <f>VLOOKUP(J730,辅助信息!H:I,2,FALSE)</f>
        <v>15228205853</v>
      </c>
      <c r="L730" s="71"/>
      <c r="M730" s="93">
        <v>45716</v>
      </c>
      <c r="N730" s="50"/>
      <c r="O730" s="50">
        <f ca="1" t="shared" si="20"/>
        <v>0</v>
      </c>
      <c r="P730" s="50">
        <f ca="1" t="shared" si="21"/>
        <v>241</v>
      </c>
      <c r="Q730" s="19" t="str">
        <f>VLOOKUP(B730,辅助信息!E:M,9,FALSE)</f>
        <v>ZTWM-CDGS-XS-2024-0169-中冶西部钢构-宜宾市南溪区幸福路东路,高县月江镇建设项目</v>
      </c>
      <c r="R730" s="19"/>
    </row>
    <row r="731" hidden="1" spans="2:18">
      <c r="B731" s="33" t="s">
        <v>107</v>
      </c>
      <c r="C731" s="63">
        <v>45714</v>
      </c>
      <c r="D731" s="33" t="str">
        <f>VLOOKUP(B731,辅助信息!E:K,7,FALSE)</f>
        <v>JWDDCD2024101600133</v>
      </c>
      <c r="E731" s="33" t="str">
        <f>VLOOKUP(F731,辅助信息!A:B,2,FALSE)</f>
        <v>螺纹钢</v>
      </c>
      <c r="F731" s="33" t="s">
        <v>28</v>
      </c>
      <c r="G731" s="29">
        <v>12</v>
      </c>
      <c r="H731" s="29">
        <f>_xlfn._xlws.FILTER('[1]2025年已发货'!$E:$E,'[1]2025年已发货'!$F:$F&amp;'[1]2025年已发货'!$C:$C&amp;'[1]2025年已发货'!$G:$G&amp;'[1]2025年已发货'!$H:$H=C731&amp;F731&amp;I731&amp;J731,"未发货")</f>
        <v>12</v>
      </c>
      <c r="I731" s="33" t="str">
        <f>VLOOKUP(B731,辅助信息!E:I,3,FALSE)</f>
        <v>(五冶钢构宜宾高县月江镇建设项目-2)四川省宜宾市高县月江镇高县宜宾保润汽车维修服务有限公司西南(S436西)(污水管网项目)</v>
      </c>
      <c r="J731" s="33" t="str">
        <f>VLOOKUP(B731,辅助信息!E:I,4,FALSE)</f>
        <v>张朝亮</v>
      </c>
      <c r="K731" s="33">
        <f>VLOOKUP(J731,辅助信息!H:I,2,FALSE)</f>
        <v>15228205853</v>
      </c>
      <c r="L731" s="71"/>
      <c r="M731" s="93">
        <v>45716</v>
      </c>
      <c r="N731" s="50"/>
      <c r="O731" s="50">
        <f ca="1" t="shared" si="20"/>
        <v>0</v>
      </c>
      <c r="P731" s="50">
        <f ca="1" t="shared" si="21"/>
        <v>241</v>
      </c>
      <c r="Q731" s="19" t="str">
        <f>VLOOKUP(B731,辅助信息!E:M,9,FALSE)</f>
        <v>ZTWM-CDGS-XS-2024-0169-中冶西部钢构-宜宾市南溪区幸福路东路,高县月江镇建设项目</v>
      </c>
      <c r="R731" s="19"/>
    </row>
    <row r="732" hidden="1" spans="2:18">
      <c r="B732" s="33" t="s">
        <v>107</v>
      </c>
      <c r="C732" s="63">
        <v>45714</v>
      </c>
      <c r="D732" s="33" t="str">
        <f>VLOOKUP(B732,辅助信息!E:K,7,FALSE)</f>
        <v>JWDDCD2024101600133</v>
      </c>
      <c r="E732" s="33" t="str">
        <f>VLOOKUP(F732,辅助信息!A:B,2,FALSE)</f>
        <v>螺纹钢</v>
      </c>
      <c r="F732" s="33" t="s">
        <v>18</v>
      </c>
      <c r="G732" s="29">
        <v>18</v>
      </c>
      <c r="H732" s="29">
        <f>_xlfn._xlws.FILTER('[1]2025年已发货'!$E:$E,'[1]2025年已发货'!$F:$F&amp;'[1]2025年已发货'!$C:$C&amp;'[1]2025年已发货'!$G:$G&amp;'[1]2025年已发货'!$H:$H=C732&amp;F732&amp;I732&amp;J732,"未发货")</f>
        <v>18</v>
      </c>
      <c r="I732" s="33" t="str">
        <f>VLOOKUP(B732,辅助信息!E:I,3,FALSE)</f>
        <v>(五冶钢构宜宾高县月江镇建设项目-2)四川省宜宾市高县月江镇高县宜宾保润汽车维修服务有限公司西南(S436西)(污水管网项目)</v>
      </c>
      <c r="J732" s="33" t="str">
        <f>VLOOKUP(B732,辅助信息!E:I,4,FALSE)</f>
        <v>张朝亮</v>
      </c>
      <c r="K732" s="33">
        <f>VLOOKUP(J732,辅助信息!H:I,2,FALSE)</f>
        <v>15228205853</v>
      </c>
      <c r="L732" s="69"/>
      <c r="M732" s="93">
        <v>45716</v>
      </c>
      <c r="N732" s="50"/>
      <c r="O732" s="50">
        <f ca="1" t="shared" si="20"/>
        <v>0</v>
      </c>
      <c r="P732" s="50">
        <f ca="1" t="shared" si="21"/>
        <v>241</v>
      </c>
      <c r="Q732" s="19" t="str">
        <f>VLOOKUP(B732,辅助信息!E:M,9,FALSE)</f>
        <v>ZTWM-CDGS-XS-2024-0169-中冶西部钢构-宜宾市南溪区幸福路东路,高县月江镇建设项目</v>
      </c>
      <c r="R732" s="19"/>
    </row>
    <row r="733" hidden="1" spans="2:18">
      <c r="B733" s="33" t="s">
        <v>108</v>
      </c>
      <c r="C733" s="63">
        <v>45714</v>
      </c>
      <c r="D733" s="33" t="e">
        <f>VLOOKUP(B733,辅助信息!E:K,7,FALSE)</f>
        <v>#N/A</v>
      </c>
      <c r="E733" s="33" t="str">
        <f>VLOOKUP(F733,辅助信息!A:B,2,FALSE)</f>
        <v>高线</v>
      </c>
      <c r="F733" s="33" t="s">
        <v>53</v>
      </c>
      <c r="G733" s="29">
        <v>8</v>
      </c>
      <c r="H733" s="29" t="e">
        <f>_xlfn._xlws.FILTER('[1]2025年已发货'!$E:$E,'[1]2025年已发货'!$F:$F&amp;'[1]2025年已发货'!$C:$C&amp;'[1]2025年已发货'!$G:$G&amp;'[1]2025年已发货'!$H:$H=C733&amp;F733&amp;I733&amp;J733,"未发货")</f>
        <v>#N/A</v>
      </c>
      <c r="I733" s="33" t="e">
        <f>VLOOKUP(B733,辅助信息!E:I,3,FALSE)</f>
        <v>#N/A</v>
      </c>
      <c r="J733" s="33" t="e">
        <f>VLOOKUP(B733,辅助信息!E:I,4,FALSE)</f>
        <v>#N/A</v>
      </c>
      <c r="K733" s="33" t="e">
        <f>VLOOKUP(J733,辅助信息!H:I,2,FALSE)</f>
        <v>#N/A</v>
      </c>
      <c r="L733" s="70" t="e">
        <f>VLOOKUP(B733,辅助信息!E:J,6,FALSE)</f>
        <v>#N/A</v>
      </c>
      <c r="M733" s="93">
        <v>45717</v>
      </c>
      <c r="N733" s="50"/>
      <c r="O733" s="50">
        <f ca="1" t="shared" si="20"/>
        <v>0</v>
      </c>
      <c r="P733" s="50">
        <f ca="1" t="shared" si="21"/>
        <v>240</v>
      </c>
      <c r="Q733" s="19" t="e">
        <f>VLOOKUP(B733,辅助信息!E:M,9,FALSE)</f>
        <v>#N/A</v>
      </c>
      <c r="R733" s="19"/>
    </row>
    <row r="734" hidden="1" spans="2:18">
      <c r="B734" s="33" t="s">
        <v>108</v>
      </c>
      <c r="C734" s="63">
        <v>45714</v>
      </c>
      <c r="D734" s="33" t="e">
        <f>VLOOKUP(B734,辅助信息!E:K,7,FALSE)</f>
        <v>#N/A</v>
      </c>
      <c r="E734" s="33" t="str">
        <f>VLOOKUP(F734,辅助信息!A:B,2,FALSE)</f>
        <v>螺纹钢</v>
      </c>
      <c r="F734" s="33" t="s">
        <v>27</v>
      </c>
      <c r="G734" s="29">
        <v>36</v>
      </c>
      <c r="H734" s="29" t="e">
        <f>_xlfn._xlws.FILTER('[1]2025年已发货'!$E:$E,'[1]2025年已发货'!$F:$F&amp;'[1]2025年已发货'!$C:$C&amp;'[1]2025年已发货'!$G:$G&amp;'[1]2025年已发货'!$H:$H=C734&amp;F734&amp;I734&amp;J734,"未发货")</f>
        <v>#N/A</v>
      </c>
      <c r="I734" s="33" t="e">
        <f>VLOOKUP(B734,辅助信息!E:I,3,FALSE)</f>
        <v>#N/A</v>
      </c>
      <c r="J734" s="33" t="e">
        <f>VLOOKUP(B734,辅助信息!E:I,4,FALSE)</f>
        <v>#N/A</v>
      </c>
      <c r="K734" s="33" t="e">
        <f>VLOOKUP(J734,辅助信息!H:I,2,FALSE)</f>
        <v>#N/A</v>
      </c>
      <c r="L734" s="71"/>
      <c r="M734" s="93">
        <v>45717</v>
      </c>
      <c r="N734" s="50"/>
      <c r="O734" s="50">
        <f ca="1" t="shared" si="20"/>
        <v>0</v>
      </c>
      <c r="P734" s="50">
        <f ca="1" t="shared" si="21"/>
        <v>240</v>
      </c>
      <c r="Q734" s="19" t="e">
        <f>VLOOKUP(B734,辅助信息!E:M,9,FALSE)</f>
        <v>#N/A</v>
      </c>
      <c r="R734" s="19"/>
    </row>
    <row r="735" hidden="1" spans="2:18">
      <c r="B735" s="33" t="s">
        <v>108</v>
      </c>
      <c r="C735" s="63">
        <v>45714</v>
      </c>
      <c r="D735" s="33" t="e">
        <f>VLOOKUP(B735,辅助信息!E:K,7,FALSE)</f>
        <v>#N/A</v>
      </c>
      <c r="E735" s="33" t="str">
        <f>VLOOKUP(F735,辅助信息!A:B,2,FALSE)</f>
        <v>螺纹钢</v>
      </c>
      <c r="F735" s="33" t="s">
        <v>32</v>
      </c>
      <c r="G735" s="29">
        <v>27</v>
      </c>
      <c r="H735" s="29" t="e">
        <f>_xlfn._xlws.FILTER('[1]2025年已发货'!$E:$E,'[1]2025年已发货'!$F:$F&amp;'[1]2025年已发货'!$C:$C&amp;'[1]2025年已发货'!$G:$G&amp;'[1]2025年已发货'!$H:$H=C735&amp;F735&amp;I735&amp;J735,"未发货")</f>
        <v>#N/A</v>
      </c>
      <c r="I735" s="33" t="e">
        <f>VLOOKUP(B735,辅助信息!E:I,3,FALSE)</f>
        <v>#N/A</v>
      </c>
      <c r="J735" s="33" t="e">
        <f>VLOOKUP(B735,辅助信息!E:I,4,FALSE)</f>
        <v>#N/A</v>
      </c>
      <c r="K735" s="33" t="e">
        <f>VLOOKUP(J735,辅助信息!H:I,2,FALSE)</f>
        <v>#N/A</v>
      </c>
      <c r="L735" s="71"/>
      <c r="M735" s="93">
        <v>45717</v>
      </c>
      <c r="N735" s="50"/>
      <c r="O735" s="50">
        <f ca="1" t="shared" si="20"/>
        <v>0</v>
      </c>
      <c r="P735" s="50">
        <f ca="1" t="shared" si="21"/>
        <v>240</v>
      </c>
      <c r="Q735" s="19" t="e">
        <f>VLOOKUP(B735,辅助信息!E:M,9,FALSE)</f>
        <v>#N/A</v>
      </c>
      <c r="R735" s="19"/>
    </row>
    <row r="736" hidden="1" spans="2:18">
      <c r="B736" s="33" t="s">
        <v>108</v>
      </c>
      <c r="C736" s="63">
        <v>45714</v>
      </c>
      <c r="D736" s="33" t="e">
        <f>VLOOKUP(B736,辅助信息!E:K,7,FALSE)</f>
        <v>#N/A</v>
      </c>
      <c r="E736" s="33" t="str">
        <f>VLOOKUP(F736,辅助信息!A:B,2,FALSE)</f>
        <v>螺纹钢</v>
      </c>
      <c r="F736" s="33" t="s">
        <v>30</v>
      </c>
      <c r="G736" s="29">
        <v>60</v>
      </c>
      <c r="H736" s="29" t="e">
        <f>_xlfn._xlws.FILTER('[1]2025年已发货'!$E:$E,'[1]2025年已发货'!$F:$F&amp;'[1]2025年已发货'!$C:$C&amp;'[1]2025年已发货'!$G:$G&amp;'[1]2025年已发货'!$H:$H=C736&amp;F736&amp;I736&amp;J736,"未发货")</f>
        <v>#N/A</v>
      </c>
      <c r="I736" s="33" t="e">
        <f>VLOOKUP(B736,辅助信息!E:I,3,FALSE)</f>
        <v>#N/A</v>
      </c>
      <c r="J736" s="33" t="e">
        <f>VLOOKUP(B736,辅助信息!E:I,4,FALSE)</f>
        <v>#N/A</v>
      </c>
      <c r="K736" s="33" t="e">
        <f>VLOOKUP(J736,辅助信息!H:I,2,FALSE)</f>
        <v>#N/A</v>
      </c>
      <c r="L736" s="71"/>
      <c r="M736" s="93">
        <v>45717</v>
      </c>
      <c r="N736" s="50"/>
      <c r="O736" s="50">
        <f ca="1" t="shared" si="20"/>
        <v>0</v>
      </c>
      <c r="P736" s="50">
        <f ca="1" t="shared" si="21"/>
        <v>240</v>
      </c>
      <c r="Q736" s="19" t="e">
        <f>VLOOKUP(B736,辅助信息!E:M,9,FALSE)</f>
        <v>#N/A</v>
      </c>
      <c r="R736" s="19"/>
    </row>
    <row r="737" hidden="1" spans="2:18">
      <c r="B737" s="33" t="s">
        <v>108</v>
      </c>
      <c r="C737" s="63">
        <v>45714</v>
      </c>
      <c r="D737" s="33" t="e">
        <f>VLOOKUP(B737,辅助信息!E:K,7,FALSE)</f>
        <v>#N/A</v>
      </c>
      <c r="E737" s="33" t="str">
        <f>VLOOKUP(F737,辅助信息!A:B,2,FALSE)</f>
        <v>螺纹钢</v>
      </c>
      <c r="F737" s="33" t="s">
        <v>52</v>
      </c>
      <c r="G737" s="29">
        <v>10</v>
      </c>
      <c r="H737" s="29" t="e">
        <f>_xlfn._xlws.FILTER('[1]2025年已发货'!$E:$E,'[1]2025年已发货'!$F:$F&amp;'[1]2025年已发货'!$C:$C&amp;'[1]2025年已发货'!$G:$G&amp;'[1]2025年已发货'!$H:$H=C737&amp;F737&amp;I737&amp;J737,"未发货")</f>
        <v>#N/A</v>
      </c>
      <c r="I737" s="33" t="e">
        <f>VLOOKUP(B737,辅助信息!E:I,3,FALSE)</f>
        <v>#N/A</v>
      </c>
      <c r="J737" s="33" t="e">
        <f>VLOOKUP(B737,辅助信息!E:I,4,FALSE)</f>
        <v>#N/A</v>
      </c>
      <c r="K737" s="33" t="e">
        <f>VLOOKUP(J737,辅助信息!H:I,2,FALSE)</f>
        <v>#N/A</v>
      </c>
      <c r="L737" s="69"/>
      <c r="M737" s="93">
        <v>45717</v>
      </c>
      <c r="N737" s="50"/>
      <c r="O737" s="50">
        <f ca="1" t="shared" si="20"/>
        <v>0</v>
      </c>
      <c r="P737" s="50">
        <f ca="1" t="shared" si="21"/>
        <v>240</v>
      </c>
      <c r="Q737" s="19" t="e">
        <f>VLOOKUP(B737,辅助信息!E:M,9,FALSE)</f>
        <v>#N/A</v>
      </c>
      <c r="R737" s="19"/>
    </row>
    <row r="738" hidden="1" spans="2:18">
      <c r="B738" s="33" t="s">
        <v>69</v>
      </c>
      <c r="C738" s="63">
        <v>45714</v>
      </c>
      <c r="D738" s="33" t="str">
        <f>VLOOKUP(B738,辅助信息!E:K,7,FALSE)</f>
        <v>JWDDCD2025052800131</v>
      </c>
      <c r="E738" s="33" t="str">
        <f>VLOOKUP(F738,辅助信息!A:B,2,FALSE)</f>
        <v>盘螺</v>
      </c>
      <c r="F738" s="33" t="s">
        <v>40</v>
      </c>
      <c r="G738" s="29">
        <f>20*2.5</f>
        <v>50</v>
      </c>
      <c r="H738" s="29">
        <f>_xlfn._xlws.FILTER('[1]2025年已发货'!$E:$E,'[1]2025年已发货'!$F:$F&amp;'[1]2025年已发货'!$C:$C&amp;'[1]2025年已发货'!$G:$G&amp;'[1]2025年已发货'!$H:$H=C738&amp;F738&amp;I738&amp;J738,"未发货")</f>
        <v>35</v>
      </c>
      <c r="I738" s="33" t="str">
        <f>VLOOKUP(B738,辅助信息!E:I,3,FALSE)</f>
        <v>（商投建工达州中医药科技园-4工区-2号楼）达州市通川区达州中医药职业学院犀牛大道北段</v>
      </c>
      <c r="J738" s="33" t="str">
        <f>VLOOKUP(B738,辅助信息!E:I,4,FALSE)</f>
        <v>张扬</v>
      </c>
      <c r="K738" s="33">
        <f>VLOOKUP(J738,辅助信息!H:I,2,FALSE)</f>
        <v>18381904567</v>
      </c>
      <c r="L738" s="70" t="str">
        <f>VLOOKUP(B738,辅助信息!E:J,6,FALSE)</f>
        <v>控制炉批号！多了现场不收！,优先安排达钢,提前联系到场规格及数量</v>
      </c>
      <c r="M738" s="93">
        <v>45716</v>
      </c>
      <c r="N738" s="50"/>
      <c r="O738" s="50">
        <f ca="1" t="shared" si="20"/>
        <v>0</v>
      </c>
      <c r="P738" s="50">
        <f ca="1" t="shared" si="21"/>
        <v>241</v>
      </c>
      <c r="Q738" s="19" t="str">
        <f>VLOOKUP(B738,辅助信息!E:M,9,FALSE)</f>
        <v>ZTWM-CDGS-XS-2024-0134-商投建工达州中医药科技成果示范园项目</v>
      </c>
      <c r="R738" s="19"/>
    </row>
    <row r="739" hidden="1" spans="2:18">
      <c r="B739" s="33" t="s">
        <v>69</v>
      </c>
      <c r="C739" s="63">
        <v>45714</v>
      </c>
      <c r="D739" s="33" t="str">
        <f>VLOOKUP(B739,辅助信息!E:K,7,FALSE)</f>
        <v>JWDDCD2025052800131</v>
      </c>
      <c r="E739" s="33" t="str">
        <f>VLOOKUP(F739,辅助信息!A:B,2,FALSE)</f>
        <v>盘螺</v>
      </c>
      <c r="F739" s="33" t="s">
        <v>41</v>
      </c>
      <c r="G739" s="29">
        <f>10*2.5</f>
        <v>25</v>
      </c>
      <c r="H739" s="29" t="str">
        <f>_xlfn._xlws.FILTER('[1]2025年已发货'!$E:$E,'[1]2025年已发货'!$F:$F&amp;'[1]2025年已发货'!$C:$C&amp;'[1]2025年已发货'!$G:$G&amp;'[1]2025年已发货'!$H:$H=C739&amp;F739&amp;I739&amp;J739,"未发货")</f>
        <v>未发货</v>
      </c>
      <c r="I739" s="33" t="str">
        <f>VLOOKUP(B739,辅助信息!E:I,3,FALSE)</f>
        <v>（商投建工达州中医药科技园-4工区-2号楼）达州市通川区达州中医药职业学院犀牛大道北段</v>
      </c>
      <c r="J739" s="33" t="str">
        <f>VLOOKUP(B739,辅助信息!E:I,4,FALSE)</f>
        <v>张扬</v>
      </c>
      <c r="K739" s="33">
        <f>VLOOKUP(J739,辅助信息!H:I,2,FALSE)</f>
        <v>18381904567</v>
      </c>
      <c r="L739" s="69"/>
      <c r="M739" s="93">
        <v>45716</v>
      </c>
      <c r="N739" s="50"/>
      <c r="O739" s="50">
        <f ca="1" t="shared" si="20"/>
        <v>0</v>
      </c>
      <c r="P739" s="50">
        <f ca="1" t="shared" si="21"/>
        <v>241</v>
      </c>
      <c r="Q739" s="19" t="str">
        <f>VLOOKUP(B739,辅助信息!E:M,9,FALSE)</f>
        <v>ZTWM-CDGS-XS-2024-0134-商投建工达州中医药科技成果示范园项目</v>
      </c>
      <c r="R739" s="19"/>
    </row>
    <row r="740" hidden="1" spans="2:18">
      <c r="B740" s="33" t="s">
        <v>56</v>
      </c>
      <c r="C740" s="63">
        <v>45714</v>
      </c>
      <c r="D740" s="33" t="str">
        <f>VLOOKUP(B740,辅助信息!E:K,7,FALSE)</f>
        <v>JWDDCD2025052800131</v>
      </c>
      <c r="E740" s="33" t="str">
        <f>VLOOKUP(F740,辅助信息!A:B,2,FALSE)</f>
        <v>螺纹钢</v>
      </c>
      <c r="F740" s="33" t="s">
        <v>27</v>
      </c>
      <c r="G740" s="29">
        <v>12</v>
      </c>
      <c r="H740" s="29">
        <f>_xlfn._xlws.FILTER('[1]2025年已发货'!$E:$E,'[1]2025年已发货'!$F:$F&amp;'[1]2025年已发货'!$C:$C&amp;'[1]2025年已发货'!$G:$G&amp;'[1]2025年已发货'!$H:$H=C740&amp;F740&amp;I740&amp;J740,"未发货")</f>
        <v>12</v>
      </c>
      <c r="I740" s="33" t="str">
        <f>VLOOKUP(B740,辅助信息!E:I,3,FALSE)</f>
        <v>（商投建工达州中医药科技园-4工区-7号楼）达州市通川区达州中医药职业学院犀牛大道北段</v>
      </c>
      <c r="J740" s="33" t="str">
        <f>VLOOKUP(B740,辅助信息!E:I,4,FALSE)</f>
        <v>张扬</v>
      </c>
      <c r="K740" s="33">
        <f>VLOOKUP(J740,辅助信息!H:I,2,FALSE)</f>
        <v>18381904567</v>
      </c>
      <c r="L740" s="70" t="str">
        <f>VLOOKUP(B740,辅助信息!E:J,6,FALSE)</f>
        <v>控制炉批号！多了现场不收！,优先安排达钢,提前联系到场规格及数量</v>
      </c>
      <c r="M740" s="93">
        <v>45716</v>
      </c>
      <c r="N740" s="50"/>
      <c r="O740" s="50">
        <f ca="1" t="shared" si="20"/>
        <v>0</v>
      </c>
      <c r="P740" s="50">
        <f ca="1" t="shared" si="21"/>
        <v>241</v>
      </c>
      <c r="Q740" s="19" t="str">
        <f>VLOOKUP(B740,辅助信息!E:M,9,FALSE)</f>
        <v>ZTWM-CDGS-XS-2024-0134-商投建工达州中医药科技成果示范园项目</v>
      </c>
      <c r="R740" s="19"/>
    </row>
    <row r="741" hidden="1" spans="2:18">
      <c r="B741" s="33" t="s">
        <v>56</v>
      </c>
      <c r="C741" s="63">
        <v>45714</v>
      </c>
      <c r="D741" s="33" t="str">
        <f>VLOOKUP(B741,辅助信息!E:K,7,FALSE)</f>
        <v>JWDDCD2025052800131</v>
      </c>
      <c r="E741" s="33" t="str">
        <f>VLOOKUP(F741,辅助信息!A:B,2,FALSE)</f>
        <v>螺纹钢</v>
      </c>
      <c r="F741" s="33" t="s">
        <v>32</v>
      </c>
      <c r="G741" s="29">
        <v>12</v>
      </c>
      <c r="H741" s="29">
        <f>_xlfn._xlws.FILTER('[1]2025年已发货'!$E:$E,'[1]2025年已发货'!$F:$F&amp;'[1]2025年已发货'!$C:$C&amp;'[1]2025年已发货'!$G:$G&amp;'[1]2025年已发货'!$H:$H=C741&amp;F741&amp;I741&amp;J741,"未发货")</f>
        <v>12</v>
      </c>
      <c r="I741" s="33" t="str">
        <f>VLOOKUP(B741,辅助信息!E:I,3,FALSE)</f>
        <v>（商投建工达州中医药科技园-4工区-7号楼）达州市通川区达州中医药职业学院犀牛大道北段</v>
      </c>
      <c r="J741" s="33" t="str">
        <f>VLOOKUP(B741,辅助信息!E:I,4,FALSE)</f>
        <v>张扬</v>
      </c>
      <c r="K741" s="33">
        <f>VLOOKUP(J741,辅助信息!H:I,2,FALSE)</f>
        <v>18381904567</v>
      </c>
      <c r="L741" s="71"/>
      <c r="M741" s="93">
        <v>45716</v>
      </c>
      <c r="N741" s="50"/>
      <c r="O741" s="50">
        <f ca="1" t="shared" si="20"/>
        <v>0</v>
      </c>
      <c r="P741" s="50">
        <f ca="1" t="shared" si="21"/>
        <v>241</v>
      </c>
      <c r="Q741" s="19" t="str">
        <f>VLOOKUP(B741,辅助信息!E:M,9,FALSE)</f>
        <v>ZTWM-CDGS-XS-2024-0134-商投建工达州中医药科技成果示范园项目</v>
      </c>
      <c r="R741" s="19"/>
    </row>
    <row r="742" hidden="1" spans="2:18">
      <c r="B742" s="33" t="s">
        <v>56</v>
      </c>
      <c r="C742" s="63">
        <v>45714</v>
      </c>
      <c r="D742" s="33" t="str">
        <f>VLOOKUP(B742,辅助信息!E:K,7,FALSE)</f>
        <v>JWDDCD2025052800131</v>
      </c>
      <c r="E742" s="33" t="str">
        <f>VLOOKUP(F742,辅助信息!A:B,2,FALSE)</f>
        <v>螺纹钢</v>
      </c>
      <c r="F742" s="33" t="s">
        <v>30</v>
      </c>
      <c r="G742" s="29">
        <v>15</v>
      </c>
      <c r="H742" s="29" t="str">
        <f>_xlfn._xlws.FILTER('[1]2025年已发货'!$E:$E,'[1]2025年已发货'!$F:$F&amp;'[1]2025年已发货'!$C:$C&amp;'[1]2025年已发货'!$G:$G&amp;'[1]2025年已发货'!$H:$H=C742&amp;F742&amp;I742&amp;J742,"未发货")</f>
        <v>未发货</v>
      </c>
      <c r="I742" s="33" t="str">
        <f>VLOOKUP(B742,辅助信息!E:I,3,FALSE)</f>
        <v>（商投建工达州中医药科技园-4工区-7号楼）达州市通川区达州中医药职业学院犀牛大道北段</v>
      </c>
      <c r="J742" s="33" t="str">
        <f>VLOOKUP(B742,辅助信息!E:I,4,FALSE)</f>
        <v>张扬</v>
      </c>
      <c r="K742" s="33">
        <f>VLOOKUP(J742,辅助信息!H:I,2,FALSE)</f>
        <v>18381904567</v>
      </c>
      <c r="L742" s="71"/>
      <c r="M742" s="93">
        <v>45716</v>
      </c>
      <c r="N742" s="50"/>
      <c r="O742" s="50">
        <f ca="1" t="shared" si="20"/>
        <v>0</v>
      </c>
      <c r="P742" s="50">
        <f ca="1" t="shared" si="21"/>
        <v>241</v>
      </c>
      <c r="Q742" s="19" t="str">
        <f>VLOOKUP(B742,辅助信息!E:M,9,FALSE)</f>
        <v>ZTWM-CDGS-XS-2024-0134-商投建工达州中医药科技成果示范园项目</v>
      </c>
      <c r="R742" s="19"/>
    </row>
    <row r="743" hidden="1" spans="2:18">
      <c r="B743" s="33" t="s">
        <v>56</v>
      </c>
      <c r="C743" s="63">
        <v>45714</v>
      </c>
      <c r="D743" s="33" t="str">
        <f>VLOOKUP(B743,辅助信息!E:K,7,FALSE)</f>
        <v>JWDDCD2025052800131</v>
      </c>
      <c r="E743" s="33" t="str">
        <f>VLOOKUP(F743,辅助信息!A:B,2,FALSE)</f>
        <v>螺纹钢</v>
      </c>
      <c r="F743" s="33" t="s">
        <v>33</v>
      </c>
      <c r="G743" s="29">
        <v>12</v>
      </c>
      <c r="H743" s="29" t="str">
        <f>_xlfn._xlws.FILTER('[1]2025年已发货'!$E:$E,'[1]2025年已发货'!$F:$F&amp;'[1]2025年已发货'!$C:$C&amp;'[1]2025年已发货'!$G:$G&amp;'[1]2025年已发货'!$H:$H=C743&amp;F743&amp;I743&amp;J743,"未发货")</f>
        <v>未发货</v>
      </c>
      <c r="I743" s="33" t="str">
        <f>VLOOKUP(B743,辅助信息!E:I,3,FALSE)</f>
        <v>（商投建工达州中医药科技园-4工区-7号楼）达州市通川区达州中医药职业学院犀牛大道北段</v>
      </c>
      <c r="J743" s="33" t="str">
        <f>VLOOKUP(B743,辅助信息!E:I,4,FALSE)</f>
        <v>张扬</v>
      </c>
      <c r="K743" s="33">
        <f>VLOOKUP(J743,辅助信息!H:I,2,FALSE)</f>
        <v>18381904567</v>
      </c>
      <c r="L743" s="71"/>
      <c r="M743" s="93">
        <v>45716</v>
      </c>
      <c r="N743" s="50"/>
      <c r="O743" s="50">
        <f ca="1" t="shared" si="20"/>
        <v>0</v>
      </c>
      <c r="P743" s="50">
        <f ca="1" t="shared" si="21"/>
        <v>241</v>
      </c>
      <c r="Q743" s="19" t="str">
        <f>VLOOKUP(B743,辅助信息!E:M,9,FALSE)</f>
        <v>ZTWM-CDGS-XS-2024-0134-商投建工达州中医药科技成果示范园项目</v>
      </c>
      <c r="R743" s="19"/>
    </row>
    <row r="744" hidden="1" spans="2:18">
      <c r="B744" s="33" t="s">
        <v>56</v>
      </c>
      <c r="C744" s="63">
        <v>45714</v>
      </c>
      <c r="D744" s="33" t="str">
        <f>VLOOKUP(B744,辅助信息!E:K,7,FALSE)</f>
        <v>JWDDCD2025052800131</v>
      </c>
      <c r="E744" s="33" t="str">
        <f>VLOOKUP(F744,辅助信息!A:B,2,FALSE)</f>
        <v>螺纹钢</v>
      </c>
      <c r="F744" s="33" t="s">
        <v>28</v>
      </c>
      <c r="G744" s="29">
        <v>15</v>
      </c>
      <c r="H744" s="29">
        <f>_xlfn._xlws.FILTER('[1]2025年已发货'!$E:$E,'[1]2025年已发货'!$F:$F&amp;'[1]2025年已发货'!$C:$C&amp;'[1]2025年已发货'!$G:$G&amp;'[1]2025年已发货'!$H:$H=C744&amp;F744&amp;I744&amp;J744,"未发货")</f>
        <v>8</v>
      </c>
      <c r="I744" s="33" t="str">
        <f>VLOOKUP(B744,辅助信息!E:I,3,FALSE)</f>
        <v>（商投建工达州中医药科技园-4工区-7号楼）达州市通川区达州中医药职业学院犀牛大道北段</v>
      </c>
      <c r="J744" s="33" t="str">
        <f>VLOOKUP(B744,辅助信息!E:I,4,FALSE)</f>
        <v>张扬</v>
      </c>
      <c r="K744" s="33">
        <f>VLOOKUP(J744,辅助信息!H:I,2,FALSE)</f>
        <v>18381904567</v>
      </c>
      <c r="L744" s="71"/>
      <c r="M744" s="93">
        <v>45716</v>
      </c>
      <c r="N744" s="50"/>
      <c r="O744" s="50">
        <f ca="1" t="shared" si="20"/>
        <v>0</v>
      </c>
      <c r="P744" s="50">
        <f ca="1" t="shared" si="21"/>
        <v>241</v>
      </c>
      <c r="Q744" s="19" t="str">
        <f>VLOOKUP(B744,辅助信息!E:M,9,FALSE)</f>
        <v>ZTWM-CDGS-XS-2024-0134-商投建工达州中医药科技成果示范园项目</v>
      </c>
      <c r="R744" s="19"/>
    </row>
    <row r="745" hidden="1" spans="2:18">
      <c r="B745" s="33" t="s">
        <v>56</v>
      </c>
      <c r="C745" s="63">
        <v>45714</v>
      </c>
      <c r="D745" s="33" t="str">
        <f>VLOOKUP(B745,辅助信息!E:K,7,FALSE)</f>
        <v>JWDDCD2025052800131</v>
      </c>
      <c r="E745" s="33" t="str">
        <f>VLOOKUP(F745,辅助信息!A:B,2,FALSE)</f>
        <v>螺纹钢</v>
      </c>
      <c r="F745" s="33" t="s">
        <v>18</v>
      </c>
      <c r="G745" s="29">
        <v>12</v>
      </c>
      <c r="H745" s="29">
        <f>_xlfn._xlws.FILTER('[1]2025年已发货'!$E:$E,'[1]2025年已发货'!$F:$F&amp;'[1]2025年已发货'!$C:$C&amp;'[1]2025年已发货'!$G:$G&amp;'[1]2025年已发货'!$H:$H=C745&amp;F745&amp;I745&amp;J745,"未发货")</f>
        <v>5</v>
      </c>
      <c r="I745" s="33" t="str">
        <f>VLOOKUP(B745,辅助信息!E:I,3,FALSE)</f>
        <v>（商投建工达州中医药科技园-4工区-7号楼）达州市通川区达州中医药职业学院犀牛大道北段</v>
      </c>
      <c r="J745" s="33" t="str">
        <f>VLOOKUP(B745,辅助信息!E:I,4,FALSE)</f>
        <v>张扬</v>
      </c>
      <c r="K745" s="33">
        <f>VLOOKUP(J745,辅助信息!H:I,2,FALSE)</f>
        <v>18381904567</v>
      </c>
      <c r="L745" s="69"/>
      <c r="M745" s="93">
        <v>45716</v>
      </c>
      <c r="N745" s="50"/>
      <c r="O745" s="50">
        <f ca="1" t="shared" si="20"/>
        <v>0</v>
      </c>
      <c r="P745" s="50">
        <f ca="1" t="shared" si="21"/>
        <v>241</v>
      </c>
      <c r="Q745" s="19" t="str">
        <f>VLOOKUP(B745,辅助信息!E:M,9,FALSE)</f>
        <v>ZTWM-CDGS-XS-2024-0134-商投建工达州中医药科技成果示范园项目</v>
      </c>
      <c r="R745" s="19"/>
    </row>
    <row r="746" hidden="1" spans="2:18">
      <c r="B746" s="33" t="s">
        <v>20</v>
      </c>
      <c r="C746" s="63">
        <v>45714</v>
      </c>
      <c r="D746" s="33" t="str">
        <f>VLOOKUP(B746,辅助信息!E:K,7,FALSE)</f>
        <v>JWDDCD2025051000019</v>
      </c>
      <c r="E746" s="33" t="str">
        <f>VLOOKUP(F746,辅助信息!A:B,2,FALSE)</f>
        <v>盘螺</v>
      </c>
      <c r="F746" s="33" t="s">
        <v>49</v>
      </c>
      <c r="G746" s="29">
        <v>11</v>
      </c>
      <c r="H746" s="29">
        <f>_xlfn._xlws.FILTER('[1]2025年已发货'!$E:$E,'[1]2025年已发货'!$F:$F&amp;'[1]2025年已发货'!$C:$C&amp;'[1]2025年已发货'!$G:$G&amp;'[1]2025年已发货'!$H:$H=C746&amp;F746&amp;I746&amp;J746,"未发货")</f>
        <v>11</v>
      </c>
      <c r="I746" s="33" t="str">
        <f>VLOOKUP(B746,辅助信息!E:I,3,FALSE)</f>
        <v>(五冶钢构医学科学产业园建设项目房建三部-一标（7-2）)四川省南充市顺庆区搬罾街道学府大道二段</v>
      </c>
      <c r="J746" s="33" t="str">
        <f>VLOOKUP(B746,辅助信息!E:I,4,FALSE)</f>
        <v>郑林</v>
      </c>
      <c r="K746" s="33">
        <f>VLOOKUP(J746,辅助信息!H:I,2,FALSE)</f>
        <v>18349955455</v>
      </c>
      <c r="L746" s="70" t="str">
        <f>VLOOKUP(B746,辅助信息!E:J,6,FALSE)</f>
        <v>送货单：送货单位：南充思临新材料科技有限公司,收货单位：五冶集团川北(南充)建设有限公司,项目名称：南充医学科学产业园,送货车型13米,装货前联系收货人核实到场规格</v>
      </c>
      <c r="M746" s="93">
        <v>45716</v>
      </c>
      <c r="N746" s="50"/>
      <c r="O746" s="50">
        <f ca="1" t="shared" si="20"/>
        <v>0</v>
      </c>
      <c r="P746" s="50">
        <f ca="1" t="shared" si="21"/>
        <v>241</v>
      </c>
      <c r="Q746" s="19" t="str">
        <f>VLOOKUP(B746,辅助信息!E:M,9,FALSE)</f>
        <v>ZTWM-CDGS-XS-2024-0248-五冶钢构-南充市医学院项目</v>
      </c>
      <c r="R746" s="19"/>
    </row>
    <row r="747" hidden="1" spans="2:18">
      <c r="B747" s="33" t="s">
        <v>20</v>
      </c>
      <c r="C747" s="63">
        <v>45714</v>
      </c>
      <c r="D747" s="33" t="str">
        <f>VLOOKUP(B747,辅助信息!E:K,7,FALSE)</f>
        <v>JWDDCD2025051000019</v>
      </c>
      <c r="E747" s="33" t="str">
        <f>VLOOKUP(F747,辅助信息!A:B,2,FALSE)</f>
        <v>盘螺</v>
      </c>
      <c r="F747" s="33" t="s">
        <v>40</v>
      </c>
      <c r="G747" s="29">
        <v>18</v>
      </c>
      <c r="H747" s="29">
        <f>_xlfn._xlws.FILTER('[1]2025年已发货'!$E:$E,'[1]2025年已发货'!$F:$F&amp;'[1]2025年已发货'!$C:$C&amp;'[1]2025年已发货'!$G:$G&amp;'[1]2025年已发货'!$H:$H=C747&amp;F747&amp;I747&amp;J747,"未发货")</f>
        <v>18</v>
      </c>
      <c r="I747" s="33" t="str">
        <f>VLOOKUP(B747,辅助信息!E:I,3,FALSE)</f>
        <v>(五冶钢构医学科学产业园建设项目房建三部-一标（7-2）)四川省南充市顺庆区搬罾街道学府大道二段</v>
      </c>
      <c r="J747" s="33" t="str">
        <f>VLOOKUP(B747,辅助信息!E:I,4,FALSE)</f>
        <v>郑林</v>
      </c>
      <c r="K747" s="33">
        <f>VLOOKUP(J747,辅助信息!H:I,2,FALSE)</f>
        <v>18349955455</v>
      </c>
      <c r="L747" s="71"/>
      <c r="M747" s="93">
        <v>45716</v>
      </c>
      <c r="N747" s="50"/>
      <c r="O747" s="50">
        <f ca="1" t="shared" si="20"/>
        <v>0</v>
      </c>
      <c r="P747" s="50">
        <f ca="1" t="shared" si="21"/>
        <v>241</v>
      </c>
      <c r="Q747" s="19" t="str">
        <f>VLOOKUP(B747,辅助信息!E:M,9,FALSE)</f>
        <v>ZTWM-CDGS-XS-2024-0248-五冶钢构-南充市医学院项目</v>
      </c>
      <c r="R747" s="19"/>
    </row>
    <row r="748" hidden="1" spans="2:18">
      <c r="B748" s="33" t="s">
        <v>20</v>
      </c>
      <c r="C748" s="63">
        <v>45714</v>
      </c>
      <c r="D748" s="33" t="str">
        <f>VLOOKUP(B748,辅助信息!E:K,7,FALSE)</f>
        <v>JWDDCD2025051000019</v>
      </c>
      <c r="E748" s="33" t="str">
        <f>VLOOKUP(F748,辅助信息!A:B,2,FALSE)</f>
        <v>盘螺</v>
      </c>
      <c r="F748" s="33" t="s">
        <v>41</v>
      </c>
      <c r="G748" s="29">
        <v>9</v>
      </c>
      <c r="H748" s="29">
        <f>_xlfn._xlws.FILTER('[1]2025年已发货'!$E:$E,'[1]2025年已发货'!$F:$F&amp;'[1]2025年已发货'!$C:$C&amp;'[1]2025年已发货'!$G:$G&amp;'[1]2025年已发货'!$H:$H=C748&amp;F748&amp;I748&amp;J748,"未发货")</f>
        <v>9</v>
      </c>
      <c r="I748" s="33" t="str">
        <f>VLOOKUP(B748,辅助信息!E:I,3,FALSE)</f>
        <v>(五冶钢构医学科学产业园建设项目房建三部-一标（7-2）)四川省南充市顺庆区搬罾街道学府大道二段</v>
      </c>
      <c r="J748" s="33" t="str">
        <f>VLOOKUP(B748,辅助信息!E:I,4,FALSE)</f>
        <v>郑林</v>
      </c>
      <c r="K748" s="33">
        <f>VLOOKUP(J748,辅助信息!H:I,2,FALSE)</f>
        <v>18349955455</v>
      </c>
      <c r="L748" s="71"/>
      <c r="M748" s="93">
        <v>45716</v>
      </c>
      <c r="N748" s="50"/>
      <c r="O748" s="50">
        <f ca="1" t="shared" si="20"/>
        <v>0</v>
      </c>
      <c r="P748" s="50">
        <f ca="1" t="shared" si="21"/>
        <v>241</v>
      </c>
      <c r="Q748" s="19" t="str">
        <f>VLOOKUP(B748,辅助信息!E:M,9,FALSE)</f>
        <v>ZTWM-CDGS-XS-2024-0248-五冶钢构-南充市医学院项目</v>
      </c>
      <c r="R748" s="19"/>
    </row>
    <row r="749" hidden="1" spans="2:18">
      <c r="B749" s="33" t="s">
        <v>20</v>
      </c>
      <c r="C749" s="63">
        <v>45714</v>
      </c>
      <c r="D749" s="33" t="str">
        <f>VLOOKUP(B749,辅助信息!E:K,7,FALSE)</f>
        <v>JWDDCD2025051000019</v>
      </c>
      <c r="E749" s="33" t="str">
        <f>VLOOKUP(F749,辅助信息!A:B,2,FALSE)</f>
        <v>螺纹钢</v>
      </c>
      <c r="F749" s="33" t="s">
        <v>27</v>
      </c>
      <c r="G749" s="29">
        <v>10</v>
      </c>
      <c r="H749" s="29">
        <f>_xlfn._xlws.FILTER('[1]2025年已发货'!$E:$E,'[1]2025年已发货'!$F:$F&amp;'[1]2025年已发货'!$C:$C&amp;'[1]2025年已发货'!$G:$G&amp;'[1]2025年已发货'!$H:$H=C749&amp;F749&amp;I749&amp;J749,"未发货")</f>
        <v>10</v>
      </c>
      <c r="I749" s="33" t="str">
        <f>VLOOKUP(B749,辅助信息!E:I,3,FALSE)</f>
        <v>(五冶钢构医学科学产业园建设项目房建三部-一标（7-2）)四川省南充市顺庆区搬罾街道学府大道二段</v>
      </c>
      <c r="J749" s="33" t="str">
        <f>VLOOKUP(B749,辅助信息!E:I,4,FALSE)</f>
        <v>郑林</v>
      </c>
      <c r="K749" s="33">
        <f>VLOOKUP(J749,辅助信息!H:I,2,FALSE)</f>
        <v>18349955455</v>
      </c>
      <c r="L749" s="71"/>
      <c r="M749" s="93">
        <v>45716</v>
      </c>
      <c r="N749" s="50"/>
      <c r="O749" s="50">
        <f ca="1" t="shared" si="20"/>
        <v>0</v>
      </c>
      <c r="P749" s="50">
        <f ca="1" t="shared" si="21"/>
        <v>241</v>
      </c>
      <c r="Q749" s="19" t="str">
        <f>VLOOKUP(B749,辅助信息!E:M,9,FALSE)</f>
        <v>ZTWM-CDGS-XS-2024-0248-五冶钢构-南充市医学院项目</v>
      </c>
      <c r="R749" s="19"/>
    </row>
    <row r="750" hidden="1" spans="2:18">
      <c r="B750" s="33" t="s">
        <v>20</v>
      </c>
      <c r="C750" s="63">
        <v>45714</v>
      </c>
      <c r="D750" s="33" t="str">
        <f>VLOOKUP(B750,辅助信息!E:K,7,FALSE)</f>
        <v>JWDDCD2025051000019</v>
      </c>
      <c r="E750" s="33" t="str">
        <f>VLOOKUP(F750,辅助信息!A:B,2,FALSE)</f>
        <v>螺纹钢</v>
      </c>
      <c r="F750" s="33" t="s">
        <v>19</v>
      </c>
      <c r="G750" s="29">
        <v>24</v>
      </c>
      <c r="H750" s="29">
        <f>_xlfn._xlws.FILTER('[1]2025年已发货'!$E:$E,'[1]2025年已发货'!$F:$F&amp;'[1]2025年已发货'!$C:$C&amp;'[1]2025年已发货'!$G:$G&amp;'[1]2025年已发货'!$H:$H=C750&amp;F750&amp;I750&amp;J750,"未发货")</f>
        <v>24</v>
      </c>
      <c r="I750" s="33" t="str">
        <f>VLOOKUP(B750,辅助信息!E:I,3,FALSE)</f>
        <v>(五冶钢构医学科学产业园建设项目房建三部-一标（7-2）)四川省南充市顺庆区搬罾街道学府大道二段</v>
      </c>
      <c r="J750" s="33" t="str">
        <f>VLOOKUP(B750,辅助信息!E:I,4,FALSE)</f>
        <v>郑林</v>
      </c>
      <c r="K750" s="33">
        <f>VLOOKUP(J750,辅助信息!H:I,2,FALSE)</f>
        <v>18349955455</v>
      </c>
      <c r="L750" s="71"/>
      <c r="M750" s="93">
        <v>45716</v>
      </c>
      <c r="N750" s="50"/>
      <c r="O750" s="50">
        <f ca="1" t="shared" si="20"/>
        <v>0</v>
      </c>
      <c r="P750" s="50">
        <f ca="1" t="shared" si="21"/>
        <v>241</v>
      </c>
      <c r="Q750" s="19" t="str">
        <f>VLOOKUP(B750,辅助信息!E:M,9,FALSE)</f>
        <v>ZTWM-CDGS-XS-2024-0248-五冶钢构-南充市医学院项目</v>
      </c>
      <c r="R750" s="19"/>
    </row>
    <row r="751" hidden="1" spans="2:18">
      <c r="B751" s="33" t="s">
        <v>20</v>
      </c>
      <c r="C751" s="63">
        <v>45714</v>
      </c>
      <c r="D751" s="33" t="str">
        <f>VLOOKUP(B751,辅助信息!E:K,7,FALSE)</f>
        <v>JWDDCD2025051000019</v>
      </c>
      <c r="E751" s="33" t="str">
        <f>VLOOKUP(F751,辅助信息!A:B,2,FALSE)</f>
        <v>螺纹钢</v>
      </c>
      <c r="F751" s="33" t="s">
        <v>30</v>
      </c>
      <c r="G751" s="29">
        <v>30</v>
      </c>
      <c r="H751" s="29">
        <f>_xlfn._xlws.FILTER('[1]2025年已发货'!$E:$E,'[1]2025年已发货'!$F:$F&amp;'[1]2025年已发货'!$C:$C&amp;'[1]2025年已发货'!$G:$G&amp;'[1]2025年已发货'!$H:$H=C751&amp;F751&amp;I751&amp;J751,"未发货")</f>
        <v>30</v>
      </c>
      <c r="I751" s="33" t="str">
        <f>VLOOKUP(B751,辅助信息!E:I,3,FALSE)</f>
        <v>(五冶钢构医学科学产业园建设项目房建三部-一标（7-2）)四川省南充市顺庆区搬罾街道学府大道二段</v>
      </c>
      <c r="J751" s="33" t="str">
        <f>VLOOKUP(B751,辅助信息!E:I,4,FALSE)</f>
        <v>郑林</v>
      </c>
      <c r="K751" s="33">
        <f>VLOOKUP(J751,辅助信息!H:I,2,FALSE)</f>
        <v>18349955455</v>
      </c>
      <c r="L751" s="69"/>
      <c r="M751" s="93">
        <v>45716</v>
      </c>
      <c r="N751" s="50"/>
      <c r="O751" s="50">
        <f ca="1" t="shared" si="20"/>
        <v>0</v>
      </c>
      <c r="P751" s="55">
        <f ca="1" t="shared" si="21"/>
        <v>241</v>
      </c>
      <c r="Q751" s="19" t="str">
        <f>VLOOKUP(B751,辅助信息!E:M,9,FALSE)</f>
        <v>ZTWM-CDGS-XS-2024-0248-五冶钢构-南充市医学院项目</v>
      </c>
      <c r="R751" s="19"/>
    </row>
    <row r="752" hidden="1" spans="2:18">
      <c r="B752" s="33" t="s">
        <v>98</v>
      </c>
      <c r="C752" s="63">
        <v>45714</v>
      </c>
      <c r="D752" s="33" t="e">
        <f>VLOOKUP(B752,辅助信息!E:K,7,FALSE)</f>
        <v>#N/A</v>
      </c>
      <c r="E752" s="33" t="str">
        <f>VLOOKUP(F752,辅助信息!A:B,2,FALSE)</f>
        <v>盘螺</v>
      </c>
      <c r="F752" s="33" t="s">
        <v>41</v>
      </c>
      <c r="G752" s="29">
        <v>8</v>
      </c>
      <c r="H752" s="29" t="e">
        <f>_xlfn._xlws.FILTER('[1]2025年已发货'!$E:$E,'[1]2025年已发货'!$F:$F&amp;'[1]2025年已发货'!$C:$C&amp;'[1]2025年已发货'!$G:$G&amp;'[1]2025年已发货'!$H:$H=C752&amp;F752&amp;I752&amp;J752,"未发货")</f>
        <v>#N/A</v>
      </c>
      <c r="I752" s="33" t="e">
        <f>VLOOKUP(B752,辅助信息!E:I,3,FALSE)</f>
        <v>#N/A</v>
      </c>
      <c r="J752" s="33" t="e">
        <f>VLOOKUP(B752,辅助信息!E:I,4,FALSE)</f>
        <v>#N/A</v>
      </c>
      <c r="K752" s="33" t="e">
        <f>VLOOKUP(J752,辅助信息!H:I,2,FALSE)</f>
        <v>#N/A</v>
      </c>
      <c r="L752" s="70" t="e">
        <f>VLOOKUP(B752,辅助信息!E:J,6,FALSE)</f>
        <v>#N/A</v>
      </c>
      <c r="M752" s="93">
        <v>45716</v>
      </c>
      <c r="N752" s="50"/>
      <c r="O752" s="50">
        <f ca="1" t="shared" si="20"/>
        <v>0</v>
      </c>
      <c r="P752" s="55">
        <f ca="1" t="shared" si="21"/>
        <v>241</v>
      </c>
      <c r="Q752" s="19" t="e">
        <f>VLOOKUP(B752,辅助信息!E:M,9,FALSE)</f>
        <v>#N/A</v>
      </c>
      <c r="R752" s="19"/>
    </row>
    <row r="753" hidden="1" spans="2:18">
      <c r="B753" s="33" t="s">
        <v>98</v>
      </c>
      <c r="C753" s="63">
        <v>45714</v>
      </c>
      <c r="D753" s="33" t="e">
        <f>VLOOKUP(B753,辅助信息!E:K,7,FALSE)</f>
        <v>#N/A</v>
      </c>
      <c r="E753" s="33" t="str">
        <f>VLOOKUP(F753,辅助信息!A:B,2,FALSE)</f>
        <v>螺纹钢</v>
      </c>
      <c r="F753" s="33" t="s">
        <v>27</v>
      </c>
      <c r="G753" s="29">
        <v>8</v>
      </c>
      <c r="H753" s="29" t="e">
        <f>_xlfn._xlws.FILTER('[1]2025年已发货'!$E:$E,'[1]2025年已发货'!$F:$F&amp;'[1]2025年已发货'!$C:$C&amp;'[1]2025年已发货'!$G:$G&amp;'[1]2025年已发货'!$H:$H=C753&amp;F753&amp;I753&amp;J753,"未发货")</f>
        <v>#N/A</v>
      </c>
      <c r="I753" s="33" t="e">
        <f>VLOOKUP(B753,辅助信息!E:I,3,FALSE)</f>
        <v>#N/A</v>
      </c>
      <c r="J753" s="33" t="e">
        <f>VLOOKUP(B753,辅助信息!E:I,4,FALSE)</f>
        <v>#N/A</v>
      </c>
      <c r="K753" s="33" t="e">
        <f>VLOOKUP(J753,辅助信息!H:I,2,FALSE)</f>
        <v>#N/A</v>
      </c>
      <c r="L753" s="71"/>
      <c r="M753" s="93">
        <v>45716</v>
      </c>
      <c r="N753" s="50"/>
      <c r="O753" s="50">
        <f ca="1" t="shared" si="20"/>
        <v>0</v>
      </c>
      <c r="P753" s="55">
        <f ca="1" t="shared" si="21"/>
        <v>241</v>
      </c>
      <c r="Q753" s="19" t="e">
        <f>VLOOKUP(B753,辅助信息!E:M,9,FALSE)</f>
        <v>#N/A</v>
      </c>
      <c r="R753" s="19"/>
    </row>
    <row r="754" hidden="1" spans="2:18">
      <c r="B754" s="33" t="s">
        <v>98</v>
      </c>
      <c r="C754" s="63">
        <v>45714</v>
      </c>
      <c r="D754" s="33" t="e">
        <f>VLOOKUP(B754,辅助信息!E:K,7,FALSE)</f>
        <v>#N/A</v>
      </c>
      <c r="E754" s="33" t="str">
        <f>VLOOKUP(F754,辅助信息!A:B,2,FALSE)</f>
        <v>螺纹钢</v>
      </c>
      <c r="F754" s="33" t="s">
        <v>19</v>
      </c>
      <c r="G754" s="29">
        <v>20</v>
      </c>
      <c r="H754" s="29" t="e">
        <f>_xlfn._xlws.FILTER('[1]2025年已发货'!$E:$E,'[1]2025年已发货'!$F:$F&amp;'[1]2025年已发货'!$C:$C&amp;'[1]2025年已发货'!$G:$G&amp;'[1]2025年已发货'!$H:$H=C754&amp;F754&amp;I754&amp;J754,"未发货")</f>
        <v>#N/A</v>
      </c>
      <c r="I754" s="33" t="e">
        <f>VLOOKUP(B754,辅助信息!E:I,3,FALSE)</f>
        <v>#N/A</v>
      </c>
      <c r="J754" s="33" t="e">
        <f>VLOOKUP(B754,辅助信息!E:I,4,FALSE)</f>
        <v>#N/A</v>
      </c>
      <c r="K754" s="33" t="e">
        <f>VLOOKUP(J754,辅助信息!H:I,2,FALSE)</f>
        <v>#N/A</v>
      </c>
      <c r="L754" s="69"/>
      <c r="M754" s="93">
        <v>45716</v>
      </c>
      <c r="N754" s="50"/>
      <c r="O754" s="50">
        <f ca="1" t="shared" si="20"/>
        <v>0</v>
      </c>
      <c r="P754" s="55">
        <f ca="1" t="shared" si="21"/>
        <v>241</v>
      </c>
      <c r="Q754" s="19" t="e">
        <f>VLOOKUP(B754,辅助信息!E:M,9,FALSE)</f>
        <v>#N/A</v>
      </c>
      <c r="R754" s="19"/>
    </row>
    <row r="755" hidden="1" spans="2:18">
      <c r="B755" s="33" t="s">
        <v>31</v>
      </c>
      <c r="C755" s="63">
        <v>45715</v>
      </c>
      <c r="D755" s="33" t="str">
        <f>VLOOKUP(B755,辅助信息!E:K,7,FALSE)</f>
        <v>JWDDCD2024121000136</v>
      </c>
      <c r="E755" s="33" t="str">
        <f>VLOOKUP(F755,辅助信息!A:B,2,FALSE)</f>
        <v>盘螺</v>
      </c>
      <c r="F755" s="33" t="s">
        <v>40</v>
      </c>
      <c r="G755" s="29">
        <v>51</v>
      </c>
      <c r="H755" s="29">
        <f>_xlfn._xlws.FILTER('[1]2025年已发货'!$E:$E,'[1]2025年已发货'!$F:$F&amp;'[1]2025年已发货'!$C:$C&amp;'[1]2025年已发货'!$G:$G&amp;'[1]2025年已发货'!$H:$H=C755&amp;F755&amp;I755&amp;J755,"未发货")</f>
        <v>51</v>
      </c>
      <c r="I755" s="33" t="str">
        <f>VLOOKUP(B755,辅助信息!E:I,3,FALSE)</f>
        <v>（四川商建-射洪城乡一体化项目）遂宁市射洪市忠新幼儿园北侧约220米新溪小区</v>
      </c>
      <c r="J755" s="33" t="str">
        <f>VLOOKUP(B755,辅助信息!E:I,4,FALSE)</f>
        <v>柏子刚</v>
      </c>
      <c r="K755" s="33">
        <f>VLOOKUP(J755,辅助信息!H:I,2,FALSE)</f>
        <v>15692885305</v>
      </c>
      <c r="L755" s="73" t="str">
        <f>VLOOKUP(B755,辅助信息!E:J,6,FALSE)</f>
        <v>提前联系到场规格及数量</v>
      </c>
      <c r="M755" s="93">
        <v>45716</v>
      </c>
      <c r="N755" s="50"/>
      <c r="O755" s="50">
        <f ca="1" t="shared" si="20"/>
        <v>0</v>
      </c>
      <c r="P755" s="55">
        <f ca="1" t="shared" si="21"/>
        <v>241</v>
      </c>
      <c r="Q755" s="19" t="str">
        <f>VLOOKUP(B755,辅助信息!E:M,9,FALSE)</f>
        <v>ZTWM-CDGS-XS-2024-0179-四川商投-射洪城乡一体化建设项目</v>
      </c>
      <c r="R755" s="19"/>
    </row>
    <row r="756" hidden="1" spans="2:18">
      <c r="B756" s="33" t="s">
        <v>31</v>
      </c>
      <c r="C756" s="63">
        <v>45715</v>
      </c>
      <c r="D756" s="33" t="str">
        <f>VLOOKUP(B756,辅助信息!E:K,7,FALSE)</f>
        <v>JWDDCD2024121000136</v>
      </c>
      <c r="E756" s="33" t="str">
        <f>VLOOKUP(F756,辅助信息!A:B,2,FALSE)</f>
        <v>螺纹钢</v>
      </c>
      <c r="F756" s="33" t="s">
        <v>27</v>
      </c>
      <c r="G756" s="29">
        <v>27</v>
      </c>
      <c r="H756" s="29">
        <v>26</v>
      </c>
      <c r="I756" s="33" t="str">
        <f>VLOOKUP(B756,辅助信息!E:I,3,FALSE)</f>
        <v>（四川商建-射洪城乡一体化项目）遂宁市射洪市忠新幼儿园北侧约220米新溪小区</v>
      </c>
      <c r="J756" s="33" t="str">
        <f>VLOOKUP(B756,辅助信息!E:I,4,FALSE)</f>
        <v>柏子刚</v>
      </c>
      <c r="K756" s="33">
        <f>VLOOKUP(J756,辅助信息!H:I,2,FALSE)</f>
        <v>15692885305</v>
      </c>
      <c r="M756" s="93">
        <v>45716</v>
      </c>
      <c r="N756" s="50"/>
      <c r="O756" s="50">
        <f ca="1" t="shared" si="20"/>
        <v>0</v>
      </c>
      <c r="P756" s="55">
        <f ca="1" t="shared" si="21"/>
        <v>241</v>
      </c>
      <c r="Q756" s="19" t="str">
        <f>VLOOKUP(B756,辅助信息!E:M,9,FALSE)</f>
        <v>ZTWM-CDGS-XS-2024-0179-四川商投-射洪城乡一体化建设项目</v>
      </c>
      <c r="R756" s="19"/>
    </row>
    <row r="757" hidden="1" spans="2:18">
      <c r="B757" s="33" t="s">
        <v>31</v>
      </c>
      <c r="C757" s="63">
        <v>45715</v>
      </c>
      <c r="D757" s="33" t="str">
        <f>VLOOKUP(B757,辅助信息!E:K,7,FALSE)</f>
        <v>JWDDCD2024121000136</v>
      </c>
      <c r="E757" s="33" t="str">
        <f>VLOOKUP(F757,辅助信息!A:B,2,FALSE)</f>
        <v>螺纹钢</v>
      </c>
      <c r="F757" s="33" t="s">
        <v>30</v>
      </c>
      <c r="G757" s="29">
        <v>24</v>
      </c>
      <c r="H757" s="29">
        <f>_xlfn._xlws.FILTER('[1]2025年已发货'!$E:$E,'[1]2025年已发货'!$F:$F&amp;'[1]2025年已发货'!$C:$C&amp;'[1]2025年已发货'!$G:$G&amp;'[1]2025年已发货'!$H:$H=C757&amp;F757&amp;I757&amp;J757,"未发货")</f>
        <v>24</v>
      </c>
      <c r="I757" s="33" t="str">
        <f>VLOOKUP(B757,辅助信息!E:I,3,FALSE)</f>
        <v>（四川商建-射洪城乡一体化项目）遂宁市射洪市忠新幼儿园北侧约220米新溪小区</v>
      </c>
      <c r="J757" s="33" t="str">
        <f>VLOOKUP(B757,辅助信息!E:I,4,FALSE)</f>
        <v>柏子刚</v>
      </c>
      <c r="K757" s="33">
        <f>VLOOKUP(J757,辅助信息!H:I,2,FALSE)</f>
        <v>15692885305</v>
      </c>
      <c r="M757" s="93">
        <v>45716</v>
      </c>
      <c r="N757" s="50"/>
      <c r="O757" s="50">
        <f ca="1" t="shared" si="20"/>
        <v>0</v>
      </c>
      <c r="P757" s="55">
        <f ca="1" t="shared" si="21"/>
        <v>241</v>
      </c>
      <c r="Q757" s="19" t="str">
        <f>VLOOKUP(B757,辅助信息!E:M,9,FALSE)</f>
        <v>ZTWM-CDGS-XS-2024-0179-四川商投-射洪城乡一体化建设项目</v>
      </c>
      <c r="R757" s="19"/>
    </row>
    <row r="758" hidden="1" spans="2:18">
      <c r="B758" s="33" t="s">
        <v>31</v>
      </c>
      <c r="C758" s="63">
        <v>45715</v>
      </c>
      <c r="D758" s="33" t="str">
        <f>VLOOKUP(B758,辅助信息!E:K,7,FALSE)</f>
        <v>JWDDCD2024121000136</v>
      </c>
      <c r="E758" s="33" t="str">
        <f>VLOOKUP(F758,辅助信息!A:B,2,FALSE)</f>
        <v>螺纹钢</v>
      </c>
      <c r="F758" s="33" t="s">
        <v>18</v>
      </c>
      <c r="G758" s="29">
        <v>6</v>
      </c>
      <c r="H758" s="29">
        <f>_xlfn._xlws.FILTER('[1]2025年已发货'!$E:$E,'[1]2025年已发货'!$F:$F&amp;'[1]2025年已发货'!$C:$C&amp;'[1]2025年已发货'!$G:$G&amp;'[1]2025年已发货'!$H:$H=C758&amp;F758&amp;I758&amp;J758,"未发货")</f>
        <v>6</v>
      </c>
      <c r="I758" s="33" t="str">
        <f>VLOOKUP(B758,辅助信息!E:I,3,FALSE)</f>
        <v>（四川商建-射洪城乡一体化项目）遂宁市射洪市忠新幼儿园北侧约220米新溪小区</v>
      </c>
      <c r="J758" s="33" t="str">
        <f>VLOOKUP(B758,辅助信息!E:I,4,FALSE)</f>
        <v>柏子刚</v>
      </c>
      <c r="K758" s="33">
        <f>VLOOKUP(J758,辅助信息!H:I,2,FALSE)</f>
        <v>15692885305</v>
      </c>
      <c r="M758" s="93">
        <v>45716</v>
      </c>
      <c r="N758" s="50"/>
      <c r="O758" s="50">
        <f ca="1" t="shared" si="20"/>
        <v>0</v>
      </c>
      <c r="P758" s="55">
        <f ca="1" t="shared" si="21"/>
        <v>241</v>
      </c>
      <c r="Q758" s="19" t="str">
        <f>VLOOKUP(B758,辅助信息!E:M,9,FALSE)</f>
        <v>ZTWM-CDGS-XS-2024-0179-四川商投-射洪城乡一体化建设项目</v>
      </c>
      <c r="R758" s="19"/>
    </row>
    <row r="759" ht="45" hidden="1" customHeight="1" spans="2:18">
      <c r="B759" s="33" t="s">
        <v>75</v>
      </c>
      <c r="C759" s="63">
        <v>45715</v>
      </c>
      <c r="D759" s="33" t="e">
        <f>VLOOKUP(B759,辅助信息!E:K,7,FALSE)</f>
        <v>#N/A</v>
      </c>
      <c r="E759" s="33" t="str">
        <f>VLOOKUP(F759,辅助信息!A:B,2,FALSE)</f>
        <v>螺纹钢</v>
      </c>
      <c r="F759" s="33" t="s">
        <v>52</v>
      </c>
      <c r="G759" s="29">
        <v>35</v>
      </c>
      <c r="H759" s="29" t="e">
        <f>_xlfn._xlws.FILTER('[1]2025年已发货'!$E:$E,'[1]2025年已发货'!$F:$F&amp;'[1]2025年已发货'!$C:$C&amp;'[1]2025年已发货'!$G:$G&amp;'[1]2025年已发货'!$H:$H=C759&amp;F759&amp;I759&amp;J759,"未发货")</f>
        <v>#N/A</v>
      </c>
      <c r="I759" s="33" t="e">
        <f>VLOOKUP(B759,辅助信息!E:I,3,FALSE)</f>
        <v>#N/A</v>
      </c>
      <c r="J759" s="33" t="e">
        <f>VLOOKUP(B759,辅助信息!E:I,4,FALSE)</f>
        <v>#N/A</v>
      </c>
      <c r="K759" s="33" t="e">
        <f>VLOOKUP(J759,辅助信息!H:I,2,FALSE)</f>
        <v>#N/A</v>
      </c>
      <c r="L759" s="50" t="e">
        <f>VLOOKUP(B759,辅助信息!E:J,6,FALSE)</f>
        <v>#N/A</v>
      </c>
      <c r="M759" s="93">
        <v>45716</v>
      </c>
      <c r="N759" s="50"/>
      <c r="O759" s="50">
        <f ca="1" t="shared" si="20"/>
        <v>0</v>
      </c>
      <c r="P759" s="55">
        <f ca="1" t="shared" si="21"/>
        <v>241</v>
      </c>
      <c r="Q759" s="19" t="e">
        <f>VLOOKUP(B759,辅助信息!E:M,9,FALSE)</f>
        <v>#N/A</v>
      </c>
      <c r="R759" s="19"/>
    </row>
    <row r="760" hidden="1" spans="2:18">
      <c r="B760" s="33" t="s">
        <v>108</v>
      </c>
      <c r="C760" s="63">
        <v>45715</v>
      </c>
      <c r="D760" s="33" t="e">
        <f>VLOOKUP(B760,辅助信息!E:K,7,FALSE)</f>
        <v>#N/A</v>
      </c>
      <c r="E760" s="33" t="str">
        <f>VLOOKUP(F760,辅助信息!A:B,2,FALSE)</f>
        <v>高线</v>
      </c>
      <c r="F760" s="33" t="s">
        <v>53</v>
      </c>
      <c r="G760" s="29">
        <v>8</v>
      </c>
      <c r="H760" s="29" t="e">
        <f>_xlfn._xlws.FILTER('[1]2025年已发货'!$E:$E,'[1]2025年已发货'!$F:$F&amp;'[1]2025年已发货'!$C:$C&amp;'[1]2025年已发货'!$G:$G&amp;'[1]2025年已发货'!$H:$H=C760&amp;F760&amp;I760&amp;J760,"未发货")</f>
        <v>#N/A</v>
      </c>
      <c r="I760" s="33" t="e">
        <f>VLOOKUP(B760,辅助信息!E:I,3,FALSE)</f>
        <v>#N/A</v>
      </c>
      <c r="J760" s="33" t="e">
        <f>VLOOKUP(B760,辅助信息!E:I,4,FALSE)</f>
        <v>#N/A</v>
      </c>
      <c r="K760" s="33" t="e">
        <f>VLOOKUP(J760,辅助信息!H:I,2,FALSE)</f>
        <v>#N/A</v>
      </c>
      <c r="L760" s="50" t="e">
        <f>VLOOKUP(B760,辅助信息!E:J,6,FALSE)</f>
        <v>#N/A</v>
      </c>
      <c r="M760" s="93">
        <v>45717</v>
      </c>
      <c r="N760" s="50"/>
      <c r="O760" s="50">
        <f ca="1" t="shared" si="20"/>
        <v>0</v>
      </c>
      <c r="P760" s="55">
        <f ca="1" t="shared" si="21"/>
        <v>240</v>
      </c>
      <c r="Q760" s="19" t="e">
        <f>VLOOKUP(B760,辅助信息!E:M,9,FALSE)</f>
        <v>#N/A</v>
      </c>
      <c r="R760" s="19"/>
    </row>
    <row r="761" hidden="1" spans="2:18">
      <c r="B761" s="33" t="s">
        <v>108</v>
      </c>
      <c r="C761" s="63">
        <v>45715</v>
      </c>
      <c r="D761" s="33" t="e">
        <f>VLOOKUP(B761,辅助信息!E:K,7,FALSE)</f>
        <v>#N/A</v>
      </c>
      <c r="E761" s="33" t="str">
        <f>VLOOKUP(F761,辅助信息!A:B,2,FALSE)</f>
        <v>螺纹钢</v>
      </c>
      <c r="F761" s="33" t="s">
        <v>27</v>
      </c>
      <c r="G761" s="29">
        <v>36</v>
      </c>
      <c r="H761" s="29" t="e">
        <f>_xlfn._xlws.FILTER('[1]2025年已发货'!$E:$E,'[1]2025年已发货'!$F:$F&amp;'[1]2025年已发货'!$C:$C&amp;'[1]2025年已发货'!$G:$G&amp;'[1]2025年已发货'!$H:$H=C761&amp;F761&amp;I761&amp;J761,"未发货")</f>
        <v>#N/A</v>
      </c>
      <c r="I761" s="33" t="e">
        <f>VLOOKUP(B761,辅助信息!E:I,3,FALSE)</f>
        <v>#N/A</v>
      </c>
      <c r="J761" s="33" t="e">
        <f>VLOOKUP(B761,辅助信息!E:I,4,FALSE)</f>
        <v>#N/A</v>
      </c>
      <c r="K761" s="33" t="e">
        <f>VLOOKUP(J761,辅助信息!H:I,2,FALSE)</f>
        <v>#N/A</v>
      </c>
      <c r="M761" s="93">
        <v>45717</v>
      </c>
      <c r="N761" s="50"/>
      <c r="O761" s="50">
        <f ca="1" t="shared" si="20"/>
        <v>0</v>
      </c>
      <c r="P761" s="55">
        <f ca="1" t="shared" si="21"/>
        <v>240</v>
      </c>
      <c r="Q761" s="19" t="e">
        <f>VLOOKUP(B761,辅助信息!E:M,9,FALSE)</f>
        <v>#N/A</v>
      </c>
      <c r="R761" s="19"/>
    </row>
    <row r="762" hidden="1" spans="2:18">
      <c r="B762" s="33" t="s">
        <v>108</v>
      </c>
      <c r="C762" s="63">
        <v>45715</v>
      </c>
      <c r="D762" s="33" t="e">
        <f>VLOOKUP(B762,辅助信息!E:K,7,FALSE)</f>
        <v>#N/A</v>
      </c>
      <c r="E762" s="33" t="str">
        <f>VLOOKUP(F762,辅助信息!A:B,2,FALSE)</f>
        <v>螺纹钢</v>
      </c>
      <c r="F762" s="33" t="s">
        <v>32</v>
      </c>
      <c r="G762" s="29">
        <v>27</v>
      </c>
      <c r="H762" s="29" t="e">
        <f>_xlfn._xlws.FILTER('[1]2025年已发货'!$E:$E,'[1]2025年已发货'!$F:$F&amp;'[1]2025年已发货'!$C:$C&amp;'[1]2025年已发货'!$G:$G&amp;'[1]2025年已发货'!$H:$H=C762&amp;F762&amp;I762&amp;J762,"未发货")</f>
        <v>#N/A</v>
      </c>
      <c r="I762" s="33" t="e">
        <f>VLOOKUP(B762,辅助信息!E:I,3,FALSE)</f>
        <v>#N/A</v>
      </c>
      <c r="J762" s="33" t="e">
        <f>VLOOKUP(B762,辅助信息!E:I,4,FALSE)</f>
        <v>#N/A</v>
      </c>
      <c r="K762" s="33" t="e">
        <f>VLOOKUP(J762,辅助信息!H:I,2,FALSE)</f>
        <v>#N/A</v>
      </c>
      <c r="M762" s="93">
        <v>45717</v>
      </c>
      <c r="N762" s="50"/>
      <c r="O762" s="50">
        <f ca="1" t="shared" si="20"/>
        <v>0</v>
      </c>
      <c r="P762" s="55">
        <f ca="1" t="shared" si="21"/>
        <v>240</v>
      </c>
      <c r="Q762" s="19" t="e">
        <f>VLOOKUP(B762,辅助信息!E:M,9,FALSE)</f>
        <v>#N/A</v>
      </c>
      <c r="R762" s="19"/>
    </row>
    <row r="763" hidden="1" spans="2:18">
      <c r="B763" s="33" t="s">
        <v>108</v>
      </c>
      <c r="C763" s="63">
        <v>45715</v>
      </c>
      <c r="D763" s="33" t="e">
        <f>VLOOKUP(B763,辅助信息!E:K,7,FALSE)</f>
        <v>#N/A</v>
      </c>
      <c r="E763" s="33" t="str">
        <f>VLOOKUP(F763,辅助信息!A:B,2,FALSE)</f>
        <v>螺纹钢</v>
      </c>
      <c r="F763" s="33" t="s">
        <v>30</v>
      </c>
      <c r="G763" s="29">
        <v>60</v>
      </c>
      <c r="H763" s="29" t="e">
        <f>_xlfn._xlws.FILTER('[1]2025年已发货'!$E:$E,'[1]2025年已发货'!$F:$F&amp;'[1]2025年已发货'!$C:$C&amp;'[1]2025年已发货'!$G:$G&amp;'[1]2025年已发货'!$H:$H=C763&amp;F763&amp;I763&amp;J763,"未发货")</f>
        <v>#N/A</v>
      </c>
      <c r="I763" s="33" t="e">
        <f>VLOOKUP(B763,辅助信息!E:I,3,FALSE)</f>
        <v>#N/A</v>
      </c>
      <c r="J763" s="33" t="e">
        <f>VLOOKUP(B763,辅助信息!E:I,4,FALSE)</f>
        <v>#N/A</v>
      </c>
      <c r="K763" s="33" t="e">
        <f>VLOOKUP(J763,辅助信息!H:I,2,FALSE)</f>
        <v>#N/A</v>
      </c>
      <c r="M763" s="93">
        <v>45717</v>
      </c>
      <c r="N763" s="50"/>
      <c r="O763" s="50">
        <f ca="1" t="shared" si="20"/>
        <v>0</v>
      </c>
      <c r="P763" s="55">
        <f ca="1" t="shared" si="21"/>
        <v>240</v>
      </c>
      <c r="Q763" s="19" t="e">
        <f>VLOOKUP(B763,辅助信息!E:M,9,FALSE)</f>
        <v>#N/A</v>
      </c>
      <c r="R763" s="19"/>
    </row>
    <row r="764" hidden="1" spans="2:18">
      <c r="B764" s="33" t="s">
        <v>108</v>
      </c>
      <c r="C764" s="63">
        <v>45715</v>
      </c>
      <c r="D764" s="33" t="e">
        <f>VLOOKUP(B764,辅助信息!E:K,7,FALSE)</f>
        <v>#N/A</v>
      </c>
      <c r="E764" s="33" t="str">
        <f>VLOOKUP(F764,辅助信息!A:B,2,FALSE)</f>
        <v>螺纹钢</v>
      </c>
      <c r="F764" s="33" t="s">
        <v>52</v>
      </c>
      <c r="G764" s="29">
        <v>10</v>
      </c>
      <c r="H764" s="29" t="e">
        <f>_xlfn._xlws.FILTER('[1]2025年已发货'!$E:$E,'[1]2025年已发货'!$F:$F&amp;'[1]2025年已发货'!$C:$C&amp;'[1]2025年已发货'!$G:$G&amp;'[1]2025年已发货'!$H:$H=C764&amp;F764&amp;I764&amp;J764,"未发货")</f>
        <v>#N/A</v>
      </c>
      <c r="I764" s="33" t="e">
        <f>VLOOKUP(B764,辅助信息!E:I,3,FALSE)</f>
        <v>#N/A</v>
      </c>
      <c r="J764" s="33" t="e">
        <f>VLOOKUP(B764,辅助信息!E:I,4,FALSE)</f>
        <v>#N/A</v>
      </c>
      <c r="K764" s="33" t="e">
        <f>VLOOKUP(J764,辅助信息!H:I,2,FALSE)</f>
        <v>#N/A</v>
      </c>
      <c r="M764" s="93">
        <v>45717</v>
      </c>
      <c r="N764" s="50"/>
      <c r="O764" s="50">
        <f ca="1" t="shared" si="20"/>
        <v>0</v>
      </c>
      <c r="P764" s="55">
        <f ca="1" t="shared" si="21"/>
        <v>240</v>
      </c>
      <c r="Q764" s="19" t="e">
        <f>VLOOKUP(B764,辅助信息!E:M,9,FALSE)</f>
        <v>#N/A</v>
      </c>
      <c r="R764" s="19"/>
    </row>
    <row r="765" hidden="1" spans="2:18">
      <c r="B765" s="90" t="s">
        <v>69</v>
      </c>
      <c r="C765" s="63">
        <v>45715</v>
      </c>
      <c r="D765" s="33" t="str">
        <f>VLOOKUP(B765,辅助信息!E:K,7,FALSE)</f>
        <v>JWDDCD2025052800131</v>
      </c>
      <c r="E765" s="33" t="str">
        <f>VLOOKUP(F765,辅助信息!A:B,2,FALSE)</f>
        <v>盘螺</v>
      </c>
      <c r="F765" s="33" t="s">
        <v>40</v>
      </c>
      <c r="G765" s="29">
        <v>15</v>
      </c>
      <c r="H765" s="29">
        <f>_xlfn._xlws.FILTER('[1]2025年已发货'!$E:$E,'[1]2025年已发货'!$F:$F&amp;'[1]2025年已发货'!$C:$C&amp;'[1]2025年已发货'!$G:$G&amp;'[1]2025年已发货'!$H:$H=C765&amp;F765&amp;I765&amp;J765,"未发货")</f>
        <v>15</v>
      </c>
      <c r="I765" s="33" t="str">
        <f>VLOOKUP(B765,辅助信息!E:I,3,FALSE)</f>
        <v>（商投建工达州中医药科技园-4工区-2号楼）达州市通川区达州中医药职业学院犀牛大道北段</v>
      </c>
      <c r="J765" s="33" t="str">
        <f>VLOOKUP(B765,辅助信息!E:I,4,FALSE)</f>
        <v>张扬</v>
      </c>
      <c r="K765" s="33">
        <f>VLOOKUP(J765,辅助信息!H:I,2,FALSE)</f>
        <v>18381904567</v>
      </c>
      <c r="L765" s="50" t="str">
        <f>VLOOKUP(B765,辅助信息!E:J,6,FALSE)</f>
        <v>控制炉批号！多了现场不收！,优先安排达钢,提前联系到场规格及数量</v>
      </c>
      <c r="M765" s="93">
        <v>45716</v>
      </c>
      <c r="N765" s="50"/>
      <c r="O765" s="50">
        <f ca="1" t="shared" si="20"/>
        <v>0</v>
      </c>
      <c r="P765" s="55">
        <f ca="1" t="shared" si="21"/>
        <v>241</v>
      </c>
      <c r="Q765" s="19" t="str">
        <f>VLOOKUP(B765,辅助信息!E:M,9,FALSE)</f>
        <v>ZTWM-CDGS-XS-2024-0134-商投建工达州中医药科技成果示范园项目</v>
      </c>
      <c r="R765" s="19"/>
    </row>
    <row r="766" hidden="1" spans="2:18">
      <c r="B766" s="90" t="s">
        <v>69</v>
      </c>
      <c r="C766" s="63">
        <v>45715</v>
      </c>
      <c r="D766" s="33" t="str">
        <f>VLOOKUP(B766,辅助信息!E:K,7,FALSE)</f>
        <v>JWDDCD2025052800131</v>
      </c>
      <c r="E766" s="33" t="str">
        <f>VLOOKUP(F766,辅助信息!A:B,2,FALSE)</f>
        <v>盘螺</v>
      </c>
      <c r="F766" s="33" t="s">
        <v>41</v>
      </c>
      <c r="G766" s="29">
        <f>10*2.5</f>
        <v>25</v>
      </c>
      <c r="H766" s="29">
        <f>_xlfn._xlws.FILTER('[1]2025年已发货'!$E:$E,'[1]2025年已发货'!$F:$F&amp;'[1]2025年已发货'!$C:$C&amp;'[1]2025年已发货'!$G:$G&amp;'[1]2025年已发货'!$H:$H=C766&amp;F766&amp;I766&amp;J766,"未发货")</f>
        <v>25</v>
      </c>
      <c r="I766" s="33" t="str">
        <f>VLOOKUP(B766,辅助信息!E:I,3,FALSE)</f>
        <v>（商投建工达州中医药科技园-4工区-2号楼）达州市通川区达州中医药职业学院犀牛大道北段</v>
      </c>
      <c r="J766" s="33" t="str">
        <f>VLOOKUP(B766,辅助信息!E:I,4,FALSE)</f>
        <v>张扬</v>
      </c>
      <c r="K766" s="33">
        <f>VLOOKUP(J766,辅助信息!H:I,2,FALSE)</f>
        <v>18381904567</v>
      </c>
      <c r="M766" s="93">
        <v>45716</v>
      </c>
      <c r="N766" s="50"/>
      <c r="O766" s="50">
        <f ca="1" t="shared" si="20"/>
        <v>0</v>
      </c>
      <c r="P766" s="55">
        <f ca="1" t="shared" si="21"/>
        <v>241</v>
      </c>
      <c r="Q766" s="19" t="str">
        <f>VLOOKUP(B766,辅助信息!E:M,9,FALSE)</f>
        <v>ZTWM-CDGS-XS-2024-0134-商投建工达州中医药科技成果示范园项目</v>
      </c>
      <c r="R766" s="19"/>
    </row>
    <row r="767" hidden="1" spans="2:18">
      <c r="B767" s="33" t="s">
        <v>56</v>
      </c>
      <c r="C767" s="63">
        <v>45715</v>
      </c>
      <c r="D767" s="33" t="str">
        <f>VLOOKUP(B767,辅助信息!E:K,7,FALSE)</f>
        <v>JWDDCD2025052800131</v>
      </c>
      <c r="E767" s="33" t="str">
        <f>VLOOKUP(F767,辅助信息!A:B,2,FALSE)</f>
        <v>螺纹钢</v>
      </c>
      <c r="F767" s="33" t="s">
        <v>66</v>
      </c>
      <c r="G767" s="29">
        <v>12</v>
      </c>
      <c r="H767" s="29" t="str">
        <f>_xlfn._xlws.FILTER('[1]2025年已发货'!$E:$E,'[1]2025年已发货'!$F:$F&amp;'[1]2025年已发货'!$C:$C&amp;'[1]2025年已发货'!$G:$G&amp;'[1]2025年已发货'!$H:$H=C767&amp;F767&amp;I767&amp;J767,"未发货")</f>
        <v>未发货</v>
      </c>
      <c r="I767" s="33" t="str">
        <f>VLOOKUP(B767,辅助信息!E:I,3,FALSE)</f>
        <v>（商投建工达州中医药科技园-4工区-7号楼）达州市通川区达州中医药职业学院犀牛大道北段</v>
      </c>
      <c r="J767" s="33" t="str">
        <f>VLOOKUP(B767,辅助信息!E:I,4,FALSE)</f>
        <v>张扬</v>
      </c>
      <c r="K767" s="33">
        <f>VLOOKUP(J767,辅助信息!H:I,2,FALSE)</f>
        <v>18381904567</v>
      </c>
      <c r="L767" s="50" t="str">
        <f>VLOOKUP(B767,辅助信息!E:J,6,FALSE)</f>
        <v>控制炉批号！多了现场不收！,优先安排达钢,提前联系到场规格及数量</v>
      </c>
      <c r="M767" s="93">
        <v>45716</v>
      </c>
      <c r="N767" s="50"/>
      <c r="O767" s="50">
        <f ca="1" t="shared" si="20"/>
        <v>0</v>
      </c>
      <c r="P767" s="55">
        <f ca="1" t="shared" si="21"/>
        <v>241</v>
      </c>
      <c r="Q767" s="19" t="str">
        <f>VLOOKUP(B767,辅助信息!E:M,9,FALSE)</f>
        <v>ZTWM-CDGS-XS-2024-0134-商投建工达州中医药科技成果示范园项目</v>
      </c>
      <c r="R767" s="19"/>
    </row>
    <row r="768" hidden="1" spans="2:18">
      <c r="B768" s="33" t="s">
        <v>56</v>
      </c>
      <c r="C768" s="63">
        <v>45715</v>
      </c>
      <c r="D768" s="33" t="str">
        <f>VLOOKUP(B768,辅助信息!E:K,7,FALSE)</f>
        <v>JWDDCD2025052800131</v>
      </c>
      <c r="E768" s="33" t="str">
        <f>VLOOKUP(F768,辅助信息!A:B,2,FALSE)</f>
        <v>螺纹钢</v>
      </c>
      <c r="F768" s="33" t="s">
        <v>45</v>
      </c>
      <c r="G768" s="29">
        <v>12</v>
      </c>
      <c r="H768" s="29" t="str">
        <f>_xlfn._xlws.FILTER('[1]2025年已发货'!$E:$E,'[1]2025年已发货'!$F:$F&amp;'[1]2025年已发货'!$C:$C&amp;'[1]2025年已发货'!$G:$G&amp;'[1]2025年已发货'!$H:$H=C768&amp;F768&amp;I768&amp;J768,"未发货")</f>
        <v>未发货</v>
      </c>
      <c r="I768" s="33" t="str">
        <f>VLOOKUP(B768,辅助信息!E:I,3,FALSE)</f>
        <v>（商投建工达州中医药科技园-4工区-7号楼）达州市通川区达州中医药职业学院犀牛大道北段</v>
      </c>
      <c r="J768" s="33" t="str">
        <f>VLOOKUP(B768,辅助信息!E:I,4,FALSE)</f>
        <v>张扬</v>
      </c>
      <c r="K768" s="33">
        <f>VLOOKUP(J768,辅助信息!H:I,2,FALSE)</f>
        <v>18381904567</v>
      </c>
      <c r="M768" s="93">
        <v>45716</v>
      </c>
      <c r="N768" s="50"/>
      <c r="O768" s="50">
        <f ca="1" t="shared" si="20"/>
        <v>0</v>
      </c>
      <c r="P768" s="55">
        <f ca="1" t="shared" si="21"/>
        <v>241</v>
      </c>
      <c r="Q768" s="19" t="str">
        <f>VLOOKUP(B768,辅助信息!E:M,9,FALSE)</f>
        <v>ZTWM-CDGS-XS-2024-0134-商投建工达州中医药科技成果示范园项目</v>
      </c>
      <c r="R768" s="19"/>
    </row>
    <row r="769" hidden="1" spans="2:18">
      <c r="B769" s="33" t="s">
        <v>56</v>
      </c>
      <c r="C769" s="63">
        <v>45715</v>
      </c>
      <c r="D769" s="33" t="str">
        <f>VLOOKUP(B769,辅助信息!E:K,7,FALSE)</f>
        <v>JWDDCD2025052800131</v>
      </c>
      <c r="E769" s="33" t="str">
        <f>VLOOKUP(F769,辅助信息!A:B,2,FALSE)</f>
        <v>螺纹钢</v>
      </c>
      <c r="F769" s="33" t="s">
        <v>21</v>
      </c>
      <c r="G769" s="29">
        <v>15</v>
      </c>
      <c r="H769" s="29" t="str">
        <f>_xlfn._xlws.FILTER('[1]2025年已发货'!$E:$E,'[1]2025年已发货'!$F:$F&amp;'[1]2025年已发货'!$C:$C&amp;'[1]2025年已发货'!$G:$G&amp;'[1]2025年已发货'!$H:$H=C769&amp;F769&amp;I769&amp;J769,"未发货")</f>
        <v>未发货</v>
      </c>
      <c r="I769" s="33" t="str">
        <f>VLOOKUP(B769,辅助信息!E:I,3,FALSE)</f>
        <v>（商投建工达州中医药科技园-4工区-7号楼）达州市通川区达州中医药职业学院犀牛大道北段</v>
      </c>
      <c r="J769" s="33" t="str">
        <f>VLOOKUP(B769,辅助信息!E:I,4,FALSE)</f>
        <v>张扬</v>
      </c>
      <c r="K769" s="33">
        <f>VLOOKUP(J769,辅助信息!H:I,2,FALSE)</f>
        <v>18381904567</v>
      </c>
      <c r="M769" s="93">
        <v>45716</v>
      </c>
      <c r="N769" s="50"/>
      <c r="O769" s="50">
        <f ca="1" t="shared" si="20"/>
        <v>0</v>
      </c>
      <c r="P769" s="55">
        <f ca="1" t="shared" si="21"/>
        <v>241</v>
      </c>
      <c r="Q769" s="19" t="str">
        <f>VLOOKUP(B769,辅助信息!E:M,9,FALSE)</f>
        <v>ZTWM-CDGS-XS-2024-0134-商投建工达州中医药科技成果示范园项目</v>
      </c>
      <c r="R769" s="19"/>
    </row>
    <row r="770" hidden="1" spans="2:18">
      <c r="B770" s="33" t="s">
        <v>56</v>
      </c>
      <c r="C770" s="63">
        <v>45715</v>
      </c>
      <c r="D770" s="33" t="str">
        <f>VLOOKUP(B770,辅助信息!E:K,7,FALSE)</f>
        <v>JWDDCD2025052800131</v>
      </c>
      <c r="E770" s="33" t="str">
        <f>VLOOKUP(F770,辅助信息!A:B,2,FALSE)</f>
        <v>螺纹钢</v>
      </c>
      <c r="F770" s="33" t="s">
        <v>58</v>
      </c>
      <c r="G770" s="29">
        <v>12</v>
      </c>
      <c r="H770" s="29" t="str">
        <f>_xlfn._xlws.FILTER('[1]2025年已发货'!$E:$E,'[1]2025年已发货'!$F:$F&amp;'[1]2025年已发货'!$C:$C&amp;'[1]2025年已发货'!$G:$G&amp;'[1]2025年已发货'!$H:$H=C770&amp;F770&amp;I770&amp;J770,"未发货")</f>
        <v>未发货</v>
      </c>
      <c r="I770" s="33" t="str">
        <f>VLOOKUP(B770,辅助信息!E:I,3,FALSE)</f>
        <v>（商投建工达州中医药科技园-4工区-7号楼）达州市通川区达州中医药职业学院犀牛大道北段</v>
      </c>
      <c r="J770" s="33" t="str">
        <f>VLOOKUP(B770,辅助信息!E:I,4,FALSE)</f>
        <v>张扬</v>
      </c>
      <c r="K770" s="33">
        <f>VLOOKUP(J770,辅助信息!H:I,2,FALSE)</f>
        <v>18381904567</v>
      </c>
      <c r="M770" s="93">
        <v>45716</v>
      </c>
      <c r="N770" s="50"/>
      <c r="O770" s="50">
        <f ca="1" t="shared" si="20"/>
        <v>0</v>
      </c>
      <c r="P770" s="55">
        <f ca="1" t="shared" si="21"/>
        <v>241</v>
      </c>
      <c r="Q770" s="19" t="str">
        <f>VLOOKUP(B770,辅助信息!E:M,9,FALSE)</f>
        <v>ZTWM-CDGS-XS-2024-0134-商投建工达州中医药科技成果示范园项目</v>
      </c>
      <c r="R770" s="19"/>
    </row>
    <row r="771" hidden="1" spans="2:18">
      <c r="B771" s="33" t="s">
        <v>56</v>
      </c>
      <c r="C771" s="63">
        <v>45715</v>
      </c>
      <c r="D771" s="33" t="str">
        <f>VLOOKUP(B771,辅助信息!E:K,7,FALSE)</f>
        <v>JWDDCD2025052800131</v>
      </c>
      <c r="E771" s="33" t="str">
        <f>VLOOKUP(F771,辅助信息!A:B,2,FALSE)</f>
        <v>螺纹钢</v>
      </c>
      <c r="F771" s="33" t="s">
        <v>46</v>
      </c>
      <c r="G771" s="29">
        <v>15</v>
      </c>
      <c r="H771" s="29" t="str">
        <f>_xlfn._xlws.FILTER('[1]2025年已发货'!$E:$E,'[1]2025年已发货'!$F:$F&amp;'[1]2025年已发货'!$C:$C&amp;'[1]2025年已发货'!$G:$G&amp;'[1]2025年已发货'!$H:$H=C771&amp;F771&amp;I771&amp;J771,"未发货")</f>
        <v>未发货</v>
      </c>
      <c r="I771" s="33" t="str">
        <f>VLOOKUP(B771,辅助信息!E:I,3,FALSE)</f>
        <v>（商投建工达州中医药科技园-4工区-7号楼）达州市通川区达州中医药职业学院犀牛大道北段</v>
      </c>
      <c r="J771" s="33" t="str">
        <f>VLOOKUP(B771,辅助信息!E:I,4,FALSE)</f>
        <v>张扬</v>
      </c>
      <c r="K771" s="33">
        <f>VLOOKUP(J771,辅助信息!H:I,2,FALSE)</f>
        <v>18381904567</v>
      </c>
      <c r="M771" s="93">
        <v>45716</v>
      </c>
      <c r="N771" s="50"/>
      <c r="O771" s="50">
        <f ca="1" t="shared" si="20"/>
        <v>0</v>
      </c>
      <c r="P771" s="55">
        <f ca="1" t="shared" si="21"/>
        <v>241</v>
      </c>
      <c r="Q771" s="19" t="str">
        <f>VLOOKUP(B771,辅助信息!E:M,9,FALSE)</f>
        <v>ZTWM-CDGS-XS-2024-0134-商投建工达州中医药科技成果示范园项目</v>
      </c>
      <c r="R771" s="19"/>
    </row>
    <row r="772" hidden="1" spans="2:18">
      <c r="B772" s="76" t="s">
        <v>56</v>
      </c>
      <c r="C772" s="77">
        <v>45715</v>
      </c>
      <c r="D772" s="76" t="str">
        <f>VLOOKUP(B772,辅助信息!E:K,7,FALSE)</f>
        <v>JWDDCD2025052800131</v>
      </c>
      <c r="E772" s="76" t="str">
        <f>VLOOKUP(F772,辅助信息!A:B,2,FALSE)</f>
        <v>螺纹钢</v>
      </c>
      <c r="F772" s="76" t="s">
        <v>22</v>
      </c>
      <c r="G772" s="78">
        <v>12</v>
      </c>
      <c r="H772" s="78" t="str">
        <f>_xlfn._xlws.FILTER('[1]2025年已发货'!$E:$E,'[1]2025年已发货'!$F:$F&amp;'[1]2025年已发货'!$C:$C&amp;'[1]2025年已发货'!$G:$G&amp;'[1]2025年已发货'!$H:$H=C772&amp;F772&amp;I772&amp;J772,"未发货")</f>
        <v>未发货</v>
      </c>
      <c r="I772" s="76" t="str">
        <f>VLOOKUP(B772,辅助信息!E:I,3,FALSE)</f>
        <v>（商投建工达州中医药科技园-4工区-7号楼）达州市通川区达州中医药职业学院犀牛大道北段</v>
      </c>
      <c r="J772" s="76" t="str">
        <f>VLOOKUP(B772,辅助信息!E:I,4,FALSE)</f>
        <v>张扬</v>
      </c>
      <c r="K772" s="76">
        <f>VLOOKUP(J772,辅助信息!H:I,2,FALSE)</f>
        <v>18381904567</v>
      </c>
      <c r="M772" s="93">
        <v>45716</v>
      </c>
      <c r="N772" s="50"/>
      <c r="O772" s="50">
        <f ca="1" t="shared" si="20"/>
        <v>0</v>
      </c>
      <c r="P772" s="55">
        <f ca="1" t="shared" si="21"/>
        <v>241</v>
      </c>
      <c r="Q772" s="19" t="str">
        <f>VLOOKUP(B772,辅助信息!E:M,9,FALSE)</f>
        <v>ZTWM-CDGS-XS-2024-0134-商投建工达州中医药科技成果示范园项目</v>
      </c>
      <c r="R772" s="19"/>
    </row>
    <row r="773" ht="45" hidden="1" customHeight="1" spans="2:18">
      <c r="B773" s="33" t="s">
        <v>75</v>
      </c>
      <c r="C773" s="63">
        <v>45716</v>
      </c>
      <c r="D773" s="33" t="e">
        <f>VLOOKUP(B773,辅助信息!E:K,7,FALSE)</f>
        <v>#N/A</v>
      </c>
      <c r="E773" s="33" t="str">
        <f>VLOOKUP(F773,辅助信息!A:B,2,FALSE)</f>
        <v>螺纹钢</v>
      </c>
      <c r="F773" s="33" t="s">
        <v>52</v>
      </c>
      <c r="G773" s="29">
        <v>35</v>
      </c>
      <c r="H773" s="29" t="e">
        <f>_xlfn._xlws.FILTER('[1]2025年已发货'!$E:$E,'[1]2025年已发货'!$F:$F&amp;'[1]2025年已发货'!$C:$C&amp;'[1]2025年已发货'!$G:$G&amp;'[1]2025年已发货'!$H:$H=C773&amp;F773&amp;I773&amp;J773,"未发货")</f>
        <v>#N/A</v>
      </c>
      <c r="I773" s="33" t="e">
        <f>VLOOKUP(B773,辅助信息!E:I,3,FALSE)</f>
        <v>#N/A</v>
      </c>
      <c r="J773" s="33" t="e">
        <f>VLOOKUP(B773,辅助信息!E:I,4,FALSE)</f>
        <v>#N/A</v>
      </c>
      <c r="K773" s="33" t="e">
        <f>VLOOKUP(J773,辅助信息!H:I,2,FALSE)</f>
        <v>#N/A</v>
      </c>
      <c r="L773" s="70" t="e">
        <f>VLOOKUP(B773,辅助信息!E:J,6,FALSE)</f>
        <v>#N/A</v>
      </c>
      <c r="M773" s="93">
        <v>45716</v>
      </c>
      <c r="N773" s="50"/>
      <c r="O773" s="50">
        <f ca="1" t="shared" si="20"/>
        <v>0</v>
      </c>
      <c r="P773" s="55">
        <f ca="1" t="shared" si="21"/>
        <v>241</v>
      </c>
      <c r="Q773" s="19" t="e">
        <f>VLOOKUP(B773,辅助信息!E:M,9,FALSE)</f>
        <v>#N/A</v>
      </c>
      <c r="R773" s="19"/>
    </row>
    <row r="774" hidden="1" spans="2:18">
      <c r="B774" s="33" t="s">
        <v>108</v>
      </c>
      <c r="C774" s="63">
        <v>45719</v>
      </c>
      <c r="D774" s="33" t="e">
        <f>VLOOKUP(B774,辅助信息!E:K,7,FALSE)</f>
        <v>#N/A</v>
      </c>
      <c r="E774" s="33" t="str">
        <f>VLOOKUP(F774,辅助信息!A:B,2,FALSE)</f>
        <v>高线</v>
      </c>
      <c r="F774" s="33" t="s">
        <v>53</v>
      </c>
      <c r="G774" s="29">
        <v>8</v>
      </c>
      <c r="H774" s="29" t="e">
        <f>_xlfn._xlws.FILTER('[1]2025年已发货'!$E:$E,'[1]2025年已发货'!$F:$F&amp;'[1]2025年已发货'!$C:$C&amp;'[1]2025年已发货'!$G:$G&amp;'[1]2025年已发货'!$H:$H=C774&amp;F774&amp;I774&amp;J774,"未发货")</f>
        <v>#N/A</v>
      </c>
      <c r="I774" s="33" t="e">
        <f>VLOOKUP(B774,辅助信息!E:I,3,FALSE)</f>
        <v>#N/A</v>
      </c>
      <c r="J774" s="33" t="e">
        <f>VLOOKUP(B774,辅助信息!E:I,4,FALSE)</f>
        <v>#N/A</v>
      </c>
      <c r="K774" s="33" t="e">
        <f>VLOOKUP(J774,辅助信息!H:I,2,FALSE)</f>
        <v>#N/A</v>
      </c>
      <c r="L774" s="70" t="e">
        <f>VLOOKUP(B774,辅助信息!E:J,6,FALSE)</f>
        <v>#N/A</v>
      </c>
      <c r="M774" s="84">
        <v>45717</v>
      </c>
      <c r="O774" s="55">
        <f ca="1" t="shared" si="20"/>
        <v>0</v>
      </c>
      <c r="P774" s="55">
        <f ca="1" t="shared" si="21"/>
        <v>240</v>
      </c>
      <c r="Q774" s="19" t="e">
        <f>VLOOKUP(B774,辅助信息!E:M,9,FALSE)</f>
        <v>#N/A</v>
      </c>
      <c r="R774" s="19"/>
    </row>
    <row r="775" hidden="1" spans="2:18">
      <c r="B775" s="33" t="s">
        <v>108</v>
      </c>
      <c r="C775" s="63">
        <v>45719</v>
      </c>
      <c r="D775" s="33" t="e">
        <f>VLOOKUP(B775,辅助信息!E:K,7,FALSE)</f>
        <v>#N/A</v>
      </c>
      <c r="E775" s="33" t="str">
        <f>VLOOKUP(F775,辅助信息!A:B,2,FALSE)</f>
        <v>螺纹钢</v>
      </c>
      <c r="F775" s="33" t="s">
        <v>27</v>
      </c>
      <c r="G775" s="29">
        <v>36</v>
      </c>
      <c r="H775" s="29" t="e">
        <f>_xlfn._xlws.FILTER('[1]2025年已发货'!$E:$E,'[1]2025年已发货'!$F:$F&amp;'[1]2025年已发货'!$C:$C&amp;'[1]2025年已发货'!$G:$G&amp;'[1]2025年已发货'!$H:$H=C775&amp;F775&amp;I775&amp;J775,"未发货")</f>
        <v>#N/A</v>
      </c>
      <c r="I775" s="33" t="e">
        <f>VLOOKUP(B775,辅助信息!E:I,3,FALSE)</f>
        <v>#N/A</v>
      </c>
      <c r="J775" s="33" t="e">
        <f>VLOOKUP(B775,辅助信息!E:I,4,FALSE)</f>
        <v>#N/A</v>
      </c>
      <c r="K775" s="33" t="e">
        <f>VLOOKUP(J775,辅助信息!H:I,2,FALSE)</f>
        <v>#N/A</v>
      </c>
      <c r="L775" s="71"/>
      <c r="M775" s="84">
        <v>45717</v>
      </c>
      <c r="O775" s="55">
        <f ca="1" t="shared" si="20"/>
        <v>0</v>
      </c>
      <c r="P775" s="55">
        <f ca="1" t="shared" si="21"/>
        <v>240</v>
      </c>
      <c r="Q775" s="19" t="e">
        <f>VLOOKUP(B775,辅助信息!E:M,9,FALSE)</f>
        <v>#N/A</v>
      </c>
      <c r="R775" s="19"/>
    </row>
    <row r="776" hidden="1" spans="2:18">
      <c r="B776" s="33" t="s">
        <v>108</v>
      </c>
      <c r="C776" s="63">
        <v>45719</v>
      </c>
      <c r="D776" s="33" t="e">
        <f>VLOOKUP(B776,辅助信息!E:K,7,FALSE)</f>
        <v>#N/A</v>
      </c>
      <c r="E776" s="33" t="str">
        <f>VLOOKUP(F776,辅助信息!A:B,2,FALSE)</f>
        <v>螺纹钢</v>
      </c>
      <c r="F776" s="33" t="s">
        <v>32</v>
      </c>
      <c r="G776" s="29">
        <v>27</v>
      </c>
      <c r="H776" s="29" t="e">
        <f>_xlfn._xlws.FILTER('[1]2025年已发货'!$E:$E,'[1]2025年已发货'!$F:$F&amp;'[1]2025年已发货'!$C:$C&amp;'[1]2025年已发货'!$G:$G&amp;'[1]2025年已发货'!$H:$H=C776&amp;F776&amp;I776&amp;J776,"未发货")</f>
        <v>#N/A</v>
      </c>
      <c r="I776" s="33" t="e">
        <f>VLOOKUP(B776,辅助信息!E:I,3,FALSE)</f>
        <v>#N/A</v>
      </c>
      <c r="J776" s="33" t="e">
        <f>VLOOKUP(B776,辅助信息!E:I,4,FALSE)</f>
        <v>#N/A</v>
      </c>
      <c r="K776" s="33" t="e">
        <f>VLOOKUP(J776,辅助信息!H:I,2,FALSE)</f>
        <v>#N/A</v>
      </c>
      <c r="L776" s="71"/>
      <c r="M776" s="84">
        <v>45717</v>
      </c>
      <c r="O776" s="55">
        <f ca="1" t="shared" si="20"/>
        <v>0</v>
      </c>
      <c r="P776" s="55">
        <f ca="1" t="shared" si="21"/>
        <v>240</v>
      </c>
      <c r="Q776" s="19" t="e">
        <f>VLOOKUP(B776,辅助信息!E:M,9,FALSE)</f>
        <v>#N/A</v>
      </c>
      <c r="R776" s="19"/>
    </row>
    <row r="777" hidden="1" spans="2:18">
      <c r="B777" s="33" t="s">
        <v>108</v>
      </c>
      <c r="C777" s="63">
        <v>45719</v>
      </c>
      <c r="D777" s="33" t="e">
        <f>VLOOKUP(B777,辅助信息!E:K,7,FALSE)</f>
        <v>#N/A</v>
      </c>
      <c r="E777" s="33" t="str">
        <f>VLOOKUP(F777,辅助信息!A:B,2,FALSE)</f>
        <v>螺纹钢</v>
      </c>
      <c r="F777" s="33" t="s">
        <v>30</v>
      </c>
      <c r="G777" s="29">
        <v>60</v>
      </c>
      <c r="H777" s="29" t="e">
        <f>_xlfn._xlws.FILTER('[1]2025年已发货'!$E:$E,'[1]2025年已发货'!$F:$F&amp;'[1]2025年已发货'!$C:$C&amp;'[1]2025年已发货'!$G:$G&amp;'[1]2025年已发货'!$H:$H=C777&amp;F777&amp;I777&amp;J777,"未发货")</f>
        <v>#N/A</v>
      </c>
      <c r="I777" s="33" t="e">
        <f>VLOOKUP(B777,辅助信息!E:I,3,FALSE)</f>
        <v>#N/A</v>
      </c>
      <c r="J777" s="33" t="e">
        <f>VLOOKUP(B777,辅助信息!E:I,4,FALSE)</f>
        <v>#N/A</v>
      </c>
      <c r="K777" s="33" t="e">
        <f>VLOOKUP(J777,辅助信息!H:I,2,FALSE)</f>
        <v>#N/A</v>
      </c>
      <c r="L777" s="71"/>
      <c r="M777" s="84">
        <v>45717</v>
      </c>
      <c r="O777" s="55">
        <f ca="1" t="shared" si="20"/>
        <v>0</v>
      </c>
      <c r="P777" s="55">
        <f ca="1" t="shared" si="21"/>
        <v>240</v>
      </c>
      <c r="Q777" s="19" t="e">
        <f>VLOOKUP(B777,辅助信息!E:M,9,FALSE)</f>
        <v>#N/A</v>
      </c>
      <c r="R777" s="19"/>
    </row>
    <row r="778" hidden="1" spans="2:18">
      <c r="B778" s="33" t="s">
        <v>108</v>
      </c>
      <c r="C778" s="63">
        <v>45719</v>
      </c>
      <c r="D778" s="33" t="e">
        <f>VLOOKUP(B778,辅助信息!E:K,7,FALSE)</f>
        <v>#N/A</v>
      </c>
      <c r="E778" s="33" t="str">
        <f>VLOOKUP(F778,辅助信息!A:B,2,FALSE)</f>
        <v>螺纹钢</v>
      </c>
      <c r="F778" s="33" t="s">
        <v>52</v>
      </c>
      <c r="G778" s="29">
        <v>10</v>
      </c>
      <c r="H778" s="29" t="e">
        <f>_xlfn._xlws.FILTER('[1]2025年已发货'!$E:$E,'[1]2025年已发货'!$F:$F&amp;'[1]2025年已发货'!$C:$C&amp;'[1]2025年已发货'!$G:$G&amp;'[1]2025年已发货'!$H:$H=C778&amp;F778&amp;I778&amp;J778,"未发货")</f>
        <v>#N/A</v>
      </c>
      <c r="I778" s="33" t="e">
        <f>VLOOKUP(B778,辅助信息!E:I,3,FALSE)</f>
        <v>#N/A</v>
      </c>
      <c r="J778" s="33" t="e">
        <f>VLOOKUP(B778,辅助信息!E:I,4,FALSE)</f>
        <v>#N/A</v>
      </c>
      <c r="K778" s="33" t="e">
        <f>VLOOKUP(J778,辅助信息!H:I,2,FALSE)</f>
        <v>#N/A</v>
      </c>
      <c r="L778" s="69"/>
      <c r="M778" s="84">
        <v>45717</v>
      </c>
      <c r="O778" s="55">
        <f ca="1" t="shared" si="20"/>
        <v>0</v>
      </c>
      <c r="P778" s="55">
        <f ca="1" t="shared" si="21"/>
        <v>240</v>
      </c>
      <c r="Q778" s="19" t="e">
        <f>VLOOKUP(B778,辅助信息!E:M,9,FALSE)</f>
        <v>#N/A</v>
      </c>
      <c r="R778" s="19"/>
    </row>
    <row r="779" hidden="1" spans="2:18">
      <c r="B779" s="33" t="s">
        <v>56</v>
      </c>
      <c r="C779" s="63">
        <v>45719</v>
      </c>
      <c r="D779" s="33" t="str">
        <f>VLOOKUP(B779,辅助信息!E:K,7,FALSE)</f>
        <v>JWDDCD2025052800131</v>
      </c>
      <c r="E779" s="33" t="str">
        <f>VLOOKUP(F779,辅助信息!A:B,2,FALSE)</f>
        <v>螺纹钢</v>
      </c>
      <c r="F779" s="33" t="s">
        <v>66</v>
      </c>
      <c r="G779" s="29">
        <v>12</v>
      </c>
      <c r="H779" s="29">
        <f>_xlfn._xlws.FILTER('[1]2025年已发货'!$E:$E,'[1]2025年已发货'!$F:$F&amp;'[1]2025年已发货'!$C:$C&amp;'[1]2025年已发货'!$G:$G&amp;'[1]2025年已发货'!$H:$H=C779&amp;F779&amp;I779&amp;J779,"未发货")</f>
        <v>12</v>
      </c>
      <c r="I779" s="33" t="str">
        <f>VLOOKUP(B779,辅助信息!E:I,3,FALSE)</f>
        <v>（商投建工达州中医药科技园-4工区-7号楼）达州市通川区达州中医药职业学院犀牛大道北段</v>
      </c>
      <c r="J779" s="33" t="str">
        <f>VLOOKUP(B779,辅助信息!E:I,4,FALSE)</f>
        <v>张扬</v>
      </c>
      <c r="K779" s="33">
        <f>VLOOKUP(J779,辅助信息!H:I,2,FALSE)</f>
        <v>18381904567</v>
      </c>
      <c r="L779" s="70" t="str">
        <f>VLOOKUP(B779,辅助信息!E:J,6,FALSE)</f>
        <v>控制炉批号！多了现场不收！,优先安排达钢,提前联系到场规格及数量</v>
      </c>
      <c r="M779" s="84">
        <v>45716</v>
      </c>
      <c r="O779" s="55">
        <f ca="1" t="shared" si="20"/>
        <v>0</v>
      </c>
      <c r="P779" s="55">
        <f ca="1" t="shared" si="21"/>
        <v>241</v>
      </c>
      <c r="Q779" s="19" t="str">
        <f>VLOOKUP(B779,辅助信息!E:M,9,FALSE)</f>
        <v>ZTWM-CDGS-XS-2024-0134-商投建工达州中医药科技成果示范园项目</v>
      </c>
      <c r="R779" s="19"/>
    </row>
    <row r="780" hidden="1" spans="2:18">
      <c r="B780" s="33" t="s">
        <v>56</v>
      </c>
      <c r="C780" s="63">
        <v>45719</v>
      </c>
      <c r="D780" s="33" t="str">
        <f>VLOOKUP(B780,辅助信息!E:K,7,FALSE)</f>
        <v>JWDDCD2025052800131</v>
      </c>
      <c r="E780" s="33" t="str">
        <f>VLOOKUP(F780,辅助信息!A:B,2,FALSE)</f>
        <v>螺纹钢</v>
      </c>
      <c r="F780" s="33" t="s">
        <v>45</v>
      </c>
      <c r="G780" s="29">
        <v>12</v>
      </c>
      <c r="H780" s="29" t="str">
        <f>_xlfn._xlws.FILTER('[1]2025年已发货'!$E:$E,'[1]2025年已发货'!$F:$F&amp;'[1]2025年已发货'!$C:$C&amp;'[1]2025年已发货'!$G:$G&amp;'[1]2025年已发货'!$H:$H=C780&amp;F780&amp;I780&amp;J780,"未发货")</f>
        <v>未发货</v>
      </c>
      <c r="I780" s="33" t="str">
        <f>VLOOKUP(B780,辅助信息!E:I,3,FALSE)</f>
        <v>（商投建工达州中医药科技园-4工区-7号楼）达州市通川区达州中医药职业学院犀牛大道北段</v>
      </c>
      <c r="J780" s="33" t="str">
        <f>VLOOKUP(B780,辅助信息!E:I,4,FALSE)</f>
        <v>张扬</v>
      </c>
      <c r="K780" s="33">
        <f>VLOOKUP(J780,辅助信息!H:I,2,FALSE)</f>
        <v>18381904567</v>
      </c>
      <c r="L780" s="71"/>
      <c r="M780" s="84">
        <v>45716</v>
      </c>
      <c r="O780" s="55">
        <f ca="1" t="shared" si="20"/>
        <v>0</v>
      </c>
      <c r="P780" s="55">
        <f ca="1" t="shared" si="21"/>
        <v>241</v>
      </c>
      <c r="Q780" s="19" t="str">
        <f>VLOOKUP(B780,辅助信息!E:M,9,FALSE)</f>
        <v>ZTWM-CDGS-XS-2024-0134-商投建工达州中医药科技成果示范园项目</v>
      </c>
      <c r="R780" s="19"/>
    </row>
    <row r="781" hidden="1" spans="2:18">
      <c r="B781" s="33" t="s">
        <v>56</v>
      </c>
      <c r="C781" s="63">
        <v>45719</v>
      </c>
      <c r="D781" s="33" t="str">
        <f>VLOOKUP(B781,辅助信息!E:K,7,FALSE)</f>
        <v>JWDDCD2025052800131</v>
      </c>
      <c r="E781" s="33" t="str">
        <f>VLOOKUP(F781,辅助信息!A:B,2,FALSE)</f>
        <v>螺纹钢</v>
      </c>
      <c r="F781" s="33" t="s">
        <v>21</v>
      </c>
      <c r="G781" s="29">
        <v>15</v>
      </c>
      <c r="H781" s="29" t="str">
        <f>_xlfn._xlws.FILTER('[1]2025年已发货'!$E:$E,'[1]2025年已发货'!$F:$F&amp;'[1]2025年已发货'!$C:$C&amp;'[1]2025年已发货'!$G:$G&amp;'[1]2025年已发货'!$H:$H=C781&amp;F781&amp;I781&amp;J781,"未发货")</f>
        <v>未发货</v>
      </c>
      <c r="I781" s="33" t="str">
        <f>VLOOKUP(B781,辅助信息!E:I,3,FALSE)</f>
        <v>（商投建工达州中医药科技园-4工区-7号楼）达州市通川区达州中医药职业学院犀牛大道北段</v>
      </c>
      <c r="J781" s="33" t="str">
        <f>VLOOKUP(B781,辅助信息!E:I,4,FALSE)</f>
        <v>张扬</v>
      </c>
      <c r="K781" s="33">
        <f>VLOOKUP(J781,辅助信息!H:I,2,FALSE)</f>
        <v>18381904567</v>
      </c>
      <c r="L781" s="71"/>
      <c r="M781" s="84">
        <v>45716</v>
      </c>
      <c r="O781" s="55">
        <f ca="1" t="shared" si="20"/>
        <v>0</v>
      </c>
      <c r="P781" s="55">
        <f ca="1" t="shared" si="21"/>
        <v>241</v>
      </c>
      <c r="Q781" s="19" t="str">
        <f>VLOOKUP(B781,辅助信息!E:M,9,FALSE)</f>
        <v>ZTWM-CDGS-XS-2024-0134-商投建工达州中医药科技成果示范园项目</v>
      </c>
      <c r="R781" s="19"/>
    </row>
    <row r="782" hidden="1" spans="2:18">
      <c r="B782" s="33" t="s">
        <v>56</v>
      </c>
      <c r="C782" s="63">
        <v>45719</v>
      </c>
      <c r="D782" s="33" t="str">
        <f>VLOOKUP(B782,辅助信息!E:K,7,FALSE)</f>
        <v>JWDDCD2025052800131</v>
      </c>
      <c r="E782" s="33" t="str">
        <f>VLOOKUP(F782,辅助信息!A:B,2,FALSE)</f>
        <v>螺纹钢</v>
      </c>
      <c r="F782" s="33" t="s">
        <v>58</v>
      </c>
      <c r="G782" s="29">
        <v>12</v>
      </c>
      <c r="H782" s="29">
        <f>_xlfn._xlws.FILTER('[1]2025年已发货'!$E:$E,'[1]2025年已发货'!$F:$F&amp;'[1]2025年已发货'!$C:$C&amp;'[1]2025年已发货'!$G:$G&amp;'[1]2025年已发货'!$H:$H=C782&amp;F782&amp;I782&amp;J782,"未发货")</f>
        <v>12</v>
      </c>
      <c r="I782" s="33" t="str">
        <f>VLOOKUP(B782,辅助信息!E:I,3,FALSE)</f>
        <v>（商投建工达州中医药科技园-4工区-7号楼）达州市通川区达州中医药职业学院犀牛大道北段</v>
      </c>
      <c r="J782" s="33" t="str">
        <f>VLOOKUP(B782,辅助信息!E:I,4,FALSE)</f>
        <v>张扬</v>
      </c>
      <c r="K782" s="33">
        <f>VLOOKUP(J782,辅助信息!H:I,2,FALSE)</f>
        <v>18381904567</v>
      </c>
      <c r="L782" s="71"/>
      <c r="M782" s="84">
        <v>45716</v>
      </c>
      <c r="O782" s="55">
        <f ca="1" t="shared" ref="O782:O789" si="22">IF(OR(M782="",N782&lt;&gt;""),"",MAX(M782-TODAY(),0))</f>
        <v>0</v>
      </c>
      <c r="P782" s="55">
        <f ca="1" t="shared" ref="P782:P789" si="23">IF(M782="","",IF(N782&lt;&gt;"",MAX(N782-M782,0),IF(TODAY()&gt;M782,TODAY()-M782,0)))</f>
        <v>241</v>
      </c>
      <c r="Q782" s="19" t="str">
        <f>VLOOKUP(B782,辅助信息!E:M,9,FALSE)</f>
        <v>ZTWM-CDGS-XS-2024-0134-商投建工达州中医药科技成果示范园项目</v>
      </c>
      <c r="R782" s="19"/>
    </row>
    <row r="783" hidden="1" spans="2:18">
      <c r="B783" s="33" t="s">
        <v>56</v>
      </c>
      <c r="C783" s="63">
        <v>45719</v>
      </c>
      <c r="D783" s="33" t="str">
        <f>VLOOKUP(B783,辅助信息!E:K,7,FALSE)</f>
        <v>JWDDCD2025052800131</v>
      </c>
      <c r="E783" s="33" t="str">
        <f>VLOOKUP(F783,辅助信息!A:B,2,FALSE)</f>
        <v>螺纹钢</v>
      </c>
      <c r="F783" s="33" t="s">
        <v>46</v>
      </c>
      <c r="G783" s="29">
        <v>15</v>
      </c>
      <c r="H783" s="29">
        <f>_xlfn._xlws.FILTER('[1]2025年已发货'!$E:$E,'[1]2025年已发货'!$F:$F&amp;'[1]2025年已发货'!$C:$C&amp;'[1]2025年已发货'!$G:$G&amp;'[1]2025年已发货'!$H:$H=C783&amp;F783&amp;I783&amp;J783,"未发货")</f>
        <v>15</v>
      </c>
      <c r="I783" s="33" t="str">
        <f>VLOOKUP(B783,辅助信息!E:I,3,FALSE)</f>
        <v>（商投建工达州中医药科技园-4工区-7号楼）达州市通川区达州中医药职业学院犀牛大道北段</v>
      </c>
      <c r="J783" s="33" t="str">
        <f>VLOOKUP(B783,辅助信息!E:I,4,FALSE)</f>
        <v>张扬</v>
      </c>
      <c r="K783" s="33">
        <f>VLOOKUP(J783,辅助信息!H:I,2,FALSE)</f>
        <v>18381904567</v>
      </c>
      <c r="L783" s="71"/>
      <c r="M783" s="84">
        <v>45716</v>
      </c>
      <c r="O783" s="55">
        <f ca="1" t="shared" si="22"/>
        <v>0</v>
      </c>
      <c r="P783" s="55">
        <f ca="1" t="shared" si="23"/>
        <v>241</v>
      </c>
      <c r="Q783" s="19" t="str">
        <f>VLOOKUP(B783,辅助信息!E:M,9,FALSE)</f>
        <v>ZTWM-CDGS-XS-2024-0134-商投建工达州中医药科技成果示范园项目</v>
      </c>
      <c r="R783" s="19"/>
    </row>
    <row r="784" hidden="1" spans="2:18">
      <c r="B784" s="33" t="s">
        <v>56</v>
      </c>
      <c r="C784" s="63">
        <v>45719</v>
      </c>
      <c r="D784" s="33" t="str">
        <f>VLOOKUP(B784,辅助信息!E:K,7,FALSE)</f>
        <v>JWDDCD2025052800131</v>
      </c>
      <c r="E784" s="33" t="str">
        <f>VLOOKUP(F784,辅助信息!A:B,2,FALSE)</f>
        <v>螺纹钢</v>
      </c>
      <c r="F784" s="33" t="s">
        <v>22</v>
      </c>
      <c r="G784" s="29">
        <v>12</v>
      </c>
      <c r="H784" s="29">
        <f>_xlfn._xlws.FILTER('[1]2025年已发货'!$E:$E,'[1]2025年已发货'!$F:$F&amp;'[1]2025年已发货'!$C:$C&amp;'[1]2025年已发货'!$G:$G&amp;'[1]2025年已发货'!$H:$H=C784&amp;F784&amp;I784&amp;J784,"未发货")</f>
        <v>12</v>
      </c>
      <c r="I784" s="33" t="str">
        <f>VLOOKUP(B784,辅助信息!E:I,3,FALSE)</f>
        <v>（商投建工达州中医药科技园-4工区-7号楼）达州市通川区达州中医药职业学院犀牛大道北段</v>
      </c>
      <c r="J784" s="33" t="str">
        <f>VLOOKUP(B784,辅助信息!E:I,4,FALSE)</f>
        <v>张扬</v>
      </c>
      <c r="K784" s="33">
        <f>VLOOKUP(J784,辅助信息!H:I,2,FALSE)</f>
        <v>18381904567</v>
      </c>
      <c r="L784" s="69"/>
      <c r="M784" s="84">
        <v>45716</v>
      </c>
      <c r="O784" s="55">
        <f ca="1" t="shared" si="22"/>
        <v>0</v>
      </c>
      <c r="P784" s="55">
        <f ca="1" t="shared" si="23"/>
        <v>241</v>
      </c>
      <c r="Q784" s="19" t="str">
        <f>VLOOKUP(B784,辅助信息!E:M,9,FALSE)</f>
        <v>ZTWM-CDGS-XS-2024-0134-商投建工达州中医药科技成果示范园项目</v>
      </c>
      <c r="R784" s="19"/>
    </row>
    <row r="785" ht="45" hidden="1" customHeight="1" spans="2:18">
      <c r="B785" s="33" t="s">
        <v>63</v>
      </c>
      <c r="C785" s="63">
        <v>45719</v>
      </c>
      <c r="D785" s="33" t="e">
        <f>VLOOKUP(B785,辅助信息!E:K,7,FALSE)</f>
        <v>#N/A</v>
      </c>
      <c r="E785" s="33" t="str">
        <f>VLOOKUP(F785,辅助信息!A:B,2,FALSE)</f>
        <v>螺纹钢</v>
      </c>
      <c r="F785" s="33" t="s">
        <v>18</v>
      </c>
      <c r="G785" s="29">
        <v>30</v>
      </c>
      <c r="H785" s="29" t="e">
        <f>_xlfn._xlws.FILTER('[1]2025年已发货'!$E:$E,'[1]2025年已发货'!$F:$F&amp;'[1]2025年已发货'!$C:$C&amp;'[1]2025年已发货'!$G:$G&amp;'[1]2025年已发货'!$H:$H=C785&amp;F785&amp;I785&amp;J785,"未发货")</f>
        <v>#N/A</v>
      </c>
      <c r="I785" s="33" t="e">
        <f>VLOOKUP(B785,辅助信息!E:I,3,FALSE)</f>
        <v>#N/A</v>
      </c>
      <c r="J785" s="33" t="e">
        <f>VLOOKUP(B785,辅助信息!E:I,4,FALSE)</f>
        <v>#N/A</v>
      </c>
      <c r="K785" s="33" t="e">
        <f>VLOOKUP(J785,辅助信息!H:I,2,FALSE)</f>
        <v>#N/A</v>
      </c>
      <c r="L785" s="70" t="e">
        <f>VLOOKUP(B785,辅助信息!E:J,6,FALSE)</f>
        <v>#N/A</v>
      </c>
      <c r="M785" s="84">
        <v>45717</v>
      </c>
      <c r="O785" s="55">
        <f ca="1" t="shared" si="22"/>
        <v>0</v>
      </c>
      <c r="P785" s="55">
        <f ca="1" t="shared" si="23"/>
        <v>240</v>
      </c>
      <c r="Q785" s="19" t="e">
        <f>VLOOKUP(B785,辅助信息!E:M,9,FALSE)</f>
        <v>#N/A</v>
      </c>
      <c r="R785" s="19"/>
    </row>
    <row r="786" hidden="1" spans="2:18">
      <c r="B786" s="33" t="s">
        <v>20</v>
      </c>
      <c r="C786" s="63">
        <v>45719</v>
      </c>
      <c r="D786" s="33" t="str">
        <f>VLOOKUP(B786,辅助信息!E:K,7,FALSE)</f>
        <v>JWDDCD2025051000019</v>
      </c>
      <c r="E786" s="33" t="str">
        <f>VLOOKUP(F786,辅助信息!A:B,2,FALSE)</f>
        <v>盘螺</v>
      </c>
      <c r="F786" s="33" t="s">
        <v>49</v>
      </c>
      <c r="G786" s="29">
        <v>12</v>
      </c>
      <c r="H786" s="29" t="str">
        <f>_xlfn._xlws.FILTER('[1]2025年已发货'!$E:$E,'[1]2025年已发货'!$F:$F&amp;'[1]2025年已发货'!$C:$C&amp;'[1]2025年已发货'!$G:$G&amp;'[1]2025年已发货'!$H:$H=C786&amp;F786&amp;I786&amp;J786,"未发货")</f>
        <v>未发货</v>
      </c>
      <c r="I786" s="33" t="str">
        <f>VLOOKUP(B786,辅助信息!E:I,3,FALSE)</f>
        <v>(五冶钢构医学科学产业园建设项目房建三部-一标（7-2）)四川省南充市顺庆区搬罾街道学府大道二段</v>
      </c>
      <c r="J786" s="33" t="str">
        <f>VLOOKUP(B786,辅助信息!E:I,4,FALSE)</f>
        <v>郑林</v>
      </c>
      <c r="K786" s="33">
        <f>VLOOKUP(J786,辅助信息!H:I,2,FALSE)</f>
        <v>18349955455</v>
      </c>
      <c r="L786" s="70" t="str">
        <f>VLOOKUP(B786,辅助信息!E:J,6,FALSE)</f>
        <v>送货单：送货单位：南充思临新材料科技有限公司,收货单位：五冶集团川北(南充)建设有限公司,项目名称：南充医学科学产业园,送货车型13米,装货前联系收货人核实到场规格</v>
      </c>
      <c r="M786" s="84">
        <v>45718</v>
      </c>
      <c r="O786" s="55">
        <f ca="1" t="shared" si="22"/>
        <v>0</v>
      </c>
      <c r="P786" s="55">
        <f ca="1" t="shared" si="23"/>
        <v>239</v>
      </c>
      <c r="Q786" s="19" t="str">
        <f>VLOOKUP(B786,辅助信息!E:M,9,FALSE)</f>
        <v>ZTWM-CDGS-XS-2024-0248-五冶钢构-南充市医学院项目</v>
      </c>
      <c r="R786" s="19"/>
    </row>
    <row r="787" hidden="1" spans="2:18">
      <c r="B787" s="33" t="s">
        <v>20</v>
      </c>
      <c r="C787" s="63">
        <v>45719</v>
      </c>
      <c r="D787" s="33" t="str">
        <f>VLOOKUP(B787,辅助信息!E:K,7,FALSE)</f>
        <v>JWDDCD2025051000019</v>
      </c>
      <c r="E787" s="33" t="str">
        <f>VLOOKUP(F787,辅助信息!A:B,2,FALSE)</f>
        <v>盘螺</v>
      </c>
      <c r="F787" s="33" t="s">
        <v>26</v>
      </c>
      <c r="G787" s="29">
        <v>5</v>
      </c>
      <c r="H787" s="29" t="str">
        <f>_xlfn._xlws.FILTER('[1]2025年已发货'!$E:$E,'[1]2025年已发货'!$F:$F&amp;'[1]2025年已发货'!$C:$C&amp;'[1]2025年已发货'!$G:$G&amp;'[1]2025年已发货'!$H:$H=C787&amp;F787&amp;I787&amp;J787,"未发货")</f>
        <v>未发货</v>
      </c>
      <c r="I787" s="33" t="str">
        <f>VLOOKUP(B787,辅助信息!E:I,3,FALSE)</f>
        <v>(五冶钢构医学科学产业园建设项目房建三部-一标（7-2）)四川省南充市顺庆区搬罾街道学府大道二段</v>
      </c>
      <c r="J787" s="33" t="str">
        <f>VLOOKUP(B787,辅助信息!E:I,4,FALSE)</f>
        <v>郑林</v>
      </c>
      <c r="K787" s="33">
        <f>VLOOKUP(J787,辅助信息!H:I,2,FALSE)</f>
        <v>18349955455</v>
      </c>
      <c r="L787" s="71"/>
      <c r="M787" s="84">
        <v>45718</v>
      </c>
      <c r="O787" s="55">
        <f ca="1" t="shared" si="22"/>
        <v>0</v>
      </c>
      <c r="P787" s="55">
        <f ca="1" t="shared" si="23"/>
        <v>239</v>
      </c>
      <c r="Q787" s="19" t="str">
        <f>VLOOKUP(B787,辅助信息!E:M,9,FALSE)</f>
        <v>ZTWM-CDGS-XS-2024-0248-五冶钢构-南充市医学院项目</v>
      </c>
      <c r="R787" s="19"/>
    </row>
    <row r="788" hidden="1" spans="2:18">
      <c r="B788" s="33" t="s">
        <v>20</v>
      </c>
      <c r="C788" s="63">
        <v>45719</v>
      </c>
      <c r="D788" s="33" t="str">
        <f>VLOOKUP(B788,辅助信息!E:K,7,FALSE)</f>
        <v>JWDDCD2025051000019</v>
      </c>
      <c r="E788" s="33" t="str">
        <f>VLOOKUP(F788,辅助信息!A:B,2,FALSE)</f>
        <v>螺纹钢</v>
      </c>
      <c r="F788" s="33" t="s">
        <v>46</v>
      </c>
      <c r="G788" s="29">
        <v>7</v>
      </c>
      <c r="H788" s="29">
        <f>_xlfn._xlws.FILTER('[1]2025年已发货'!$E:$E,'[1]2025年已发货'!$F:$F&amp;'[1]2025年已发货'!$C:$C&amp;'[1]2025年已发货'!$G:$G&amp;'[1]2025年已发货'!$H:$H=C788&amp;F788&amp;I788&amp;J788,"未发货")</f>
        <v>7</v>
      </c>
      <c r="I788" s="33" t="str">
        <f>VLOOKUP(B788,辅助信息!E:I,3,FALSE)</f>
        <v>(五冶钢构医学科学产业园建设项目房建三部-一标（7-2）)四川省南充市顺庆区搬罾街道学府大道二段</v>
      </c>
      <c r="J788" s="33" t="str">
        <f>VLOOKUP(B788,辅助信息!E:I,4,FALSE)</f>
        <v>郑林</v>
      </c>
      <c r="K788" s="33">
        <f>VLOOKUP(J788,辅助信息!H:I,2,FALSE)</f>
        <v>18349955455</v>
      </c>
      <c r="L788" s="71"/>
      <c r="M788" s="84">
        <v>45718</v>
      </c>
      <c r="O788" s="55">
        <f ca="1" t="shared" si="22"/>
        <v>0</v>
      </c>
      <c r="P788" s="55">
        <f ca="1" t="shared" si="23"/>
        <v>239</v>
      </c>
      <c r="Q788" s="19" t="str">
        <f>VLOOKUP(B788,辅助信息!E:M,9,FALSE)</f>
        <v>ZTWM-CDGS-XS-2024-0248-五冶钢构-南充市医学院项目</v>
      </c>
      <c r="R788" s="19"/>
    </row>
    <row r="789" hidden="1" spans="2:18">
      <c r="B789" s="33" t="s">
        <v>89</v>
      </c>
      <c r="C789" s="63">
        <v>45719</v>
      </c>
      <c r="D789" s="33" t="str">
        <f>VLOOKUP(B789,辅助信息!E:K,7,FALSE)</f>
        <v>JWDDCD2025051000019</v>
      </c>
      <c r="E789" s="33" t="str">
        <f>VLOOKUP(F789,辅助信息!A:B,2,FALSE)</f>
        <v>螺纹钢</v>
      </c>
      <c r="F789" s="33" t="s">
        <v>91</v>
      </c>
      <c r="G789" s="29">
        <v>16</v>
      </c>
      <c r="H789" s="29">
        <f>_xlfn._xlws.FILTER('[1]2025年已发货'!$E:$E,'[1]2025年已发货'!$F:$F&amp;'[1]2025年已发货'!$C:$C&amp;'[1]2025年已发货'!$G:$G&amp;'[1]2025年已发货'!$H:$H=C789&amp;F789&amp;I789&amp;J789,"未发货")</f>
        <v>9</v>
      </c>
      <c r="I789" s="33" t="str">
        <f>VLOOKUP(B789,辅助信息!E:I,3,FALSE)</f>
        <v>(五冶钢构医学科学产业园建设项目房建三部-排洪渠)四川省南充市顺庆区搬罾街道学府大道二段</v>
      </c>
      <c r="J789" s="33" t="str">
        <f>VLOOKUP(B789,辅助信息!E:I,4,FALSE)</f>
        <v>郑林</v>
      </c>
      <c r="K789" s="33">
        <f>VLOOKUP(J789,辅助信息!H:I,2,FALSE)</f>
        <v>18349955455</v>
      </c>
      <c r="L789" s="69"/>
      <c r="M789" s="84">
        <v>45718</v>
      </c>
      <c r="O789" s="55">
        <f ca="1" t="shared" si="22"/>
        <v>0</v>
      </c>
      <c r="P789" s="55">
        <f ca="1" t="shared" si="23"/>
        <v>239</v>
      </c>
      <c r="Q789" s="19" t="str">
        <f>VLOOKUP(B789,辅助信息!E:M,9,FALSE)</f>
        <v>ZTWM-CDGS-XS-2024-0248-五冶钢构-南充市医学院项目</v>
      </c>
      <c r="R789" s="19"/>
    </row>
    <row r="790" hidden="1" spans="2:18">
      <c r="B790" s="33" t="s">
        <v>20</v>
      </c>
      <c r="C790" s="63">
        <v>45719</v>
      </c>
      <c r="D790" s="33" t="str">
        <f>VLOOKUP(B790,辅助信息!E:K,7,FALSE)</f>
        <v>JWDDCD2025051000019</v>
      </c>
      <c r="E790" s="33" t="str">
        <f>VLOOKUP(F790,辅助信息!A:B,2,FALSE)</f>
        <v>螺纹钢</v>
      </c>
      <c r="F790" s="33" t="s">
        <v>30</v>
      </c>
      <c r="G790" s="29">
        <v>30</v>
      </c>
      <c r="H790" s="29">
        <f>_xlfn._xlws.FILTER('[1]2025年已发货'!$E:$E,'[1]2025年已发货'!$F:$F&amp;'[1]2025年已发货'!$C:$C&amp;'[1]2025年已发货'!$G:$G&amp;'[1]2025年已发货'!$H:$H=C790&amp;F790&amp;I790&amp;J790,"未发货")</f>
        <v>20</v>
      </c>
      <c r="I790" s="33" t="str">
        <f>VLOOKUP(B790,辅助信息!E:I,3,FALSE)</f>
        <v>(五冶钢构医学科学产业园建设项目房建三部-一标（7-2）)四川省南充市顺庆区搬罾街道学府大道二段</v>
      </c>
      <c r="J790" s="33" t="str">
        <f>VLOOKUP(B790,辅助信息!E:I,4,FALSE)</f>
        <v>郑林</v>
      </c>
      <c r="K790" s="33">
        <f>VLOOKUP(J790,辅助信息!H:I,2,FALSE)</f>
        <v>18349955455</v>
      </c>
      <c r="L790" s="70"/>
      <c r="M790" s="84"/>
      <c r="Q790" s="19"/>
      <c r="R790" s="19"/>
    </row>
    <row r="791" hidden="1" spans="1:18">
      <c r="A791" s="94" t="s">
        <v>109</v>
      </c>
      <c r="B791" s="33" t="s">
        <v>47</v>
      </c>
      <c r="C791" s="63">
        <v>45719</v>
      </c>
      <c r="D791" s="33" t="str">
        <f>VLOOKUP(B791,辅助信息!E:K,7,FALSE)</f>
        <v>JWDDCD2025052800131</v>
      </c>
      <c r="E791" s="33" t="str">
        <f>VLOOKUP(F791,辅助信息!A:B,2,FALSE)</f>
        <v>盘螺</v>
      </c>
      <c r="F791" s="33" t="s">
        <v>26</v>
      </c>
      <c r="G791" s="29">
        <v>14</v>
      </c>
      <c r="H791" s="29" t="str">
        <f>_xlfn._xlws.FILTER('[1]2025年已发货'!$E:$E,'[1]2025年已发货'!$F:$F&amp;'[1]2025年已发货'!$C:$C&amp;'[1]2025年已发货'!$G:$G&amp;'[1]2025年已发货'!$H:$H=C791&amp;F791&amp;I791&amp;J791,"未发货")</f>
        <v>未发货</v>
      </c>
      <c r="I791" s="33" t="str">
        <f>VLOOKUP(B791,辅助信息!E:I,3,FALSE)</f>
        <v>（商投建工达州中医药科技园-1工区）达州市通川区达州中医药职业学院犀牛大道北段</v>
      </c>
      <c r="J791" s="33" t="str">
        <f>VLOOKUP(B791,辅助信息!E:I,4,FALSE)</f>
        <v>程黄刚</v>
      </c>
      <c r="K791" s="33">
        <f>VLOOKUP(J791,辅助信息!H:I,2,FALSE)</f>
        <v>15108211617</v>
      </c>
      <c r="L791" s="70" t="str">
        <f>VLOOKUP(B791,辅助信息!E:J,6,FALSE)</f>
        <v>控制炉批号！多了现场不收！,优先安排达钢,提前联系到场规格及数量</v>
      </c>
      <c r="M791" s="84">
        <v>45718</v>
      </c>
      <c r="O791" s="55">
        <f ca="1" t="shared" ref="O791:O797" si="24">IF(OR(M791="",N791&lt;&gt;""),"",MAX(M791-TODAY(),0))</f>
        <v>0</v>
      </c>
      <c r="P791" s="55">
        <f ca="1" t="shared" ref="P791:P797" si="25">IF(M791="","",IF(N791&lt;&gt;"",MAX(N791-M791,0),IF(TODAY()&gt;M791,TODAY()-M791,0)))</f>
        <v>239</v>
      </c>
      <c r="Q791" s="19" t="str">
        <f>VLOOKUP(B791,辅助信息!E:M,9,FALSE)</f>
        <v>ZTWM-CDGS-XS-2024-0134-商投建工达州中医药科技成果示范园项目</v>
      </c>
      <c r="R791" s="19"/>
    </row>
    <row r="792" hidden="1" spans="2:18">
      <c r="B792" s="33" t="s">
        <v>47</v>
      </c>
      <c r="C792" s="63">
        <v>45719</v>
      </c>
      <c r="D792" s="33" t="str">
        <f>VLOOKUP(B792,辅助信息!E:K,7,FALSE)</f>
        <v>JWDDCD2025052800131</v>
      </c>
      <c r="E792" s="33" t="str">
        <f>VLOOKUP(F792,辅助信息!A:B,2,FALSE)</f>
        <v>螺纹钢</v>
      </c>
      <c r="F792" s="33" t="s">
        <v>18</v>
      </c>
      <c r="G792" s="29">
        <v>21</v>
      </c>
      <c r="H792" s="29" t="str">
        <f>_xlfn._xlws.FILTER('[1]2025年已发货'!$E:$E,'[1]2025年已发货'!$F:$F&amp;'[1]2025年已发货'!$C:$C&amp;'[1]2025年已发货'!$G:$G&amp;'[1]2025年已发货'!$H:$H=C792&amp;F792&amp;I792&amp;J792,"未发货")</f>
        <v>未发货</v>
      </c>
      <c r="I792" s="33" t="str">
        <f>VLOOKUP(B792,辅助信息!E:I,3,FALSE)</f>
        <v>（商投建工达州中医药科技园-1工区）达州市通川区达州中医药职业学院犀牛大道北段</v>
      </c>
      <c r="J792" s="33" t="str">
        <f>VLOOKUP(B792,辅助信息!E:I,4,FALSE)</f>
        <v>程黄刚</v>
      </c>
      <c r="K792" s="33">
        <f>VLOOKUP(J792,辅助信息!H:I,2,FALSE)</f>
        <v>15108211617</v>
      </c>
      <c r="L792" s="69"/>
      <c r="M792" s="84">
        <v>45718</v>
      </c>
      <c r="O792" s="55">
        <f ca="1" t="shared" si="24"/>
        <v>0</v>
      </c>
      <c r="P792" s="55">
        <f ca="1" t="shared" si="25"/>
        <v>239</v>
      </c>
      <c r="Q792" s="19" t="str">
        <f>VLOOKUP(B792,辅助信息!E:M,9,FALSE)</f>
        <v>ZTWM-CDGS-XS-2024-0134-商投建工达州中医药科技成果示范园项目</v>
      </c>
      <c r="R792" s="19"/>
    </row>
    <row r="793" hidden="1" spans="2:18">
      <c r="B793" s="33" t="s">
        <v>68</v>
      </c>
      <c r="C793" s="63">
        <v>45719</v>
      </c>
      <c r="D793" s="33" t="str">
        <f>VLOOKUP(B793,辅助信息!E:K,7,FALSE)</f>
        <v>JWDDCD2025052800131</v>
      </c>
      <c r="E793" s="33" t="str">
        <f>VLOOKUP(F793,辅助信息!A:B,2,FALSE)</f>
        <v>螺纹钢</v>
      </c>
      <c r="F793" s="33" t="s">
        <v>65</v>
      </c>
      <c r="G793" s="29">
        <v>57</v>
      </c>
      <c r="H793" s="29">
        <f>_xlfn._xlws.FILTER('[1]2025年已发货'!$E:$E,'[1]2025年已发货'!$F:$F&amp;'[1]2025年已发货'!$C:$C&amp;'[1]2025年已发货'!$G:$G&amp;'[1]2025年已发货'!$H:$H=C793&amp;F793&amp;I793&amp;J793,"未发货")</f>
        <v>57</v>
      </c>
      <c r="I793" s="33" t="str">
        <f>VLOOKUP(B793,辅助信息!E:I,3,FALSE)</f>
        <v>（商投建工达州中医药科技园-2工区-景观桥）达州市通川区达州中医药职业学院犀牛大道北段</v>
      </c>
      <c r="J793" s="33" t="str">
        <f>VLOOKUP(B793,辅助信息!E:I,4,FALSE)</f>
        <v>李波</v>
      </c>
      <c r="K793" s="33">
        <f>VLOOKUP(J793,辅助信息!H:I,2,FALSE)</f>
        <v>18381899787</v>
      </c>
      <c r="L793" s="70" t="str">
        <f>VLOOKUP(B793,辅助信息!E:J,6,FALSE)</f>
        <v>控制炉批号！多了现场不收！,优先安排达钢,提前联系到场规格及数量</v>
      </c>
      <c r="M793" s="84">
        <v>45720</v>
      </c>
      <c r="O793" s="55">
        <f ca="1" t="shared" si="24"/>
        <v>0</v>
      </c>
      <c r="P793" s="55">
        <f ca="1" t="shared" si="25"/>
        <v>237</v>
      </c>
      <c r="Q793" s="19" t="str">
        <f>VLOOKUP(B793,辅助信息!E:M,9,FALSE)</f>
        <v>ZTWM-CDGS-XS-2024-0134-商投建工达州中医药科技成果示范园项目</v>
      </c>
      <c r="R793" s="19"/>
    </row>
    <row r="794" hidden="1" spans="2:18">
      <c r="B794" s="33" t="s">
        <v>68</v>
      </c>
      <c r="C794" s="63">
        <v>45719</v>
      </c>
      <c r="D794" s="33" t="str">
        <f>VLOOKUP(B794,辅助信息!E:K,7,FALSE)</f>
        <v>JWDDCD2025052800131</v>
      </c>
      <c r="E794" s="33" t="str">
        <f>VLOOKUP(F794,辅助信息!A:B,2,FALSE)</f>
        <v>螺纹钢</v>
      </c>
      <c r="F794" s="33" t="s">
        <v>52</v>
      </c>
      <c r="G794" s="29">
        <v>45</v>
      </c>
      <c r="H794" s="29">
        <f>_xlfn._xlws.FILTER('[1]2025年已发货'!$E:$E,'[1]2025年已发货'!$F:$F&amp;'[1]2025年已发货'!$C:$C&amp;'[1]2025年已发货'!$G:$G&amp;'[1]2025年已发货'!$H:$H=C794&amp;F794&amp;I794&amp;J794,"未发货")</f>
        <v>15</v>
      </c>
      <c r="I794" s="33" t="str">
        <f>VLOOKUP(B794,辅助信息!E:I,3,FALSE)</f>
        <v>（商投建工达州中医药科技园-2工区-景观桥）达州市通川区达州中医药职业学院犀牛大道北段</v>
      </c>
      <c r="J794" s="33" t="str">
        <f>VLOOKUP(B794,辅助信息!E:I,4,FALSE)</f>
        <v>李波</v>
      </c>
      <c r="K794" s="33">
        <f>VLOOKUP(J794,辅助信息!H:I,2,FALSE)</f>
        <v>18381899787</v>
      </c>
      <c r="L794" s="69"/>
      <c r="M794" s="84">
        <v>45720</v>
      </c>
      <c r="O794" s="55">
        <f ca="1" t="shared" si="24"/>
        <v>0</v>
      </c>
      <c r="P794" s="55">
        <f ca="1" t="shared" si="25"/>
        <v>237</v>
      </c>
      <c r="Q794" s="19" t="str">
        <f>VLOOKUP(B794,辅助信息!E:M,9,FALSE)</f>
        <v>ZTWM-CDGS-XS-2024-0134-商投建工达州中医药科技成果示范园项目</v>
      </c>
      <c r="R794" s="19"/>
    </row>
    <row r="795" hidden="1" spans="2:18">
      <c r="B795" s="33" t="s">
        <v>44</v>
      </c>
      <c r="C795" s="63">
        <v>45719</v>
      </c>
      <c r="D795" s="33" t="str">
        <f>VLOOKUP(B795,辅助信息!E:K,7,FALSE)</f>
        <v>JWDDCD2025060600053</v>
      </c>
      <c r="E795" s="33" t="str">
        <f>VLOOKUP(F795,辅助信息!A:B,2,FALSE)</f>
        <v>盘螺</v>
      </c>
      <c r="F795" s="33" t="s">
        <v>40</v>
      </c>
      <c r="G795" s="29">
        <v>5</v>
      </c>
      <c r="H795" s="29">
        <f>_xlfn._xlws.FILTER('[1]2025年已发货'!$E:$E,'[1]2025年已发货'!$F:$F&amp;'[1]2025年已发货'!$C:$C&amp;'[1]2025年已发货'!$G:$G&amp;'[1]2025年已发货'!$H:$H=C795&amp;F795&amp;I795&amp;J795,"未发货")</f>
        <v>5</v>
      </c>
      <c r="I795" s="33" t="str">
        <f>VLOOKUP(B795,辅助信息!E:I,3,FALSE)</f>
        <v>（华西酒城南）成都市武侯区火车南站西路8号酒城南项目</v>
      </c>
      <c r="J795" s="33" t="str">
        <f>VLOOKUP(B795,辅助信息!E:I,4,FALSE)</f>
        <v>龙耀宇</v>
      </c>
      <c r="K795" s="33">
        <f>VLOOKUP(J795,辅助信息!H:I,2,FALSE)</f>
        <v>18384145895</v>
      </c>
      <c r="L795" s="70" t="str">
        <f>VLOOKUP(B795,辅助信息!E:J,6,FALSE)</f>
        <v>对方卸车</v>
      </c>
      <c r="M795" s="84">
        <v>45718</v>
      </c>
      <c r="O795" s="55">
        <f ca="1" t="shared" si="24"/>
        <v>0</v>
      </c>
      <c r="P795" s="55">
        <f ca="1" t="shared" si="25"/>
        <v>239</v>
      </c>
      <c r="Q795" s="19" t="str">
        <f>VLOOKUP(B795,辅助信息!E:M,9,FALSE)</f>
        <v>ZTWM-CDGS-XS-2024-0189-华西集采-酒城南项目</v>
      </c>
      <c r="R795" s="19"/>
    </row>
    <row r="796" hidden="1" spans="2:18">
      <c r="B796" s="33" t="s">
        <v>44</v>
      </c>
      <c r="C796" s="63">
        <v>45719</v>
      </c>
      <c r="D796" s="33" t="str">
        <f>VLOOKUP(B796,辅助信息!E:K,7,FALSE)</f>
        <v>JWDDCD2025060600053</v>
      </c>
      <c r="E796" s="33" t="str">
        <f>VLOOKUP(F796,辅助信息!A:B,2,FALSE)</f>
        <v>盘螺</v>
      </c>
      <c r="F796" s="33" t="s">
        <v>41</v>
      </c>
      <c r="G796" s="29">
        <v>2.5</v>
      </c>
      <c r="H796" s="29">
        <f>_xlfn._xlws.FILTER('[1]2025年已发货'!$E:$E,'[1]2025年已发货'!$F:$F&amp;'[1]2025年已发货'!$C:$C&amp;'[1]2025年已发货'!$G:$G&amp;'[1]2025年已发货'!$H:$H=C796&amp;F796&amp;I796&amp;J796,"未发货")</f>
        <v>2.5</v>
      </c>
      <c r="I796" s="33" t="str">
        <f>VLOOKUP(B796,辅助信息!E:I,3,FALSE)</f>
        <v>（华西酒城南）成都市武侯区火车南站西路8号酒城南项目</v>
      </c>
      <c r="J796" s="33" t="str">
        <f>VLOOKUP(B796,辅助信息!E:I,4,FALSE)</f>
        <v>龙耀宇</v>
      </c>
      <c r="K796" s="33">
        <f>VLOOKUP(J796,辅助信息!H:I,2,FALSE)</f>
        <v>18384145895</v>
      </c>
      <c r="L796" s="71"/>
      <c r="M796" s="84">
        <v>45718</v>
      </c>
      <c r="O796" s="55">
        <f ca="1" t="shared" si="24"/>
        <v>0</v>
      </c>
      <c r="P796" s="55">
        <f ca="1" t="shared" si="25"/>
        <v>239</v>
      </c>
      <c r="Q796" s="19" t="str">
        <f>VLOOKUP(B796,辅助信息!E:M,9,FALSE)</f>
        <v>ZTWM-CDGS-XS-2024-0189-华西集采-酒城南项目</v>
      </c>
      <c r="R796" s="19"/>
    </row>
    <row r="797" hidden="1" spans="2:18">
      <c r="B797" s="33" t="s">
        <v>44</v>
      </c>
      <c r="C797" s="63">
        <v>45719</v>
      </c>
      <c r="D797" s="33" t="str">
        <f>VLOOKUP(B797,辅助信息!E:K,7,FALSE)</f>
        <v>JWDDCD2025060600053</v>
      </c>
      <c r="E797" s="33" t="str">
        <f>VLOOKUP(F797,辅助信息!A:B,2,FALSE)</f>
        <v>盘螺</v>
      </c>
      <c r="F797" s="33" t="s">
        <v>26</v>
      </c>
      <c r="G797" s="29">
        <v>27.5</v>
      </c>
      <c r="H797" s="29">
        <f>_xlfn._xlws.FILTER('[1]2025年已发货'!$E:$E,'[1]2025年已发货'!$F:$F&amp;'[1]2025年已发货'!$C:$C&amp;'[1]2025年已发货'!$G:$G&amp;'[1]2025年已发货'!$H:$H=C797&amp;F797&amp;I797&amp;J797,"未发货")</f>
        <v>12.5</v>
      </c>
      <c r="I797" s="33" t="str">
        <f>VLOOKUP(B797,辅助信息!E:I,3,FALSE)</f>
        <v>（华西酒城南）成都市武侯区火车南站西路8号酒城南项目</v>
      </c>
      <c r="J797" s="33" t="str">
        <f>VLOOKUP(B797,辅助信息!E:I,4,FALSE)</f>
        <v>龙耀宇</v>
      </c>
      <c r="K797" s="33">
        <f>VLOOKUP(J797,辅助信息!H:I,2,FALSE)</f>
        <v>18384145895</v>
      </c>
      <c r="L797" s="69"/>
      <c r="M797" s="84">
        <v>45718</v>
      </c>
      <c r="O797" s="55">
        <f ca="1" t="shared" si="24"/>
        <v>0</v>
      </c>
      <c r="P797" s="55">
        <f ca="1" t="shared" si="25"/>
        <v>239</v>
      </c>
      <c r="Q797" s="19" t="str">
        <f>VLOOKUP(B797,辅助信息!E:M,9,FALSE)</f>
        <v>ZTWM-CDGS-XS-2024-0189-华西集采-酒城南项目</v>
      </c>
      <c r="R797" s="19"/>
    </row>
    <row r="798" hidden="1" spans="2:18">
      <c r="B798" s="33" t="s">
        <v>44</v>
      </c>
      <c r="C798" s="63">
        <v>45719</v>
      </c>
      <c r="D798" s="33" t="str">
        <f>VLOOKUP(B798,辅助信息!E:K,7,FALSE)</f>
        <v>JWDDCD2025060600053</v>
      </c>
      <c r="E798" s="33" t="str">
        <f>VLOOKUP(F798,辅助信息!A:B,2,FALSE)</f>
        <v>螺纹钢</v>
      </c>
      <c r="F798" s="33" t="s">
        <v>27</v>
      </c>
      <c r="G798" s="29">
        <v>15</v>
      </c>
      <c r="H798" s="29">
        <f>_xlfn._xlws.FILTER('[1]2025年已发货'!$E:$E,'[1]2025年已发货'!$F:$F&amp;'[1]2025年已发货'!$C:$C&amp;'[1]2025年已发货'!$G:$G&amp;'[1]2025年已发货'!$H:$H=C798&amp;F798&amp;I798&amp;J798,"未发货")</f>
        <v>15</v>
      </c>
      <c r="I798" s="33" t="str">
        <f>VLOOKUP(B798,辅助信息!E:I,3,FALSE)</f>
        <v>（华西酒城南）成都市武侯区火车南站西路8号酒城南项目</v>
      </c>
      <c r="J798" s="33" t="str">
        <f>VLOOKUP(B798,辅助信息!E:I,4,FALSE)</f>
        <v>龙耀宇</v>
      </c>
      <c r="K798" s="33">
        <f>VLOOKUP(J798,辅助信息!H:I,2,FALSE)</f>
        <v>18384145895</v>
      </c>
      <c r="L798" s="70"/>
      <c r="M798" s="84"/>
      <c r="Q798" s="19"/>
      <c r="R798" s="19"/>
    </row>
    <row r="799" hidden="1" spans="2:18">
      <c r="B799" s="33" t="s">
        <v>87</v>
      </c>
      <c r="C799" s="63">
        <v>45719</v>
      </c>
      <c r="D799" s="33" t="e">
        <f>VLOOKUP(B799,辅助信息!E:K,7,FALSE)</f>
        <v>#N/A</v>
      </c>
      <c r="E799" s="33" t="str">
        <f>VLOOKUP(F799,辅助信息!A:B,2,FALSE)</f>
        <v>盘螺</v>
      </c>
      <c r="F799" s="33" t="s">
        <v>26</v>
      </c>
      <c r="G799" s="29">
        <v>10</v>
      </c>
      <c r="H799" s="29" t="e">
        <f>_xlfn._xlws.FILTER('[1]2025年已发货'!$E:$E,'[1]2025年已发货'!$F:$F&amp;'[1]2025年已发货'!$C:$C&amp;'[1]2025年已发货'!$G:$G&amp;'[1]2025年已发货'!$H:$H=C799&amp;F799&amp;I799&amp;J799,"未发货")</f>
        <v>#N/A</v>
      </c>
      <c r="I799" s="33" t="e">
        <f>VLOOKUP(B799,辅助信息!E:I,3,FALSE)</f>
        <v>#N/A</v>
      </c>
      <c r="J799" s="33" t="e">
        <f>VLOOKUP(B799,辅助信息!E:I,4,FALSE)</f>
        <v>#N/A</v>
      </c>
      <c r="K799" s="33" t="e">
        <f>VLOOKUP(J799,辅助信息!H:I,2,FALSE)</f>
        <v>#N/A</v>
      </c>
      <c r="L799" s="70" t="e">
        <f>VLOOKUP(B799,辅助信息!E:J,6,FALSE)</f>
        <v>#N/A</v>
      </c>
      <c r="M799" s="84">
        <v>45719</v>
      </c>
      <c r="O799" s="55">
        <f ca="1" t="shared" ref="O799:O846" si="26">IF(OR(M799="",N799&lt;&gt;""),"",MAX(M799-TODAY(),0))</f>
        <v>0</v>
      </c>
      <c r="P799" s="55">
        <f ca="1" t="shared" ref="P799:P858" si="27">IF(M799="","",IF(N799&lt;&gt;"",MAX(N799-M799,0),IF(TODAY()&gt;M799,TODAY()-M799,0)))</f>
        <v>238</v>
      </c>
      <c r="Q799" s="19" t="e">
        <f>VLOOKUP(B799,辅助信息!E:M,9,FALSE)</f>
        <v>#N/A</v>
      </c>
      <c r="R799" s="19"/>
    </row>
    <row r="800" hidden="1" spans="2:18">
      <c r="B800" s="33" t="s">
        <v>87</v>
      </c>
      <c r="C800" s="63">
        <v>45719</v>
      </c>
      <c r="D800" s="33" t="e">
        <f>VLOOKUP(B800,辅助信息!E:K,7,FALSE)</f>
        <v>#N/A</v>
      </c>
      <c r="E800" s="33" t="str">
        <f>VLOOKUP(F800,辅助信息!A:B,2,FALSE)</f>
        <v>螺纹钢</v>
      </c>
      <c r="F800" s="33" t="s">
        <v>65</v>
      </c>
      <c r="G800" s="29">
        <v>35</v>
      </c>
      <c r="H800" s="29" t="e">
        <f>_xlfn._xlws.FILTER('[1]2025年已发货'!$E:$E,'[1]2025年已发货'!$F:$F&amp;'[1]2025年已发货'!$C:$C&amp;'[1]2025年已发货'!$G:$G&amp;'[1]2025年已发货'!$H:$H=C800&amp;F800&amp;I800&amp;J800,"未发货")</f>
        <v>#N/A</v>
      </c>
      <c r="I800" s="33" t="e">
        <f>VLOOKUP(B800,辅助信息!E:I,3,FALSE)</f>
        <v>#N/A</v>
      </c>
      <c r="J800" s="33" t="e">
        <f>VLOOKUP(B800,辅助信息!E:I,4,FALSE)</f>
        <v>#N/A</v>
      </c>
      <c r="K800" s="33" t="e">
        <f>VLOOKUP(J800,辅助信息!H:I,2,FALSE)</f>
        <v>#N/A</v>
      </c>
      <c r="L800" s="69"/>
      <c r="M800" s="84">
        <v>45719</v>
      </c>
      <c r="O800" s="55">
        <f ca="1" t="shared" si="26"/>
        <v>0</v>
      </c>
      <c r="P800" s="55">
        <f ca="1" t="shared" si="27"/>
        <v>238</v>
      </c>
      <c r="Q800" s="19" t="e">
        <f>VLOOKUP(B800,辅助信息!E:M,9,FALSE)</f>
        <v>#N/A</v>
      </c>
      <c r="R800" s="19"/>
    </row>
    <row r="801" hidden="1" spans="2:18">
      <c r="B801" s="33" t="s">
        <v>74</v>
      </c>
      <c r="C801" s="63">
        <v>45719</v>
      </c>
      <c r="D801" s="33" t="e">
        <f>VLOOKUP(B801,辅助信息!E:K,7,FALSE)</f>
        <v>#N/A</v>
      </c>
      <c r="E801" s="33" t="str">
        <f>VLOOKUP(F801,辅助信息!A:B,2,FALSE)</f>
        <v>螺纹钢</v>
      </c>
      <c r="F801" s="33" t="s">
        <v>19</v>
      </c>
      <c r="G801" s="29">
        <v>15</v>
      </c>
      <c r="H801" s="29" t="e">
        <f>_xlfn._xlws.FILTER('[1]2025年已发货'!$E:$E,'[1]2025年已发货'!$F:$F&amp;'[1]2025年已发货'!$C:$C&amp;'[1]2025年已发货'!$G:$G&amp;'[1]2025年已发货'!$H:$H=C801&amp;F801&amp;I801&amp;J801,"未发货")</f>
        <v>#N/A</v>
      </c>
      <c r="I801" s="33" t="e">
        <f>VLOOKUP(B801,辅助信息!E:I,3,FALSE)</f>
        <v>#N/A</v>
      </c>
      <c r="J801" s="33" t="e">
        <f>VLOOKUP(B801,辅助信息!E:I,4,FALSE)</f>
        <v>#N/A</v>
      </c>
      <c r="K801" s="33" t="e">
        <f>VLOOKUP(J801,辅助信息!H:I,2,FALSE)</f>
        <v>#N/A</v>
      </c>
      <c r="L801" s="70" t="e">
        <f>VLOOKUP(B801,辅助信息!E:J,6,FALSE)</f>
        <v>#N/A</v>
      </c>
      <c r="M801" s="84">
        <v>45724</v>
      </c>
      <c r="O801" s="55">
        <f ca="1" t="shared" si="26"/>
        <v>0</v>
      </c>
      <c r="P801" s="55">
        <f ca="1" t="shared" si="27"/>
        <v>233</v>
      </c>
      <c r="Q801" s="19" t="e">
        <f>VLOOKUP(B801,辅助信息!E:M,9,FALSE)</f>
        <v>#N/A</v>
      </c>
      <c r="R801" s="19"/>
    </row>
    <row r="802" hidden="1" spans="2:18">
      <c r="B802" s="33" t="s">
        <v>74</v>
      </c>
      <c r="C802" s="63">
        <v>45719</v>
      </c>
      <c r="D802" s="33" t="e">
        <f>VLOOKUP(B802,辅助信息!E:K,7,FALSE)</f>
        <v>#N/A</v>
      </c>
      <c r="E802" s="33" t="str">
        <f>VLOOKUP(F802,辅助信息!A:B,2,FALSE)</f>
        <v>螺纹钢</v>
      </c>
      <c r="F802" s="33" t="s">
        <v>65</v>
      </c>
      <c r="G802" s="29">
        <v>30</v>
      </c>
      <c r="H802" s="29" t="e">
        <f>_xlfn._xlws.FILTER('[1]2025年已发货'!$E:$E,'[1]2025年已发货'!$F:$F&amp;'[1]2025年已发货'!$C:$C&amp;'[1]2025年已发货'!$G:$G&amp;'[1]2025年已发货'!$H:$H=C802&amp;F802&amp;I802&amp;J802,"未发货")</f>
        <v>#N/A</v>
      </c>
      <c r="I802" s="33" t="e">
        <f>VLOOKUP(B802,辅助信息!E:I,3,FALSE)</f>
        <v>#N/A</v>
      </c>
      <c r="J802" s="33" t="e">
        <f>VLOOKUP(B802,辅助信息!E:I,4,FALSE)</f>
        <v>#N/A</v>
      </c>
      <c r="K802" s="33" t="e">
        <f>VLOOKUP(J802,辅助信息!H:I,2,FALSE)</f>
        <v>#N/A</v>
      </c>
      <c r="L802" s="69"/>
      <c r="M802" s="84">
        <v>45724</v>
      </c>
      <c r="O802" s="55">
        <f ca="1" t="shared" si="26"/>
        <v>0</v>
      </c>
      <c r="P802" s="55">
        <f ca="1" t="shared" si="27"/>
        <v>233</v>
      </c>
      <c r="Q802" s="19" t="e">
        <f>VLOOKUP(B802,辅助信息!E:M,9,FALSE)</f>
        <v>#N/A</v>
      </c>
      <c r="R802" s="19"/>
    </row>
    <row r="803" hidden="1" spans="2:18">
      <c r="B803" s="33" t="s">
        <v>64</v>
      </c>
      <c r="C803" s="63">
        <v>45719</v>
      </c>
      <c r="D803" s="33" t="e">
        <f>VLOOKUP(B803,辅助信息!E:K,7,FALSE)</f>
        <v>#N/A</v>
      </c>
      <c r="E803" s="33" t="str">
        <f>VLOOKUP(F803,辅助信息!A:B,2,FALSE)</f>
        <v>螺纹钢</v>
      </c>
      <c r="F803" s="33" t="s">
        <v>65</v>
      </c>
      <c r="G803" s="29">
        <v>54</v>
      </c>
      <c r="H803" s="29" t="e">
        <f>_xlfn._xlws.FILTER('[1]2025年已发货'!$E:$E,'[1]2025年已发货'!$F:$F&amp;'[1]2025年已发货'!$C:$C&amp;'[1]2025年已发货'!$G:$G&amp;'[1]2025年已发货'!$H:$H=C803&amp;F803&amp;I803&amp;J803,"未发货")</f>
        <v>#N/A</v>
      </c>
      <c r="I803" s="33" t="e">
        <f>VLOOKUP(B803,辅助信息!E:I,3,FALSE)</f>
        <v>#N/A</v>
      </c>
      <c r="J803" s="33" t="e">
        <f>VLOOKUP(B803,辅助信息!E:I,4,FALSE)</f>
        <v>#N/A</v>
      </c>
      <c r="K803" s="33" t="e">
        <f>VLOOKUP(J803,辅助信息!H:I,2,FALSE)</f>
        <v>#N/A</v>
      </c>
      <c r="L803" s="70" t="e">
        <f>VLOOKUP(B803,辅助信息!E:J,6,FALSE)</f>
        <v>#N/A</v>
      </c>
      <c r="M803" s="84">
        <v>45718</v>
      </c>
      <c r="O803" s="55">
        <f ca="1" t="shared" si="26"/>
        <v>0</v>
      </c>
      <c r="P803" s="55">
        <f ca="1" t="shared" si="27"/>
        <v>239</v>
      </c>
      <c r="Q803" s="19" t="e">
        <f>VLOOKUP(B803,辅助信息!E:M,9,FALSE)</f>
        <v>#N/A</v>
      </c>
      <c r="R803" s="19"/>
    </row>
    <row r="804" hidden="1" spans="2:18">
      <c r="B804" s="33" t="s">
        <v>64</v>
      </c>
      <c r="C804" s="63">
        <v>45719</v>
      </c>
      <c r="D804" s="33" t="e">
        <f>VLOOKUP(B804,辅助信息!E:K,7,FALSE)</f>
        <v>#N/A</v>
      </c>
      <c r="E804" s="33" t="str">
        <f>VLOOKUP(F804,辅助信息!A:B,2,FALSE)</f>
        <v>螺纹钢</v>
      </c>
      <c r="F804" s="33" t="s">
        <v>52</v>
      </c>
      <c r="G804" s="29">
        <v>51</v>
      </c>
      <c r="H804" s="29" t="e">
        <f>_xlfn._xlws.FILTER('[1]2025年已发货'!$E:$E,'[1]2025年已发货'!$F:$F&amp;'[1]2025年已发货'!$C:$C&amp;'[1]2025年已发货'!$G:$G&amp;'[1]2025年已发货'!$H:$H=C804&amp;F804&amp;I804&amp;J804,"未发货")</f>
        <v>#N/A</v>
      </c>
      <c r="I804" s="33" t="e">
        <f>VLOOKUP(B804,辅助信息!E:I,3,FALSE)</f>
        <v>#N/A</v>
      </c>
      <c r="J804" s="33" t="e">
        <f>VLOOKUP(B804,辅助信息!E:I,4,FALSE)</f>
        <v>#N/A</v>
      </c>
      <c r="K804" s="33" t="e">
        <f>VLOOKUP(J804,辅助信息!H:I,2,FALSE)</f>
        <v>#N/A</v>
      </c>
      <c r="L804" s="69"/>
      <c r="M804" s="84">
        <v>45718</v>
      </c>
      <c r="O804" s="55">
        <f ca="1" t="shared" si="26"/>
        <v>0</v>
      </c>
      <c r="P804" s="55">
        <f ca="1" t="shared" si="27"/>
        <v>239</v>
      </c>
      <c r="Q804" s="19" t="e">
        <f>VLOOKUP(B804,辅助信息!E:M,9,FALSE)</f>
        <v>#N/A</v>
      </c>
      <c r="R804" s="19"/>
    </row>
    <row r="805" hidden="1" spans="2:18">
      <c r="B805" s="33" t="s">
        <v>106</v>
      </c>
      <c r="C805" s="63">
        <v>45719</v>
      </c>
      <c r="D805" s="33" t="str">
        <f>VLOOKUP(B805,辅助信息!E:K,7,FALSE)</f>
        <v>JWDDCD2024101600133</v>
      </c>
      <c r="E805" s="33" t="str">
        <f>VLOOKUP(F805,辅助信息!A:B,2,FALSE)</f>
        <v>盘螺</v>
      </c>
      <c r="F805" s="33" t="s">
        <v>40</v>
      </c>
      <c r="G805" s="29">
        <v>25</v>
      </c>
      <c r="H805" s="29">
        <f>_xlfn._xlws.FILTER('[1]2025年已发货'!$E:$E,'[1]2025年已发货'!$F:$F&amp;'[1]2025年已发货'!$C:$C&amp;'[1]2025年已发货'!$G:$G&amp;'[1]2025年已发货'!$H:$H=C805&amp;F805&amp;I805&amp;J805,"未发货")</f>
        <v>25</v>
      </c>
      <c r="I805" s="33" t="str">
        <f>VLOOKUP(B805,辅助信息!E:I,3,FALSE)</f>
        <v>（五冶钢构宜宾高县月江镇建设项目）  四川省宜宾市高县月江镇刚记超市斜对面(还阳组团沪碳二期项目)</v>
      </c>
      <c r="J805" s="33" t="str">
        <f>VLOOKUP(B805,辅助信息!E:I,4,FALSE)</f>
        <v>张朝亮</v>
      </c>
      <c r="K805" s="72">
        <f>VLOOKUP(J805,辅助信息!H:I,2,FALSE)</f>
        <v>15228205853</v>
      </c>
      <c r="L805" s="73" t="str">
        <f>VLOOKUP(B805,辅助信息!E:J,6,FALSE)</f>
        <v>提前联系到场规格</v>
      </c>
      <c r="M805" s="84">
        <v>45719</v>
      </c>
      <c r="O805" s="55">
        <f ca="1" t="shared" si="26"/>
        <v>0</v>
      </c>
      <c r="P805" s="55">
        <f ca="1" t="shared" si="27"/>
        <v>238</v>
      </c>
      <c r="Q805" s="19" t="str">
        <f>VLOOKUP(B805,辅助信息!E:M,9,FALSE)</f>
        <v>ZTWM-CDGS-XS-2024-0169-中冶西部钢构-宜宾市南溪区幸福路东路,高县月江镇建设项目</v>
      </c>
      <c r="R805" s="19"/>
    </row>
    <row r="806" hidden="1" spans="2:18">
      <c r="B806" s="33" t="s">
        <v>106</v>
      </c>
      <c r="C806" s="63">
        <v>45719</v>
      </c>
      <c r="D806" s="33" t="str">
        <f>VLOOKUP(B806,辅助信息!E:K,7,FALSE)</f>
        <v>JWDDCD2024101600133</v>
      </c>
      <c r="E806" s="33" t="str">
        <f>VLOOKUP(F806,辅助信息!A:B,2,FALSE)</f>
        <v>螺纹钢</v>
      </c>
      <c r="F806" s="33" t="s">
        <v>19</v>
      </c>
      <c r="G806" s="29">
        <v>6</v>
      </c>
      <c r="H806" s="29">
        <f>_xlfn._xlws.FILTER('[1]2025年已发货'!$E:$E,'[1]2025年已发货'!$F:$F&amp;'[1]2025年已发货'!$C:$C&amp;'[1]2025年已发货'!$G:$G&amp;'[1]2025年已发货'!$H:$H=C806&amp;F806&amp;I806&amp;J806,"未发货")</f>
        <v>6</v>
      </c>
      <c r="I806" s="33" t="str">
        <f>VLOOKUP(B806,辅助信息!E:I,3,FALSE)</f>
        <v>（五冶钢构宜宾高县月江镇建设项目）  四川省宜宾市高县月江镇刚记超市斜对面(还阳组团沪碳二期项目)</v>
      </c>
      <c r="J806" s="33" t="str">
        <f>VLOOKUP(B806,辅助信息!E:I,4,FALSE)</f>
        <v>张朝亮</v>
      </c>
      <c r="K806" s="72">
        <f>VLOOKUP(J806,辅助信息!H:I,2,FALSE)</f>
        <v>15228205853</v>
      </c>
      <c r="M806" s="84">
        <v>45719</v>
      </c>
      <c r="O806" s="55">
        <f ca="1" t="shared" si="26"/>
        <v>0</v>
      </c>
      <c r="P806" s="55">
        <f ca="1" t="shared" si="27"/>
        <v>238</v>
      </c>
      <c r="Q806" s="19" t="str">
        <f>VLOOKUP(B806,辅助信息!E:M,9,FALSE)</f>
        <v>ZTWM-CDGS-XS-2024-0169-中冶西部钢构-宜宾市南溪区幸福路东路,高县月江镇建设项目</v>
      </c>
      <c r="R806" s="19"/>
    </row>
    <row r="807" hidden="1" spans="2:18">
      <c r="B807" s="33" t="s">
        <v>106</v>
      </c>
      <c r="C807" s="63">
        <v>45719</v>
      </c>
      <c r="D807" s="33" t="str">
        <f>VLOOKUP(B807,辅助信息!E:K,7,FALSE)</f>
        <v>JWDDCD2024101600133</v>
      </c>
      <c r="E807" s="33" t="str">
        <f>VLOOKUP(F807,辅助信息!A:B,2,FALSE)</f>
        <v>螺纹钢</v>
      </c>
      <c r="F807" s="33" t="s">
        <v>32</v>
      </c>
      <c r="G807" s="29">
        <v>60</v>
      </c>
      <c r="H807" s="29">
        <f>_xlfn._xlws.FILTER('[1]2025年已发货'!$E:$E,'[1]2025年已发货'!$F:$F&amp;'[1]2025年已发货'!$C:$C&amp;'[1]2025年已发货'!$G:$G&amp;'[1]2025年已发货'!$H:$H=C807&amp;F807&amp;I807&amp;J807,"未发货")</f>
        <v>60</v>
      </c>
      <c r="I807" s="33" t="str">
        <f>VLOOKUP(B807,辅助信息!E:I,3,FALSE)</f>
        <v>（五冶钢构宜宾高县月江镇建设项目）  四川省宜宾市高县月江镇刚记超市斜对面(还阳组团沪碳二期项目)</v>
      </c>
      <c r="J807" s="33" t="str">
        <f>VLOOKUP(B807,辅助信息!E:I,4,FALSE)</f>
        <v>张朝亮</v>
      </c>
      <c r="K807" s="72">
        <f>VLOOKUP(J807,辅助信息!H:I,2,FALSE)</f>
        <v>15228205853</v>
      </c>
      <c r="M807" s="84">
        <v>45719</v>
      </c>
      <c r="O807" s="55">
        <f ca="1" t="shared" si="26"/>
        <v>0</v>
      </c>
      <c r="P807" s="55">
        <f ca="1" t="shared" si="27"/>
        <v>238</v>
      </c>
      <c r="Q807" s="19" t="str">
        <f>VLOOKUP(B807,辅助信息!E:M,9,FALSE)</f>
        <v>ZTWM-CDGS-XS-2024-0169-中冶西部钢构-宜宾市南溪区幸福路东路,高县月江镇建设项目</v>
      </c>
      <c r="R807" s="19"/>
    </row>
    <row r="808" hidden="1" spans="2:18">
      <c r="B808" s="33" t="s">
        <v>106</v>
      </c>
      <c r="C808" s="63">
        <v>45719</v>
      </c>
      <c r="D808" s="33" t="str">
        <f>VLOOKUP(B808,辅助信息!E:K,7,FALSE)</f>
        <v>JWDDCD2024101600133</v>
      </c>
      <c r="E808" s="33" t="str">
        <f>VLOOKUP(F808,辅助信息!A:B,2,FALSE)</f>
        <v>螺纹钢</v>
      </c>
      <c r="F808" s="33" t="s">
        <v>28</v>
      </c>
      <c r="G808" s="29">
        <v>15</v>
      </c>
      <c r="H808" s="29">
        <v>15</v>
      </c>
      <c r="I808" s="33" t="str">
        <f>VLOOKUP(B808,辅助信息!E:I,3,FALSE)</f>
        <v>（五冶钢构宜宾高县月江镇建设项目）  四川省宜宾市高县月江镇刚记超市斜对面(还阳组团沪碳二期项目)</v>
      </c>
      <c r="J808" s="33" t="str">
        <f>VLOOKUP(B808,辅助信息!E:I,4,FALSE)</f>
        <v>张朝亮</v>
      </c>
      <c r="K808" s="72">
        <f>VLOOKUP(J808,辅助信息!H:I,2,FALSE)</f>
        <v>15228205853</v>
      </c>
      <c r="M808" s="84">
        <v>45719</v>
      </c>
      <c r="O808" s="55">
        <f ca="1" t="shared" si="26"/>
        <v>0</v>
      </c>
      <c r="P808" s="55">
        <f ca="1" t="shared" si="27"/>
        <v>238</v>
      </c>
      <c r="Q808" s="19" t="str">
        <f>VLOOKUP(B808,辅助信息!E:M,9,FALSE)</f>
        <v>ZTWM-CDGS-XS-2024-0169-中冶西部钢构-宜宾市南溪区幸福路东路,高县月江镇建设项目</v>
      </c>
      <c r="R808" s="19"/>
    </row>
    <row r="809" hidden="1" spans="2:18">
      <c r="B809" s="33" t="s">
        <v>25</v>
      </c>
      <c r="C809" s="63">
        <v>45719</v>
      </c>
      <c r="D809" s="33" t="e">
        <f>VLOOKUP(B809,辅助信息!E:K,7,FALSE)</f>
        <v>#N/A</v>
      </c>
      <c r="E809" s="33" t="str">
        <f>VLOOKUP(F809,辅助信息!A:B,2,FALSE)</f>
        <v>螺纹钢</v>
      </c>
      <c r="F809" s="33" t="s">
        <v>19</v>
      </c>
      <c r="G809" s="29">
        <v>6</v>
      </c>
      <c r="H809" s="29" t="e">
        <f>_xlfn._xlws.FILTER('[1]2025年已发货'!$E:$E,'[1]2025年已发货'!$F:$F&amp;'[1]2025年已发货'!$C:$C&amp;'[1]2025年已发货'!$G:$G&amp;'[1]2025年已发货'!$H:$H=C809&amp;F809&amp;I809&amp;J809,"未发货")</f>
        <v>#N/A</v>
      </c>
      <c r="I809" s="33" t="e">
        <f>VLOOKUP(B809,辅助信息!E:I,3,FALSE)</f>
        <v>#N/A</v>
      </c>
      <c r="J809" s="33" t="e">
        <f>VLOOKUP(B809,辅助信息!E:I,4,FALSE)</f>
        <v>#N/A</v>
      </c>
      <c r="K809" s="72" t="e">
        <f>VLOOKUP(J809,辅助信息!H:I,2,FALSE)</f>
        <v>#N/A</v>
      </c>
      <c r="L809" s="73" t="e">
        <f>VLOOKUP(B809,辅助信息!E:J,6,FALSE)</f>
        <v>#N/A</v>
      </c>
      <c r="M809" s="84">
        <v>45719</v>
      </c>
      <c r="O809" s="55">
        <f ca="1" t="shared" si="26"/>
        <v>0</v>
      </c>
      <c r="P809" s="55">
        <f ca="1" t="shared" si="27"/>
        <v>238</v>
      </c>
      <c r="Q809" s="19" t="e">
        <f>VLOOKUP(B809,辅助信息!E:M,9,FALSE)</f>
        <v>#N/A</v>
      </c>
      <c r="R809" s="19"/>
    </row>
    <row r="810" hidden="1" spans="2:18">
      <c r="B810" s="33" t="s">
        <v>25</v>
      </c>
      <c r="C810" s="63">
        <v>45719</v>
      </c>
      <c r="D810" s="33" t="e">
        <f>VLOOKUP(B810,辅助信息!E:K,7,FALSE)</f>
        <v>#N/A</v>
      </c>
      <c r="E810" s="33" t="str">
        <f>VLOOKUP(F810,辅助信息!A:B,2,FALSE)</f>
        <v>螺纹钢</v>
      </c>
      <c r="F810" s="33" t="s">
        <v>32</v>
      </c>
      <c r="G810" s="29">
        <v>4</v>
      </c>
      <c r="H810" s="29" t="e">
        <f>_xlfn._xlws.FILTER('[1]2025年已发货'!$E:$E,'[1]2025年已发货'!$F:$F&amp;'[1]2025年已发货'!$C:$C&amp;'[1]2025年已发货'!$G:$G&amp;'[1]2025年已发货'!$H:$H=C810&amp;F810&amp;I810&amp;J810,"未发货")</f>
        <v>#N/A</v>
      </c>
      <c r="I810" s="33" t="e">
        <f>VLOOKUP(B810,辅助信息!E:I,3,FALSE)</f>
        <v>#N/A</v>
      </c>
      <c r="J810" s="33" t="e">
        <f>VLOOKUP(B810,辅助信息!E:I,4,FALSE)</f>
        <v>#N/A</v>
      </c>
      <c r="K810" s="72" t="e">
        <f>VLOOKUP(J810,辅助信息!H:I,2,FALSE)</f>
        <v>#N/A</v>
      </c>
      <c r="M810" s="84">
        <v>45719</v>
      </c>
      <c r="O810" s="55">
        <f ca="1" t="shared" si="26"/>
        <v>0</v>
      </c>
      <c r="P810" s="55">
        <f ca="1" t="shared" si="27"/>
        <v>238</v>
      </c>
      <c r="Q810" s="19" t="e">
        <f>VLOOKUP(B810,辅助信息!E:M,9,FALSE)</f>
        <v>#N/A</v>
      </c>
      <c r="R810" s="19"/>
    </row>
    <row r="811" hidden="1" spans="2:18">
      <c r="B811" s="76" t="s">
        <v>25</v>
      </c>
      <c r="C811" s="77">
        <v>45719</v>
      </c>
      <c r="D811" s="76" t="e">
        <f>VLOOKUP(B811,辅助信息!E:K,7,FALSE)</f>
        <v>#N/A</v>
      </c>
      <c r="E811" s="76" t="str">
        <f>VLOOKUP(F811,辅助信息!A:B,2,FALSE)</f>
        <v>螺纹钢</v>
      </c>
      <c r="F811" s="76" t="s">
        <v>65</v>
      </c>
      <c r="G811" s="78">
        <v>26</v>
      </c>
      <c r="H811" s="78" t="e">
        <f>_xlfn._xlws.FILTER('[1]2025年已发货'!$E:$E,'[1]2025年已发货'!$F:$F&amp;'[1]2025年已发货'!$C:$C&amp;'[1]2025年已发货'!$G:$G&amp;'[1]2025年已发货'!$H:$H=C811&amp;F811&amp;I811&amp;J811,"未发货")</f>
        <v>#N/A</v>
      </c>
      <c r="I811" s="76" t="e">
        <f>VLOOKUP(B811,辅助信息!E:I,3,FALSE)</f>
        <v>#N/A</v>
      </c>
      <c r="J811" s="76" t="e">
        <f>VLOOKUP(B811,辅助信息!E:I,4,FALSE)</f>
        <v>#N/A</v>
      </c>
      <c r="K811" s="95" t="e">
        <f>VLOOKUP(J811,辅助信息!H:I,2,FALSE)</f>
        <v>#N/A</v>
      </c>
      <c r="M811" s="84">
        <v>45719</v>
      </c>
      <c r="O811" s="55">
        <f ca="1" t="shared" si="26"/>
        <v>0</v>
      </c>
      <c r="P811" s="55">
        <f ca="1" t="shared" si="27"/>
        <v>238</v>
      </c>
      <c r="Q811" s="19" t="e">
        <f>VLOOKUP(B811,辅助信息!E:M,9,FALSE)</f>
        <v>#N/A</v>
      </c>
      <c r="R811" s="19"/>
    </row>
    <row r="812" hidden="1" spans="2:18">
      <c r="B812" s="33" t="s">
        <v>108</v>
      </c>
      <c r="C812" s="63">
        <v>45721</v>
      </c>
      <c r="D812" s="33" t="e">
        <f>VLOOKUP(B812,辅助信息!E:K,7,FALSE)</f>
        <v>#N/A</v>
      </c>
      <c r="E812" s="33" t="str">
        <f>VLOOKUP(F812,辅助信息!A:B,2,FALSE)</f>
        <v>螺纹钢</v>
      </c>
      <c r="F812" s="33" t="s">
        <v>32</v>
      </c>
      <c r="G812" s="29">
        <v>27</v>
      </c>
      <c r="H812" s="29" t="e">
        <f>_xlfn._xlws.FILTER('[1]2025年已发货'!$E:$E,'[1]2025年已发货'!$F:$F&amp;'[1]2025年已发货'!$C:$C&amp;'[1]2025年已发货'!$G:$G&amp;'[1]2025年已发货'!$H:$H=C812&amp;F812&amp;I812&amp;J812,"未发货")</f>
        <v>#N/A</v>
      </c>
      <c r="I812" s="33" t="e">
        <f>VLOOKUP(B812,辅助信息!E:I,3,FALSE)</f>
        <v>#N/A</v>
      </c>
      <c r="J812" s="33" t="e">
        <f>VLOOKUP(B812,辅助信息!E:I,4,FALSE)</f>
        <v>#N/A</v>
      </c>
      <c r="K812" s="33" t="e">
        <f>VLOOKUP(J812,辅助信息!H:I,2,FALSE)</f>
        <v>#N/A</v>
      </c>
      <c r="L812" s="70" t="e">
        <f>VLOOKUP(B812,辅助信息!E:J,6,FALSE)</f>
        <v>#N/A</v>
      </c>
      <c r="M812" s="84">
        <v>45717</v>
      </c>
      <c r="O812" s="55">
        <f ca="1" t="shared" si="26"/>
        <v>0</v>
      </c>
      <c r="P812" s="55">
        <f ca="1" t="shared" si="27"/>
        <v>240</v>
      </c>
      <c r="Q812" s="19" t="e">
        <f>VLOOKUP(B812,辅助信息!E:M,9,FALSE)</f>
        <v>#N/A</v>
      </c>
      <c r="R812" s="19"/>
    </row>
    <row r="813" hidden="1" spans="2:18">
      <c r="B813" s="33" t="s">
        <v>108</v>
      </c>
      <c r="C813" s="63">
        <v>45721</v>
      </c>
      <c r="D813" s="33" t="e">
        <f>VLOOKUP(B813,辅助信息!E:K,7,FALSE)</f>
        <v>#N/A</v>
      </c>
      <c r="E813" s="33" t="str">
        <f>VLOOKUP(F813,辅助信息!A:B,2,FALSE)</f>
        <v>螺纹钢</v>
      </c>
      <c r="F813" s="33" t="s">
        <v>30</v>
      </c>
      <c r="G813" s="29">
        <v>60</v>
      </c>
      <c r="H813" s="29" t="e">
        <f>_xlfn._xlws.FILTER('[1]2025年已发货'!$E:$E,'[1]2025年已发货'!$F:$F&amp;'[1]2025年已发货'!$C:$C&amp;'[1]2025年已发货'!$G:$G&amp;'[1]2025年已发货'!$H:$H=C813&amp;F813&amp;I813&amp;J813,"未发货")</f>
        <v>#N/A</v>
      </c>
      <c r="I813" s="33" t="e">
        <f>VLOOKUP(B813,辅助信息!E:I,3,FALSE)</f>
        <v>#N/A</v>
      </c>
      <c r="J813" s="33" t="e">
        <f>VLOOKUP(B813,辅助信息!E:I,4,FALSE)</f>
        <v>#N/A</v>
      </c>
      <c r="K813" s="33" t="e">
        <f>VLOOKUP(J813,辅助信息!H:I,2,FALSE)</f>
        <v>#N/A</v>
      </c>
      <c r="L813" s="71"/>
      <c r="M813" s="84">
        <v>45717</v>
      </c>
      <c r="O813" s="55">
        <f ca="1" t="shared" si="26"/>
        <v>0</v>
      </c>
      <c r="P813" s="55">
        <f ca="1" t="shared" si="27"/>
        <v>240</v>
      </c>
      <c r="Q813" s="19" t="e">
        <f>VLOOKUP(B813,辅助信息!E:M,9,FALSE)</f>
        <v>#N/A</v>
      </c>
      <c r="R813" s="19"/>
    </row>
    <row r="814" hidden="1" spans="2:18">
      <c r="B814" s="33" t="s">
        <v>108</v>
      </c>
      <c r="C814" s="63">
        <v>45721</v>
      </c>
      <c r="D814" s="33" t="e">
        <f>VLOOKUP(B814,辅助信息!E:K,7,FALSE)</f>
        <v>#N/A</v>
      </c>
      <c r="E814" s="33" t="str">
        <f>VLOOKUP(F814,辅助信息!A:B,2,FALSE)</f>
        <v>螺纹钢</v>
      </c>
      <c r="F814" s="33" t="s">
        <v>52</v>
      </c>
      <c r="G814" s="29">
        <v>10</v>
      </c>
      <c r="H814" s="29" t="e">
        <f>_xlfn._xlws.FILTER('[1]2025年已发货'!$E:$E,'[1]2025年已发货'!$F:$F&amp;'[1]2025年已发货'!$C:$C&amp;'[1]2025年已发货'!$G:$G&amp;'[1]2025年已发货'!$H:$H=C814&amp;F814&amp;I814&amp;J814,"未发货")</f>
        <v>#N/A</v>
      </c>
      <c r="I814" s="33" t="e">
        <f>VLOOKUP(B814,辅助信息!E:I,3,FALSE)</f>
        <v>#N/A</v>
      </c>
      <c r="J814" s="33" t="e">
        <f>VLOOKUP(B814,辅助信息!E:I,4,FALSE)</f>
        <v>#N/A</v>
      </c>
      <c r="K814" s="33" t="e">
        <f>VLOOKUP(J814,辅助信息!H:I,2,FALSE)</f>
        <v>#N/A</v>
      </c>
      <c r="L814" s="69"/>
      <c r="M814" s="84">
        <v>45717</v>
      </c>
      <c r="O814" s="55">
        <f ca="1" t="shared" si="26"/>
        <v>0</v>
      </c>
      <c r="P814" s="55">
        <f ca="1" t="shared" si="27"/>
        <v>240</v>
      </c>
      <c r="Q814" s="19" t="e">
        <f>VLOOKUP(B814,辅助信息!E:M,9,FALSE)</f>
        <v>#N/A</v>
      </c>
      <c r="R814" s="19"/>
    </row>
    <row r="815" hidden="1" spans="2:18">
      <c r="B815" s="33" t="s">
        <v>56</v>
      </c>
      <c r="C815" s="63">
        <v>45721</v>
      </c>
      <c r="D815" s="33" t="str">
        <f>VLOOKUP(B815,辅助信息!E:K,7,FALSE)</f>
        <v>JWDDCD2025052800131</v>
      </c>
      <c r="E815" s="33" t="str">
        <f>VLOOKUP(F815,辅助信息!A:B,2,FALSE)</f>
        <v>螺纹钢</v>
      </c>
      <c r="F815" s="33" t="s">
        <v>45</v>
      </c>
      <c r="G815" s="29">
        <v>12</v>
      </c>
      <c r="H815" s="29" t="str">
        <f>_xlfn._xlws.FILTER('[1]2025年已发货'!$E:$E,'[1]2025年已发货'!$F:$F&amp;'[1]2025年已发货'!$C:$C&amp;'[1]2025年已发货'!$G:$G&amp;'[1]2025年已发货'!$H:$H=C815&amp;F815&amp;I815&amp;J815,"未发货")</f>
        <v>未发货</v>
      </c>
      <c r="I815" s="33" t="str">
        <f>VLOOKUP(B815,辅助信息!E:I,3,FALSE)</f>
        <v>（商投建工达州中医药科技园-4工区-7号楼）达州市通川区达州中医药职业学院犀牛大道北段</v>
      </c>
      <c r="J815" s="33" t="str">
        <f>VLOOKUP(B815,辅助信息!E:I,4,FALSE)</f>
        <v>张扬</v>
      </c>
      <c r="K815" s="33">
        <f>VLOOKUP(J815,辅助信息!H:I,2,FALSE)</f>
        <v>18381904567</v>
      </c>
      <c r="L815" s="70" t="str">
        <f>VLOOKUP(B815,辅助信息!E:J,6,FALSE)</f>
        <v>控制炉批号！多了现场不收！,优先安排达钢,提前联系到场规格及数量</v>
      </c>
      <c r="M815" s="84">
        <v>45716</v>
      </c>
      <c r="O815" s="55">
        <f ca="1" t="shared" si="26"/>
        <v>0</v>
      </c>
      <c r="P815" s="55">
        <f ca="1" t="shared" si="27"/>
        <v>241</v>
      </c>
      <c r="Q815" s="19" t="str">
        <f>VLOOKUP(B815,辅助信息!E:M,9,FALSE)</f>
        <v>ZTWM-CDGS-XS-2024-0134-商投建工达州中医药科技成果示范园项目</v>
      </c>
      <c r="R815" s="19"/>
    </row>
    <row r="816" hidden="1" spans="2:18">
      <c r="B816" s="33" t="s">
        <v>56</v>
      </c>
      <c r="C816" s="63">
        <v>45721</v>
      </c>
      <c r="D816" s="33" t="str">
        <f>VLOOKUP(B816,辅助信息!E:K,7,FALSE)</f>
        <v>JWDDCD2025052800131</v>
      </c>
      <c r="E816" s="33" t="str">
        <f>VLOOKUP(F816,辅助信息!A:B,2,FALSE)</f>
        <v>螺纹钢</v>
      </c>
      <c r="F816" s="33" t="s">
        <v>21</v>
      </c>
      <c r="G816" s="29">
        <v>15</v>
      </c>
      <c r="H816" s="29" t="str">
        <f>_xlfn._xlws.FILTER('[1]2025年已发货'!$E:$E,'[1]2025年已发货'!$F:$F&amp;'[1]2025年已发货'!$C:$C&amp;'[1]2025年已发货'!$G:$G&amp;'[1]2025年已发货'!$H:$H=C816&amp;F816&amp;I816&amp;J816,"未发货")</f>
        <v>未发货</v>
      </c>
      <c r="I816" s="33" t="str">
        <f>VLOOKUP(B816,辅助信息!E:I,3,FALSE)</f>
        <v>（商投建工达州中医药科技园-4工区-7号楼）达州市通川区达州中医药职业学院犀牛大道北段</v>
      </c>
      <c r="J816" s="33" t="str">
        <f>VLOOKUP(B816,辅助信息!E:I,4,FALSE)</f>
        <v>张扬</v>
      </c>
      <c r="K816" s="33">
        <f>VLOOKUP(J816,辅助信息!H:I,2,FALSE)</f>
        <v>18381904567</v>
      </c>
      <c r="L816" s="69"/>
      <c r="M816" s="84">
        <v>45716</v>
      </c>
      <c r="O816" s="55">
        <f ca="1" t="shared" si="26"/>
        <v>0</v>
      </c>
      <c r="P816" s="55">
        <f ca="1" t="shared" si="27"/>
        <v>241</v>
      </c>
      <c r="Q816" s="19" t="str">
        <f>VLOOKUP(B816,辅助信息!E:M,9,FALSE)</f>
        <v>ZTWM-CDGS-XS-2024-0134-商投建工达州中医药科技成果示范园项目</v>
      </c>
      <c r="R816" s="19"/>
    </row>
    <row r="817" ht="33.75" hidden="1" customHeight="1" spans="2:18">
      <c r="B817" s="33" t="s">
        <v>68</v>
      </c>
      <c r="C817" s="63">
        <v>45721</v>
      </c>
      <c r="D817" s="33" t="str">
        <f>VLOOKUP(B817,辅助信息!E:K,7,FALSE)</f>
        <v>JWDDCD2025052800131</v>
      </c>
      <c r="E817" s="33" t="str">
        <f>VLOOKUP(F817,辅助信息!A:B,2,FALSE)</f>
        <v>螺纹钢</v>
      </c>
      <c r="F817" s="33" t="s">
        <v>52</v>
      </c>
      <c r="G817" s="29">
        <v>30</v>
      </c>
      <c r="H817" s="29" t="str">
        <f>_xlfn._xlws.FILTER('[1]2025年已发货'!$E:$E,'[1]2025年已发货'!$F:$F&amp;'[1]2025年已发货'!$C:$C&amp;'[1]2025年已发货'!$G:$G&amp;'[1]2025年已发货'!$H:$H=C817&amp;F817&amp;I817&amp;J817,"未发货")</f>
        <v>未发货</v>
      </c>
      <c r="I817" s="33" t="str">
        <f>VLOOKUP(B817,辅助信息!E:I,3,FALSE)</f>
        <v>（商投建工达州中医药科技园-2工区-景观桥）达州市通川区达州中医药职业学院犀牛大道北段</v>
      </c>
      <c r="J817" s="33" t="str">
        <f>VLOOKUP(B817,辅助信息!E:I,4,FALSE)</f>
        <v>李波</v>
      </c>
      <c r="K817" s="33">
        <f>VLOOKUP(J817,辅助信息!H:I,2,FALSE)</f>
        <v>18381899787</v>
      </c>
      <c r="L817" s="70" t="str">
        <f>VLOOKUP(B817,辅助信息!E:J,6,FALSE)</f>
        <v>控制炉批号！多了现场不收！,优先安排达钢,提前联系到场规格及数量</v>
      </c>
      <c r="M817" s="84">
        <v>45720</v>
      </c>
      <c r="O817" s="55">
        <f ca="1" t="shared" si="26"/>
        <v>0</v>
      </c>
      <c r="P817" s="55">
        <f ca="1" t="shared" si="27"/>
        <v>237</v>
      </c>
      <c r="Q817" s="19" t="str">
        <f>VLOOKUP(B817,辅助信息!E:M,9,FALSE)</f>
        <v>ZTWM-CDGS-XS-2024-0134-商投建工达州中医药科技成果示范园项目</v>
      </c>
      <c r="R817" s="19"/>
    </row>
    <row r="818" hidden="1" spans="2:18">
      <c r="B818" s="33" t="s">
        <v>64</v>
      </c>
      <c r="C818" s="63">
        <v>45721</v>
      </c>
      <c r="D818" s="33" t="e">
        <f>VLOOKUP(B818,辅助信息!E:K,7,FALSE)</f>
        <v>#N/A</v>
      </c>
      <c r="E818" s="33" t="str">
        <f>VLOOKUP(F818,辅助信息!A:B,2,FALSE)</f>
        <v>螺纹钢</v>
      </c>
      <c r="F818" s="33" t="s">
        <v>65</v>
      </c>
      <c r="G818" s="29">
        <v>12</v>
      </c>
      <c r="H818" s="29" t="e">
        <f>_xlfn._xlws.FILTER('[1]2025年已发货'!$E:$E,'[1]2025年已发货'!$F:$F&amp;'[1]2025年已发货'!$C:$C&amp;'[1]2025年已发货'!$G:$G&amp;'[1]2025年已发货'!$H:$H=C818&amp;F818&amp;I818&amp;J818,"未发货")</f>
        <v>#N/A</v>
      </c>
      <c r="I818" s="33" t="e">
        <f>VLOOKUP(B818,辅助信息!E:I,3,FALSE)</f>
        <v>#N/A</v>
      </c>
      <c r="J818" s="33" t="e">
        <f>VLOOKUP(B818,辅助信息!E:I,4,FALSE)</f>
        <v>#N/A</v>
      </c>
      <c r="K818" s="33" t="e">
        <f>VLOOKUP(J818,辅助信息!H:I,2,FALSE)</f>
        <v>#N/A</v>
      </c>
      <c r="L818" s="70" t="e">
        <f>VLOOKUP(B818,辅助信息!E:J,6,FALSE)</f>
        <v>#N/A</v>
      </c>
      <c r="M818" s="84">
        <v>45718</v>
      </c>
      <c r="O818" s="55">
        <f ca="1" t="shared" si="26"/>
        <v>0</v>
      </c>
      <c r="P818" s="55">
        <f ca="1" t="shared" si="27"/>
        <v>239</v>
      </c>
      <c r="Q818" s="19" t="e">
        <f>VLOOKUP(B818,辅助信息!E:M,9,FALSE)</f>
        <v>#N/A</v>
      </c>
      <c r="R818" s="19"/>
    </row>
    <row r="819" hidden="1" spans="2:18">
      <c r="B819" s="33" t="s">
        <v>64</v>
      </c>
      <c r="C819" s="63">
        <v>45721</v>
      </c>
      <c r="D819" s="33" t="e">
        <f>VLOOKUP(B819,辅助信息!E:K,7,FALSE)</f>
        <v>#N/A</v>
      </c>
      <c r="E819" s="33" t="str">
        <f>VLOOKUP(F819,辅助信息!A:B,2,FALSE)</f>
        <v>螺纹钢</v>
      </c>
      <c r="F819" s="33" t="s">
        <v>52</v>
      </c>
      <c r="G819" s="29">
        <v>51</v>
      </c>
      <c r="H819" s="29" t="e">
        <f>_xlfn._xlws.FILTER('[1]2025年已发货'!$E:$E,'[1]2025年已发货'!$F:$F&amp;'[1]2025年已发货'!$C:$C&amp;'[1]2025年已发货'!$G:$G&amp;'[1]2025年已发货'!$H:$H=C819&amp;F819&amp;I819&amp;J819,"未发货")</f>
        <v>#N/A</v>
      </c>
      <c r="I819" s="33" t="e">
        <f>VLOOKUP(B819,辅助信息!E:I,3,FALSE)</f>
        <v>#N/A</v>
      </c>
      <c r="J819" s="33" t="e">
        <f>VLOOKUP(B819,辅助信息!E:I,4,FALSE)</f>
        <v>#N/A</v>
      </c>
      <c r="K819" s="33" t="e">
        <f>VLOOKUP(J819,辅助信息!H:I,2,FALSE)</f>
        <v>#N/A</v>
      </c>
      <c r="L819" s="69"/>
      <c r="M819" s="84">
        <v>45718</v>
      </c>
      <c r="O819" s="55">
        <f ca="1" t="shared" si="26"/>
        <v>0</v>
      </c>
      <c r="P819" s="55">
        <f ca="1" t="shared" si="27"/>
        <v>239</v>
      </c>
      <c r="Q819" s="19" t="e">
        <f>VLOOKUP(B819,辅助信息!E:M,9,FALSE)</f>
        <v>#N/A</v>
      </c>
      <c r="R819" s="19"/>
    </row>
    <row r="820" hidden="1" spans="1:18">
      <c r="A820" s="64" t="s">
        <v>110</v>
      </c>
      <c r="B820" s="33" t="s">
        <v>84</v>
      </c>
      <c r="C820" s="63">
        <v>45721</v>
      </c>
      <c r="D820" s="33" t="e">
        <f>VLOOKUP(B820,辅助信息!E:K,7,FALSE)</f>
        <v>#N/A</v>
      </c>
      <c r="E820" s="33" t="str">
        <f>VLOOKUP(F820,辅助信息!A:B,2,FALSE)</f>
        <v>高线</v>
      </c>
      <c r="F820" s="33" t="s">
        <v>51</v>
      </c>
      <c r="G820" s="29">
        <v>5</v>
      </c>
      <c r="H820" s="29" t="e">
        <f>_xlfn._xlws.FILTER('[1]2025年已发货'!$E:$E,'[1]2025年已发货'!$F:$F&amp;'[1]2025年已发货'!$C:$C&amp;'[1]2025年已发货'!$G:$G&amp;'[1]2025年已发货'!$H:$H=C820&amp;F820&amp;I820&amp;J820,"未发货")</f>
        <v>#N/A</v>
      </c>
      <c r="I820" s="33" t="e">
        <f>VLOOKUP(B820,辅助信息!E:I,3,FALSE)</f>
        <v>#N/A</v>
      </c>
      <c r="J820" s="33" t="e">
        <f>VLOOKUP(B820,辅助信息!E:I,4,FALSE)</f>
        <v>#N/A</v>
      </c>
      <c r="K820" s="33" t="e">
        <f>VLOOKUP(J820,辅助信息!H:I,2,FALSE)</f>
        <v>#N/A</v>
      </c>
      <c r="L820" s="70" t="e">
        <f>VLOOKUP(B820,辅助信息!E:J,6,FALSE)</f>
        <v>#N/A</v>
      </c>
      <c r="M820" s="84">
        <v>45722</v>
      </c>
      <c r="O820" s="55">
        <f ca="1" t="shared" si="26"/>
        <v>0</v>
      </c>
      <c r="P820" s="55">
        <f ca="1" t="shared" si="27"/>
        <v>235</v>
      </c>
      <c r="Q820" s="19" t="e">
        <f>VLOOKUP(B820,辅助信息!E:M,9,FALSE)</f>
        <v>#N/A</v>
      </c>
      <c r="R820" s="19"/>
    </row>
    <row r="821" hidden="1" spans="2:18">
      <c r="B821" s="33" t="s">
        <v>84</v>
      </c>
      <c r="C821" s="63">
        <v>45721</v>
      </c>
      <c r="D821" s="33" t="e">
        <f>VLOOKUP(B821,辅助信息!E:K,7,FALSE)</f>
        <v>#N/A</v>
      </c>
      <c r="E821" s="33" t="str">
        <f>VLOOKUP(F821,辅助信息!A:B,2,FALSE)</f>
        <v>螺纹钢</v>
      </c>
      <c r="F821" s="33" t="s">
        <v>32</v>
      </c>
      <c r="G821" s="29">
        <v>3</v>
      </c>
      <c r="H821" s="29" t="e">
        <f>_xlfn._xlws.FILTER('[1]2025年已发货'!$E:$E,'[1]2025年已发货'!$F:$F&amp;'[1]2025年已发货'!$C:$C&amp;'[1]2025年已发货'!$G:$G&amp;'[1]2025年已发货'!$H:$H=C821&amp;F821&amp;I821&amp;J821,"未发货")</f>
        <v>#N/A</v>
      </c>
      <c r="I821" s="33" t="e">
        <f>VLOOKUP(B821,辅助信息!E:I,3,FALSE)</f>
        <v>#N/A</v>
      </c>
      <c r="J821" s="33" t="e">
        <f>VLOOKUP(B821,辅助信息!E:I,4,FALSE)</f>
        <v>#N/A</v>
      </c>
      <c r="K821" s="33" t="e">
        <f>VLOOKUP(J821,辅助信息!H:I,2,FALSE)</f>
        <v>#N/A</v>
      </c>
      <c r="L821" s="71"/>
      <c r="M821" s="84">
        <v>45722</v>
      </c>
      <c r="O821" s="55">
        <f ca="1" t="shared" si="26"/>
        <v>0</v>
      </c>
      <c r="P821" s="55">
        <f ca="1" t="shared" si="27"/>
        <v>235</v>
      </c>
      <c r="Q821" s="19" t="e">
        <f>VLOOKUP(B821,辅助信息!E:M,9,FALSE)</f>
        <v>#N/A</v>
      </c>
      <c r="R821" s="19"/>
    </row>
    <row r="822" hidden="1" spans="2:18">
      <c r="B822" s="33" t="s">
        <v>84</v>
      </c>
      <c r="C822" s="63">
        <v>45721</v>
      </c>
      <c r="D822" s="33" t="e">
        <f>VLOOKUP(B822,辅助信息!E:K,7,FALSE)</f>
        <v>#N/A</v>
      </c>
      <c r="E822" s="33" t="str">
        <f>VLOOKUP(F822,辅助信息!A:B,2,FALSE)</f>
        <v>螺纹钢</v>
      </c>
      <c r="F822" s="33" t="s">
        <v>33</v>
      </c>
      <c r="G822" s="29">
        <v>8</v>
      </c>
      <c r="H822" s="29" t="e">
        <f>_xlfn._xlws.FILTER('[1]2025年已发货'!$E:$E,'[1]2025年已发货'!$F:$F&amp;'[1]2025年已发货'!$C:$C&amp;'[1]2025年已发货'!$G:$G&amp;'[1]2025年已发货'!$H:$H=C822&amp;F822&amp;I822&amp;J822,"未发货")</f>
        <v>#N/A</v>
      </c>
      <c r="I822" s="33" t="e">
        <f>VLOOKUP(B822,辅助信息!E:I,3,FALSE)</f>
        <v>#N/A</v>
      </c>
      <c r="J822" s="33" t="e">
        <f>VLOOKUP(B822,辅助信息!E:I,4,FALSE)</f>
        <v>#N/A</v>
      </c>
      <c r="K822" s="33" t="e">
        <f>VLOOKUP(J822,辅助信息!H:I,2,FALSE)</f>
        <v>#N/A</v>
      </c>
      <c r="L822" s="71"/>
      <c r="M822" s="84">
        <v>45722</v>
      </c>
      <c r="O822" s="55">
        <f ca="1" t="shared" si="26"/>
        <v>0</v>
      </c>
      <c r="P822" s="55">
        <f ca="1" t="shared" si="27"/>
        <v>235</v>
      </c>
      <c r="Q822" s="19" t="e">
        <f>VLOOKUP(B822,辅助信息!E:M,9,FALSE)</f>
        <v>#N/A</v>
      </c>
      <c r="R822" s="19"/>
    </row>
    <row r="823" hidden="1" spans="2:18">
      <c r="B823" s="33" t="s">
        <v>84</v>
      </c>
      <c r="C823" s="63">
        <v>45721</v>
      </c>
      <c r="D823" s="33" t="e">
        <f>VLOOKUP(B823,辅助信息!E:K,7,FALSE)</f>
        <v>#N/A</v>
      </c>
      <c r="E823" s="33" t="str">
        <f>VLOOKUP(F823,辅助信息!A:B,2,FALSE)</f>
        <v>螺纹钢</v>
      </c>
      <c r="F823" s="33" t="s">
        <v>28</v>
      </c>
      <c r="G823" s="29">
        <v>9</v>
      </c>
      <c r="H823" s="29" t="e">
        <f>_xlfn._xlws.FILTER('[1]2025年已发货'!$E:$E,'[1]2025年已发货'!$F:$F&amp;'[1]2025年已发货'!$C:$C&amp;'[1]2025年已发货'!$G:$G&amp;'[1]2025年已发货'!$H:$H=C823&amp;F823&amp;I823&amp;J823,"未发货")</f>
        <v>#N/A</v>
      </c>
      <c r="I823" s="33" t="e">
        <f>VLOOKUP(B823,辅助信息!E:I,3,FALSE)</f>
        <v>#N/A</v>
      </c>
      <c r="J823" s="33" t="e">
        <f>VLOOKUP(B823,辅助信息!E:I,4,FALSE)</f>
        <v>#N/A</v>
      </c>
      <c r="K823" s="33" t="e">
        <f>VLOOKUP(J823,辅助信息!H:I,2,FALSE)</f>
        <v>#N/A</v>
      </c>
      <c r="L823" s="71"/>
      <c r="M823" s="84">
        <v>45722</v>
      </c>
      <c r="O823" s="55">
        <f ca="1" t="shared" si="26"/>
        <v>0</v>
      </c>
      <c r="P823" s="55">
        <f ca="1" t="shared" si="27"/>
        <v>235</v>
      </c>
      <c r="Q823" s="19" t="e">
        <f>VLOOKUP(B823,辅助信息!E:M,9,FALSE)</f>
        <v>#N/A</v>
      </c>
      <c r="R823" s="19"/>
    </row>
    <row r="824" hidden="1" spans="2:18">
      <c r="B824" s="33" t="s">
        <v>84</v>
      </c>
      <c r="C824" s="63">
        <v>45721</v>
      </c>
      <c r="D824" s="33" t="e">
        <f>VLOOKUP(B824,辅助信息!E:K,7,FALSE)</f>
        <v>#N/A</v>
      </c>
      <c r="E824" s="33" t="str">
        <f>VLOOKUP(F824,辅助信息!A:B,2,FALSE)</f>
        <v>螺纹钢</v>
      </c>
      <c r="F824" s="33" t="s">
        <v>111</v>
      </c>
      <c r="G824" s="29">
        <v>7</v>
      </c>
      <c r="H824" s="29" t="e">
        <f>_xlfn._xlws.FILTER('[1]2025年已发货'!$E:$E,'[1]2025年已发货'!$F:$F&amp;'[1]2025年已发货'!$C:$C&amp;'[1]2025年已发货'!$G:$G&amp;'[1]2025年已发货'!$H:$H=C824&amp;F824&amp;I824&amp;J824,"未发货")</f>
        <v>#N/A</v>
      </c>
      <c r="I824" s="33" t="e">
        <f>VLOOKUP(B824,辅助信息!E:I,3,FALSE)</f>
        <v>#N/A</v>
      </c>
      <c r="J824" s="33" t="e">
        <f>VLOOKUP(B824,辅助信息!E:I,4,FALSE)</f>
        <v>#N/A</v>
      </c>
      <c r="K824" s="33" t="e">
        <f>VLOOKUP(J824,辅助信息!H:I,2,FALSE)</f>
        <v>#N/A</v>
      </c>
      <c r="L824" s="69"/>
      <c r="M824" s="84">
        <v>45722</v>
      </c>
      <c r="O824" s="55">
        <f ca="1" t="shared" si="26"/>
        <v>0</v>
      </c>
      <c r="P824" s="55">
        <f ca="1" t="shared" si="27"/>
        <v>235</v>
      </c>
      <c r="Q824" s="19" t="e">
        <f>VLOOKUP(B824,辅助信息!E:M,9,FALSE)</f>
        <v>#N/A</v>
      </c>
      <c r="R824" s="19"/>
    </row>
    <row r="825" hidden="1" spans="2:18">
      <c r="B825" s="33" t="s">
        <v>112</v>
      </c>
      <c r="C825" s="63">
        <v>45721</v>
      </c>
      <c r="D825" s="33" t="str">
        <f>VLOOKUP(B825,辅助信息!E:K,7,FALSE)</f>
        <v>JWDDCD2025052800131</v>
      </c>
      <c r="E825" s="33" t="str">
        <f>VLOOKUP(F825,辅助信息!A:B,2,FALSE)</f>
        <v>盘螺</v>
      </c>
      <c r="F825" s="33" t="s">
        <v>40</v>
      </c>
      <c r="G825" s="29">
        <v>30</v>
      </c>
      <c r="H825" s="29">
        <f>_xlfn._xlws.FILTER('[1]2025年已发货'!$E:$E,'[1]2025年已发货'!$F:$F&amp;'[1]2025年已发货'!$C:$C&amp;'[1]2025年已发货'!$G:$G&amp;'[1]2025年已发货'!$H:$H=C825&amp;F825&amp;I825&amp;J825,"未发货")</f>
        <v>30</v>
      </c>
      <c r="I825" s="33" t="str">
        <f>VLOOKUP(B825,辅助信息!E:I,3,FALSE)</f>
        <v>（商投建工达州中医药科技园-4工区-10号楼）达州市通川区达州中医药职业学院犀牛大道北段</v>
      </c>
      <c r="J825" s="33" t="str">
        <f>VLOOKUP(B825,辅助信息!E:I,4,FALSE)</f>
        <v>张扬</v>
      </c>
      <c r="K825" s="33">
        <f>VLOOKUP(J825,辅助信息!H:I,2,FALSE)</f>
        <v>18381904567</v>
      </c>
      <c r="L825" s="70" t="str">
        <f>VLOOKUP(B825,辅助信息!E:J,6,FALSE)</f>
        <v>控制炉批号！多了现场不收！,优先安排达钢,提前联系到场规格及数量</v>
      </c>
      <c r="M825" s="84">
        <v>45723</v>
      </c>
      <c r="O825" s="55">
        <f ca="1" t="shared" si="26"/>
        <v>0</v>
      </c>
      <c r="P825" s="55">
        <f ca="1" t="shared" si="27"/>
        <v>234</v>
      </c>
      <c r="Q825" s="19" t="str">
        <f>VLOOKUP(B825,辅助信息!E:M,9,FALSE)</f>
        <v>ZTWM-CDGS-XS-2024-0134-商投建工达州中医药科技成果示范园项目</v>
      </c>
      <c r="R825" s="19"/>
    </row>
    <row r="826" hidden="1" spans="2:18">
      <c r="B826" s="33" t="s">
        <v>112</v>
      </c>
      <c r="C826" s="63">
        <v>45721</v>
      </c>
      <c r="D826" s="33" t="str">
        <f>VLOOKUP(B826,辅助信息!E:K,7,FALSE)</f>
        <v>JWDDCD2025052800131</v>
      </c>
      <c r="E826" s="33" t="str">
        <f>VLOOKUP(F826,辅助信息!A:B,2,FALSE)</f>
        <v>螺纹钢</v>
      </c>
      <c r="F826" s="33" t="s">
        <v>19</v>
      </c>
      <c r="G826" s="29">
        <v>66</v>
      </c>
      <c r="H826" s="29">
        <f>_xlfn._xlws.FILTER('[1]2025年已发货'!$E:$E,'[1]2025年已发货'!$F:$F&amp;'[1]2025年已发货'!$C:$C&amp;'[1]2025年已发货'!$G:$G&amp;'[1]2025年已发货'!$H:$H=C826&amp;F826&amp;I826&amp;J826,"未发货")</f>
        <v>66</v>
      </c>
      <c r="I826" s="33" t="str">
        <f>VLOOKUP(B826,辅助信息!E:I,3,FALSE)</f>
        <v>（商投建工达州中医药科技园-4工区-10号楼）达州市通川区达州中医药职业学院犀牛大道北段</v>
      </c>
      <c r="J826" s="33" t="str">
        <f>VLOOKUP(B826,辅助信息!E:I,4,FALSE)</f>
        <v>张扬</v>
      </c>
      <c r="K826" s="33">
        <f>VLOOKUP(J826,辅助信息!H:I,2,FALSE)</f>
        <v>18381904567</v>
      </c>
      <c r="L826" s="69"/>
      <c r="M826" s="84">
        <v>45723</v>
      </c>
      <c r="O826" s="55">
        <f ca="1" t="shared" si="26"/>
        <v>0</v>
      </c>
      <c r="P826" s="55">
        <f ca="1" t="shared" si="27"/>
        <v>234</v>
      </c>
      <c r="Q826" s="19" t="str">
        <f>VLOOKUP(B826,辅助信息!E:M,9,FALSE)</f>
        <v>ZTWM-CDGS-XS-2024-0134-商投建工达州中医药科技成果示范园项目</v>
      </c>
      <c r="R826" s="19"/>
    </row>
    <row r="827" hidden="1" spans="2:18">
      <c r="B827" s="33" t="s">
        <v>113</v>
      </c>
      <c r="C827" s="63">
        <v>45721</v>
      </c>
      <c r="D827" s="33" t="str">
        <f>VLOOKUP(B827,辅助信息!E:K,7,FALSE)</f>
        <v>JWDDCD2025051000019</v>
      </c>
      <c r="E827" s="33" t="str">
        <f>VLOOKUP(F827,辅助信息!A:B,2,FALSE)</f>
        <v>盘螺</v>
      </c>
      <c r="F827" s="33" t="s">
        <v>40</v>
      </c>
      <c r="G827" s="29">
        <v>5</v>
      </c>
      <c r="H827" s="29" t="str">
        <f>_xlfn._xlws.FILTER('[1]2025年已发货'!$E:$E,'[1]2025年已发货'!$F:$F&amp;'[1]2025年已发货'!$C:$C&amp;'[1]2025年已发货'!$G:$G&amp;'[1]2025年已发货'!$H:$H=C827&amp;F827&amp;I827&amp;J827,"未发货")</f>
        <v>未发货</v>
      </c>
      <c r="I827" s="33" t="str">
        <f>VLOOKUP(B827,辅助信息!E:I,3,FALSE)</f>
        <v>(五冶钢构医学科学产业园建设项目房建二部-排洪渠（五标）)四川省南充市顺庆区搬罾街道学府大道二段</v>
      </c>
      <c r="J827" s="33" t="str">
        <f>VLOOKUP(B827,辅助信息!E:I,4,FALSE)</f>
        <v>安南</v>
      </c>
      <c r="K827" s="33">
        <f>VLOOKUP(J827,辅助信息!H:I,2,FALSE)</f>
        <v>19950525030</v>
      </c>
      <c r="L827" s="70" t="str">
        <f>VLOOKUP(B827,辅助信息!E:J,6,FALSE)</f>
        <v>送货单：送货单位：南充思临新材料科技有限公司,收货单位：五冶集团川北(南充)建设有限公司,项目名称：南充医学科学产业园,送货车型13米,装货前联系收货人核实到场规格</v>
      </c>
      <c r="M827" s="84">
        <v>45722</v>
      </c>
      <c r="O827" s="55">
        <f ca="1" t="shared" si="26"/>
        <v>0</v>
      </c>
      <c r="P827" s="55">
        <f ca="1" t="shared" si="27"/>
        <v>235</v>
      </c>
      <c r="Q827" s="19" t="str">
        <f>VLOOKUP(B827,辅助信息!E:M,9,FALSE)</f>
        <v>ZTWM-CDGS-XS-2024-0248-五冶钢构-南充市医学院项目</v>
      </c>
      <c r="R827" s="19"/>
    </row>
    <row r="828" hidden="1" spans="2:18">
      <c r="B828" s="33" t="s">
        <v>113</v>
      </c>
      <c r="C828" s="63">
        <v>45721</v>
      </c>
      <c r="D828" s="33" t="str">
        <f>VLOOKUP(B828,辅助信息!E:K,7,FALSE)</f>
        <v>JWDDCD2025051000019</v>
      </c>
      <c r="E828" s="33" t="str">
        <f>VLOOKUP(F828,辅助信息!A:B,2,FALSE)</f>
        <v>螺纹钢</v>
      </c>
      <c r="F828" s="33" t="s">
        <v>27</v>
      </c>
      <c r="G828" s="29">
        <v>12</v>
      </c>
      <c r="H828" s="29" t="str">
        <f>_xlfn._xlws.FILTER('[1]2025年已发货'!$E:$E,'[1]2025年已发货'!$F:$F&amp;'[1]2025年已发货'!$C:$C&amp;'[1]2025年已发货'!$G:$G&amp;'[1]2025年已发货'!$H:$H=C828&amp;F828&amp;I828&amp;J828,"未发货")</f>
        <v>未发货</v>
      </c>
      <c r="I828" s="33" t="str">
        <f>VLOOKUP(B828,辅助信息!E:I,3,FALSE)</f>
        <v>(五冶钢构医学科学产业园建设项目房建二部-排洪渠（五标）)四川省南充市顺庆区搬罾街道学府大道二段</v>
      </c>
      <c r="J828" s="33" t="str">
        <f>VLOOKUP(B828,辅助信息!E:I,4,FALSE)</f>
        <v>安南</v>
      </c>
      <c r="K828" s="33">
        <f>VLOOKUP(J828,辅助信息!H:I,2,FALSE)</f>
        <v>19950525030</v>
      </c>
      <c r="L828" s="71"/>
      <c r="M828" s="84">
        <v>45722</v>
      </c>
      <c r="O828" s="55">
        <f ca="1" t="shared" si="26"/>
        <v>0</v>
      </c>
      <c r="P828" s="55">
        <f ca="1" t="shared" si="27"/>
        <v>235</v>
      </c>
      <c r="Q828" s="19" t="str">
        <f>VLOOKUP(B828,辅助信息!E:M,9,FALSE)</f>
        <v>ZTWM-CDGS-XS-2024-0248-五冶钢构-南充市医学院项目</v>
      </c>
      <c r="R828" s="19"/>
    </row>
    <row r="829" hidden="1" spans="2:18">
      <c r="B829" s="33" t="s">
        <v>113</v>
      </c>
      <c r="C829" s="63">
        <v>45721</v>
      </c>
      <c r="D829" s="33" t="str">
        <f>VLOOKUP(B829,辅助信息!E:K,7,FALSE)</f>
        <v>JWDDCD2025051000019</v>
      </c>
      <c r="E829" s="33" t="str">
        <f>VLOOKUP(F829,辅助信息!A:B,2,FALSE)</f>
        <v>螺纹钢</v>
      </c>
      <c r="F829" s="33" t="s">
        <v>18</v>
      </c>
      <c r="G829" s="29">
        <v>18</v>
      </c>
      <c r="H829" s="29" t="str">
        <f>_xlfn._xlws.FILTER('[1]2025年已发货'!$E:$E,'[1]2025年已发货'!$F:$F&amp;'[1]2025年已发货'!$C:$C&amp;'[1]2025年已发货'!$G:$G&amp;'[1]2025年已发货'!$H:$H=C829&amp;F829&amp;I829&amp;J829,"未发货")</f>
        <v>未发货</v>
      </c>
      <c r="I829" s="33" t="str">
        <f>VLOOKUP(B829,辅助信息!E:I,3,FALSE)</f>
        <v>(五冶钢构医学科学产业园建设项目房建二部-排洪渠（五标）)四川省南充市顺庆区搬罾街道学府大道二段</v>
      </c>
      <c r="J829" s="33" t="str">
        <f>VLOOKUP(B829,辅助信息!E:I,4,FALSE)</f>
        <v>安南</v>
      </c>
      <c r="K829" s="33">
        <f>VLOOKUP(J829,辅助信息!H:I,2,FALSE)</f>
        <v>19950525030</v>
      </c>
      <c r="L829" s="71"/>
      <c r="M829" s="84">
        <v>45722</v>
      </c>
      <c r="O829" s="55">
        <f ca="1" t="shared" si="26"/>
        <v>0</v>
      </c>
      <c r="P829" s="55">
        <f ca="1" t="shared" si="27"/>
        <v>235</v>
      </c>
      <c r="Q829" s="19" t="str">
        <f>VLOOKUP(B829,辅助信息!E:M,9,FALSE)</f>
        <v>ZTWM-CDGS-XS-2024-0248-五冶钢构-南充市医学院项目</v>
      </c>
      <c r="R829" s="19"/>
    </row>
    <row r="830" hidden="1" spans="2:18">
      <c r="B830" s="33" t="s">
        <v>60</v>
      </c>
      <c r="C830" s="63">
        <v>45721</v>
      </c>
      <c r="D830" s="33" t="str">
        <f>VLOOKUP(B830,辅助信息!E:K,7,FALSE)</f>
        <v>JWDDCD2025051000019</v>
      </c>
      <c r="E830" s="33" t="str">
        <f>VLOOKUP(F830,辅助信息!A:B,2,FALSE)</f>
        <v>螺纹钢</v>
      </c>
      <c r="F830" s="33" t="s">
        <v>27</v>
      </c>
      <c r="G830" s="29">
        <v>9</v>
      </c>
      <c r="H830" s="29">
        <f>_xlfn._xlws.FILTER('[1]2025年已发货'!$E:$E,'[1]2025年已发货'!$F:$F&amp;'[1]2025年已发货'!$C:$C&amp;'[1]2025年已发货'!$G:$G&amp;'[1]2025年已发货'!$H:$H=C830&amp;F830&amp;I830&amp;J830,"未发货")</f>
        <v>9</v>
      </c>
      <c r="I830" s="33" t="str">
        <f>VLOOKUP(B830,辅助信息!E:I,3,FALSE)</f>
        <v>(五冶钢构医学科学产业园建设项目房建二部-六标)四川省南充市顺庆区搬罾街道学府大道二段</v>
      </c>
      <c r="J830" s="33" t="str">
        <f>VLOOKUP(B830,辅助信息!E:I,4,FALSE)</f>
        <v>安南</v>
      </c>
      <c r="K830" s="33">
        <f>VLOOKUP(J830,辅助信息!H:I,2,FALSE)</f>
        <v>19950525030</v>
      </c>
      <c r="L830" s="71"/>
      <c r="M830" s="84">
        <v>45722</v>
      </c>
      <c r="O830" s="55">
        <f ca="1" t="shared" si="26"/>
        <v>0</v>
      </c>
      <c r="P830" s="55">
        <f ca="1" t="shared" si="27"/>
        <v>235</v>
      </c>
      <c r="Q830" s="19" t="str">
        <f>VLOOKUP(B830,辅助信息!E:M,9,FALSE)</f>
        <v>ZTWM-CDGS-XS-2024-0248-五冶钢构-南充市医学院项目</v>
      </c>
      <c r="R830" s="19"/>
    </row>
    <row r="831" hidden="1" spans="2:18">
      <c r="B831" s="33" t="s">
        <v>60</v>
      </c>
      <c r="C831" s="63">
        <v>45721</v>
      </c>
      <c r="D831" s="33" t="str">
        <f>VLOOKUP(B831,辅助信息!E:K,7,FALSE)</f>
        <v>JWDDCD2025051000019</v>
      </c>
      <c r="E831" s="33" t="str">
        <f>VLOOKUP(F831,辅助信息!A:B,2,FALSE)</f>
        <v>螺纹钢</v>
      </c>
      <c r="F831" s="33" t="s">
        <v>32</v>
      </c>
      <c r="G831" s="29">
        <v>9</v>
      </c>
      <c r="H831" s="29">
        <f>_xlfn._xlws.FILTER('[1]2025年已发货'!$E:$E,'[1]2025年已发货'!$F:$F&amp;'[1]2025年已发货'!$C:$C&amp;'[1]2025年已发货'!$G:$G&amp;'[1]2025年已发货'!$H:$H=C831&amp;F831&amp;I831&amp;J831,"未发货")</f>
        <v>9</v>
      </c>
      <c r="I831" s="33" t="str">
        <f>VLOOKUP(B831,辅助信息!E:I,3,FALSE)</f>
        <v>(五冶钢构医学科学产业园建设项目房建二部-六标)四川省南充市顺庆区搬罾街道学府大道二段</v>
      </c>
      <c r="J831" s="33" t="str">
        <f>VLOOKUP(B831,辅助信息!E:I,4,FALSE)</f>
        <v>安南</v>
      </c>
      <c r="K831" s="33">
        <f>VLOOKUP(J831,辅助信息!H:I,2,FALSE)</f>
        <v>19950525030</v>
      </c>
      <c r="L831" s="71"/>
      <c r="M831" s="84">
        <v>45722</v>
      </c>
      <c r="O831" s="55">
        <f ca="1" t="shared" si="26"/>
        <v>0</v>
      </c>
      <c r="P831" s="55">
        <f ca="1" t="shared" si="27"/>
        <v>235</v>
      </c>
      <c r="Q831" s="19" t="str">
        <f>VLOOKUP(B831,辅助信息!E:M,9,FALSE)</f>
        <v>ZTWM-CDGS-XS-2024-0248-五冶钢构-南充市医学院项目</v>
      </c>
      <c r="R831" s="19"/>
    </row>
    <row r="832" hidden="1" spans="2:18">
      <c r="B832" s="33" t="s">
        <v>60</v>
      </c>
      <c r="C832" s="63">
        <v>45721</v>
      </c>
      <c r="D832" s="33" t="str">
        <f>VLOOKUP(B832,辅助信息!E:K,7,FALSE)</f>
        <v>JWDDCD2025051000019</v>
      </c>
      <c r="E832" s="33" t="str">
        <f>VLOOKUP(F832,辅助信息!A:B,2,FALSE)</f>
        <v>螺纹钢</v>
      </c>
      <c r="F832" s="33" t="s">
        <v>18</v>
      </c>
      <c r="G832" s="29">
        <v>10</v>
      </c>
      <c r="H832" s="29">
        <f>_xlfn._xlws.FILTER('[1]2025年已发货'!$E:$E,'[1]2025年已发货'!$F:$F&amp;'[1]2025年已发货'!$C:$C&amp;'[1]2025年已发货'!$G:$G&amp;'[1]2025年已发货'!$H:$H=C832&amp;F832&amp;I832&amp;J832,"未发货")</f>
        <v>10</v>
      </c>
      <c r="I832" s="33" t="str">
        <f>VLOOKUP(B832,辅助信息!E:I,3,FALSE)</f>
        <v>(五冶钢构医学科学产业园建设项目房建二部-六标)四川省南充市顺庆区搬罾街道学府大道二段</v>
      </c>
      <c r="J832" s="33" t="str">
        <f>VLOOKUP(B832,辅助信息!E:I,4,FALSE)</f>
        <v>安南</v>
      </c>
      <c r="K832" s="33">
        <f>VLOOKUP(J832,辅助信息!H:I,2,FALSE)</f>
        <v>19950525030</v>
      </c>
      <c r="L832" s="71"/>
      <c r="M832" s="84">
        <v>45722</v>
      </c>
      <c r="O832" s="55">
        <f ca="1" t="shared" si="26"/>
        <v>0</v>
      </c>
      <c r="P832" s="55">
        <f ca="1" t="shared" si="27"/>
        <v>235</v>
      </c>
      <c r="Q832" s="19" t="str">
        <f>VLOOKUP(B832,辅助信息!E:M,9,FALSE)</f>
        <v>ZTWM-CDGS-XS-2024-0248-五冶钢构-南充市医学院项目</v>
      </c>
      <c r="R832" s="19"/>
    </row>
    <row r="833" hidden="1" spans="2:18">
      <c r="B833" s="33" t="s">
        <v>60</v>
      </c>
      <c r="C833" s="63">
        <v>45721</v>
      </c>
      <c r="D833" s="33" t="str">
        <f>VLOOKUP(B833,辅助信息!E:K,7,FALSE)</f>
        <v>JWDDCD2025051000019</v>
      </c>
      <c r="E833" s="33" t="str">
        <f>VLOOKUP(F833,辅助信息!A:B,2,FALSE)</f>
        <v>螺纹钢</v>
      </c>
      <c r="F833" s="33" t="s">
        <v>65</v>
      </c>
      <c r="G833" s="29">
        <v>7</v>
      </c>
      <c r="H833" s="29">
        <f>_xlfn._xlws.FILTER('[1]2025年已发货'!$E:$E,'[1]2025年已发货'!$F:$F&amp;'[1]2025年已发货'!$C:$C&amp;'[1]2025年已发货'!$G:$G&amp;'[1]2025年已发货'!$H:$H=C833&amp;F833&amp;I833&amp;J833,"未发货")</f>
        <v>7</v>
      </c>
      <c r="I833" s="33" t="str">
        <f>VLOOKUP(B833,辅助信息!E:I,3,FALSE)</f>
        <v>(五冶钢构医学科学产业园建设项目房建二部-六标)四川省南充市顺庆区搬罾街道学府大道二段</v>
      </c>
      <c r="J833" s="33" t="str">
        <f>VLOOKUP(B833,辅助信息!E:I,4,FALSE)</f>
        <v>安南</v>
      </c>
      <c r="K833" s="33">
        <f>VLOOKUP(J833,辅助信息!H:I,2,FALSE)</f>
        <v>19950525030</v>
      </c>
      <c r="L833" s="69"/>
      <c r="M833" s="84">
        <v>45722</v>
      </c>
      <c r="O833" s="55">
        <f ca="1" t="shared" si="26"/>
        <v>0</v>
      </c>
      <c r="P833" s="55">
        <f ca="1" t="shared" si="27"/>
        <v>235</v>
      </c>
      <c r="Q833" s="19" t="str">
        <f>VLOOKUP(B833,辅助信息!E:M,9,FALSE)</f>
        <v>ZTWM-CDGS-XS-2024-0248-五冶钢构-南充市医学院项目</v>
      </c>
      <c r="R833" s="19"/>
    </row>
    <row r="834" hidden="1" spans="2:18">
      <c r="B834" s="33" t="s">
        <v>56</v>
      </c>
      <c r="C834" s="63">
        <v>45722</v>
      </c>
      <c r="D834" s="33" t="str">
        <f>VLOOKUP(B834,辅助信息!E:K,7,FALSE)</f>
        <v>JWDDCD2025052800131</v>
      </c>
      <c r="E834" s="33" t="str">
        <f>VLOOKUP(F834,辅助信息!A:B,2,FALSE)</f>
        <v>螺纹钢</v>
      </c>
      <c r="F834" s="33" t="s">
        <v>45</v>
      </c>
      <c r="G834" s="29">
        <v>12</v>
      </c>
      <c r="H834" s="29" t="str">
        <f>_xlfn._xlws.FILTER('[1]2025年已发货'!$E:$E,'[1]2025年已发货'!$F:$F&amp;'[1]2025年已发货'!$C:$C&amp;'[1]2025年已发货'!$G:$G&amp;'[1]2025年已发货'!$H:$H=C834&amp;F834&amp;I834&amp;J834,"未发货")</f>
        <v>未发货</v>
      </c>
      <c r="I834" s="33" t="str">
        <f>VLOOKUP(B834,辅助信息!E:I,3,FALSE)</f>
        <v>（商投建工达州中医药科技园-4工区-7号楼）达州市通川区达州中医药职业学院犀牛大道北段</v>
      </c>
      <c r="J834" s="33" t="str">
        <f>VLOOKUP(B834,辅助信息!E:I,4,FALSE)</f>
        <v>张扬</v>
      </c>
      <c r="K834" s="33">
        <f>VLOOKUP(J834,辅助信息!H:I,2,FALSE)</f>
        <v>18381904567</v>
      </c>
      <c r="L834" s="70" t="str">
        <f>VLOOKUP(B834,辅助信息!E:J,6,FALSE)</f>
        <v>控制炉批号！多了现场不收！,优先安排达钢,提前联系到场规格及数量</v>
      </c>
      <c r="M834" s="84">
        <v>45716</v>
      </c>
      <c r="O834" s="55">
        <f ca="1" t="shared" si="26"/>
        <v>0</v>
      </c>
      <c r="P834" s="55">
        <f ca="1" t="shared" si="27"/>
        <v>241</v>
      </c>
      <c r="Q834" s="19" t="str">
        <f>VLOOKUP(B834,辅助信息!E:M,9,FALSE)</f>
        <v>ZTWM-CDGS-XS-2024-0134-商投建工达州中医药科技成果示范园项目</v>
      </c>
      <c r="R834" s="19"/>
    </row>
    <row r="835" hidden="1" spans="2:18">
      <c r="B835" s="33" t="s">
        <v>56</v>
      </c>
      <c r="C835" s="63">
        <v>45722</v>
      </c>
      <c r="D835" s="33" t="str">
        <f>VLOOKUP(B835,辅助信息!E:K,7,FALSE)</f>
        <v>JWDDCD2025052800131</v>
      </c>
      <c r="E835" s="33" t="str">
        <f>VLOOKUP(F835,辅助信息!A:B,2,FALSE)</f>
        <v>螺纹钢</v>
      </c>
      <c r="F835" s="33" t="s">
        <v>21</v>
      </c>
      <c r="G835" s="29">
        <v>15</v>
      </c>
      <c r="H835" s="29" t="str">
        <f>_xlfn._xlws.FILTER('[1]2025年已发货'!$E:$E,'[1]2025年已发货'!$F:$F&amp;'[1]2025年已发货'!$C:$C&amp;'[1]2025年已发货'!$G:$G&amp;'[1]2025年已发货'!$H:$H=C835&amp;F835&amp;I835&amp;J835,"未发货")</f>
        <v>未发货</v>
      </c>
      <c r="I835" s="33" t="str">
        <f>VLOOKUP(B835,辅助信息!E:I,3,FALSE)</f>
        <v>（商投建工达州中医药科技园-4工区-7号楼）达州市通川区达州中医药职业学院犀牛大道北段</v>
      </c>
      <c r="J835" s="33" t="str">
        <f>VLOOKUP(B835,辅助信息!E:I,4,FALSE)</f>
        <v>张扬</v>
      </c>
      <c r="K835" s="33">
        <f>VLOOKUP(J835,辅助信息!H:I,2,FALSE)</f>
        <v>18381904567</v>
      </c>
      <c r="L835" s="69"/>
      <c r="M835" s="84">
        <v>45716</v>
      </c>
      <c r="O835" s="55">
        <f ca="1" t="shared" si="26"/>
        <v>0</v>
      </c>
      <c r="P835" s="55">
        <f ca="1" t="shared" si="27"/>
        <v>241</v>
      </c>
      <c r="Q835" s="19" t="str">
        <f>VLOOKUP(B835,辅助信息!E:M,9,FALSE)</f>
        <v>ZTWM-CDGS-XS-2024-0134-商投建工达州中医药科技成果示范园项目</v>
      </c>
      <c r="R835" s="19"/>
    </row>
    <row r="836" ht="33.75" hidden="1" customHeight="1" spans="2:18">
      <c r="B836" s="33" t="s">
        <v>68</v>
      </c>
      <c r="C836" s="63">
        <v>45722</v>
      </c>
      <c r="D836" s="33" t="str">
        <f>VLOOKUP(B836,辅助信息!E:K,7,FALSE)</f>
        <v>JWDDCD2025052800131</v>
      </c>
      <c r="E836" s="33" t="str">
        <f>VLOOKUP(F836,辅助信息!A:B,2,FALSE)</f>
        <v>螺纹钢</v>
      </c>
      <c r="F836" s="33" t="s">
        <v>52</v>
      </c>
      <c r="G836" s="29">
        <v>30</v>
      </c>
      <c r="H836" s="29" t="str">
        <f>_xlfn._xlws.FILTER('[1]2025年已发货'!$E:$E,'[1]2025年已发货'!$F:$F&amp;'[1]2025年已发货'!$C:$C&amp;'[1]2025年已发货'!$G:$G&amp;'[1]2025年已发货'!$H:$H=C836&amp;F836&amp;I836&amp;J836,"未发货")</f>
        <v>未发货</v>
      </c>
      <c r="I836" s="33" t="str">
        <f>VLOOKUP(B836,辅助信息!E:I,3,FALSE)</f>
        <v>（商投建工达州中医药科技园-2工区-景观桥）达州市通川区达州中医药职业学院犀牛大道北段</v>
      </c>
      <c r="J836" s="33" t="str">
        <f>VLOOKUP(B836,辅助信息!E:I,4,FALSE)</f>
        <v>李波</v>
      </c>
      <c r="K836" s="33">
        <f>VLOOKUP(J836,辅助信息!H:I,2,FALSE)</f>
        <v>18381899787</v>
      </c>
      <c r="L836" s="70" t="str">
        <f>VLOOKUP(B836,辅助信息!E:J,6,FALSE)</f>
        <v>控制炉批号！多了现场不收！,优先安排达钢,提前联系到场规格及数量</v>
      </c>
      <c r="M836" s="84">
        <v>45720</v>
      </c>
      <c r="O836" s="55">
        <f ca="1" t="shared" si="26"/>
        <v>0</v>
      </c>
      <c r="P836" s="55">
        <f ca="1" t="shared" si="27"/>
        <v>237</v>
      </c>
      <c r="Q836" s="19" t="str">
        <f>VLOOKUP(B836,辅助信息!E:M,9,FALSE)</f>
        <v>ZTWM-CDGS-XS-2024-0134-商投建工达州中医药科技成果示范园项目</v>
      </c>
      <c r="R836" s="19"/>
    </row>
    <row r="837" hidden="1" spans="2:18">
      <c r="B837" s="33" t="s">
        <v>64</v>
      </c>
      <c r="C837" s="63">
        <v>45722</v>
      </c>
      <c r="D837" s="33" t="e">
        <f>VLOOKUP(B837,辅助信息!E:K,7,FALSE)</f>
        <v>#N/A</v>
      </c>
      <c r="E837" s="33" t="str">
        <f>VLOOKUP(F837,辅助信息!A:B,2,FALSE)</f>
        <v>螺纹钢</v>
      </c>
      <c r="F837" s="33" t="s">
        <v>65</v>
      </c>
      <c r="G837" s="29">
        <v>12</v>
      </c>
      <c r="H837" s="29" t="e">
        <f>_xlfn._xlws.FILTER('[1]2025年已发货'!$E:$E,'[1]2025年已发货'!$F:$F&amp;'[1]2025年已发货'!$C:$C&amp;'[1]2025年已发货'!$G:$G&amp;'[1]2025年已发货'!$H:$H=C837&amp;F837&amp;I837&amp;J837,"未发货")</f>
        <v>#N/A</v>
      </c>
      <c r="I837" s="33" t="e">
        <f>VLOOKUP(B837,辅助信息!E:I,3,FALSE)</f>
        <v>#N/A</v>
      </c>
      <c r="J837" s="33" t="e">
        <f>VLOOKUP(B837,辅助信息!E:I,4,FALSE)</f>
        <v>#N/A</v>
      </c>
      <c r="K837" s="33" t="e">
        <f>VLOOKUP(J837,辅助信息!H:I,2,FALSE)</f>
        <v>#N/A</v>
      </c>
      <c r="L837" s="70" t="e">
        <f>VLOOKUP(B837,辅助信息!E:J,6,FALSE)</f>
        <v>#N/A</v>
      </c>
      <c r="M837" s="84">
        <v>45718</v>
      </c>
      <c r="O837" s="55">
        <f ca="1" t="shared" si="26"/>
        <v>0</v>
      </c>
      <c r="P837" s="55">
        <f ca="1" t="shared" si="27"/>
        <v>239</v>
      </c>
      <c r="Q837" s="19" t="e">
        <f>VLOOKUP(B837,辅助信息!E:M,9,FALSE)</f>
        <v>#N/A</v>
      </c>
      <c r="R837" s="19"/>
    </row>
    <row r="838" hidden="1" spans="2:18">
      <c r="B838" s="33" t="s">
        <v>64</v>
      </c>
      <c r="C838" s="63">
        <v>45722</v>
      </c>
      <c r="D838" s="33" t="e">
        <f>VLOOKUP(B838,辅助信息!E:K,7,FALSE)</f>
        <v>#N/A</v>
      </c>
      <c r="E838" s="33" t="str">
        <f>VLOOKUP(F838,辅助信息!A:B,2,FALSE)</f>
        <v>螺纹钢</v>
      </c>
      <c r="F838" s="33" t="s">
        <v>52</v>
      </c>
      <c r="G838" s="29">
        <v>51</v>
      </c>
      <c r="H838" s="29" t="e">
        <f>_xlfn._xlws.FILTER('[1]2025年已发货'!$E:$E,'[1]2025年已发货'!$F:$F&amp;'[1]2025年已发货'!$C:$C&amp;'[1]2025年已发货'!$G:$G&amp;'[1]2025年已发货'!$H:$H=C838&amp;F838&amp;I838&amp;J838,"未发货")</f>
        <v>#N/A</v>
      </c>
      <c r="I838" s="33" t="e">
        <f>VLOOKUP(B838,辅助信息!E:I,3,FALSE)</f>
        <v>#N/A</v>
      </c>
      <c r="J838" s="33" t="e">
        <f>VLOOKUP(B838,辅助信息!E:I,4,FALSE)</f>
        <v>#N/A</v>
      </c>
      <c r="K838" s="33" t="e">
        <f>VLOOKUP(J838,辅助信息!H:I,2,FALSE)</f>
        <v>#N/A</v>
      </c>
      <c r="L838" s="69"/>
      <c r="M838" s="84">
        <v>45718</v>
      </c>
      <c r="O838" s="55">
        <f ca="1" t="shared" si="26"/>
        <v>0</v>
      </c>
      <c r="P838" s="55">
        <f ca="1" t="shared" si="27"/>
        <v>239</v>
      </c>
      <c r="Q838" s="19" t="e">
        <f>VLOOKUP(B838,辅助信息!E:M,9,FALSE)</f>
        <v>#N/A</v>
      </c>
      <c r="R838" s="19"/>
    </row>
    <row r="839" hidden="1" spans="1:18">
      <c r="A839" s="50" t="s">
        <v>110</v>
      </c>
      <c r="B839" s="33" t="s">
        <v>84</v>
      </c>
      <c r="C839" s="63">
        <v>45722</v>
      </c>
      <c r="D839" s="33" t="e">
        <f>VLOOKUP(B839,辅助信息!E:K,7,FALSE)</f>
        <v>#N/A</v>
      </c>
      <c r="E839" s="33" t="str">
        <f>VLOOKUP(F839,辅助信息!A:B,2,FALSE)</f>
        <v>高线</v>
      </c>
      <c r="F839" s="33" t="s">
        <v>51</v>
      </c>
      <c r="G839" s="29">
        <v>5</v>
      </c>
      <c r="H839" s="29" t="e">
        <f>_xlfn._xlws.FILTER('[1]2025年已发货'!$E:$E,'[1]2025年已发货'!$F:$F&amp;'[1]2025年已发货'!$C:$C&amp;'[1]2025年已发货'!$G:$G&amp;'[1]2025年已发货'!$H:$H=C839&amp;F839&amp;I839&amp;J839,"未发货")</f>
        <v>#N/A</v>
      </c>
      <c r="I839" s="33" t="e">
        <f>VLOOKUP(B839,辅助信息!E:I,3,FALSE)</f>
        <v>#N/A</v>
      </c>
      <c r="J839" s="33" t="e">
        <f>VLOOKUP(B839,辅助信息!E:I,4,FALSE)</f>
        <v>#N/A</v>
      </c>
      <c r="K839" s="33" t="e">
        <f>VLOOKUP(J839,辅助信息!H:I,2,FALSE)</f>
        <v>#N/A</v>
      </c>
      <c r="L839" s="70" t="e">
        <f>VLOOKUP(B839,辅助信息!E:J,6,FALSE)</f>
        <v>#N/A</v>
      </c>
      <c r="M839" s="84">
        <v>45722</v>
      </c>
      <c r="O839" s="55">
        <f ca="1" t="shared" si="26"/>
        <v>0</v>
      </c>
      <c r="P839" s="55">
        <f ca="1" t="shared" si="27"/>
        <v>235</v>
      </c>
      <c r="Q839" s="19" t="e">
        <f>VLOOKUP(B839,辅助信息!E:M,9,FALSE)</f>
        <v>#N/A</v>
      </c>
      <c r="R839" s="19"/>
    </row>
    <row r="840" hidden="1" spans="2:18">
      <c r="B840" s="33" t="s">
        <v>84</v>
      </c>
      <c r="C840" s="63">
        <v>45722</v>
      </c>
      <c r="D840" s="33" t="e">
        <f>VLOOKUP(B840,辅助信息!E:K,7,FALSE)</f>
        <v>#N/A</v>
      </c>
      <c r="E840" s="33" t="str">
        <f>VLOOKUP(F840,辅助信息!A:B,2,FALSE)</f>
        <v>螺纹钢</v>
      </c>
      <c r="F840" s="33" t="s">
        <v>32</v>
      </c>
      <c r="G840" s="29">
        <v>3</v>
      </c>
      <c r="H840" s="29" t="e">
        <f>_xlfn._xlws.FILTER('[1]2025年已发货'!$E:$E,'[1]2025年已发货'!$F:$F&amp;'[1]2025年已发货'!$C:$C&amp;'[1]2025年已发货'!$G:$G&amp;'[1]2025年已发货'!$H:$H=C840&amp;F840&amp;I840&amp;J840,"未发货")</f>
        <v>#N/A</v>
      </c>
      <c r="I840" s="33" t="e">
        <f>VLOOKUP(B840,辅助信息!E:I,3,FALSE)</f>
        <v>#N/A</v>
      </c>
      <c r="J840" s="33" t="e">
        <f>VLOOKUP(B840,辅助信息!E:I,4,FALSE)</f>
        <v>#N/A</v>
      </c>
      <c r="K840" s="33" t="e">
        <f>VLOOKUP(J840,辅助信息!H:I,2,FALSE)</f>
        <v>#N/A</v>
      </c>
      <c r="L840" s="71"/>
      <c r="M840" s="84">
        <v>45722</v>
      </c>
      <c r="O840" s="55">
        <f ca="1" t="shared" si="26"/>
        <v>0</v>
      </c>
      <c r="P840" s="55">
        <f ca="1" t="shared" si="27"/>
        <v>235</v>
      </c>
      <c r="Q840" s="19" t="e">
        <f>VLOOKUP(B840,辅助信息!E:M,9,FALSE)</f>
        <v>#N/A</v>
      </c>
      <c r="R840" s="19"/>
    </row>
    <row r="841" hidden="1" spans="2:18">
      <c r="B841" s="33" t="s">
        <v>84</v>
      </c>
      <c r="C841" s="63">
        <v>45722</v>
      </c>
      <c r="D841" s="33" t="e">
        <f>VLOOKUP(B841,辅助信息!E:K,7,FALSE)</f>
        <v>#N/A</v>
      </c>
      <c r="E841" s="33" t="str">
        <f>VLOOKUP(F841,辅助信息!A:B,2,FALSE)</f>
        <v>螺纹钢</v>
      </c>
      <c r="F841" s="33" t="s">
        <v>33</v>
      </c>
      <c r="G841" s="29">
        <v>8</v>
      </c>
      <c r="H841" s="29" t="e">
        <f>_xlfn._xlws.FILTER('[1]2025年已发货'!$E:$E,'[1]2025年已发货'!$F:$F&amp;'[1]2025年已发货'!$C:$C&amp;'[1]2025年已发货'!$G:$G&amp;'[1]2025年已发货'!$H:$H=C841&amp;F841&amp;I841&amp;J841,"未发货")</f>
        <v>#N/A</v>
      </c>
      <c r="I841" s="33" t="e">
        <f>VLOOKUP(B841,辅助信息!E:I,3,FALSE)</f>
        <v>#N/A</v>
      </c>
      <c r="J841" s="33" t="e">
        <f>VLOOKUP(B841,辅助信息!E:I,4,FALSE)</f>
        <v>#N/A</v>
      </c>
      <c r="K841" s="33" t="e">
        <f>VLOOKUP(J841,辅助信息!H:I,2,FALSE)</f>
        <v>#N/A</v>
      </c>
      <c r="L841" s="71"/>
      <c r="M841" s="84">
        <v>45722</v>
      </c>
      <c r="O841" s="55">
        <f ca="1" t="shared" si="26"/>
        <v>0</v>
      </c>
      <c r="P841" s="55">
        <f ca="1" t="shared" si="27"/>
        <v>235</v>
      </c>
      <c r="Q841" s="19" t="e">
        <f>VLOOKUP(B841,辅助信息!E:M,9,FALSE)</f>
        <v>#N/A</v>
      </c>
      <c r="R841" s="19"/>
    </row>
    <row r="842" hidden="1" spans="2:18">
      <c r="B842" s="33" t="s">
        <v>84</v>
      </c>
      <c r="C842" s="63">
        <v>45722</v>
      </c>
      <c r="D842" s="33" t="e">
        <f>VLOOKUP(B842,辅助信息!E:K,7,FALSE)</f>
        <v>#N/A</v>
      </c>
      <c r="E842" s="33" t="str">
        <f>VLOOKUP(F842,辅助信息!A:B,2,FALSE)</f>
        <v>螺纹钢</v>
      </c>
      <c r="F842" s="33" t="s">
        <v>28</v>
      </c>
      <c r="G842" s="29">
        <v>9</v>
      </c>
      <c r="H842" s="29" t="e">
        <f>_xlfn._xlws.FILTER('[1]2025年已发货'!$E:$E,'[1]2025年已发货'!$F:$F&amp;'[1]2025年已发货'!$C:$C&amp;'[1]2025年已发货'!$G:$G&amp;'[1]2025年已发货'!$H:$H=C842&amp;F842&amp;I842&amp;J842,"未发货")</f>
        <v>#N/A</v>
      </c>
      <c r="I842" s="33" t="e">
        <f>VLOOKUP(B842,辅助信息!E:I,3,FALSE)</f>
        <v>#N/A</v>
      </c>
      <c r="J842" s="33" t="e">
        <f>VLOOKUP(B842,辅助信息!E:I,4,FALSE)</f>
        <v>#N/A</v>
      </c>
      <c r="K842" s="33" t="e">
        <f>VLOOKUP(J842,辅助信息!H:I,2,FALSE)</f>
        <v>#N/A</v>
      </c>
      <c r="L842" s="71"/>
      <c r="M842" s="84">
        <v>45722</v>
      </c>
      <c r="O842" s="55">
        <f ca="1" t="shared" si="26"/>
        <v>0</v>
      </c>
      <c r="P842" s="55">
        <f ca="1" t="shared" si="27"/>
        <v>235</v>
      </c>
      <c r="Q842" s="19" t="e">
        <f>VLOOKUP(B842,辅助信息!E:M,9,FALSE)</f>
        <v>#N/A</v>
      </c>
      <c r="R842" s="19"/>
    </row>
    <row r="843" hidden="1" spans="2:18">
      <c r="B843" s="33" t="s">
        <v>84</v>
      </c>
      <c r="C843" s="63">
        <v>45722</v>
      </c>
      <c r="D843" s="33" t="e">
        <f>VLOOKUP(B843,辅助信息!E:K,7,FALSE)</f>
        <v>#N/A</v>
      </c>
      <c r="E843" s="33" t="str">
        <f>VLOOKUP(F843,辅助信息!A:B,2,FALSE)</f>
        <v>螺纹钢</v>
      </c>
      <c r="F843" s="33" t="s">
        <v>111</v>
      </c>
      <c r="G843" s="29">
        <v>7</v>
      </c>
      <c r="H843" s="29" t="e">
        <f>_xlfn._xlws.FILTER('[1]2025年已发货'!$E:$E,'[1]2025年已发货'!$F:$F&amp;'[1]2025年已发货'!$C:$C&amp;'[1]2025年已发货'!$G:$G&amp;'[1]2025年已发货'!$H:$H=C843&amp;F843&amp;I843&amp;J843,"未发货")</f>
        <v>#N/A</v>
      </c>
      <c r="I843" s="33" t="e">
        <f>VLOOKUP(B843,辅助信息!E:I,3,FALSE)</f>
        <v>#N/A</v>
      </c>
      <c r="J843" s="33" t="e">
        <f>VLOOKUP(B843,辅助信息!E:I,4,FALSE)</f>
        <v>#N/A</v>
      </c>
      <c r="K843" s="33" t="e">
        <f>VLOOKUP(J843,辅助信息!H:I,2,FALSE)</f>
        <v>#N/A</v>
      </c>
      <c r="L843" s="69"/>
      <c r="M843" s="84">
        <v>45722</v>
      </c>
      <c r="O843" s="55">
        <f ca="1" t="shared" si="26"/>
        <v>0</v>
      </c>
      <c r="P843" s="55">
        <f ca="1" t="shared" si="27"/>
        <v>235</v>
      </c>
      <c r="Q843" s="19" t="e">
        <f>VLOOKUP(B843,辅助信息!E:M,9,FALSE)</f>
        <v>#N/A</v>
      </c>
      <c r="R843" s="19"/>
    </row>
    <row r="844" hidden="1" spans="2:18">
      <c r="B844" s="33" t="s">
        <v>113</v>
      </c>
      <c r="C844" s="63">
        <v>45722</v>
      </c>
      <c r="D844" s="33" t="str">
        <f>VLOOKUP(B844,辅助信息!E:K,7,FALSE)</f>
        <v>JWDDCD2025051000019</v>
      </c>
      <c r="E844" s="33" t="str">
        <f>VLOOKUP(F844,辅助信息!A:B,2,FALSE)</f>
        <v>盘螺</v>
      </c>
      <c r="F844" s="33" t="s">
        <v>40</v>
      </c>
      <c r="G844" s="29">
        <v>5</v>
      </c>
      <c r="H844" s="29" t="str">
        <f>_xlfn._xlws.FILTER('[1]2025年已发货'!$E:$E,'[1]2025年已发货'!$F:$F&amp;'[1]2025年已发货'!$C:$C&amp;'[1]2025年已发货'!$G:$G&amp;'[1]2025年已发货'!$H:$H=C844&amp;F844&amp;I844&amp;J844,"未发货")</f>
        <v>未发货</v>
      </c>
      <c r="I844" s="33" t="str">
        <f>VLOOKUP(B844,辅助信息!E:I,3,FALSE)</f>
        <v>(五冶钢构医学科学产业园建设项目房建二部-排洪渠（五标）)四川省南充市顺庆区搬罾街道学府大道二段</v>
      </c>
      <c r="J844" s="33" t="str">
        <f>VLOOKUP(B844,辅助信息!E:I,4,FALSE)</f>
        <v>安南</v>
      </c>
      <c r="K844" s="33">
        <f>VLOOKUP(J844,辅助信息!H:I,2,FALSE)</f>
        <v>19950525030</v>
      </c>
      <c r="L844" s="70" t="str">
        <f>VLOOKUP(B844,辅助信息!E:J,6,FALSE)</f>
        <v>送货单：送货单位：南充思临新材料科技有限公司,收货单位：五冶集团川北(南充)建设有限公司,项目名称：南充医学科学产业园,送货车型13米,装货前联系收货人核实到场规格</v>
      </c>
      <c r="M844" s="84">
        <v>45722</v>
      </c>
      <c r="O844" s="55">
        <f ca="1" t="shared" si="26"/>
        <v>0</v>
      </c>
      <c r="P844" s="55">
        <f ca="1" t="shared" si="27"/>
        <v>235</v>
      </c>
      <c r="Q844" s="19" t="str">
        <f>VLOOKUP(B844,辅助信息!E:M,9,FALSE)</f>
        <v>ZTWM-CDGS-XS-2024-0248-五冶钢构-南充市医学院项目</v>
      </c>
      <c r="R844" s="19"/>
    </row>
    <row r="845" hidden="1" spans="2:18">
      <c r="B845" s="33" t="s">
        <v>113</v>
      </c>
      <c r="C845" s="63">
        <v>45722</v>
      </c>
      <c r="D845" s="33" t="str">
        <f>VLOOKUP(B845,辅助信息!E:K,7,FALSE)</f>
        <v>JWDDCD2025051000019</v>
      </c>
      <c r="E845" s="33" t="str">
        <f>VLOOKUP(F845,辅助信息!A:B,2,FALSE)</f>
        <v>螺纹钢</v>
      </c>
      <c r="F845" s="33" t="s">
        <v>27</v>
      </c>
      <c r="G845" s="29">
        <v>12</v>
      </c>
      <c r="H845" s="29" t="str">
        <f>_xlfn._xlws.FILTER('[1]2025年已发货'!$E:$E,'[1]2025年已发货'!$F:$F&amp;'[1]2025年已发货'!$C:$C&amp;'[1]2025年已发货'!$G:$G&amp;'[1]2025年已发货'!$H:$H=C845&amp;F845&amp;I845&amp;J845,"未发货")</f>
        <v>未发货</v>
      </c>
      <c r="I845" s="33" t="str">
        <f>VLOOKUP(B845,辅助信息!E:I,3,FALSE)</f>
        <v>(五冶钢构医学科学产业园建设项目房建二部-排洪渠（五标）)四川省南充市顺庆区搬罾街道学府大道二段</v>
      </c>
      <c r="J845" s="33" t="str">
        <f>VLOOKUP(B845,辅助信息!E:I,4,FALSE)</f>
        <v>安南</v>
      </c>
      <c r="K845" s="33">
        <f>VLOOKUP(J845,辅助信息!H:I,2,FALSE)</f>
        <v>19950525030</v>
      </c>
      <c r="L845" s="71"/>
      <c r="M845" s="84">
        <v>45722</v>
      </c>
      <c r="O845" s="55">
        <f ca="1" t="shared" si="26"/>
        <v>0</v>
      </c>
      <c r="P845" s="55">
        <f ca="1" t="shared" si="27"/>
        <v>235</v>
      </c>
      <c r="Q845" s="19" t="str">
        <f>VLOOKUP(B845,辅助信息!E:M,9,FALSE)</f>
        <v>ZTWM-CDGS-XS-2024-0248-五冶钢构-南充市医学院项目</v>
      </c>
      <c r="R845" s="19"/>
    </row>
    <row r="846" hidden="1" spans="2:18">
      <c r="B846" s="33" t="s">
        <v>113</v>
      </c>
      <c r="C846" s="63">
        <v>45722</v>
      </c>
      <c r="D846" s="33" t="str">
        <f>VLOOKUP(B846,辅助信息!E:K,7,FALSE)</f>
        <v>JWDDCD2025051000019</v>
      </c>
      <c r="E846" s="33" t="str">
        <f>VLOOKUP(F846,辅助信息!A:B,2,FALSE)</f>
        <v>螺纹钢</v>
      </c>
      <c r="F846" s="33" t="s">
        <v>18</v>
      </c>
      <c r="G846" s="29">
        <v>18</v>
      </c>
      <c r="H846" s="29" t="str">
        <f>_xlfn._xlws.FILTER('[1]2025年已发货'!$E:$E,'[1]2025年已发货'!$F:$F&amp;'[1]2025年已发货'!$C:$C&amp;'[1]2025年已发货'!$G:$G&amp;'[1]2025年已发货'!$H:$H=C846&amp;F846&amp;I846&amp;J846,"未发货")</f>
        <v>未发货</v>
      </c>
      <c r="I846" s="33" t="str">
        <f>VLOOKUP(B846,辅助信息!E:I,3,FALSE)</f>
        <v>(五冶钢构医学科学产业园建设项目房建二部-排洪渠（五标）)四川省南充市顺庆区搬罾街道学府大道二段</v>
      </c>
      <c r="J846" s="33" t="str">
        <f>VLOOKUP(B846,辅助信息!E:I,4,FALSE)</f>
        <v>安南</v>
      </c>
      <c r="K846" s="33">
        <f>VLOOKUP(J846,辅助信息!H:I,2,FALSE)</f>
        <v>19950525030</v>
      </c>
      <c r="L846" s="69"/>
      <c r="M846" s="84">
        <v>45722</v>
      </c>
      <c r="O846" s="55">
        <f ca="1" t="shared" si="26"/>
        <v>0</v>
      </c>
      <c r="P846" s="55">
        <f ca="1" t="shared" si="27"/>
        <v>235</v>
      </c>
      <c r="Q846" s="19" t="str">
        <f>VLOOKUP(B846,辅助信息!E:M,9,FALSE)</f>
        <v>ZTWM-CDGS-XS-2024-0248-五冶钢构-南充市医学院项目</v>
      </c>
      <c r="R846" s="19"/>
    </row>
    <row r="847" hidden="1" spans="2:18">
      <c r="B847" s="33" t="s">
        <v>39</v>
      </c>
      <c r="C847" s="63">
        <v>45722</v>
      </c>
      <c r="D847" s="33" t="str">
        <f>VLOOKUP(B847,辅助信息!E:K,7,FALSE)</f>
        <v>JWDDCD2024101600090</v>
      </c>
      <c r="E847" s="33" t="str">
        <f>VLOOKUP(F847,辅助信息!A:B,2,FALSE)</f>
        <v>盘螺</v>
      </c>
      <c r="F847" s="33" t="s">
        <v>49</v>
      </c>
      <c r="G847" s="29">
        <v>3</v>
      </c>
      <c r="H847" s="29" t="str">
        <f>_xlfn._xlws.FILTER('[1]2025年已发货'!$E:$E,'[1]2025年已发货'!$F:$F&amp;'[1]2025年已发货'!$C:$C&amp;'[1]2025年已发货'!$G:$G&amp;'[1]2025年已发货'!$H:$H=C847&amp;F847&amp;I847&amp;J847,"未发货")</f>
        <v>未发货</v>
      </c>
      <c r="I847" s="33" t="str">
        <f>VLOOKUP(B847,辅助信息!E:I,3,FALSE)</f>
        <v>（达州市公共卫生临床医疗中心项目-一标-2号制作房）达州市通川区西外复兴镇公共卫生临床医疗中心项目</v>
      </c>
      <c r="J847" s="33" t="str">
        <f>VLOOKUP(B847,辅助信息!E:I,4,FALSE)</f>
        <v>潘建发</v>
      </c>
      <c r="K847" s="33">
        <f>VLOOKUP(J847,辅助信息!H:I,2,FALSE)</f>
        <v>13658059919</v>
      </c>
      <c r="L847" s="70" t="str">
        <f>VLOOKUP(B847,辅助信息!E:J,6,FALSE)</f>
        <v>提前联系到场规格,一天到场车辆不低于2车</v>
      </c>
      <c r="M847" s="84">
        <v>45724</v>
      </c>
      <c r="P847" s="55">
        <f ca="1" t="shared" si="27"/>
        <v>233</v>
      </c>
      <c r="Q847" s="19" t="str">
        <f>VLOOKUP(B847,辅助信息!E:M,9,FALSE)</f>
        <v>ZTWM-CDGS-XS-2024-0205-五冶钢构-达州市通川区西外复兴镇及临近片区建设项目</v>
      </c>
      <c r="R847" s="19"/>
    </row>
    <row r="848" hidden="1" spans="2:18">
      <c r="B848" s="33" t="s">
        <v>39</v>
      </c>
      <c r="C848" s="63">
        <v>45722</v>
      </c>
      <c r="D848" s="33" t="str">
        <f>VLOOKUP(B848,辅助信息!E:K,7,FALSE)</f>
        <v>JWDDCD2024101600090</v>
      </c>
      <c r="E848" s="33" t="str">
        <f>VLOOKUP(F848,辅助信息!A:B,2,FALSE)</f>
        <v>盘螺</v>
      </c>
      <c r="F848" s="33" t="s">
        <v>40</v>
      </c>
      <c r="G848" s="29">
        <v>6</v>
      </c>
      <c r="H848" s="29" t="str">
        <f>_xlfn._xlws.FILTER('[1]2025年已发货'!$E:$E,'[1]2025年已发货'!$F:$F&amp;'[1]2025年已发货'!$C:$C&amp;'[1]2025年已发货'!$G:$G&amp;'[1]2025年已发货'!$H:$H=C848&amp;F848&amp;I848&amp;J848,"未发货")</f>
        <v>未发货</v>
      </c>
      <c r="I848" s="33" t="str">
        <f>VLOOKUP(B848,辅助信息!E:I,3,FALSE)</f>
        <v>（达州市公共卫生临床医疗中心项目-一标-2号制作房）达州市通川区西外复兴镇公共卫生临床医疗中心项目</v>
      </c>
      <c r="J848" s="33" t="str">
        <f>VLOOKUP(B848,辅助信息!E:I,4,FALSE)</f>
        <v>潘建发</v>
      </c>
      <c r="K848" s="33">
        <f>VLOOKUP(J848,辅助信息!H:I,2,FALSE)</f>
        <v>13658059919</v>
      </c>
      <c r="L848" s="71"/>
      <c r="M848" s="84">
        <v>45724</v>
      </c>
      <c r="P848" s="55">
        <f ca="1" t="shared" si="27"/>
        <v>233</v>
      </c>
      <c r="Q848" s="19" t="str">
        <f>VLOOKUP(B848,辅助信息!E:M,9,FALSE)</f>
        <v>ZTWM-CDGS-XS-2024-0205-五冶钢构-达州市通川区西外复兴镇及临近片区建设项目</v>
      </c>
      <c r="R848" s="19"/>
    </row>
    <row r="849" hidden="1" spans="2:18">
      <c r="B849" s="33" t="s">
        <v>39</v>
      </c>
      <c r="C849" s="63">
        <v>45722</v>
      </c>
      <c r="D849" s="33" t="str">
        <f>VLOOKUP(B849,辅助信息!E:K,7,FALSE)</f>
        <v>JWDDCD2024101600090</v>
      </c>
      <c r="E849" s="33" t="str">
        <f>VLOOKUP(F849,辅助信息!A:B,2,FALSE)</f>
        <v>螺纹钢</v>
      </c>
      <c r="F849" s="33" t="s">
        <v>27</v>
      </c>
      <c r="G849" s="29">
        <v>25</v>
      </c>
      <c r="H849" s="29" t="str">
        <f>_xlfn._xlws.FILTER('[1]2025年已发货'!$E:$E,'[1]2025年已发货'!$F:$F&amp;'[1]2025年已发货'!$C:$C&amp;'[1]2025年已发货'!$G:$G&amp;'[1]2025年已发货'!$H:$H=C849&amp;F849&amp;I849&amp;J849,"未发货")</f>
        <v>未发货</v>
      </c>
      <c r="I849" s="33" t="str">
        <f>VLOOKUP(B849,辅助信息!E:I,3,FALSE)</f>
        <v>（达州市公共卫生临床医疗中心项目-一标-2号制作房）达州市通川区西外复兴镇公共卫生临床医疗中心项目</v>
      </c>
      <c r="J849" s="33" t="str">
        <f>VLOOKUP(B849,辅助信息!E:I,4,FALSE)</f>
        <v>潘建发</v>
      </c>
      <c r="K849" s="33">
        <f>VLOOKUP(J849,辅助信息!H:I,2,FALSE)</f>
        <v>13658059919</v>
      </c>
      <c r="L849" s="71"/>
      <c r="M849" s="84">
        <v>45724</v>
      </c>
      <c r="P849" s="55">
        <f ca="1" t="shared" si="27"/>
        <v>233</v>
      </c>
      <c r="Q849" s="19" t="str">
        <f>VLOOKUP(B849,辅助信息!E:M,9,FALSE)</f>
        <v>ZTWM-CDGS-XS-2024-0205-五冶钢构-达州市通川区西外复兴镇及临近片区建设项目</v>
      </c>
      <c r="R849" s="19"/>
    </row>
    <row r="850" hidden="1" spans="2:18">
      <c r="B850" s="33" t="s">
        <v>39</v>
      </c>
      <c r="C850" s="63">
        <v>45722</v>
      </c>
      <c r="D850" s="33" t="str">
        <f>VLOOKUP(B850,辅助信息!E:K,7,FALSE)</f>
        <v>JWDDCD2024101600090</v>
      </c>
      <c r="E850" s="33" t="str">
        <f>VLOOKUP(F850,辅助信息!A:B,2,FALSE)</f>
        <v>螺纹钢</v>
      </c>
      <c r="F850" s="33" t="s">
        <v>19</v>
      </c>
      <c r="G850" s="29">
        <v>7</v>
      </c>
      <c r="H850" s="29" t="str">
        <f>_xlfn._xlws.FILTER('[1]2025年已发货'!$E:$E,'[1]2025年已发货'!$F:$F&amp;'[1]2025年已发货'!$C:$C&amp;'[1]2025年已发货'!$G:$G&amp;'[1]2025年已发货'!$H:$H=C850&amp;F850&amp;I850&amp;J850,"未发货")</f>
        <v>未发货</v>
      </c>
      <c r="I850" s="33" t="str">
        <f>VLOOKUP(B850,辅助信息!E:I,3,FALSE)</f>
        <v>（达州市公共卫生临床医疗中心项目-一标-2号制作房）达州市通川区西外复兴镇公共卫生临床医疗中心项目</v>
      </c>
      <c r="J850" s="33" t="str">
        <f>VLOOKUP(B850,辅助信息!E:I,4,FALSE)</f>
        <v>潘建发</v>
      </c>
      <c r="K850" s="33">
        <f>VLOOKUP(J850,辅助信息!H:I,2,FALSE)</f>
        <v>13658059919</v>
      </c>
      <c r="L850" s="69"/>
      <c r="M850" s="84">
        <v>45724</v>
      </c>
      <c r="P850" s="55">
        <f ca="1" t="shared" si="27"/>
        <v>233</v>
      </c>
      <c r="Q850" s="19" t="str">
        <f>VLOOKUP(B850,辅助信息!E:M,9,FALSE)</f>
        <v>ZTWM-CDGS-XS-2024-0205-五冶钢构-达州市通川区西外复兴镇及临近片区建设项目</v>
      </c>
      <c r="R850" s="19"/>
    </row>
    <row r="851" hidden="1" spans="2:18">
      <c r="B851" s="33" t="s">
        <v>106</v>
      </c>
      <c r="C851" s="63">
        <v>45722</v>
      </c>
      <c r="D851" s="33" t="str">
        <f>VLOOKUP(B851,辅助信息!E:K,7,FALSE)</f>
        <v>JWDDCD2024101600133</v>
      </c>
      <c r="E851" s="33" t="str">
        <f>VLOOKUP(F851,辅助信息!A:B,2,FALSE)</f>
        <v>盘螺</v>
      </c>
      <c r="F851" s="33" t="s">
        <v>40</v>
      </c>
      <c r="G851" s="29">
        <v>15</v>
      </c>
      <c r="H851" s="29">
        <f>_xlfn._xlws.FILTER('[1]2025年已发货'!$E:$E,'[1]2025年已发货'!$F:$F&amp;'[1]2025年已发货'!$C:$C&amp;'[1]2025年已发货'!$G:$G&amp;'[1]2025年已发货'!$H:$H=C851&amp;F851&amp;I851&amp;J851,"未发货")</f>
        <v>15</v>
      </c>
      <c r="I851" s="33" t="str">
        <f>VLOOKUP(B851,辅助信息!E:I,3,FALSE)</f>
        <v>（五冶钢构宜宾高县月江镇建设项目）  四川省宜宾市高县月江镇刚记超市斜对面(还阳组团沪碳二期项目)</v>
      </c>
      <c r="J851" s="33" t="str">
        <f>VLOOKUP(B851,辅助信息!E:I,4,FALSE)</f>
        <v>张朝亮</v>
      </c>
      <c r="K851" s="33">
        <f>VLOOKUP(J851,辅助信息!H:I,2,FALSE)</f>
        <v>15228205853</v>
      </c>
      <c r="L851" s="70" t="str">
        <f>VLOOKUP(B851,辅助信息!E:J,6,FALSE)</f>
        <v>提前联系到场规格</v>
      </c>
      <c r="M851" s="84">
        <v>45723</v>
      </c>
      <c r="P851" s="55">
        <f ca="1" t="shared" si="27"/>
        <v>234</v>
      </c>
      <c r="Q851" s="19" t="str">
        <f>VLOOKUP(B851,辅助信息!E:M,9,FALSE)</f>
        <v>ZTWM-CDGS-XS-2024-0169-中冶西部钢构-宜宾市南溪区幸福路东路,高县月江镇建设项目</v>
      </c>
      <c r="R851" s="19"/>
    </row>
    <row r="852" hidden="1" spans="2:18">
      <c r="B852" s="33" t="s">
        <v>106</v>
      </c>
      <c r="C852" s="63">
        <v>45722</v>
      </c>
      <c r="D852" s="33" t="str">
        <f>VLOOKUP(B852,辅助信息!E:K,7,FALSE)</f>
        <v>JWDDCD2024101600133</v>
      </c>
      <c r="E852" s="33" t="str">
        <f>VLOOKUP(F852,辅助信息!A:B,2,FALSE)</f>
        <v>盘螺</v>
      </c>
      <c r="F852" s="33" t="s">
        <v>41</v>
      </c>
      <c r="G852" s="29">
        <v>6</v>
      </c>
      <c r="H852" s="29">
        <f>_xlfn._xlws.FILTER('[1]2025年已发货'!$E:$E,'[1]2025年已发货'!$F:$F&amp;'[1]2025年已发货'!$C:$C&amp;'[1]2025年已发货'!$G:$G&amp;'[1]2025年已发货'!$H:$H=C852&amp;F852&amp;I852&amp;J852,"未发货")</f>
        <v>6</v>
      </c>
      <c r="I852" s="33" t="str">
        <f>VLOOKUP(B852,辅助信息!E:I,3,FALSE)</f>
        <v>（五冶钢构宜宾高县月江镇建设项目）  四川省宜宾市高县月江镇刚记超市斜对面(还阳组团沪碳二期项目)</v>
      </c>
      <c r="J852" s="33" t="str">
        <f>VLOOKUP(B852,辅助信息!E:I,4,FALSE)</f>
        <v>张朝亮</v>
      </c>
      <c r="K852" s="33">
        <f>VLOOKUP(J852,辅助信息!H:I,2,FALSE)</f>
        <v>15228205853</v>
      </c>
      <c r="L852" s="71"/>
      <c r="M852" s="84">
        <v>45723</v>
      </c>
      <c r="P852" s="55">
        <f ca="1" t="shared" si="27"/>
        <v>234</v>
      </c>
      <c r="Q852" s="19" t="str">
        <f>VLOOKUP(B852,辅助信息!E:M,9,FALSE)</f>
        <v>ZTWM-CDGS-XS-2024-0169-中冶西部钢构-宜宾市南溪区幸福路东路,高县月江镇建设项目</v>
      </c>
      <c r="R852" s="19"/>
    </row>
    <row r="853" hidden="1" spans="2:18">
      <c r="B853" s="33" t="s">
        <v>106</v>
      </c>
      <c r="C853" s="63">
        <v>45722</v>
      </c>
      <c r="D853" s="33" t="str">
        <f>VLOOKUP(B853,辅助信息!E:K,7,FALSE)</f>
        <v>JWDDCD2024101600133</v>
      </c>
      <c r="E853" s="33" t="str">
        <f>VLOOKUP(F853,辅助信息!A:B,2,FALSE)</f>
        <v>螺纹钢</v>
      </c>
      <c r="F853" s="33" t="s">
        <v>27</v>
      </c>
      <c r="G853" s="29">
        <v>3</v>
      </c>
      <c r="H853" s="29">
        <f>_xlfn._xlws.FILTER('[1]2025年已发货'!$E:$E,'[1]2025年已发货'!$F:$F&amp;'[1]2025年已发货'!$C:$C&amp;'[1]2025年已发货'!$G:$G&amp;'[1]2025年已发货'!$H:$H=C853&amp;F853&amp;I853&amp;J853,"未发货")</f>
        <v>3</v>
      </c>
      <c r="I853" s="33" t="str">
        <f>VLOOKUP(B853,辅助信息!E:I,3,FALSE)</f>
        <v>（五冶钢构宜宾高县月江镇建设项目）  四川省宜宾市高县月江镇刚记超市斜对面(还阳组团沪碳二期项目)</v>
      </c>
      <c r="J853" s="33" t="str">
        <f>VLOOKUP(B853,辅助信息!E:I,4,FALSE)</f>
        <v>张朝亮</v>
      </c>
      <c r="K853" s="33">
        <f>VLOOKUP(J853,辅助信息!H:I,2,FALSE)</f>
        <v>15228205853</v>
      </c>
      <c r="L853" s="71"/>
      <c r="M853" s="84">
        <v>45723</v>
      </c>
      <c r="P853" s="55">
        <f ca="1" t="shared" si="27"/>
        <v>234</v>
      </c>
      <c r="Q853" s="19" t="str">
        <f>VLOOKUP(B853,辅助信息!E:M,9,FALSE)</f>
        <v>ZTWM-CDGS-XS-2024-0169-中冶西部钢构-宜宾市南溪区幸福路东路,高县月江镇建设项目</v>
      </c>
      <c r="R853" s="19"/>
    </row>
    <row r="854" hidden="1" spans="2:18">
      <c r="B854" s="33" t="s">
        <v>106</v>
      </c>
      <c r="C854" s="63">
        <v>45722</v>
      </c>
      <c r="D854" s="33" t="str">
        <f>VLOOKUP(B854,辅助信息!E:K,7,FALSE)</f>
        <v>JWDDCD2024101600133</v>
      </c>
      <c r="E854" s="33" t="str">
        <f>VLOOKUP(F854,辅助信息!A:B,2,FALSE)</f>
        <v>螺纹钢</v>
      </c>
      <c r="F854" s="33" t="s">
        <v>46</v>
      </c>
      <c r="G854" s="29">
        <v>3</v>
      </c>
      <c r="H854" s="29">
        <f>_xlfn._xlws.FILTER('[1]2025年已发货'!$E:$E,'[1]2025年已发货'!$F:$F&amp;'[1]2025年已发货'!$C:$C&amp;'[1]2025年已发货'!$G:$G&amp;'[1]2025年已发货'!$H:$H=C854&amp;F854&amp;I854&amp;J854,"未发货")</f>
        <v>3</v>
      </c>
      <c r="I854" s="33" t="str">
        <f>VLOOKUP(B854,辅助信息!E:I,3,FALSE)</f>
        <v>（五冶钢构宜宾高县月江镇建设项目）  四川省宜宾市高县月江镇刚记超市斜对面(还阳组团沪碳二期项目)</v>
      </c>
      <c r="J854" s="33" t="str">
        <f>VLOOKUP(B854,辅助信息!E:I,4,FALSE)</f>
        <v>张朝亮</v>
      </c>
      <c r="K854" s="33">
        <f>VLOOKUP(J854,辅助信息!H:I,2,FALSE)</f>
        <v>15228205853</v>
      </c>
      <c r="L854" s="71"/>
      <c r="M854" s="84">
        <v>45723</v>
      </c>
      <c r="P854" s="55">
        <f ca="1" t="shared" si="27"/>
        <v>234</v>
      </c>
      <c r="Q854" s="19" t="str">
        <f>VLOOKUP(B854,辅助信息!E:M,9,FALSE)</f>
        <v>ZTWM-CDGS-XS-2024-0169-中冶西部钢构-宜宾市南溪区幸福路东路,高县月江镇建设项目</v>
      </c>
      <c r="R854" s="19"/>
    </row>
    <row r="855" hidden="1" spans="2:18">
      <c r="B855" s="33" t="s">
        <v>106</v>
      </c>
      <c r="C855" s="63">
        <v>45722</v>
      </c>
      <c r="D855" s="33" t="str">
        <f>VLOOKUP(B855,辅助信息!E:K,7,FALSE)</f>
        <v>JWDDCD2024101600133</v>
      </c>
      <c r="E855" s="33" t="str">
        <f>VLOOKUP(F855,辅助信息!A:B,2,FALSE)</f>
        <v>螺纹钢</v>
      </c>
      <c r="F855" s="33" t="s">
        <v>22</v>
      </c>
      <c r="G855" s="29">
        <f>9+33</f>
        <v>42</v>
      </c>
      <c r="H855" s="29">
        <f>_xlfn._xlws.FILTER('[1]2025年已发货'!$E:$E,'[1]2025年已发货'!$F:$F&amp;'[1]2025年已发货'!$C:$C&amp;'[1]2025年已发货'!$G:$G&amp;'[1]2025年已发货'!$H:$H=C855&amp;F855&amp;I855&amp;J855,"未发货")</f>
        <v>42</v>
      </c>
      <c r="I855" s="33" t="str">
        <f>VLOOKUP(B855,辅助信息!E:I,3,FALSE)</f>
        <v>（五冶钢构宜宾高县月江镇建设项目）  四川省宜宾市高县月江镇刚记超市斜对面(还阳组团沪碳二期项目)</v>
      </c>
      <c r="J855" s="33" t="str">
        <f>VLOOKUP(B855,辅助信息!E:I,4,FALSE)</f>
        <v>张朝亮</v>
      </c>
      <c r="K855" s="33">
        <f>VLOOKUP(J855,辅助信息!H:I,2,FALSE)</f>
        <v>15228205853</v>
      </c>
      <c r="L855" s="69"/>
      <c r="M855" s="84">
        <v>45723</v>
      </c>
      <c r="P855" s="55">
        <f ca="1" t="shared" si="27"/>
        <v>234</v>
      </c>
      <c r="Q855" s="19" t="str">
        <f>VLOOKUP(B855,辅助信息!E:M,9,FALSE)</f>
        <v>ZTWM-CDGS-XS-2024-0169-中冶西部钢构-宜宾市南溪区幸福路东路,高县月江镇建设项目</v>
      </c>
      <c r="R855" s="19"/>
    </row>
    <row r="856" ht="22.5" hidden="1" customHeight="1" spans="2:18">
      <c r="B856" s="33" t="s">
        <v>81</v>
      </c>
      <c r="C856" s="63">
        <v>45722</v>
      </c>
      <c r="D856" s="33" t="str">
        <f>VLOOKUP(B856,辅助信息!E:K,7,FALSE)</f>
        <v>JWDDCD2025060900080</v>
      </c>
      <c r="E856" s="33" t="str">
        <f>VLOOKUP(F856,辅助信息!A:B,2,FALSE)</f>
        <v>螺纹钢</v>
      </c>
      <c r="F856" s="33" t="s">
        <v>28</v>
      </c>
      <c r="G856" s="29">
        <v>35</v>
      </c>
      <c r="H856" s="29">
        <f>_xlfn._xlws.FILTER('[1]2025年已发货'!$E:$E,'[1]2025年已发货'!$F:$F&amp;'[1]2025年已发货'!$C:$C&amp;'[1]2025年已发货'!$G:$G&amp;'[1]2025年已发货'!$H:$H=C856&amp;F856&amp;I856&amp;J856,"未发货")</f>
        <v>35</v>
      </c>
      <c r="I856" s="33" t="str">
        <f>VLOOKUP(B856,辅助信息!E:I,3,FALSE)</f>
        <v>（华西简阳西城嘉苑）四川省成都市简阳市简城街道高屋村</v>
      </c>
      <c r="J856" s="33" t="str">
        <f>VLOOKUP(B856,辅助信息!E:I,4,FALSE)</f>
        <v>张瀚镭</v>
      </c>
      <c r="K856" s="33">
        <f>VLOOKUP(J856,辅助信息!H:I,2,FALSE)</f>
        <v>15884666220</v>
      </c>
      <c r="L856" s="70" t="str">
        <f>VLOOKUP(B856,辅助信息!E:J,6,FALSE)</f>
        <v>现场禁止使用氢能源挂车！优先威钢发货,我方卸车,新老国标钢厂不加价可直发，因陕钢多次出现磅差，项目拒绝使用</v>
      </c>
      <c r="M856" s="84">
        <v>45723</v>
      </c>
      <c r="O856" s="55">
        <f ca="1">IF(OR(M856="",N856&lt;&gt;""),"",MAX(M856-TODAY(),0))</f>
        <v>0</v>
      </c>
      <c r="P856" s="55">
        <f ca="1" t="shared" si="27"/>
        <v>234</v>
      </c>
      <c r="Q856" s="19" t="str">
        <f>VLOOKUP(B856,辅助信息!E:M,9,FALSE)</f>
        <v>ZTWM-CDGS-XS-2024-0030-华西集采-简州大道</v>
      </c>
      <c r="R856" s="19"/>
    </row>
    <row r="857" hidden="1" spans="1:18">
      <c r="A857" s="64" t="s">
        <v>114</v>
      </c>
      <c r="B857" s="33" t="s">
        <v>56</v>
      </c>
      <c r="C857" s="63">
        <v>45726</v>
      </c>
      <c r="D857" s="33" t="str">
        <f>VLOOKUP(B857,辅助信息!E:K,7,FALSE)</f>
        <v>JWDDCD2025052800131</v>
      </c>
      <c r="E857" s="33" t="str">
        <f>VLOOKUP(F857,辅助信息!A:B,2,FALSE)</f>
        <v>螺纹钢</v>
      </c>
      <c r="F857" s="33" t="s">
        <v>45</v>
      </c>
      <c r="G857" s="29">
        <v>12</v>
      </c>
      <c r="H857" s="29">
        <f>_xlfn._xlws.FILTER('[1]2025年已发货'!$E:$E,'[1]2025年已发货'!$F:$F&amp;'[1]2025年已发货'!$C:$C&amp;'[1]2025年已发货'!$G:$G&amp;'[1]2025年已发货'!$H:$H=C857&amp;F857&amp;I857&amp;J857,"未发货")</f>
        <v>12</v>
      </c>
      <c r="I857" s="33" t="str">
        <f>VLOOKUP(B857,辅助信息!E:I,3,FALSE)</f>
        <v>（商投建工达州中医药科技园-4工区-7号楼）达州市通川区达州中医药职业学院犀牛大道北段</v>
      </c>
      <c r="J857" s="33" t="str">
        <f>VLOOKUP(B857,辅助信息!E:I,4,FALSE)</f>
        <v>张扬</v>
      </c>
      <c r="K857" s="33">
        <f>VLOOKUP(J857,辅助信息!H:I,2,FALSE)</f>
        <v>18381904567</v>
      </c>
      <c r="L857" s="70" t="str">
        <f>VLOOKUP(B857,辅助信息!E:J,6,FALSE)</f>
        <v>控制炉批号！多了现场不收！,优先安排达钢,提前联系到场规格及数量</v>
      </c>
      <c r="M857" s="84">
        <v>45716</v>
      </c>
      <c r="O857" s="55">
        <f ca="1">IF(OR(M857="",N857&lt;&gt;""),"",MAX(M857-TODAY(),0))</f>
        <v>0</v>
      </c>
      <c r="P857" s="55">
        <f ca="1" t="shared" si="27"/>
        <v>241</v>
      </c>
      <c r="Q857" s="19" t="str">
        <f>VLOOKUP(B857,辅助信息!E:M,9,FALSE)</f>
        <v>ZTWM-CDGS-XS-2024-0134-商投建工达州中医药科技成果示范园项目</v>
      </c>
      <c r="R857" s="19"/>
    </row>
    <row r="858" hidden="1" spans="2:18">
      <c r="B858" s="33" t="s">
        <v>56</v>
      </c>
      <c r="C858" s="63">
        <v>45726</v>
      </c>
      <c r="D858" s="33" t="str">
        <f>VLOOKUP(B858,辅助信息!E:K,7,FALSE)</f>
        <v>JWDDCD2025052800131</v>
      </c>
      <c r="E858" s="33" t="str">
        <f>VLOOKUP(F858,辅助信息!A:B,2,FALSE)</f>
        <v>螺纹钢</v>
      </c>
      <c r="F858" s="33" t="s">
        <v>21</v>
      </c>
      <c r="G858" s="29">
        <v>15</v>
      </c>
      <c r="H858" s="29">
        <f>_xlfn._xlws.FILTER('[1]2025年已发货'!$E:$E,'[1]2025年已发货'!$F:$F&amp;'[1]2025年已发货'!$C:$C&amp;'[1]2025年已发货'!$G:$G&amp;'[1]2025年已发货'!$H:$H=C858&amp;F858&amp;I858&amp;J858,"未发货")</f>
        <v>15</v>
      </c>
      <c r="I858" s="33" t="str">
        <f>VLOOKUP(B858,辅助信息!E:I,3,FALSE)</f>
        <v>（商投建工达州中医药科技园-4工区-7号楼）达州市通川区达州中医药职业学院犀牛大道北段</v>
      </c>
      <c r="J858" s="33" t="str">
        <f>VLOOKUP(B858,辅助信息!E:I,4,FALSE)</f>
        <v>张扬</v>
      </c>
      <c r="K858" s="33">
        <f>VLOOKUP(J858,辅助信息!H:I,2,FALSE)</f>
        <v>18381904567</v>
      </c>
      <c r="L858" s="69"/>
      <c r="M858" s="84">
        <v>45716</v>
      </c>
      <c r="O858" s="55">
        <f ca="1">IF(OR(M858="",N858&lt;&gt;""),"",MAX(M858-TODAY(),0))</f>
        <v>0</v>
      </c>
      <c r="P858" s="55">
        <f ca="1" t="shared" si="27"/>
        <v>241</v>
      </c>
      <c r="Q858" s="19" t="str">
        <f>VLOOKUP(B858,辅助信息!E:M,9,FALSE)</f>
        <v>ZTWM-CDGS-XS-2024-0134-商投建工达州中医药科技成果示范园项目</v>
      </c>
      <c r="R858" s="19"/>
    </row>
    <row r="859" hidden="1" spans="2:18">
      <c r="B859" s="33" t="s">
        <v>56</v>
      </c>
      <c r="C859" s="63">
        <v>45726</v>
      </c>
      <c r="D859" s="33" t="str">
        <f>VLOOKUP(B859,辅助信息!E:K,7,FALSE)</f>
        <v>JWDDCD2025052800131</v>
      </c>
      <c r="E859" s="33" t="str">
        <f>VLOOKUP(F859,辅助信息!A:B,2,FALSE)</f>
        <v>螺纹钢</v>
      </c>
      <c r="F859" s="33" t="s">
        <v>58</v>
      </c>
      <c r="G859" s="29">
        <v>3</v>
      </c>
      <c r="H859" s="29">
        <f>_xlfn._xlws.FILTER('[1]2025年已发货'!$E:$E,'[1]2025年已发货'!$F:$F&amp;'[1]2025年已发货'!$C:$C&amp;'[1]2025年已发货'!$G:$G&amp;'[1]2025年已发货'!$H:$H=C859&amp;F859&amp;I859&amp;J859,"未发货")</f>
        <v>3</v>
      </c>
      <c r="I859" s="33" t="str">
        <f>VLOOKUP(B859,辅助信息!E:I,3,FALSE)</f>
        <v>（商投建工达州中医药科技园-4工区-7号楼）达州市通川区达州中医药职业学院犀牛大道北段</v>
      </c>
      <c r="J859" s="33" t="str">
        <f>VLOOKUP(B859,辅助信息!E:I,4,FALSE)</f>
        <v>张扬</v>
      </c>
      <c r="K859" s="33">
        <f>VLOOKUP(J859,辅助信息!H:I,2,FALSE)</f>
        <v>18381904567</v>
      </c>
      <c r="L859" s="82"/>
      <c r="M859" s="84"/>
      <c r="Q859" s="19"/>
      <c r="R859" s="19"/>
    </row>
    <row r="860" hidden="1" spans="2:18">
      <c r="B860" s="33" t="s">
        <v>56</v>
      </c>
      <c r="C860" s="63">
        <v>45726</v>
      </c>
      <c r="D860" s="33" t="str">
        <f>VLOOKUP(B860,辅助信息!E:K,7,FALSE)</f>
        <v>JWDDCD2025052800131</v>
      </c>
      <c r="E860" s="33" t="str">
        <f>VLOOKUP(F860,辅助信息!A:B,2,FALSE)</f>
        <v>螺纹钢</v>
      </c>
      <c r="F860" s="33" t="s">
        <v>46</v>
      </c>
      <c r="G860" s="29">
        <v>3</v>
      </c>
      <c r="H860" s="29">
        <f>_xlfn._xlws.FILTER('[1]2025年已发货'!$E:$E,'[1]2025年已发货'!$F:$F&amp;'[1]2025年已发货'!$C:$C&amp;'[1]2025年已发货'!$G:$G&amp;'[1]2025年已发货'!$H:$H=C860&amp;F860&amp;I860&amp;J860,"未发货")</f>
        <v>3</v>
      </c>
      <c r="I860" s="33" t="str">
        <f>VLOOKUP(B860,辅助信息!E:I,3,FALSE)</f>
        <v>（商投建工达州中医药科技园-4工区-7号楼）达州市通川区达州中医药职业学院犀牛大道北段</v>
      </c>
      <c r="J860" s="33" t="str">
        <f>VLOOKUP(B860,辅助信息!E:I,4,FALSE)</f>
        <v>张扬</v>
      </c>
      <c r="K860" s="33">
        <f>VLOOKUP(J860,辅助信息!H:I,2,FALSE)</f>
        <v>18381904567</v>
      </c>
      <c r="L860" s="82"/>
      <c r="M860" s="84"/>
      <c r="Q860" s="19"/>
      <c r="R860" s="19"/>
    </row>
    <row r="861" hidden="1" spans="2:18">
      <c r="B861" s="33" t="s">
        <v>68</v>
      </c>
      <c r="C861" s="63">
        <v>45726</v>
      </c>
      <c r="D861" s="33" t="s">
        <v>115</v>
      </c>
      <c r="E861" s="33" t="s">
        <v>116</v>
      </c>
      <c r="F861" s="33" t="s">
        <v>27</v>
      </c>
      <c r="G861" s="29">
        <v>11</v>
      </c>
      <c r="H861" s="29" t="str">
        <f>_xlfn._xlws.FILTER('[1]2025年已发货'!$E:$E,'[1]2025年已发货'!$F:$F&amp;'[1]2025年已发货'!$C:$C&amp;'[1]2025年已发货'!$G:$G&amp;'[1]2025年已发货'!$H:$H=C861&amp;F861&amp;I861&amp;J861,"未发货")</f>
        <v>未发货</v>
      </c>
      <c r="I861" s="33" t="str">
        <f>VLOOKUP(B861,辅助信息!E:I,3,FALSE)</f>
        <v>（商投建工达州中医药科技园-2工区-景观桥）达州市通川区达州中医药职业学院犀牛大道北段</v>
      </c>
      <c r="J861" s="33" t="str">
        <f>VLOOKUP(B861,辅助信息!E:I,4,FALSE)</f>
        <v>李波</v>
      </c>
      <c r="K861" s="33">
        <f>VLOOKUP(J861,辅助信息!H:I,2,FALSE)</f>
        <v>18381899787</v>
      </c>
      <c r="L861" s="82" t="str">
        <f>VLOOKUP(B864,辅助信息!E:J,6,FALSE)</f>
        <v>控制炉批号！多了现场不收！,优先安排达钢,提前联系到场规格及数量</v>
      </c>
      <c r="M861" s="84"/>
      <c r="Q861" s="19"/>
      <c r="R861" s="19"/>
    </row>
    <row r="862" hidden="1" spans="2:18">
      <c r="B862" s="33" t="s">
        <v>68</v>
      </c>
      <c r="C862" s="63">
        <v>45726</v>
      </c>
      <c r="D862" s="33" t="s">
        <v>115</v>
      </c>
      <c r="E862" s="33" t="s">
        <v>116</v>
      </c>
      <c r="F862" s="33" t="s">
        <v>32</v>
      </c>
      <c r="G862" s="29">
        <v>132</v>
      </c>
      <c r="H862" s="29" t="str">
        <f>_xlfn._xlws.FILTER('[1]2025年已发货'!$E:$E,'[1]2025年已发货'!$F:$F&amp;'[1]2025年已发货'!$C:$C&amp;'[1]2025年已发货'!$G:$G&amp;'[1]2025年已发货'!$H:$H=C862&amp;F862&amp;I862&amp;J862,"未发货")</f>
        <v>未发货</v>
      </c>
      <c r="I862" s="33" t="str">
        <f>VLOOKUP(B862,辅助信息!E:I,3,FALSE)</f>
        <v>（商投建工达州中医药科技园-2工区-景观桥）达州市通川区达州中医药职业学院犀牛大道北段</v>
      </c>
      <c r="J862" s="33" t="str">
        <f>VLOOKUP(B862,辅助信息!E:I,4,FALSE)</f>
        <v>李波</v>
      </c>
      <c r="K862" s="33">
        <f>VLOOKUP(J862,辅助信息!H:I,2,FALSE)</f>
        <v>18381899787</v>
      </c>
      <c r="L862" s="71"/>
      <c r="M862" s="84"/>
      <c r="Q862" s="19"/>
      <c r="R862" s="19"/>
    </row>
    <row r="863" hidden="1" spans="2:18">
      <c r="B863" s="33" t="s">
        <v>68</v>
      </c>
      <c r="C863" s="63">
        <v>45726</v>
      </c>
      <c r="D863" s="33" t="s">
        <v>115</v>
      </c>
      <c r="E863" s="33" t="s">
        <v>116</v>
      </c>
      <c r="F863" s="33" t="s">
        <v>33</v>
      </c>
      <c r="G863" s="29">
        <v>19</v>
      </c>
      <c r="H863" s="29" t="str">
        <f>_xlfn._xlws.FILTER('[1]2025年已发货'!$E:$E,'[1]2025年已发货'!$F:$F&amp;'[1]2025年已发货'!$C:$C&amp;'[1]2025年已发货'!$G:$G&amp;'[1]2025年已发货'!$H:$H=C863&amp;F863&amp;I863&amp;J863,"未发货")</f>
        <v>未发货</v>
      </c>
      <c r="I863" s="33" t="str">
        <f>VLOOKUP(B863,辅助信息!E:I,3,FALSE)</f>
        <v>（商投建工达州中医药科技园-2工区-景观桥）达州市通川区达州中医药职业学院犀牛大道北段</v>
      </c>
      <c r="J863" s="33" t="str">
        <f>VLOOKUP(B863,辅助信息!E:I,4,FALSE)</f>
        <v>李波</v>
      </c>
      <c r="K863" s="33">
        <f>VLOOKUP(J863,辅助信息!H:I,2,FALSE)</f>
        <v>18381899787</v>
      </c>
      <c r="L863" s="71"/>
      <c r="M863" s="84"/>
      <c r="Q863" s="19"/>
      <c r="R863" s="19"/>
    </row>
    <row r="864" hidden="1" spans="2:18">
      <c r="B864" s="33" t="s">
        <v>68</v>
      </c>
      <c r="C864" s="63">
        <v>45726</v>
      </c>
      <c r="D864" s="33" t="str">
        <f>VLOOKUP(B864,辅助信息!E:K,7,FALSE)</f>
        <v>JWDDCD2025052800131</v>
      </c>
      <c r="E864" s="33" t="str">
        <f>VLOOKUP(F864,辅助信息!A:B,2,FALSE)</f>
        <v>螺纹钢</v>
      </c>
      <c r="F864" s="33" t="s">
        <v>18</v>
      </c>
      <c r="G864" s="29">
        <v>14</v>
      </c>
      <c r="H864" s="29" t="str">
        <f>_xlfn._xlws.FILTER('[1]2025年已发货'!$E:$E,'[1]2025年已发货'!$F:$F&amp;'[1]2025年已发货'!$C:$C&amp;'[1]2025年已发货'!$G:$G&amp;'[1]2025年已发货'!$H:$H=C864&amp;F864&amp;I864&amp;J864,"未发货")</f>
        <v>未发货</v>
      </c>
      <c r="I864" s="33" t="str">
        <f>VLOOKUP(B864,辅助信息!E:I,3,FALSE)</f>
        <v>（商投建工达州中医药科技园-2工区-景观桥）达州市通川区达州中医药职业学院犀牛大道北段</v>
      </c>
      <c r="J864" s="33" t="str">
        <f>VLOOKUP(B864,辅助信息!E:I,4,FALSE)</f>
        <v>李波</v>
      </c>
      <c r="K864" s="33">
        <f>VLOOKUP(J864,辅助信息!H:I,2,FALSE)</f>
        <v>18381899787</v>
      </c>
      <c r="L864" s="71"/>
      <c r="M864" s="84">
        <v>45720</v>
      </c>
      <c r="O864" s="55">
        <f ca="1">IF(OR(M864="",N864&lt;&gt;""),"",MAX(M864-TODAY(),0))</f>
        <v>0</v>
      </c>
      <c r="P864" s="55">
        <f ca="1">IF(M864="","",IF(N864&lt;&gt;"",MAX(N864-M864,0),IF(TODAY()&gt;M864,TODAY()-M864,0)))</f>
        <v>237</v>
      </c>
      <c r="Q864" s="19" t="str">
        <f>VLOOKUP(B864,辅助信息!E:M,9,FALSE)</f>
        <v>ZTWM-CDGS-XS-2024-0134-商投建工达州中医药科技成果示范园项目</v>
      </c>
      <c r="R864" s="19"/>
    </row>
    <row r="865" hidden="1" spans="2:18">
      <c r="B865" s="33" t="s">
        <v>68</v>
      </c>
      <c r="C865" s="63">
        <v>45726</v>
      </c>
      <c r="D865" s="33" t="str">
        <f>VLOOKUP(B865,辅助信息!E:K,7,FALSE)</f>
        <v>JWDDCD2025052800131</v>
      </c>
      <c r="E865" s="33" t="str">
        <f>VLOOKUP(F865,辅助信息!A:B,2,FALSE)</f>
        <v>螺纹钢</v>
      </c>
      <c r="F865" s="33" t="s">
        <v>52</v>
      </c>
      <c r="G865" s="29">
        <v>35</v>
      </c>
      <c r="H865" s="29">
        <f>_xlfn._xlws.FILTER('[1]2025年已发货'!$E:$E,'[1]2025年已发货'!$F:$F&amp;'[1]2025年已发货'!$C:$C&amp;'[1]2025年已发货'!$G:$G&amp;'[1]2025年已发货'!$H:$H=C865&amp;F865&amp;I865&amp;J865,"未发货")</f>
        <v>35</v>
      </c>
      <c r="I865" s="33" t="str">
        <f>VLOOKUP(B865,辅助信息!E:I,3,FALSE)</f>
        <v>（商投建工达州中医药科技园-2工区-景观桥）达州市通川区达州中医药职业学院犀牛大道北段</v>
      </c>
      <c r="J865" s="33" t="str">
        <f>VLOOKUP(B865,辅助信息!E:I,4,FALSE)</f>
        <v>李波</v>
      </c>
      <c r="K865" s="33">
        <f>VLOOKUP(J865,辅助信息!H:I,2,FALSE)</f>
        <v>18381899787</v>
      </c>
      <c r="L865" s="71"/>
      <c r="M865" s="84"/>
      <c r="Q865" s="19"/>
      <c r="R865" s="19"/>
    </row>
    <row r="866" hidden="1" spans="2:18">
      <c r="B866" s="33" t="s">
        <v>64</v>
      </c>
      <c r="C866" s="63">
        <v>45726</v>
      </c>
      <c r="D866" s="33" t="e">
        <f>VLOOKUP(B866,辅助信息!E:K,7,FALSE)</f>
        <v>#N/A</v>
      </c>
      <c r="E866" s="33" t="str">
        <f>VLOOKUP(F866,辅助信息!A:B,2,FALSE)</f>
        <v>螺纹钢</v>
      </c>
      <c r="F866" s="33" t="s">
        <v>65</v>
      </c>
      <c r="G866" s="29">
        <v>12</v>
      </c>
      <c r="H866" s="29" t="e">
        <f>_xlfn._xlws.FILTER('[1]2025年已发货'!$E:$E,'[1]2025年已发货'!$F:$F&amp;'[1]2025年已发货'!$C:$C&amp;'[1]2025年已发货'!$G:$G&amp;'[1]2025年已发货'!$H:$H=C866&amp;F866&amp;I866&amp;J866,"未发货")</f>
        <v>#N/A</v>
      </c>
      <c r="I866" s="33" t="e">
        <f>VLOOKUP(B866,辅助信息!E:I,3,FALSE)</f>
        <v>#N/A</v>
      </c>
      <c r="J866" s="33" t="e">
        <f>VLOOKUP(B866,辅助信息!E:I,4,FALSE)</f>
        <v>#N/A</v>
      </c>
      <c r="K866" s="33" t="e">
        <f>VLOOKUP(J866,辅助信息!H:I,2,FALSE)</f>
        <v>#N/A</v>
      </c>
      <c r="L866" s="70" t="e">
        <f>VLOOKUP(B866,辅助信息!E:J,6,FALSE)</f>
        <v>#N/A</v>
      </c>
      <c r="M866" s="84">
        <v>45726</v>
      </c>
      <c r="O866" s="55">
        <f ca="1" t="shared" ref="O866:O929" si="28">IF(OR(M866="",N866&lt;&gt;""),"",MAX(M866-TODAY(),0))</f>
        <v>0</v>
      </c>
      <c r="P866" s="55">
        <f ca="1" t="shared" ref="P866:P929" si="29">IF(M866="","",IF(N866&lt;&gt;"",MAX(N866-M866,0),IF(TODAY()&gt;M866,TODAY()-M866,0)))</f>
        <v>231</v>
      </c>
      <c r="Q866" s="19" t="e">
        <f>VLOOKUP(B866,辅助信息!E:M,9,FALSE)</f>
        <v>#N/A</v>
      </c>
      <c r="R866" s="19"/>
    </row>
    <row r="867" hidden="1" spans="2:18">
      <c r="B867" s="33" t="s">
        <v>64</v>
      </c>
      <c r="C867" s="63">
        <v>45726</v>
      </c>
      <c r="D867" s="33" t="e">
        <f>VLOOKUP(B867,辅助信息!E:K,7,FALSE)</f>
        <v>#N/A</v>
      </c>
      <c r="E867" s="33" t="str">
        <f>VLOOKUP(F867,辅助信息!A:B,2,FALSE)</f>
        <v>螺纹钢</v>
      </c>
      <c r="F867" s="33" t="s">
        <v>52</v>
      </c>
      <c r="G867" s="29">
        <v>8</v>
      </c>
      <c r="H867" s="29" t="e">
        <f>_xlfn._xlws.FILTER('[1]2025年已发货'!$E:$E,'[1]2025年已发货'!$F:$F&amp;'[1]2025年已发货'!$C:$C&amp;'[1]2025年已发货'!$G:$G&amp;'[1]2025年已发货'!$H:$H=C867&amp;F867&amp;I867&amp;J867,"未发货")</f>
        <v>#N/A</v>
      </c>
      <c r="I867" s="33" t="e">
        <f>VLOOKUP(B867,辅助信息!E:I,3,FALSE)</f>
        <v>#N/A</v>
      </c>
      <c r="J867" s="33" t="e">
        <f>VLOOKUP(B867,辅助信息!E:I,4,FALSE)</f>
        <v>#N/A</v>
      </c>
      <c r="K867" s="33" t="e">
        <f>VLOOKUP(J867,辅助信息!H:I,2,FALSE)</f>
        <v>#N/A</v>
      </c>
      <c r="L867" s="69"/>
      <c r="M867" s="84">
        <v>45726</v>
      </c>
      <c r="O867" s="55">
        <f ca="1" t="shared" si="28"/>
        <v>0</v>
      </c>
      <c r="P867" s="55">
        <f ca="1" t="shared" si="29"/>
        <v>231</v>
      </c>
      <c r="Q867" s="19"/>
      <c r="R867" s="19"/>
    </row>
    <row r="868" hidden="1" spans="1:18">
      <c r="A868" s="75" t="s">
        <v>110</v>
      </c>
      <c r="B868" s="33" t="s">
        <v>84</v>
      </c>
      <c r="C868" s="63">
        <v>45726</v>
      </c>
      <c r="D868" s="33" t="e">
        <f>VLOOKUP(B868,辅助信息!E:K,7,FALSE)</f>
        <v>#N/A</v>
      </c>
      <c r="E868" s="33" t="str">
        <f>VLOOKUP(F868,辅助信息!A:B,2,FALSE)</f>
        <v>高线</v>
      </c>
      <c r="F868" s="33" t="s">
        <v>51</v>
      </c>
      <c r="G868" s="29">
        <v>5</v>
      </c>
      <c r="H868" s="29" t="e">
        <f>_xlfn._xlws.FILTER('[1]2025年已发货'!$E:$E,'[1]2025年已发货'!$F:$F&amp;'[1]2025年已发货'!$C:$C&amp;'[1]2025年已发货'!$G:$G&amp;'[1]2025年已发货'!$H:$H=C868&amp;F868&amp;I868&amp;J868,"未发货")</f>
        <v>#N/A</v>
      </c>
      <c r="I868" s="33" t="e">
        <f>VLOOKUP(B868,辅助信息!E:I,3,FALSE)</f>
        <v>#N/A</v>
      </c>
      <c r="J868" s="33" t="e">
        <f>VLOOKUP(B868,辅助信息!E:I,4,FALSE)</f>
        <v>#N/A</v>
      </c>
      <c r="K868" s="33" t="e">
        <f>VLOOKUP(J868,辅助信息!H:I,2,FALSE)</f>
        <v>#N/A</v>
      </c>
      <c r="L868" s="70" t="e">
        <f>VLOOKUP(B868,辅助信息!E:J,6,FALSE)</f>
        <v>#N/A</v>
      </c>
      <c r="M868" s="84">
        <v>45722</v>
      </c>
      <c r="O868" s="55">
        <f ca="1" t="shared" si="28"/>
        <v>0</v>
      </c>
      <c r="P868" s="55">
        <f ca="1" t="shared" si="29"/>
        <v>235</v>
      </c>
      <c r="Q868" s="19" t="e">
        <f>VLOOKUP(B868,辅助信息!E:M,9,FALSE)</f>
        <v>#N/A</v>
      </c>
      <c r="R868" s="19"/>
    </row>
    <row r="869" hidden="1" spans="1:18">
      <c r="A869" s="71"/>
      <c r="B869" s="33" t="s">
        <v>84</v>
      </c>
      <c r="C869" s="63">
        <v>45726</v>
      </c>
      <c r="D869" s="33" t="e">
        <f>VLOOKUP(B869,辅助信息!E:K,7,FALSE)</f>
        <v>#N/A</v>
      </c>
      <c r="E869" s="33" t="str">
        <f>VLOOKUP(F869,辅助信息!A:B,2,FALSE)</f>
        <v>螺纹钢</v>
      </c>
      <c r="F869" s="33" t="s">
        <v>32</v>
      </c>
      <c r="G869" s="29">
        <v>3</v>
      </c>
      <c r="H869" s="29" t="e">
        <f>_xlfn._xlws.FILTER('[1]2025年已发货'!$E:$E,'[1]2025年已发货'!$F:$F&amp;'[1]2025年已发货'!$C:$C&amp;'[1]2025年已发货'!$G:$G&amp;'[1]2025年已发货'!$H:$H=C869&amp;F869&amp;I869&amp;J869,"未发货")</f>
        <v>#N/A</v>
      </c>
      <c r="I869" s="33" t="e">
        <f>VLOOKUP(B869,辅助信息!E:I,3,FALSE)</f>
        <v>#N/A</v>
      </c>
      <c r="J869" s="33" t="e">
        <f>VLOOKUP(B869,辅助信息!E:I,4,FALSE)</f>
        <v>#N/A</v>
      </c>
      <c r="K869" s="33" t="e">
        <f>VLOOKUP(J869,辅助信息!H:I,2,FALSE)</f>
        <v>#N/A</v>
      </c>
      <c r="L869" s="71"/>
      <c r="M869" s="84">
        <v>45722</v>
      </c>
      <c r="O869" s="55">
        <f ca="1" t="shared" si="28"/>
        <v>0</v>
      </c>
      <c r="P869" s="55">
        <f ca="1" t="shared" si="29"/>
        <v>235</v>
      </c>
      <c r="Q869" s="19" t="e">
        <f>VLOOKUP(B869,辅助信息!E:M,9,FALSE)</f>
        <v>#N/A</v>
      </c>
      <c r="R869" s="19"/>
    </row>
    <row r="870" hidden="1" spans="1:18">
      <c r="A870" s="71"/>
      <c r="B870" s="33" t="s">
        <v>84</v>
      </c>
      <c r="C870" s="63">
        <v>45726</v>
      </c>
      <c r="D870" s="33" t="e">
        <f>VLOOKUP(B870,辅助信息!E:K,7,FALSE)</f>
        <v>#N/A</v>
      </c>
      <c r="E870" s="33" t="str">
        <f>VLOOKUP(F870,辅助信息!A:B,2,FALSE)</f>
        <v>螺纹钢</v>
      </c>
      <c r="F870" s="33" t="s">
        <v>33</v>
      </c>
      <c r="G870" s="29">
        <v>8</v>
      </c>
      <c r="H870" s="29" t="e">
        <f>_xlfn._xlws.FILTER('[1]2025年已发货'!$E:$E,'[1]2025年已发货'!$F:$F&amp;'[1]2025年已发货'!$C:$C&amp;'[1]2025年已发货'!$G:$G&amp;'[1]2025年已发货'!$H:$H=C870&amp;F870&amp;I870&amp;J870,"未发货")</f>
        <v>#N/A</v>
      </c>
      <c r="I870" s="33" t="e">
        <f>VLOOKUP(B870,辅助信息!E:I,3,FALSE)</f>
        <v>#N/A</v>
      </c>
      <c r="J870" s="33" t="e">
        <f>VLOOKUP(B870,辅助信息!E:I,4,FALSE)</f>
        <v>#N/A</v>
      </c>
      <c r="K870" s="33" t="e">
        <f>VLOOKUP(J870,辅助信息!H:I,2,FALSE)</f>
        <v>#N/A</v>
      </c>
      <c r="L870" s="71"/>
      <c r="M870" s="84">
        <v>45722</v>
      </c>
      <c r="O870" s="55">
        <f ca="1" t="shared" si="28"/>
        <v>0</v>
      </c>
      <c r="P870" s="55">
        <f ca="1" t="shared" si="29"/>
        <v>235</v>
      </c>
      <c r="Q870" s="19" t="e">
        <f>VLOOKUP(B870,辅助信息!E:M,9,FALSE)</f>
        <v>#N/A</v>
      </c>
      <c r="R870" s="19"/>
    </row>
    <row r="871" hidden="1" spans="1:18">
      <c r="A871" s="71"/>
      <c r="B871" s="33" t="s">
        <v>84</v>
      </c>
      <c r="C871" s="63">
        <v>45726</v>
      </c>
      <c r="D871" s="33" t="e">
        <f>VLOOKUP(B871,辅助信息!E:K,7,FALSE)</f>
        <v>#N/A</v>
      </c>
      <c r="E871" s="33" t="str">
        <f>VLOOKUP(F871,辅助信息!A:B,2,FALSE)</f>
        <v>螺纹钢</v>
      </c>
      <c r="F871" s="33" t="s">
        <v>28</v>
      </c>
      <c r="G871" s="29">
        <v>9</v>
      </c>
      <c r="H871" s="29" t="e">
        <f>_xlfn._xlws.FILTER('[1]2025年已发货'!$E:$E,'[1]2025年已发货'!$F:$F&amp;'[1]2025年已发货'!$C:$C&amp;'[1]2025年已发货'!$G:$G&amp;'[1]2025年已发货'!$H:$H=C871&amp;F871&amp;I871&amp;J871,"未发货")</f>
        <v>#N/A</v>
      </c>
      <c r="I871" s="33" t="e">
        <f>VLOOKUP(B871,辅助信息!E:I,3,FALSE)</f>
        <v>#N/A</v>
      </c>
      <c r="J871" s="33" t="e">
        <f>VLOOKUP(B871,辅助信息!E:I,4,FALSE)</f>
        <v>#N/A</v>
      </c>
      <c r="K871" s="33" t="e">
        <f>VLOOKUP(J871,辅助信息!H:I,2,FALSE)</f>
        <v>#N/A</v>
      </c>
      <c r="L871" s="71"/>
      <c r="M871" s="84">
        <v>45722</v>
      </c>
      <c r="O871" s="55">
        <f ca="1" t="shared" si="28"/>
        <v>0</v>
      </c>
      <c r="P871" s="55">
        <f ca="1" t="shared" si="29"/>
        <v>235</v>
      </c>
      <c r="Q871" s="19" t="e">
        <f>VLOOKUP(B871,辅助信息!E:M,9,FALSE)</f>
        <v>#N/A</v>
      </c>
      <c r="R871" s="19"/>
    </row>
    <row r="872" hidden="1" spans="1:18">
      <c r="A872" s="69"/>
      <c r="B872" s="33" t="s">
        <v>84</v>
      </c>
      <c r="C872" s="63">
        <v>45726</v>
      </c>
      <c r="D872" s="33" t="e">
        <f>VLOOKUP(B872,辅助信息!E:K,7,FALSE)</f>
        <v>#N/A</v>
      </c>
      <c r="E872" s="33" t="str">
        <f>VLOOKUP(F872,辅助信息!A:B,2,FALSE)</f>
        <v>螺纹钢</v>
      </c>
      <c r="F872" s="33" t="s">
        <v>111</v>
      </c>
      <c r="G872" s="29">
        <v>7</v>
      </c>
      <c r="H872" s="29" t="e">
        <f>_xlfn._xlws.FILTER('[1]2025年已发货'!$E:$E,'[1]2025年已发货'!$F:$F&amp;'[1]2025年已发货'!$C:$C&amp;'[1]2025年已发货'!$G:$G&amp;'[1]2025年已发货'!$H:$H=C872&amp;F872&amp;I872&amp;J872,"未发货")</f>
        <v>#N/A</v>
      </c>
      <c r="I872" s="33" t="e">
        <f>VLOOKUP(B872,辅助信息!E:I,3,FALSE)</f>
        <v>#N/A</v>
      </c>
      <c r="J872" s="33" t="e">
        <f>VLOOKUP(B872,辅助信息!E:I,4,FALSE)</f>
        <v>#N/A</v>
      </c>
      <c r="K872" s="33" t="e">
        <f>VLOOKUP(J872,辅助信息!H:I,2,FALSE)</f>
        <v>#N/A</v>
      </c>
      <c r="L872" s="69"/>
      <c r="M872" s="84">
        <v>45722</v>
      </c>
      <c r="O872" s="55">
        <f ca="1" t="shared" si="28"/>
        <v>0</v>
      </c>
      <c r="P872" s="55">
        <f ca="1" t="shared" si="29"/>
        <v>235</v>
      </c>
      <c r="Q872" s="19" t="e">
        <f>VLOOKUP(B872,辅助信息!E:M,9,FALSE)</f>
        <v>#N/A</v>
      </c>
      <c r="R872" s="19"/>
    </row>
    <row r="873" hidden="1" spans="2:18">
      <c r="B873" s="33" t="s">
        <v>113</v>
      </c>
      <c r="C873" s="63">
        <v>45726</v>
      </c>
      <c r="D873" s="33" t="str">
        <f>VLOOKUP(B873,辅助信息!E:K,7,FALSE)</f>
        <v>JWDDCD2025051000019</v>
      </c>
      <c r="E873" s="33" t="str">
        <f>VLOOKUP(F873,辅助信息!A:B,2,FALSE)</f>
        <v>盘螺</v>
      </c>
      <c r="F873" s="33" t="s">
        <v>40</v>
      </c>
      <c r="G873" s="29">
        <v>5</v>
      </c>
      <c r="H873" s="29">
        <f>_xlfn._xlws.FILTER('[1]2025年已发货'!$E:$E,'[1]2025年已发货'!$F:$F&amp;'[1]2025年已发货'!$C:$C&amp;'[1]2025年已发货'!$G:$G&amp;'[1]2025年已发货'!$H:$H=C873&amp;F873&amp;I873&amp;J873,"未发货")</f>
        <v>5</v>
      </c>
      <c r="I873" s="33" t="str">
        <f>VLOOKUP(B873,辅助信息!E:I,3,FALSE)</f>
        <v>(五冶钢构医学科学产业园建设项目房建二部-排洪渠（五标）)四川省南充市顺庆区搬罾街道学府大道二段</v>
      </c>
      <c r="J873" s="33" t="str">
        <f>VLOOKUP(B873,辅助信息!E:I,4,FALSE)</f>
        <v>安南</v>
      </c>
      <c r="K873" s="33">
        <f>VLOOKUP(J873,辅助信息!H:I,2,FALSE)</f>
        <v>19950525030</v>
      </c>
      <c r="L873" s="70" t="str">
        <f>VLOOKUP(B873,辅助信息!E:J,6,FALSE)</f>
        <v>送货单：送货单位：南充思临新材料科技有限公司,收货单位：五冶集团川北(南充)建设有限公司,项目名称：南充医学科学产业园,送货车型13米,装货前联系收货人核实到场规格</v>
      </c>
      <c r="M873" s="84">
        <v>45722</v>
      </c>
      <c r="O873" s="55">
        <f ca="1" t="shared" si="28"/>
        <v>0</v>
      </c>
      <c r="P873" s="55">
        <f ca="1" t="shared" si="29"/>
        <v>235</v>
      </c>
      <c r="Q873" s="19" t="str">
        <f>VLOOKUP(B873,辅助信息!E:M,9,FALSE)</f>
        <v>ZTWM-CDGS-XS-2024-0248-五冶钢构-南充市医学院项目</v>
      </c>
      <c r="R873" s="19"/>
    </row>
    <row r="874" hidden="1" spans="2:18">
      <c r="B874" s="33" t="s">
        <v>113</v>
      </c>
      <c r="C874" s="63">
        <v>45726</v>
      </c>
      <c r="D874" s="33" t="str">
        <f>VLOOKUP(B874,辅助信息!E:K,7,FALSE)</f>
        <v>JWDDCD2025051000019</v>
      </c>
      <c r="E874" s="33" t="str">
        <f>VLOOKUP(F874,辅助信息!A:B,2,FALSE)</f>
        <v>螺纹钢</v>
      </c>
      <c r="F874" s="33" t="s">
        <v>27</v>
      </c>
      <c r="G874" s="29">
        <v>12</v>
      </c>
      <c r="H874" s="29">
        <f>_xlfn._xlws.FILTER('[1]2025年已发货'!$E:$E,'[1]2025年已发货'!$F:$F&amp;'[1]2025年已发货'!$C:$C&amp;'[1]2025年已发货'!$G:$G&amp;'[1]2025年已发货'!$H:$H=C874&amp;F874&amp;I874&amp;J874,"未发货")</f>
        <v>12</v>
      </c>
      <c r="I874" s="33" t="str">
        <f>VLOOKUP(B874,辅助信息!E:I,3,FALSE)</f>
        <v>(五冶钢构医学科学产业园建设项目房建二部-排洪渠（五标）)四川省南充市顺庆区搬罾街道学府大道二段</v>
      </c>
      <c r="J874" s="33" t="str">
        <f>VLOOKUP(B874,辅助信息!E:I,4,FALSE)</f>
        <v>安南</v>
      </c>
      <c r="K874" s="33">
        <f>VLOOKUP(J874,辅助信息!H:I,2,FALSE)</f>
        <v>19950525030</v>
      </c>
      <c r="L874" s="71"/>
      <c r="M874" s="84">
        <v>45722</v>
      </c>
      <c r="O874" s="55">
        <f ca="1" t="shared" si="28"/>
        <v>0</v>
      </c>
      <c r="P874" s="55">
        <f ca="1" t="shared" si="29"/>
        <v>235</v>
      </c>
      <c r="Q874" s="19" t="str">
        <f>VLOOKUP(B874,辅助信息!E:M,9,FALSE)</f>
        <v>ZTWM-CDGS-XS-2024-0248-五冶钢构-南充市医学院项目</v>
      </c>
      <c r="R874" s="19"/>
    </row>
    <row r="875" hidden="1" spans="2:18">
      <c r="B875" s="33" t="s">
        <v>113</v>
      </c>
      <c r="C875" s="63">
        <v>45726</v>
      </c>
      <c r="D875" s="33" t="str">
        <f>VLOOKUP(B875,辅助信息!E:K,7,FALSE)</f>
        <v>JWDDCD2025051000019</v>
      </c>
      <c r="E875" s="33" t="str">
        <f>VLOOKUP(F875,辅助信息!A:B,2,FALSE)</f>
        <v>螺纹钢</v>
      </c>
      <c r="F875" s="33" t="s">
        <v>18</v>
      </c>
      <c r="G875" s="29">
        <v>18</v>
      </c>
      <c r="H875" s="29">
        <f>_xlfn._xlws.FILTER('[1]2025年已发货'!$E:$E,'[1]2025年已发货'!$F:$F&amp;'[1]2025年已发货'!$C:$C&amp;'[1]2025年已发货'!$G:$G&amp;'[1]2025年已发货'!$H:$H=C875&amp;F875&amp;I875&amp;J875,"未发货")</f>
        <v>18</v>
      </c>
      <c r="I875" s="33" t="str">
        <f>VLOOKUP(B875,辅助信息!E:I,3,FALSE)</f>
        <v>(五冶钢构医学科学产业园建设项目房建二部-排洪渠（五标）)四川省南充市顺庆区搬罾街道学府大道二段</v>
      </c>
      <c r="J875" s="33" t="str">
        <f>VLOOKUP(B875,辅助信息!E:I,4,FALSE)</f>
        <v>安南</v>
      </c>
      <c r="K875" s="33">
        <f>VLOOKUP(J875,辅助信息!H:I,2,FALSE)</f>
        <v>19950525030</v>
      </c>
      <c r="L875" s="69"/>
      <c r="M875" s="84">
        <v>45722</v>
      </c>
      <c r="O875" s="55">
        <f ca="1" t="shared" si="28"/>
        <v>0</v>
      </c>
      <c r="P875" s="55">
        <f ca="1" t="shared" si="29"/>
        <v>235</v>
      </c>
      <c r="Q875" s="19" t="str">
        <f>VLOOKUP(B875,辅助信息!E:M,9,FALSE)</f>
        <v>ZTWM-CDGS-XS-2024-0248-五冶钢构-南充市医学院项目</v>
      </c>
      <c r="R875" s="19"/>
    </row>
    <row r="876" hidden="1" spans="2:18">
      <c r="B876" s="33" t="s">
        <v>39</v>
      </c>
      <c r="C876" s="63">
        <v>45726</v>
      </c>
      <c r="D876" s="33" t="str">
        <f>VLOOKUP(B876,辅助信息!E:K,7,FALSE)</f>
        <v>JWDDCD2024101600090</v>
      </c>
      <c r="E876" s="33" t="str">
        <f>VLOOKUP(F876,辅助信息!A:B,2,FALSE)</f>
        <v>盘螺</v>
      </c>
      <c r="F876" s="33" t="s">
        <v>49</v>
      </c>
      <c r="G876" s="29">
        <v>6</v>
      </c>
      <c r="H876" s="29">
        <f>_xlfn._xlws.FILTER('[1]2025年已发货'!$E:$E,'[1]2025年已发货'!$F:$F&amp;'[1]2025年已发货'!$C:$C&amp;'[1]2025年已发货'!$G:$G&amp;'[1]2025年已发货'!$H:$H=C876&amp;F876&amp;I876&amp;J876,"未发货")</f>
        <v>6</v>
      </c>
      <c r="I876" s="33" t="str">
        <f>VLOOKUP(B876,辅助信息!E:I,3,FALSE)</f>
        <v>（达州市公共卫生临床医疗中心项目-一标-2号制作房）达州市通川区西外复兴镇公共卫生临床医疗中心项目</v>
      </c>
      <c r="J876" s="33" t="str">
        <f>VLOOKUP(B876,辅助信息!E:I,4,FALSE)</f>
        <v>潘建发</v>
      </c>
      <c r="K876" s="33">
        <f>VLOOKUP(J876,辅助信息!H:I,2,FALSE)</f>
        <v>13658059919</v>
      </c>
      <c r="L876" s="70" t="str">
        <f>VLOOKUP(B876,辅助信息!E:J,6,FALSE)</f>
        <v>提前联系到场规格,一天到场车辆不低于2车</v>
      </c>
      <c r="M876" s="84">
        <v>45724</v>
      </c>
      <c r="O876" s="55">
        <f ca="1" t="shared" si="28"/>
        <v>0</v>
      </c>
      <c r="P876" s="55">
        <f ca="1" t="shared" si="29"/>
        <v>233</v>
      </c>
      <c r="Q876" s="19" t="str">
        <f>VLOOKUP(B876,辅助信息!E:M,9,FALSE)</f>
        <v>ZTWM-CDGS-XS-2024-0205-五冶钢构-达州市通川区西外复兴镇及临近片区建设项目</v>
      </c>
      <c r="R876" s="19"/>
    </row>
    <row r="877" hidden="1" spans="2:18">
      <c r="B877" s="33" t="s">
        <v>39</v>
      </c>
      <c r="C877" s="63">
        <v>45726</v>
      </c>
      <c r="D877" s="33" t="str">
        <f>VLOOKUP(B877,辅助信息!E:K,7,FALSE)</f>
        <v>JWDDCD2024101600090</v>
      </c>
      <c r="E877" s="33" t="str">
        <f>VLOOKUP(F877,辅助信息!A:B,2,FALSE)</f>
        <v>盘螺</v>
      </c>
      <c r="F877" s="33" t="s">
        <v>40</v>
      </c>
      <c r="G877" s="29">
        <v>6</v>
      </c>
      <c r="H877" s="29" t="str">
        <f>_xlfn._xlws.FILTER('[1]2025年已发货'!$E:$E,'[1]2025年已发货'!$F:$F&amp;'[1]2025年已发货'!$C:$C&amp;'[1]2025年已发货'!$G:$G&amp;'[1]2025年已发货'!$H:$H=C877&amp;F877&amp;I877&amp;J877,"未发货")</f>
        <v>未发货</v>
      </c>
      <c r="I877" s="33" t="str">
        <f>VLOOKUP(B877,辅助信息!E:I,3,FALSE)</f>
        <v>（达州市公共卫生临床医疗中心项目-一标-2号制作房）达州市通川区西外复兴镇公共卫生临床医疗中心项目</v>
      </c>
      <c r="J877" s="33" t="str">
        <f>VLOOKUP(B877,辅助信息!E:I,4,FALSE)</f>
        <v>潘建发</v>
      </c>
      <c r="K877" s="33">
        <f>VLOOKUP(J877,辅助信息!H:I,2,FALSE)</f>
        <v>13658059919</v>
      </c>
      <c r="L877" s="71"/>
      <c r="M877" s="84">
        <v>45724</v>
      </c>
      <c r="O877" s="55">
        <f ca="1" t="shared" si="28"/>
        <v>0</v>
      </c>
      <c r="P877" s="55">
        <f ca="1" t="shared" si="29"/>
        <v>233</v>
      </c>
      <c r="Q877" s="19" t="str">
        <f>VLOOKUP(B877,辅助信息!E:M,9,FALSE)</f>
        <v>ZTWM-CDGS-XS-2024-0205-五冶钢构-达州市通川区西外复兴镇及临近片区建设项目</v>
      </c>
      <c r="R877" s="19"/>
    </row>
    <row r="878" hidden="1" spans="2:18">
      <c r="B878" s="33" t="s">
        <v>39</v>
      </c>
      <c r="C878" s="63">
        <v>45726</v>
      </c>
      <c r="D878" s="33" t="str">
        <f>VLOOKUP(B878,辅助信息!E:K,7,FALSE)</f>
        <v>JWDDCD2024101600090</v>
      </c>
      <c r="E878" s="33" t="str">
        <f>VLOOKUP(F878,辅助信息!A:B,2,FALSE)</f>
        <v>螺纹钢</v>
      </c>
      <c r="F878" s="33" t="s">
        <v>27</v>
      </c>
      <c r="G878" s="29">
        <v>25</v>
      </c>
      <c r="H878" s="29">
        <f>_xlfn._xlws.FILTER('[1]2025年已发货'!$E:$E,'[1]2025年已发货'!$F:$F&amp;'[1]2025年已发货'!$C:$C&amp;'[1]2025年已发货'!$G:$G&amp;'[1]2025年已发货'!$H:$H=C878&amp;F878&amp;I878&amp;J878,"未发货")</f>
        <v>22</v>
      </c>
      <c r="I878" s="33" t="str">
        <f>VLOOKUP(B878,辅助信息!E:I,3,FALSE)</f>
        <v>（达州市公共卫生临床医疗中心项目-一标-2号制作房）达州市通川区西外复兴镇公共卫生临床医疗中心项目</v>
      </c>
      <c r="J878" s="33" t="str">
        <f>VLOOKUP(B878,辅助信息!E:I,4,FALSE)</f>
        <v>潘建发</v>
      </c>
      <c r="K878" s="33">
        <f>VLOOKUP(J878,辅助信息!H:I,2,FALSE)</f>
        <v>13658059919</v>
      </c>
      <c r="L878" s="71"/>
      <c r="M878" s="84">
        <v>45724</v>
      </c>
      <c r="O878" s="55">
        <f ca="1" t="shared" si="28"/>
        <v>0</v>
      </c>
      <c r="P878" s="55">
        <f ca="1" t="shared" si="29"/>
        <v>233</v>
      </c>
      <c r="Q878" s="19" t="str">
        <f>VLOOKUP(B878,辅助信息!E:M,9,FALSE)</f>
        <v>ZTWM-CDGS-XS-2024-0205-五冶钢构-达州市通川区西外复兴镇及临近片区建设项目</v>
      </c>
      <c r="R878" s="19"/>
    </row>
    <row r="879" hidden="1" spans="2:18">
      <c r="B879" s="33" t="s">
        <v>39</v>
      </c>
      <c r="C879" s="63">
        <v>45726</v>
      </c>
      <c r="D879" s="33" t="str">
        <f>VLOOKUP(B879,辅助信息!E:K,7,FALSE)</f>
        <v>JWDDCD2024101600090</v>
      </c>
      <c r="E879" s="33" t="str">
        <f>VLOOKUP(F879,辅助信息!A:B,2,FALSE)</f>
        <v>螺纹钢</v>
      </c>
      <c r="F879" s="33" t="s">
        <v>19</v>
      </c>
      <c r="G879" s="29">
        <v>7</v>
      </c>
      <c r="H879" s="29">
        <f>_xlfn._xlws.FILTER('[1]2025年已发货'!$E:$E,'[1]2025年已发货'!$F:$F&amp;'[1]2025年已发货'!$C:$C&amp;'[1]2025年已发货'!$G:$G&amp;'[1]2025年已发货'!$H:$H=C879&amp;F879&amp;I879&amp;J879,"未发货")</f>
        <v>7</v>
      </c>
      <c r="I879" s="33" t="str">
        <f>VLOOKUP(B879,辅助信息!E:I,3,FALSE)</f>
        <v>（达州市公共卫生临床医疗中心项目-一标-2号制作房）达州市通川区西外复兴镇公共卫生临床医疗中心项目</v>
      </c>
      <c r="J879" s="33" t="str">
        <f>VLOOKUP(B879,辅助信息!E:I,4,FALSE)</f>
        <v>潘建发</v>
      </c>
      <c r="K879" s="33">
        <f>VLOOKUP(J879,辅助信息!H:I,2,FALSE)</f>
        <v>13658059919</v>
      </c>
      <c r="L879" s="69"/>
      <c r="M879" s="84">
        <v>45724</v>
      </c>
      <c r="O879" s="55">
        <f ca="1" t="shared" si="28"/>
        <v>0</v>
      </c>
      <c r="P879" s="55">
        <f ca="1" t="shared" si="29"/>
        <v>233</v>
      </c>
      <c r="Q879" s="19" t="str">
        <f>VLOOKUP(B879,辅助信息!E:M,9,FALSE)</f>
        <v>ZTWM-CDGS-XS-2024-0205-五冶钢构-达州市通川区西外复兴镇及临近片区建设项目</v>
      </c>
      <c r="R879" s="19"/>
    </row>
    <row r="880" ht="56.25" hidden="1" customHeight="1" spans="2:18">
      <c r="B880" s="33" t="s">
        <v>29</v>
      </c>
      <c r="C880" s="63">
        <v>45726</v>
      </c>
      <c r="D880" s="33" t="e">
        <f>VLOOKUP(B880,辅助信息!E:K,7,FALSE)</f>
        <v>#N/A</v>
      </c>
      <c r="E880" s="33" t="str">
        <f>VLOOKUP(F880,辅助信息!A:B,2,FALSE)</f>
        <v>螺纹钢</v>
      </c>
      <c r="F880" s="33" t="s">
        <v>28</v>
      </c>
      <c r="G880" s="29">
        <v>70</v>
      </c>
      <c r="H880" s="29" t="e">
        <f>_xlfn._xlws.FILTER('[1]2025年已发货'!$E:$E,'[1]2025年已发货'!$F:$F&amp;'[1]2025年已发货'!$C:$C&amp;'[1]2025年已发货'!$G:$G&amp;'[1]2025年已发货'!$H:$H=C880&amp;F880&amp;I880&amp;J880,"未发货")</f>
        <v>#N/A</v>
      </c>
      <c r="I880" s="33" t="e">
        <f>VLOOKUP(B880,辅助信息!E:I,3,FALSE)</f>
        <v>#N/A</v>
      </c>
      <c r="J880" s="33" t="e">
        <f>VLOOKUP(B880,辅助信息!E:I,4,FALSE)</f>
        <v>#N/A</v>
      </c>
      <c r="K880" s="33" t="e">
        <f>VLOOKUP(J880,辅助信息!H:I,2,FALSE)</f>
        <v>#N/A</v>
      </c>
      <c r="L880" s="70" t="e">
        <f>VLOOKUP(B880,辅助信息!E:J,6,FALSE)</f>
        <v>#N/A</v>
      </c>
      <c r="M880" s="84">
        <v>45726</v>
      </c>
      <c r="O880" s="55">
        <f ca="1" t="shared" si="28"/>
        <v>0</v>
      </c>
      <c r="P880" s="55">
        <f ca="1" t="shared" si="29"/>
        <v>231</v>
      </c>
      <c r="Q880" s="19" t="e">
        <f>VLOOKUP(B880,辅助信息!E:M,9,FALSE)</f>
        <v>#N/A</v>
      </c>
      <c r="R880" s="19"/>
    </row>
    <row r="881" hidden="1" spans="2:18">
      <c r="B881" s="33" t="s">
        <v>54</v>
      </c>
      <c r="C881" s="63">
        <v>45726</v>
      </c>
      <c r="D881" s="33" t="e">
        <f>VLOOKUP(B881,辅助信息!E:K,7,FALSE)</f>
        <v>#N/A</v>
      </c>
      <c r="E881" s="33" t="str">
        <f>VLOOKUP(F881,辅助信息!A:B,2,FALSE)</f>
        <v>螺纹钢</v>
      </c>
      <c r="F881" s="33" t="s">
        <v>32</v>
      </c>
      <c r="G881" s="29">
        <f>46-27</f>
        <v>19</v>
      </c>
      <c r="H881" s="29" t="e">
        <f>_xlfn._xlws.FILTER('[1]2025年已发货'!$E:$E,'[1]2025年已发货'!$F:$F&amp;'[1]2025年已发货'!$C:$C&amp;'[1]2025年已发货'!$G:$G&amp;'[1]2025年已发货'!$H:$H=C881&amp;F881&amp;I881&amp;J881,"未发货")</f>
        <v>#N/A</v>
      </c>
      <c r="I881" s="33" t="e">
        <f>VLOOKUP(B881,辅助信息!E:I,3,FALSE)</f>
        <v>#N/A</v>
      </c>
      <c r="J881" s="33" t="e">
        <f>VLOOKUP(B881,辅助信息!E:I,4,FALSE)</f>
        <v>#N/A</v>
      </c>
      <c r="K881" s="33" t="e">
        <f>VLOOKUP(J881,辅助信息!H:I,2,FALSE)</f>
        <v>#N/A</v>
      </c>
      <c r="L881" s="70" t="e">
        <f>VLOOKUP(B881,辅助信息!E:J,6,FALSE)</f>
        <v>#N/A</v>
      </c>
      <c r="M881" s="84">
        <v>45728</v>
      </c>
      <c r="O881" s="55">
        <f ca="1" t="shared" si="28"/>
        <v>0</v>
      </c>
      <c r="P881" s="55">
        <f ca="1" t="shared" si="29"/>
        <v>229</v>
      </c>
      <c r="Q881" s="19" t="e">
        <f>VLOOKUP(B881,辅助信息!E:M,9,FALSE)</f>
        <v>#N/A</v>
      </c>
      <c r="R881" s="19"/>
    </row>
    <row r="882" hidden="1" spans="2:18">
      <c r="B882" s="33" t="s">
        <v>54</v>
      </c>
      <c r="C882" s="63">
        <v>45726</v>
      </c>
      <c r="D882" s="33" t="e">
        <f>VLOOKUP(B882,辅助信息!E:K,7,FALSE)</f>
        <v>#N/A</v>
      </c>
      <c r="E882" s="33" t="str">
        <f>VLOOKUP(F882,辅助信息!A:B,2,FALSE)</f>
        <v>螺纹钢</v>
      </c>
      <c r="F882" s="33" t="s">
        <v>52</v>
      </c>
      <c r="G882" s="29">
        <v>2</v>
      </c>
      <c r="H882" s="29" t="e">
        <f>_xlfn._xlws.FILTER('[1]2025年已发货'!$E:$E,'[1]2025年已发货'!$F:$F&amp;'[1]2025年已发货'!$C:$C&amp;'[1]2025年已发货'!$G:$G&amp;'[1]2025年已发货'!$H:$H=C882&amp;F882&amp;I882&amp;J882,"未发货")</f>
        <v>#N/A</v>
      </c>
      <c r="I882" s="33" t="e">
        <f>VLOOKUP(B882,辅助信息!E:I,3,FALSE)</f>
        <v>#N/A</v>
      </c>
      <c r="J882" s="33" t="e">
        <f>VLOOKUP(B882,辅助信息!E:I,4,FALSE)</f>
        <v>#N/A</v>
      </c>
      <c r="K882" s="33" t="e">
        <f>VLOOKUP(J882,辅助信息!H:I,2,FALSE)</f>
        <v>#N/A</v>
      </c>
      <c r="L882" s="69"/>
      <c r="M882" s="84">
        <v>45728</v>
      </c>
      <c r="O882" s="55">
        <f ca="1" t="shared" si="28"/>
        <v>0</v>
      </c>
      <c r="P882" s="55">
        <f ca="1" t="shared" si="29"/>
        <v>229</v>
      </c>
      <c r="Q882" s="19" t="e">
        <f>VLOOKUP(B882,辅助信息!E:M,9,FALSE)</f>
        <v>#N/A</v>
      </c>
      <c r="R882" s="19"/>
    </row>
    <row r="883" hidden="1" spans="2:18">
      <c r="B883" s="33" t="s">
        <v>47</v>
      </c>
      <c r="C883" s="63">
        <v>45726</v>
      </c>
      <c r="D883" s="33" t="str">
        <f>VLOOKUP(B883,辅助信息!E:K,7,FALSE)</f>
        <v>JWDDCD2025052800131</v>
      </c>
      <c r="E883" s="33" t="str">
        <f>VLOOKUP(F883,辅助信息!A:B,2,FALSE)</f>
        <v>盘螺</v>
      </c>
      <c r="F883" s="33" t="s">
        <v>40</v>
      </c>
      <c r="G883" s="29">
        <v>17</v>
      </c>
      <c r="H883" s="29">
        <f>_xlfn._xlws.FILTER('[1]2025年已发货'!$E:$E,'[1]2025年已发货'!$F:$F&amp;'[1]2025年已发货'!$C:$C&amp;'[1]2025年已发货'!$G:$G&amp;'[1]2025年已发货'!$H:$H=C883&amp;F883&amp;I883&amp;J883,"未发货")</f>
        <v>17</v>
      </c>
      <c r="I883" s="33" t="str">
        <f>VLOOKUP(B883,辅助信息!E:I,3,FALSE)</f>
        <v>（商投建工达州中医药科技园-1工区）达州市通川区达州中医药职业学院犀牛大道北段</v>
      </c>
      <c r="J883" s="33" t="str">
        <f>VLOOKUP(B883,辅助信息!E:I,4,FALSE)</f>
        <v>程黄刚</v>
      </c>
      <c r="K883" s="33">
        <f>VLOOKUP(J883,辅助信息!H:I,2,FALSE)</f>
        <v>15108211617</v>
      </c>
      <c r="L883" s="70" t="str">
        <f>VLOOKUP(B884,辅助信息!E:J,6,FALSE)</f>
        <v>控制炉批号！多了现场不收！,优先安排达钢,提前联系到场规格及数量</v>
      </c>
      <c r="M883" s="84">
        <v>45726</v>
      </c>
      <c r="O883" s="55">
        <f ca="1" t="shared" si="28"/>
        <v>0</v>
      </c>
      <c r="P883" s="55">
        <f ca="1" t="shared" si="29"/>
        <v>231</v>
      </c>
      <c r="Q883" s="19" t="str">
        <f>VLOOKUP(B883,辅助信息!E:M,9,FALSE)</f>
        <v>ZTWM-CDGS-XS-2024-0134-商投建工达州中医药科技成果示范园项目</v>
      </c>
      <c r="R883" s="19"/>
    </row>
    <row r="884" hidden="1" spans="2:18">
      <c r="B884" s="33" t="s">
        <v>47</v>
      </c>
      <c r="C884" s="63">
        <v>45726</v>
      </c>
      <c r="D884" s="33" t="str">
        <f>VLOOKUP(B884,辅助信息!E:K,7,FALSE)</f>
        <v>JWDDCD2025052800131</v>
      </c>
      <c r="E884" s="33" t="str">
        <f>VLOOKUP(F884,辅助信息!A:B,2,FALSE)</f>
        <v>螺纹钢</v>
      </c>
      <c r="F884" s="33" t="s">
        <v>19</v>
      </c>
      <c r="G884" s="29">
        <v>6</v>
      </c>
      <c r="H884" s="29">
        <f>_xlfn._xlws.FILTER('[1]2025年已发货'!$E:$E,'[1]2025年已发货'!$F:$F&amp;'[1]2025年已发货'!$C:$C&amp;'[1]2025年已发货'!$G:$G&amp;'[1]2025年已发货'!$H:$H=C884&amp;F884&amp;I884&amp;J884,"未发货")</f>
        <v>6</v>
      </c>
      <c r="I884" s="33" t="str">
        <f>VLOOKUP(B884,辅助信息!E:I,3,FALSE)</f>
        <v>（商投建工达州中医药科技园-1工区）达州市通川区达州中医药职业学院犀牛大道北段</v>
      </c>
      <c r="J884" s="33" t="str">
        <f>VLOOKUP(B884,辅助信息!E:I,4,FALSE)</f>
        <v>程黄刚</v>
      </c>
      <c r="K884" s="33">
        <f>VLOOKUP(J884,辅助信息!H:I,2,FALSE)</f>
        <v>15108211617</v>
      </c>
      <c r="L884" s="71"/>
      <c r="M884" s="84">
        <v>45726</v>
      </c>
      <c r="O884" s="55">
        <f ca="1" t="shared" si="28"/>
        <v>0</v>
      </c>
      <c r="P884" s="55">
        <f ca="1" t="shared" si="29"/>
        <v>231</v>
      </c>
      <c r="Q884" s="19" t="str">
        <f>VLOOKUP(B884,辅助信息!E:M,9,FALSE)</f>
        <v>ZTWM-CDGS-XS-2024-0134-商投建工达州中医药科技成果示范园项目</v>
      </c>
      <c r="R884" s="19"/>
    </row>
    <row r="885" hidden="1" spans="2:18">
      <c r="B885" s="33" t="s">
        <v>47</v>
      </c>
      <c r="C885" s="63">
        <v>45726</v>
      </c>
      <c r="D885" s="33" t="str">
        <f>VLOOKUP(B885,辅助信息!E:K,7,FALSE)</f>
        <v>JWDDCD2025052800131</v>
      </c>
      <c r="E885" s="33" t="str">
        <f>VLOOKUP(F885,辅助信息!A:B,2,FALSE)</f>
        <v>螺纹钢</v>
      </c>
      <c r="F885" s="33" t="s">
        <v>33</v>
      </c>
      <c r="G885" s="29">
        <v>35</v>
      </c>
      <c r="H885" s="29">
        <f>_xlfn._xlws.FILTER('[1]2025年已发货'!$E:$E,'[1]2025年已发货'!$F:$F&amp;'[1]2025年已发货'!$C:$C&amp;'[1]2025年已发货'!$G:$G&amp;'[1]2025年已发货'!$H:$H=C885&amp;F885&amp;I885&amp;J885,"未发货")</f>
        <v>35</v>
      </c>
      <c r="I885" s="33" t="str">
        <f>VLOOKUP(B885,辅助信息!E:I,3,FALSE)</f>
        <v>（商投建工达州中医药科技园-1工区）达州市通川区达州中医药职业学院犀牛大道北段</v>
      </c>
      <c r="J885" s="33" t="str">
        <f>VLOOKUP(B885,辅助信息!E:I,4,FALSE)</f>
        <v>程黄刚</v>
      </c>
      <c r="K885" s="33">
        <f>VLOOKUP(J885,辅助信息!H:I,2,FALSE)</f>
        <v>15108211617</v>
      </c>
      <c r="L885" s="71"/>
      <c r="M885" s="84">
        <v>45726</v>
      </c>
      <c r="O885" s="55">
        <f ca="1" t="shared" si="28"/>
        <v>0</v>
      </c>
      <c r="P885" s="55">
        <f ca="1" t="shared" si="29"/>
        <v>231</v>
      </c>
      <c r="Q885" s="19" t="str">
        <f>VLOOKUP(B885,辅助信息!E:M,9,FALSE)</f>
        <v>ZTWM-CDGS-XS-2024-0134-商投建工达州中医药科技成果示范园项目</v>
      </c>
      <c r="R885" s="19"/>
    </row>
    <row r="886" hidden="1" spans="2:18">
      <c r="B886" s="33" t="s">
        <v>47</v>
      </c>
      <c r="C886" s="63">
        <v>45726</v>
      </c>
      <c r="D886" s="33" t="str">
        <f>VLOOKUP(B886,辅助信息!E:K,7,FALSE)</f>
        <v>JWDDCD2025052800131</v>
      </c>
      <c r="E886" s="33" t="str">
        <f>VLOOKUP(F886,辅助信息!A:B,2,FALSE)</f>
        <v>螺纹钢</v>
      </c>
      <c r="F886" s="33" t="s">
        <v>18</v>
      </c>
      <c r="G886" s="29">
        <v>77</v>
      </c>
      <c r="H886" s="29">
        <f>_xlfn._xlws.FILTER('[1]2025年已发货'!$E:$E,'[1]2025年已发货'!$F:$F&amp;'[1]2025年已发货'!$C:$C&amp;'[1]2025年已发货'!$G:$G&amp;'[1]2025年已发货'!$H:$H=C886&amp;F886&amp;I886&amp;J886,"未发货")</f>
        <v>82</v>
      </c>
      <c r="I886" s="33" t="str">
        <f>VLOOKUP(B886,辅助信息!E:I,3,FALSE)</f>
        <v>（商投建工达州中医药科技园-1工区）达州市通川区达州中医药职业学院犀牛大道北段</v>
      </c>
      <c r="J886" s="33" t="str">
        <f>VLOOKUP(B886,辅助信息!E:I,4,FALSE)</f>
        <v>程黄刚</v>
      </c>
      <c r="K886" s="33">
        <f>VLOOKUP(J886,辅助信息!H:I,2,FALSE)</f>
        <v>15108211617</v>
      </c>
      <c r="L886" s="69"/>
      <c r="M886" s="84">
        <v>45726</v>
      </c>
      <c r="O886" s="55">
        <f ca="1" t="shared" si="28"/>
        <v>0</v>
      </c>
      <c r="P886" s="55">
        <f ca="1" t="shared" si="29"/>
        <v>231</v>
      </c>
      <c r="Q886" s="19" t="str">
        <f>VLOOKUP(B886,辅助信息!E:M,9,FALSE)</f>
        <v>ZTWM-CDGS-XS-2024-0134-商投建工达州中医药科技成果示范园项目</v>
      </c>
      <c r="R886" s="19"/>
    </row>
    <row r="887" hidden="1" spans="2:18">
      <c r="B887" s="33" t="s">
        <v>20</v>
      </c>
      <c r="C887" s="63">
        <v>45726</v>
      </c>
      <c r="D887" s="33" t="str">
        <f>VLOOKUP(B887,辅助信息!E:K,7,FALSE)</f>
        <v>JWDDCD2025051000019</v>
      </c>
      <c r="E887" s="33" t="str">
        <f>VLOOKUP(F887,辅助信息!A:B,2,FALSE)</f>
        <v>盘螺</v>
      </c>
      <c r="F887" s="33" t="s">
        <v>49</v>
      </c>
      <c r="G887" s="29">
        <v>8</v>
      </c>
      <c r="H887" s="29" t="str">
        <f>_xlfn._xlws.FILTER('[1]2025年已发货'!$E:$E,'[1]2025年已发货'!$F:$F&amp;'[1]2025年已发货'!$C:$C&amp;'[1]2025年已发货'!$G:$G&amp;'[1]2025年已发货'!$H:$H=C887&amp;F887&amp;I887&amp;J887,"未发货")</f>
        <v>未发货</v>
      </c>
      <c r="I887" s="33" t="str">
        <f>VLOOKUP(B887,辅助信息!E:I,3,FALSE)</f>
        <v>(五冶钢构医学科学产业园建设项目房建三部-一标（7-2）)四川省南充市顺庆区搬罾街道学府大道二段</v>
      </c>
      <c r="J887" s="33" t="str">
        <f>VLOOKUP(B887,辅助信息!E:I,4,FALSE)</f>
        <v>郑林</v>
      </c>
      <c r="K887" s="33">
        <f>VLOOKUP(J887,辅助信息!H:I,2,FALSE)</f>
        <v>18349955455</v>
      </c>
      <c r="L887" s="70" t="str">
        <f>VLOOKUP(B888,辅助信息!E:J,6,FALSE)</f>
        <v>送货单：送货单位：南充思临新材料科技有限公司,收货单位：五冶集团川北(南充)建设有限公司,项目名称：南充医学科学产业园,送货车型13米,装货前联系收货人核实到场规格</v>
      </c>
      <c r="M887" s="84">
        <v>45727</v>
      </c>
      <c r="O887" s="55">
        <f ca="1" t="shared" si="28"/>
        <v>0</v>
      </c>
      <c r="P887" s="55">
        <f ca="1" t="shared" si="29"/>
        <v>230</v>
      </c>
      <c r="Q887" s="19" t="str">
        <f>VLOOKUP(B887,辅助信息!E:M,9,FALSE)</f>
        <v>ZTWM-CDGS-XS-2024-0248-五冶钢构-南充市医学院项目</v>
      </c>
      <c r="R887" s="19"/>
    </row>
    <row r="888" hidden="1" spans="2:18">
      <c r="B888" s="33" t="s">
        <v>20</v>
      </c>
      <c r="C888" s="63">
        <v>45726</v>
      </c>
      <c r="D888" s="33" t="str">
        <f>VLOOKUP(B888,辅助信息!E:K,7,FALSE)</f>
        <v>JWDDCD2025051000019</v>
      </c>
      <c r="E888" s="33" t="str">
        <f>VLOOKUP(F888,辅助信息!A:B,2,FALSE)</f>
        <v>盘螺</v>
      </c>
      <c r="F888" s="33" t="s">
        <v>40</v>
      </c>
      <c r="G888" s="29">
        <v>4</v>
      </c>
      <c r="H888" s="29" t="str">
        <f>_xlfn._xlws.FILTER('[1]2025年已发货'!$E:$E,'[1]2025年已发货'!$F:$F&amp;'[1]2025年已发货'!$C:$C&amp;'[1]2025年已发货'!$G:$G&amp;'[1]2025年已发货'!$H:$H=C888&amp;F888&amp;I888&amp;J888,"未发货")</f>
        <v>未发货</v>
      </c>
      <c r="I888" s="33" t="str">
        <f>VLOOKUP(B888,辅助信息!E:I,3,FALSE)</f>
        <v>(五冶钢构医学科学产业园建设项目房建三部-一标（7-2）)四川省南充市顺庆区搬罾街道学府大道二段</v>
      </c>
      <c r="J888" s="33" t="str">
        <f>VLOOKUP(B888,辅助信息!E:I,4,FALSE)</f>
        <v>郑林</v>
      </c>
      <c r="K888" s="33">
        <f>VLOOKUP(J888,辅助信息!H:I,2,FALSE)</f>
        <v>18349955455</v>
      </c>
      <c r="L888" s="71"/>
      <c r="M888" s="84">
        <v>45727</v>
      </c>
      <c r="O888" s="55">
        <f ca="1" t="shared" si="28"/>
        <v>0</v>
      </c>
      <c r="P888" s="55">
        <f ca="1" t="shared" si="29"/>
        <v>230</v>
      </c>
      <c r="Q888" s="19" t="str">
        <f>VLOOKUP(B888,辅助信息!E:M,9,FALSE)</f>
        <v>ZTWM-CDGS-XS-2024-0248-五冶钢构-南充市医学院项目</v>
      </c>
      <c r="R888" s="19"/>
    </row>
    <row r="889" hidden="1" spans="2:18">
      <c r="B889" s="33" t="s">
        <v>20</v>
      </c>
      <c r="C889" s="63">
        <v>45726</v>
      </c>
      <c r="D889" s="33" t="str">
        <f>VLOOKUP(B889,辅助信息!E:K,7,FALSE)</f>
        <v>JWDDCD2025051000019</v>
      </c>
      <c r="E889" s="33" t="str">
        <f>VLOOKUP(F889,辅助信息!A:B,2,FALSE)</f>
        <v>盘螺</v>
      </c>
      <c r="F889" s="33" t="s">
        <v>41</v>
      </c>
      <c r="G889" s="29">
        <v>6</v>
      </c>
      <c r="H889" s="29" t="str">
        <f>_xlfn._xlws.FILTER('[1]2025年已发货'!$E:$E,'[1]2025年已发货'!$F:$F&amp;'[1]2025年已发货'!$C:$C&amp;'[1]2025年已发货'!$G:$G&amp;'[1]2025年已发货'!$H:$H=C889&amp;F889&amp;I889&amp;J889,"未发货")</f>
        <v>未发货</v>
      </c>
      <c r="I889" s="33" t="str">
        <f>VLOOKUP(B889,辅助信息!E:I,3,FALSE)</f>
        <v>(五冶钢构医学科学产业园建设项目房建三部-一标（7-2）)四川省南充市顺庆区搬罾街道学府大道二段</v>
      </c>
      <c r="J889" s="33" t="str">
        <f>VLOOKUP(B889,辅助信息!E:I,4,FALSE)</f>
        <v>郑林</v>
      </c>
      <c r="K889" s="33">
        <f>VLOOKUP(J889,辅助信息!H:I,2,FALSE)</f>
        <v>18349955455</v>
      </c>
      <c r="L889" s="71"/>
      <c r="M889" s="84">
        <v>45727</v>
      </c>
      <c r="O889" s="55">
        <f ca="1" t="shared" si="28"/>
        <v>0</v>
      </c>
      <c r="P889" s="55">
        <f ca="1" t="shared" si="29"/>
        <v>230</v>
      </c>
      <c r="Q889" s="19" t="str">
        <f>VLOOKUP(B889,辅助信息!E:M,9,FALSE)</f>
        <v>ZTWM-CDGS-XS-2024-0248-五冶钢构-南充市医学院项目</v>
      </c>
      <c r="R889" s="19"/>
    </row>
    <row r="890" hidden="1" spans="2:18">
      <c r="B890" s="33" t="s">
        <v>20</v>
      </c>
      <c r="C890" s="63">
        <v>45726</v>
      </c>
      <c r="D890" s="33" t="str">
        <f>VLOOKUP(B890,辅助信息!E:K,7,FALSE)</f>
        <v>JWDDCD2025051000019</v>
      </c>
      <c r="E890" s="33" t="str">
        <f>VLOOKUP(F890,辅助信息!A:B,2,FALSE)</f>
        <v>盘螺</v>
      </c>
      <c r="F890" s="33" t="s">
        <v>26</v>
      </c>
      <c r="G890" s="29">
        <v>9</v>
      </c>
      <c r="H890" s="29" t="str">
        <f>_xlfn._xlws.FILTER('[1]2025年已发货'!$E:$E,'[1]2025年已发货'!$F:$F&amp;'[1]2025年已发货'!$C:$C&amp;'[1]2025年已发货'!$G:$G&amp;'[1]2025年已发货'!$H:$H=C890&amp;F890&amp;I890&amp;J890,"未发货")</f>
        <v>未发货</v>
      </c>
      <c r="I890" s="33" t="str">
        <f>VLOOKUP(B890,辅助信息!E:I,3,FALSE)</f>
        <v>(五冶钢构医学科学产业园建设项目房建三部-一标（7-2）)四川省南充市顺庆区搬罾街道学府大道二段</v>
      </c>
      <c r="J890" s="33" t="str">
        <f>VLOOKUP(B890,辅助信息!E:I,4,FALSE)</f>
        <v>郑林</v>
      </c>
      <c r="K890" s="33">
        <f>VLOOKUP(J890,辅助信息!H:I,2,FALSE)</f>
        <v>18349955455</v>
      </c>
      <c r="L890" s="71"/>
      <c r="M890" s="84">
        <v>45727</v>
      </c>
      <c r="O890" s="55">
        <f ca="1" t="shared" si="28"/>
        <v>0</v>
      </c>
      <c r="P890" s="55">
        <f ca="1" t="shared" si="29"/>
        <v>230</v>
      </c>
      <c r="Q890" s="19" t="str">
        <f>VLOOKUP(B890,辅助信息!E:M,9,FALSE)</f>
        <v>ZTWM-CDGS-XS-2024-0248-五冶钢构-南充市医学院项目</v>
      </c>
      <c r="R890" s="19"/>
    </row>
    <row r="891" hidden="1" spans="2:18">
      <c r="B891" s="33" t="s">
        <v>20</v>
      </c>
      <c r="C891" s="63">
        <v>45726</v>
      </c>
      <c r="D891" s="33" t="str">
        <f>VLOOKUP(B891,辅助信息!E:K,7,FALSE)</f>
        <v>JWDDCD2025051000019</v>
      </c>
      <c r="E891" s="33" t="str">
        <f>VLOOKUP(F891,辅助信息!A:B,2,FALSE)</f>
        <v>螺纹钢</v>
      </c>
      <c r="F891" s="33" t="s">
        <v>46</v>
      </c>
      <c r="G891" s="29">
        <v>8</v>
      </c>
      <c r="H891" s="29" t="str">
        <f>_xlfn._xlws.FILTER('[1]2025年已发货'!$E:$E,'[1]2025年已发货'!$F:$F&amp;'[1]2025年已发货'!$C:$C&amp;'[1]2025年已发货'!$G:$G&amp;'[1]2025年已发货'!$H:$H=C891&amp;F891&amp;I891&amp;J891,"未发货")</f>
        <v>未发货</v>
      </c>
      <c r="I891" s="33" t="str">
        <f>VLOOKUP(B891,辅助信息!E:I,3,FALSE)</f>
        <v>(五冶钢构医学科学产业园建设项目房建三部-一标（7-2）)四川省南充市顺庆区搬罾街道学府大道二段</v>
      </c>
      <c r="J891" s="33" t="str">
        <f>VLOOKUP(B891,辅助信息!E:I,4,FALSE)</f>
        <v>郑林</v>
      </c>
      <c r="K891" s="33">
        <f>VLOOKUP(J891,辅助信息!H:I,2,FALSE)</f>
        <v>18349955455</v>
      </c>
      <c r="L891" s="71"/>
      <c r="M891" s="84">
        <v>45727</v>
      </c>
      <c r="O891" s="55">
        <f ca="1" t="shared" si="28"/>
        <v>0</v>
      </c>
      <c r="P891" s="55">
        <f ca="1" t="shared" si="29"/>
        <v>230</v>
      </c>
      <c r="Q891" s="19" t="str">
        <f>VLOOKUP(B891,辅助信息!E:M,9,FALSE)</f>
        <v>ZTWM-CDGS-XS-2024-0248-五冶钢构-南充市医学院项目</v>
      </c>
      <c r="R891" s="19"/>
    </row>
    <row r="892" hidden="1" spans="2:18">
      <c r="B892" s="33" t="s">
        <v>117</v>
      </c>
      <c r="C892" s="63">
        <v>45726</v>
      </c>
      <c r="D892" s="33" t="str">
        <f>VLOOKUP(B892,辅助信息!E:K,7,FALSE)</f>
        <v>JWDDCD2025051000019</v>
      </c>
      <c r="E892" s="33" t="str">
        <f>VLOOKUP(F892,辅助信息!A:B,2,FALSE)</f>
        <v>盘螺</v>
      </c>
      <c r="F892" s="33" t="s">
        <v>40</v>
      </c>
      <c r="G892" s="29">
        <v>8</v>
      </c>
      <c r="H892" s="29">
        <f>_xlfn._xlws.FILTER('[1]2025年已发货'!$E:$E,'[1]2025年已发货'!$F:$F&amp;'[1]2025年已发货'!$C:$C&amp;'[1]2025年已发货'!$G:$G&amp;'[1]2025年已发货'!$H:$H=C892&amp;F892&amp;I892&amp;J892,"未发货")</f>
        <v>8</v>
      </c>
      <c r="I892" s="33" t="str">
        <f>VLOOKUP(B892,辅助信息!E:I,3,FALSE)</f>
        <v>(五冶钢构医学科学产业园建设项目房建三部-配套用房及围墙)四川省南充市顺庆区搬罾街道学府大道二段</v>
      </c>
      <c r="J892" s="33" t="str">
        <f>VLOOKUP(B892,辅助信息!E:I,4,FALSE)</f>
        <v>郑林</v>
      </c>
      <c r="K892" s="33">
        <f>VLOOKUP(J892,辅助信息!H:I,2,FALSE)</f>
        <v>18349955455</v>
      </c>
      <c r="L892" s="71"/>
      <c r="M892" s="84">
        <v>45727</v>
      </c>
      <c r="O892" s="55">
        <f ca="1" t="shared" si="28"/>
        <v>0</v>
      </c>
      <c r="P892" s="55">
        <f ca="1" t="shared" si="29"/>
        <v>230</v>
      </c>
      <c r="Q892" s="19" t="str">
        <f>VLOOKUP(B892,辅助信息!E:M,9,FALSE)</f>
        <v>ZTWM-CDGS-XS-2024-0248-五冶钢构-南充市医学院项目</v>
      </c>
      <c r="R892" s="19"/>
    </row>
    <row r="893" hidden="1" spans="2:18">
      <c r="B893" s="33" t="s">
        <v>117</v>
      </c>
      <c r="C893" s="63">
        <v>45726</v>
      </c>
      <c r="D893" s="33" t="str">
        <f>VLOOKUP(B893,辅助信息!E:K,7,FALSE)</f>
        <v>JWDDCD2025051000019</v>
      </c>
      <c r="E893" s="33" t="str">
        <f>VLOOKUP(F893,辅助信息!A:B,2,FALSE)</f>
        <v>螺纹钢</v>
      </c>
      <c r="F893" s="33" t="s">
        <v>27</v>
      </c>
      <c r="G893" s="29">
        <v>26</v>
      </c>
      <c r="H893" s="29">
        <f>_xlfn._xlws.FILTER('[1]2025年已发货'!$E:$E,'[1]2025年已发货'!$F:$F&amp;'[1]2025年已发货'!$C:$C&amp;'[1]2025年已发货'!$G:$G&amp;'[1]2025年已发货'!$H:$H=C893&amp;F893&amp;I893&amp;J893,"未发货")</f>
        <v>26</v>
      </c>
      <c r="I893" s="33" t="str">
        <f>VLOOKUP(B893,辅助信息!E:I,3,FALSE)</f>
        <v>(五冶钢构医学科学产业园建设项目房建三部-配套用房及围墙)四川省南充市顺庆区搬罾街道学府大道二段</v>
      </c>
      <c r="J893" s="33" t="str">
        <f>VLOOKUP(B893,辅助信息!E:I,4,FALSE)</f>
        <v>郑林</v>
      </c>
      <c r="K893" s="33">
        <f>VLOOKUP(J893,辅助信息!H:I,2,FALSE)</f>
        <v>18349955455</v>
      </c>
      <c r="L893" s="69"/>
      <c r="M893" s="84">
        <v>45727</v>
      </c>
      <c r="O893" s="55">
        <f ca="1" t="shared" si="28"/>
        <v>0</v>
      </c>
      <c r="P893" s="55">
        <f ca="1" t="shared" si="29"/>
        <v>230</v>
      </c>
      <c r="Q893" s="19" t="str">
        <f>VLOOKUP(B893,辅助信息!E:M,9,FALSE)</f>
        <v>ZTWM-CDGS-XS-2024-0248-五冶钢构-南充市医学院项目</v>
      </c>
      <c r="R893" s="19"/>
    </row>
    <row r="894" hidden="1" spans="2:18">
      <c r="B894" s="33" t="s">
        <v>72</v>
      </c>
      <c r="C894" s="63">
        <v>45726</v>
      </c>
      <c r="D894" s="33" t="str">
        <f>VLOOKUP(B894,辅助信息!E:K,7,FALSE)</f>
        <v>JWDDCD2025051000019</v>
      </c>
      <c r="E894" s="33" t="str">
        <f>VLOOKUP(F894,辅助信息!A:B,2,FALSE)</f>
        <v>盘螺</v>
      </c>
      <c r="F894" s="33" t="s">
        <v>40</v>
      </c>
      <c r="G894" s="29">
        <v>20</v>
      </c>
      <c r="H894" s="29">
        <f>_xlfn._xlws.FILTER('[1]2025年已发货'!$E:$E,'[1]2025年已发货'!$F:$F&amp;'[1]2025年已发货'!$C:$C&amp;'[1]2025年已发货'!$G:$G&amp;'[1]2025年已发货'!$H:$H=C894&amp;F894&amp;I894&amp;J894,"未发货")</f>
        <v>20</v>
      </c>
      <c r="I894" s="33" t="str">
        <f>VLOOKUP(B894,辅助信息!E:I,3,FALSE)</f>
        <v>(五冶钢构医学科学产业园建设项目房建二部-网羽馆（6-5）)四川省南充市顺庆区搬罾街道学府大道二段</v>
      </c>
      <c r="J894" s="33" t="str">
        <f>VLOOKUP(B894,辅助信息!E:I,4,FALSE)</f>
        <v>安南</v>
      </c>
      <c r="K894" s="33">
        <f>VLOOKUP(J894,辅助信息!H:I,2,FALSE)</f>
        <v>19950525030</v>
      </c>
      <c r="L894" s="70" t="str">
        <f>VLOOKUP(B895,辅助信息!E:J,6,FALSE)</f>
        <v>送货单：送货单位：南充思临新材料科技有限公司,收货单位：五冶集团川北(南充)建设有限公司,项目名称：南充医学科学产业园,送货车型13米,装货前联系收货人核实到场规格</v>
      </c>
      <c r="M894" s="84">
        <v>45727</v>
      </c>
      <c r="O894" s="55">
        <f ca="1" t="shared" si="28"/>
        <v>0</v>
      </c>
      <c r="P894" s="55">
        <f ca="1" t="shared" si="29"/>
        <v>230</v>
      </c>
      <c r="Q894" s="19" t="str">
        <f>VLOOKUP(B894,辅助信息!E:M,9,FALSE)</f>
        <v>ZTWM-CDGS-XS-2024-0248-五冶钢构-南充市医学院项目</v>
      </c>
      <c r="R894" s="19"/>
    </row>
    <row r="895" hidden="1" spans="2:18">
      <c r="B895" s="33" t="s">
        <v>72</v>
      </c>
      <c r="C895" s="63">
        <v>45726</v>
      </c>
      <c r="D895" s="33" t="str">
        <f>VLOOKUP(B895,辅助信息!E:K,7,FALSE)</f>
        <v>JWDDCD2025051000019</v>
      </c>
      <c r="E895" s="33" t="str">
        <f>VLOOKUP(F895,辅助信息!A:B,2,FALSE)</f>
        <v>螺纹钢</v>
      </c>
      <c r="F895" s="33" t="s">
        <v>27</v>
      </c>
      <c r="G895" s="29">
        <v>3</v>
      </c>
      <c r="H895" s="29">
        <f>_xlfn._xlws.FILTER('[1]2025年已发货'!$E:$E,'[1]2025年已发货'!$F:$F&amp;'[1]2025年已发货'!$C:$C&amp;'[1]2025年已发货'!$G:$G&amp;'[1]2025年已发货'!$H:$H=C895&amp;F895&amp;I895&amp;J895,"未发货")</f>
        <v>3</v>
      </c>
      <c r="I895" s="33" t="str">
        <f>VLOOKUP(B895,辅助信息!E:I,3,FALSE)</f>
        <v>(五冶钢构医学科学产业园建设项目房建二部-网羽馆（6-5）)四川省南充市顺庆区搬罾街道学府大道二段</v>
      </c>
      <c r="J895" s="33" t="str">
        <f>VLOOKUP(B895,辅助信息!E:I,4,FALSE)</f>
        <v>安南</v>
      </c>
      <c r="K895" s="33">
        <f>VLOOKUP(J895,辅助信息!H:I,2,FALSE)</f>
        <v>19950525030</v>
      </c>
      <c r="L895" s="71"/>
      <c r="M895" s="84">
        <v>45727</v>
      </c>
      <c r="O895" s="55">
        <f ca="1" t="shared" si="28"/>
        <v>0</v>
      </c>
      <c r="P895" s="55">
        <f ca="1" t="shared" si="29"/>
        <v>230</v>
      </c>
      <c r="Q895" s="19" t="str">
        <f>VLOOKUP(B895,辅助信息!E:M,9,FALSE)</f>
        <v>ZTWM-CDGS-XS-2024-0248-五冶钢构-南充市医学院项目</v>
      </c>
      <c r="R895" s="19"/>
    </row>
    <row r="896" hidden="1" spans="2:18">
      <c r="B896" s="33" t="s">
        <v>72</v>
      </c>
      <c r="C896" s="63">
        <v>45726</v>
      </c>
      <c r="D896" s="33" t="str">
        <f>VLOOKUP(B896,辅助信息!E:K,7,FALSE)</f>
        <v>JWDDCD2025051000019</v>
      </c>
      <c r="E896" s="33" t="str">
        <f>VLOOKUP(F896,辅助信息!A:B,2,FALSE)</f>
        <v>螺纹钢</v>
      </c>
      <c r="F896" s="33" t="s">
        <v>19</v>
      </c>
      <c r="G896" s="29">
        <v>6</v>
      </c>
      <c r="H896" s="29">
        <f>_xlfn._xlws.FILTER('[1]2025年已发货'!$E:$E,'[1]2025年已发货'!$F:$F&amp;'[1]2025年已发货'!$C:$C&amp;'[1]2025年已发货'!$G:$G&amp;'[1]2025年已发货'!$H:$H=C896&amp;F896&amp;I896&amp;J896,"未发货")</f>
        <v>6</v>
      </c>
      <c r="I896" s="33" t="str">
        <f>VLOOKUP(B896,辅助信息!E:I,3,FALSE)</f>
        <v>(五冶钢构医学科学产业园建设项目房建二部-网羽馆（6-5）)四川省南充市顺庆区搬罾街道学府大道二段</v>
      </c>
      <c r="J896" s="33" t="str">
        <f>VLOOKUP(B896,辅助信息!E:I,4,FALSE)</f>
        <v>安南</v>
      </c>
      <c r="K896" s="33">
        <f>VLOOKUP(J896,辅助信息!H:I,2,FALSE)</f>
        <v>19950525030</v>
      </c>
      <c r="L896" s="71"/>
      <c r="M896" s="84">
        <v>45727</v>
      </c>
      <c r="O896" s="55">
        <f ca="1" t="shared" si="28"/>
        <v>0</v>
      </c>
      <c r="P896" s="55">
        <f ca="1" t="shared" si="29"/>
        <v>230</v>
      </c>
      <c r="Q896" s="19" t="str">
        <f>VLOOKUP(B896,辅助信息!E:M,9,FALSE)</f>
        <v>ZTWM-CDGS-XS-2024-0248-五冶钢构-南充市医学院项目</v>
      </c>
      <c r="R896" s="19"/>
    </row>
    <row r="897" hidden="1" spans="2:18">
      <c r="B897" s="33" t="s">
        <v>72</v>
      </c>
      <c r="C897" s="63">
        <v>45726</v>
      </c>
      <c r="D897" s="33" t="str">
        <f>VLOOKUP(B897,辅助信息!E:K,7,FALSE)</f>
        <v>JWDDCD2025051000019</v>
      </c>
      <c r="E897" s="33" t="str">
        <f>VLOOKUP(F897,辅助信息!A:B,2,FALSE)</f>
        <v>螺纹钢</v>
      </c>
      <c r="F897" s="33" t="s">
        <v>32</v>
      </c>
      <c r="G897" s="29">
        <v>9</v>
      </c>
      <c r="H897" s="29">
        <f>_xlfn._xlws.FILTER('[1]2025年已发货'!$E:$E,'[1]2025年已发货'!$F:$F&amp;'[1]2025年已发货'!$C:$C&amp;'[1]2025年已发货'!$G:$G&amp;'[1]2025年已发货'!$H:$H=C897&amp;F897&amp;I897&amp;J897,"未发货")</f>
        <v>9</v>
      </c>
      <c r="I897" s="33" t="str">
        <f>VLOOKUP(B897,辅助信息!E:I,3,FALSE)</f>
        <v>(五冶钢构医学科学产业园建设项目房建二部-网羽馆（6-5）)四川省南充市顺庆区搬罾街道学府大道二段</v>
      </c>
      <c r="J897" s="33" t="str">
        <f>VLOOKUP(B897,辅助信息!E:I,4,FALSE)</f>
        <v>安南</v>
      </c>
      <c r="K897" s="33">
        <f>VLOOKUP(J897,辅助信息!H:I,2,FALSE)</f>
        <v>19950525030</v>
      </c>
      <c r="L897" s="71"/>
      <c r="M897" s="84">
        <v>45727</v>
      </c>
      <c r="O897" s="55">
        <f ca="1" t="shared" si="28"/>
        <v>0</v>
      </c>
      <c r="P897" s="55">
        <f ca="1" t="shared" si="29"/>
        <v>230</v>
      </c>
      <c r="Q897" s="19" t="str">
        <f>VLOOKUP(B897,辅助信息!E:M,9,FALSE)</f>
        <v>ZTWM-CDGS-XS-2024-0248-五冶钢构-南充市医学院项目</v>
      </c>
      <c r="R897" s="19"/>
    </row>
    <row r="898" hidden="1" spans="2:18">
      <c r="B898" s="33" t="s">
        <v>72</v>
      </c>
      <c r="C898" s="63">
        <v>45726</v>
      </c>
      <c r="D898" s="33" t="str">
        <f>VLOOKUP(B898,辅助信息!E:K,7,FALSE)</f>
        <v>JWDDCD2025051000019</v>
      </c>
      <c r="E898" s="33" t="str">
        <f>VLOOKUP(F898,辅助信息!A:B,2,FALSE)</f>
        <v>螺纹钢</v>
      </c>
      <c r="F898" s="33" t="s">
        <v>33</v>
      </c>
      <c r="G898" s="29">
        <v>9</v>
      </c>
      <c r="H898" s="29">
        <f>_xlfn._xlws.FILTER('[1]2025年已发货'!$E:$E,'[1]2025年已发货'!$F:$F&amp;'[1]2025年已发货'!$C:$C&amp;'[1]2025年已发货'!$G:$G&amp;'[1]2025年已发货'!$H:$H=C898&amp;F898&amp;I898&amp;J898,"未发货")</f>
        <v>9</v>
      </c>
      <c r="I898" s="33" t="str">
        <f>VLOOKUP(B898,辅助信息!E:I,3,FALSE)</f>
        <v>(五冶钢构医学科学产业园建设项目房建二部-网羽馆（6-5）)四川省南充市顺庆区搬罾街道学府大道二段</v>
      </c>
      <c r="J898" s="33" t="str">
        <f>VLOOKUP(B898,辅助信息!E:I,4,FALSE)</f>
        <v>安南</v>
      </c>
      <c r="K898" s="33">
        <f>VLOOKUP(J898,辅助信息!H:I,2,FALSE)</f>
        <v>19950525030</v>
      </c>
      <c r="L898" s="71"/>
      <c r="M898" s="84">
        <v>45727</v>
      </c>
      <c r="O898" s="55">
        <f ca="1" t="shared" si="28"/>
        <v>0</v>
      </c>
      <c r="P898" s="55">
        <f ca="1" t="shared" si="29"/>
        <v>230</v>
      </c>
      <c r="Q898" s="19" t="str">
        <f>VLOOKUP(B898,辅助信息!E:M,9,FALSE)</f>
        <v>ZTWM-CDGS-XS-2024-0248-五冶钢构-南充市医学院项目</v>
      </c>
      <c r="R898" s="19"/>
    </row>
    <row r="899" hidden="1" spans="2:18">
      <c r="B899" s="33" t="s">
        <v>72</v>
      </c>
      <c r="C899" s="63">
        <v>45726</v>
      </c>
      <c r="D899" s="33" t="str">
        <f>VLOOKUP(B899,辅助信息!E:K,7,FALSE)</f>
        <v>JWDDCD2025051000019</v>
      </c>
      <c r="E899" s="33" t="str">
        <f>VLOOKUP(F899,辅助信息!A:B,2,FALSE)</f>
        <v>螺纹钢</v>
      </c>
      <c r="F899" s="33" t="s">
        <v>28</v>
      </c>
      <c r="G899" s="29">
        <v>3</v>
      </c>
      <c r="H899" s="29">
        <f>_xlfn._xlws.FILTER('[1]2025年已发货'!$E:$E,'[1]2025年已发货'!$F:$F&amp;'[1]2025年已发货'!$C:$C&amp;'[1]2025年已发货'!$G:$G&amp;'[1]2025年已发货'!$H:$H=C899&amp;F899&amp;I899&amp;J899,"未发货")</f>
        <v>3</v>
      </c>
      <c r="I899" s="33" t="str">
        <f>VLOOKUP(B899,辅助信息!E:I,3,FALSE)</f>
        <v>(五冶钢构医学科学产业园建设项目房建二部-网羽馆（6-5）)四川省南充市顺庆区搬罾街道学府大道二段</v>
      </c>
      <c r="J899" s="33" t="str">
        <f>VLOOKUP(B899,辅助信息!E:I,4,FALSE)</f>
        <v>安南</v>
      </c>
      <c r="K899" s="33">
        <f>VLOOKUP(J899,辅助信息!H:I,2,FALSE)</f>
        <v>19950525030</v>
      </c>
      <c r="L899" s="71"/>
      <c r="M899" s="84">
        <v>45727</v>
      </c>
      <c r="O899" s="55">
        <f ca="1" t="shared" si="28"/>
        <v>0</v>
      </c>
      <c r="P899" s="55">
        <f ca="1" t="shared" si="29"/>
        <v>230</v>
      </c>
      <c r="Q899" s="19" t="str">
        <f>VLOOKUP(B899,辅助信息!E:M,9,FALSE)</f>
        <v>ZTWM-CDGS-XS-2024-0248-五冶钢构-南充市医学院项目</v>
      </c>
      <c r="R899" s="19"/>
    </row>
    <row r="900" hidden="1" spans="2:18">
      <c r="B900" s="33" t="s">
        <v>72</v>
      </c>
      <c r="C900" s="63">
        <v>45726</v>
      </c>
      <c r="D900" s="33" t="str">
        <f>VLOOKUP(B900,辅助信息!E:K,7,FALSE)</f>
        <v>JWDDCD2025051000019</v>
      </c>
      <c r="E900" s="33" t="str">
        <f>VLOOKUP(F900,辅助信息!A:B,2,FALSE)</f>
        <v>螺纹钢</v>
      </c>
      <c r="F900" s="33" t="s">
        <v>18</v>
      </c>
      <c r="G900" s="29">
        <v>21</v>
      </c>
      <c r="H900" s="29">
        <f>_xlfn._xlws.FILTER('[1]2025年已发货'!$E:$E,'[1]2025年已发货'!$F:$F&amp;'[1]2025年已发货'!$C:$C&amp;'[1]2025年已发货'!$G:$G&amp;'[1]2025年已发货'!$H:$H=C900&amp;F900&amp;I900&amp;J900,"未发货")</f>
        <v>21</v>
      </c>
      <c r="I900" s="33" t="str">
        <f>VLOOKUP(B900,辅助信息!E:I,3,FALSE)</f>
        <v>(五冶钢构医学科学产业园建设项目房建二部-网羽馆（6-5）)四川省南充市顺庆区搬罾街道学府大道二段</v>
      </c>
      <c r="J900" s="33" t="str">
        <f>VLOOKUP(B900,辅助信息!E:I,4,FALSE)</f>
        <v>安南</v>
      </c>
      <c r="K900" s="33">
        <f>VLOOKUP(J900,辅助信息!H:I,2,FALSE)</f>
        <v>19950525030</v>
      </c>
      <c r="L900" s="69"/>
      <c r="M900" s="84">
        <v>45727</v>
      </c>
      <c r="O900" s="55">
        <f ca="1" t="shared" si="28"/>
        <v>0</v>
      </c>
      <c r="P900" s="55">
        <f ca="1" t="shared" si="29"/>
        <v>230</v>
      </c>
      <c r="Q900" s="19" t="str">
        <f>VLOOKUP(B900,辅助信息!E:M,9,FALSE)</f>
        <v>ZTWM-CDGS-XS-2024-0248-五冶钢构-南充市医学院项目</v>
      </c>
      <c r="R900" s="19"/>
    </row>
    <row r="901" hidden="1" spans="2:18">
      <c r="B901" s="33" t="s">
        <v>56</v>
      </c>
      <c r="C901" s="63">
        <v>45726</v>
      </c>
      <c r="D901" s="33" t="str">
        <f>VLOOKUP(B901,辅助信息!E:K,7,FALSE)</f>
        <v>JWDDCD2025052800131</v>
      </c>
      <c r="E901" s="33" t="str">
        <f>VLOOKUP(F901,辅助信息!A:B,2,FALSE)</f>
        <v>盘螺</v>
      </c>
      <c r="F901" s="33" t="s">
        <v>40</v>
      </c>
      <c r="G901" s="29">
        <v>12</v>
      </c>
      <c r="H901" s="29">
        <f>_xlfn._xlws.FILTER('[1]2025年已发货'!$E:$E,'[1]2025年已发货'!$F:$F&amp;'[1]2025年已发货'!$C:$C&amp;'[1]2025年已发货'!$G:$G&amp;'[1]2025年已发货'!$H:$H=C901&amp;F901&amp;I901&amp;J901,"未发货")</f>
        <v>7</v>
      </c>
      <c r="I901" s="33" t="str">
        <f>VLOOKUP(B901,辅助信息!E:I,3,FALSE)</f>
        <v>（商投建工达州中医药科技园-4工区-7号楼）达州市通川区达州中医药职业学院犀牛大道北段</v>
      </c>
      <c r="J901" s="33" t="str">
        <f>VLOOKUP(B901,辅助信息!E:I,4,FALSE)</f>
        <v>张扬</v>
      </c>
      <c r="K901" s="33">
        <f>VLOOKUP(J901,辅助信息!H:I,2,FALSE)</f>
        <v>18381904567</v>
      </c>
      <c r="L901" s="70" t="str">
        <f>VLOOKUP(B902,辅助信息!E:J,6,FALSE)</f>
        <v>控制炉批号！多了现场不收！,优先安排达钢,提前联系到场规格及数量</v>
      </c>
      <c r="M901" s="84">
        <v>45728</v>
      </c>
      <c r="O901" s="55">
        <f ca="1" t="shared" si="28"/>
        <v>0</v>
      </c>
      <c r="P901" s="55">
        <f ca="1" t="shared" si="29"/>
        <v>229</v>
      </c>
      <c r="Q901" s="19" t="str">
        <f>VLOOKUP(B901,辅助信息!E:M,9,FALSE)</f>
        <v>ZTWM-CDGS-XS-2024-0134-商投建工达州中医药科技成果示范园项目</v>
      </c>
      <c r="R901" s="19"/>
    </row>
    <row r="902" hidden="1" spans="2:18">
      <c r="B902" s="33" t="s">
        <v>56</v>
      </c>
      <c r="C902" s="63">
        <v>45726</v>
      </c>
      <c r="D902" s="33" t="str">
        <f>VLOOKUP(B902,辅助信息!E:K,7,FALSE)</f>
        <v>JWDDCD2025052800131</v>
      </c>
      <c r="E902" s="33" t="str">
        <f>VLOOKUP(F902,辅助信息!A:B,2,FALSE)</f>
        <v>盘螺</v>
      </c>
      <c r="F902" s="33" t="s">
        <v>41</v>
      </c>
      <c r="G902" s="29">
        <v>15</v>
      </c>
      <c r="H902" s="29">
        <f>_xlfn._xlws.FILTER('[1]2025年已发货'!$E:$E,'[1]2025年已发货'!$F:$F&amp;'[1]2025年已发货'!$C:$C&amp;'[1]2025年已发货'!$G:$G&amp;'[1]2025年已发货'!$H:$H=C902&amp;F902&amp;I902&amp;J902,"未发货")</f>
        <v>10</v>
      </c>
      <c r="I902" s="33" t="str">
        <f>VLOOKUP(B902,辅助信息!E:I,3,FALSE)</f>
        <v>（商投建工达州中医药科技园-4工区-7号楼）达州市通川区达州中医药职业学院犀牛大道北段</v>
      </c>
      <c r="J902" s="33" t="str">
        <f>VLOOKUP(B902,辅助信息!E:I,4,FALSE)</f>
        <v>张扬</v>
      </c>
      <c r="K902" s="33">
        <f>VLOOKUP(J902,辅助信息!H:I,2,FALSE)</f>
        <v>18381904567</v>
      </c>
      <c r="L902" s="71"/>
      <c r="M902" s="84">
        <v>45728</v>
      </c>
      <c r="O902" s="55">
        <f ca="1" t="shared" si="28"/>
        <v>0</v>
      </c>
      <c r="P902" s="55">
        <f ca="1" t="shared" si="29"/>
        <v>229</v>
      </c>
      <c r="Q902" s="19" t="str">
        <f>VLOOKUP(B902,辅助信息!E:M,9,FALSE)</f>
        <v>ZTWM-CDGS-XS-2024-0134-商投建工达州中医药科技成果示范园项目</v>
      </c>
      <c r="R902" s="19"/>
    </row>
    <row r="903" hidden="1" spans="2:18">
      <c r="B903" s="33" t="s">
        <v>56</v>
      </c>
      <c r="C903" s="63">
        <v>45726</v>
      </c>
      <c r="D903" s="33" t="str">
        <f>VLOOKUP(B903,辅助信息!E:K,7,FALSE)</f>
        <v>JWDDCD2025052800131</v>
      </c>
      <c r="E903" s="33" t="str">
        <f>VLOOKUP(F903,辅助信息!A:B,2,FALSE)</f>
        <v>螺纹钢</v>
      </c>
      <c r="F903" s="33" t="s">
        <v>30</v>
      </c>
      <c r="G903" s="29">
        <v>9</v>
      </c>
      <c r="H903" s="29">
        <f>_xlfn._xlws.FILTER('[1]2025年已发货'!$E:$E,'[1]2025年已发货'!$F:$F&amp;'[1]2025年已发货'!$C:$C&amp;'[1]2025年已发货'!$G:$G&amp;'[1]2025年已发货'!$H:$H=C903&amp;F903&amp;I903&amp;J903,"未发货")</f>
        <v>9</v>
      </c>
      <c r="I903" s="33" t="str">
        <f>VLOOKUP(B903,辅助信息!E:I,3,FALSE)</f>
        <v>（商投建工达州中医药科技园-4工区-7号楼）达州市通川区达州中医药职业学院犀牛大道北段</v>
      </c>
      <c r="J903" s="33" t="str">
        <f>VLOOKUP(B903,辅助信息!E:I,4,FALSE)</f>
        <v>张扬</v>
      </c>
      <c r="K903" s="33">
        <f>VLOOKUP(J903,辅助信息!H:I,2,FALSE)</f>
        <v>18381904567</v>
      </c>
      <c r="L903" s="71"/>
      <c r="M903" s="84">
        <v>45728</v>
      </c>
      <c r="O903" s="55">
        <f ca="1" t="shared" si="28"/>
        <v>0</v>
      </c>
      <c r="P903" s="55">
        <f ca="1" t="shared" si="29"/>
        <v>229</v>
      </c>
      <c r="Q903" s="19" t="str">
        <f>VLOOKUP(B903,辅助信息!E:M,9,FALSE)</f>
        <v>ZTWM-CDGS-XS-2024-0134-商投建工达州中医药科技成果示范园项目</v>
      </c>
      <c r="R903" s="19"/>
    </row>
    <row r="904" hidden="1" spans="2:18">
      <c r="B904" s="33" t="s">
        <v>56</v>
      </c>
      <c r="C904" s="63">
        <v>45726</v>
      </c>
      <c r="D904" s="33" t="str">
        <f>VLOOKUP(B904,辅助信息!E:K,7,FALSE)</f>
        <v>JWDDCD2025052800131</v>
      </c>
      <c r="E904" s="33" t="str">
        <f>VLOOKUP(F904,辅助信息!A:B,2,FALSE)</f>
        <v>螺纹钢</v>
      </c>
      <c r="F904" s="33" t="s">
        <v>33</v>
      </c>
      <c r="G904" s="29">
        <v>9</v>
      </c>
      <c r="H904" s="29">
        <f>_xlfn._xlws.FILTER('[1]2025年已发货'!$E:$E,'[1]2025年已发货'!$F:$F&amp;'[1]2025年已发货'!$C:$C&amp;'[1]2025年已发货'!$G:$G&amp;'[1]2025年已发货'!$H:$H=C904&amp;F904&amp;I904&amp;J904,"未发货")</f>
        <v>9</v>
      </c>
      <c r="I904" s="33" t="str">
        <f>VLOOKUP(B904,辅助信息!E:I,3,FALSE)</f>
        <v>（商投建工达州中医药科技园-4工区-7号楼）达州市通川区达州中医药职业学院犀牛大道北段</v>
      </c>
      <c r="J904" s="33" t="str">
        <f>VLOOKUP(B904,辅助信息!E:I,4,FALSE)</f>
        <v>张扬</v>
      </c>
      <c r="K904" s="33">
        <f>VLOOKUP(J904,辅助信息!H:I,2,FALSE)</f>
        <v>18381904567</v>
      </c>
      <c r="L904" s="69"/>
      <c r="M904" s="84">
        <v>45728</v>
      </c>
      <c r="O904" s="55">
        <f ca="1" t="shared" si="28"/>
        <v>0</v>
      </c>
      <c r="P904" s="55">
        <f ca="1" t="shared" si="29"/>
        <v>229</v>
      </c>
      <c r="Q904" s="19" t="str">
        <f>VLOOKUP(B904,辅助信息!E:M,9,FALSE)</f>
        <v>ZTWM-CDGS-XS-2024-0134-商投建工达州中医药科技成果示范园项目</v>
      </c>
      <c r="R904" s="19"/>
    </row>
    <row r="905" hidden="1" spans="2:18">
      <c r="B905" s="33" t="s">
        <v>75</v>
      </c>
      <c r="C905" s="63">
        <v>45726</v>
      </c>
      <c r="D905" s="33" t="e">
        <f>VLOOKUP(B905,辅助信息!E:K,7,FALSE)</f>
        <v>#N/A</v>
      </c>
      <c r="E905" s="33" t="str">
        <f>VLOOKUP(F905,辅助信息!A:B,2,FALSE)</f>
        <v>螺纹钢</v>
      </c>
      <c r="F905" s="33" t="s">
        <v>27</v>
      </c>
      <c r="G905" s="29">
        <v>6</v>
      </c>
      <c r="H905" s="29" t="e">
        <f>_xlfn._xlws.FILTER('[1]2025年已发货'!$E:$E,'[1]2025年已发货'!$F:$F&amp;'[1]2025年已发货'!$C:$C&amp;'[1]2025年已发货'!$G:$G&amp;'[1]2025年已发货'!$H:$H=C905&amp;F905&amp;I905&amp;J905,"未发货")</f>
        <v>#N/A</v>
      </c>
      <c r="I905" s="33" t="e">
        <f>VLOOKUP(B905,辅助信息!E:I,3,FALSE)</f>
        <v>#N/A</v>
      </c>
      <c r="J905" s="33" t="e">
        <f>VLOOKUP(B905,辅助信息!E:I,4,FALSE)</f>
        <v>#N/A</v>
      </c>
      <c r="K905" s="33" t="e">
        <f>VLOOKUP(J905,辅助信息!H:I,2,FALSE)</f>
        <v>#N/A</v>
      </c>
      <c r="L905" s="70" t="e">
        <f>VLOOKUP(B905,辅助信息!E:J,6,FALSE)</f>
        <v>#N/A</v>
      </c>
      <c r="M905" s="84">
        <v>45731</v>
      </c>
      <c r="O905" s="55">
        <f ca="1" t="shared" si="28"/>
        <v>0</v>
      </c>
      <c r="P905" s="55">
        <f ca="1" t="shared" si="29"/>
        <v>226</v>
      </c>
      <c r="Q905" s="19" t="e">
        <f>VLOOKUP(B905,辅助信息!E:M,9,FALSE)</f>
        <v>#N/A</v>
      </c>
      <c r="R905" s="19"/>
    </row>
    <row r="906" hidden="1" spans="2:18">
      <c r="B906" s="33" t="s">
        <v>75</v>
      </c>
      <c r="C906" s="63">
        <v>45728</v>
      </c>
      <c r="D906" s="33" t="e">
        <f>VLOOKUP(B906,辅助信息!E:K,7,FALSE)</f>
        <v>#N/A</v>
      </c>
      <c r="E906" s="33" t="str">
        <f>VLOOKUP(F906,辅助信息!A:B,2,FALSE)</f>
        <v>螺纹钢</v>
      </c>
      <c r="F906" s="33" t="s">
        <v>19</v>
      </c>
      <c r="G906" s="29">
        <v>15</v>
      </c>
      <c r="H906" s="80" t="e">
        <f>_xlfn._xlws.FILTER('[1]2025年已发货'!$E:$E,'[1]2025年已发货'!$F:$F&amp;'[1]2025年已发货'!$C:$C&amp;'[1]2025年已发货'!$G:$G&amp;'[1]2025年已发货'!$H:$H=C906&amp;F906&amp;I906&amp;J906,"未发货")</f>
        <v>#N/A</v>
      </c>
      <c r="I906" s="33" t="e">
        <f>VLOOKUP(B906,辅助信息!E:I,3,FALSE)</f>
        <v>#N/A</v>
      </c>
      <c r="J906" s="33" t="e">
        <f>VLOOKUP(B906,辅助信息!E:I,4,FALSE)</f>
        <v>#N/A</v>
      </c>
      <c r="K906" s="33" t="e">
        <f>VLOOKUP(J906,辅助信息!H:I,2,FALSE)</f>
        <v>#N/A</v>
      </c>
      <c r="L906" s="71"/>
      <c r="M906" s="84">
        <v>45731</v>
      </c>
      <c r="O906" s="55">
        <f ca="1" t="shared" si="28"/>
        <v>0</v>
      </c>
      <c r="P906" s="55">
        <f ca="1" t="shared" si="29"/>
        <v>226</v>
      </c>
      <c r="Q906" s="19" t="e">
        <f>VLOOKUP(B906,辅助信息!E:M,9,FALSE)</f>
        <v>#N/A</v>
      </c>
      <c r="R906" s="19"/>
    </row>
    <row r="907" hidden="1" spans="2:18">
      <c r="B907" s="33" t="s">
        <v>75</v>
      </c>
      <c r="C907" s="63">
        <v>45728</v>
      </c>
      <c r="D907" s="33" t="e">
        <f>VLOOKUP(B907,辅助信息!E:K,7,FALSE)</f>
        <v>#N/A</v>
      </c>
      <c r="E907" s="33" t="str">
        <f>VLOOKUP(F907,辅助信息!A:B,2,FALSE)</f>
        <v>螺纹钢</v>
      </c>
      <c r="F907" s="33" t="s">
        <v>65</v>
      </c>
      <c r="G907" s="29">
        <v>60</v>
      </c>
      <c r="H907" s="80" t="e">
        <f>_xlfn._xlws.FILTER('[1]2025年已发货'!$E:$E,'[1]2025年已发货'!$F:$F&amp;'[1]2025年已发货'!$C:$C&amp;'[1]2025年已发货'!$G:$G&amp;'[1]2025年已发货'!$H:$H=C907&amp;F907&amp;I907&amp;J907,"未发货")</f>
        <v>#N/A</v>
      </c>
      <c r="I907" s="33" t="e">
        <f>VLOOKUP(B907,辅助信息!E:I,3,FALSE)</f>
        <v>#N/A</v>
      </c>
      <c r="J907" s="33" t="e">
        <f>VLOOKUP(B907,辅助信息!E:I,4,FALSE)</f>
        <v>#N/A</v>
      </c>
      <c r="K907" s="33" t="e">
        <f>VLOOKUP(J907,辅助信息!H:I,2,FALSE)</f>
        <v>#N/A</v>
      </c>
      <c r="L907" s="69"/>
      <c r="M907" s="84">
        <v>45731</v>
      </c>
      <c r="O907" s="55">
        <f ca="1" t="shared" si="28"/>
        <v>0</v>
      </c>
      <c r="P907" s="55">
        <f ca="1" t="shared" si="29"/>
        <v>226</v>
      </c>
      <c r="Q907" s="19" t="e">
        <f>VLOOKUP(B907,辅助信息!E:M,9,FALSE)</f>
        <v>#N/A</v>
      </c>
      <c r="R907" s="19"/>
    </row>
    <row r="908" hidden="1" spans="2:18">
      <c r="B908" s="33" t="s">
        <v>87</v>
      </c>
      <c r="C908" s="63">
        <v>45727</v>
      </c>
      <c r="D908" s="33" t="e">
        <f>VLOOKUP(B908,辅助信息!E:K,7,FALSE)</f>
        <v>#N/A</v>
      </c>
      <c r="E908" s="33" t="str">
        <f>VLOOKUP(F908,辅助信息!A:B,2,FALSE)</f>
        <v>螺纹钢</v>
      </c>
      <c r="F908" s="33" t="s">
        <v>27</v>
      </c>
      <c r="G908" s="29">
        <v>8</v>
      </c>
      <c r="H908" s="80" t="e">
        <f>_xlfn._xlws.FILTER('[1]2025年已发货'!$E:$E,'[1]2025年已发货'!$F:$F&amp;'[1]2025年已发货'!$C:$C&amp;'[1]2025年已发货'!$G:$G&amp;'[1]2025年已发货'!$H:$H=C908&amp;F908&amp;I908&amp;J908,"未发货")</f>
        <v>#N/A</v>
      </c>
      <c r="I908" s="33" t="e">
        <f>VLOOKUP(B908,辅助信息!E:I,3,FALSE)</f>
        <v>#N/A</v>
      </c>
      <c r="J908" s="33" t="e">
        <f>VLOOKUP(B908,辅助信息!E:I,4,FALSE)</f>
        <v>#N/A</v>
      </c>
      <c r="K908" s="33" t="e">
        <f>VLOOKUP(J908,辅助信息!H:I,2,FALSE)</f>
        <v>#N/A</v>
      </c>
      <c r="L908" s="70" t="e">
        <f>VLOOKUP(B908,辅助信息!E:J,6,FALSE)</f>
        <v>#N/A</v>
      </c>
      <c r="M908" s="84">
        <v>45728</v>
      </c>
      <c r="O908" s="55">
        <f ca="1" t="shared" si="28"/>
        <v>0</v>
      </c>
      <c r="P908" s="55">
        <f ca="1" t="shared" si="29"/>
        <v>229</v>
      </c>
      <c r="Q908" s="19" t="e">
        <f>VLOOKUP(B908,辅助信息!E:M,9,FALSE)</f>
        <v>#N/A</v>
      </c>
      <c r="R908" s="19"/>
    </row>
    <row r="909" hidden="1" spans="2:18">
      <c r="B909" s="33" t="s">
        <v>87</v>
      </c>
      <c r="C909" s="63">
        <v>45727</v>
      </c>
      <c r="D909" s="33" t="e">
        <f>VLOOKUP(B909,辅助信息!E:K,7,FALSE)</f>
        <v>#N/A</v>
      </c>
      <c r="E909" s="33" t="str">
        <f>VLOOKUP(F909,辅助信息!A:B,2,FALSE)</f>
        <v>螺纹钢</v>
      </c>
      <c r="F909" s="33" t="s">
        <v>19</v>
      </c>
      <c r="G909" s="29">
        <v>8</v>
      </c>
      <c r="H909" s="80" t="e">
        <f>_xlfn._xlws.FILTER('[1]2025年已发货'!$E:$E,'[1]2025年已发货'!$F:$F&amp;'[1]2025年已发货'!$C:$C&amp;'[1]2025年已发货'!$G:$G&amp;'[1]2025年已发货'!$H:$H=C909&amp;F909&amp;I909&amp;J909,"未发货")</f>
        <v>#N/A</v>
      </c>
      <c r="I909" s="33" t="e">
        <f>VLOOKUP(B909,辅助信息!E:I,3,FALSE)</f>
        <v>#N/A</v>
      </c>
      <c r="J909" s="33" t="e">
        <f>VLOOKUP(B909,辅助信息!E:I,4,FALSE)</f>
        <v>#N/A</v>
      </c>
      <c r="K909" s="33" t="e">
        <f>VLOOKUP(J909,辅助信息!H:I,2,FALSE)</f>
        <v>#N/A</v>
      </c>
      <c r="L909" s="71"/>
      <c r="M909" s="84">
        <v>45728</v>
      </c>
      <c r="O909" s="55">
        <f ca="1" t="shared" si="28"/>
        <v>0</v>
      </c>
      <c r="P909" s="55">
        <f ca="1" t="shared" si="29"/>
        <v>229</v>
      </c>
      <c r="Q909" s="19" t="e">
        <f>VLOOKUP(B909,辅助信息!E:M,9,FALSE)</f>
        <v>#N/A</v>
      </c>
      <c r="R909" s="19"/>
    </row>
    <row r="910" hidden="1" spans="2:18">
      <c r="B910" s="33" t="s">
        <v>87</v>
      </c>
      <c r="C910" s="63">
        <v>45727</v>
      </c>
      <c r="D910" s="33" t="e">
        <f>VLOOKUP(B910,辅助信息!E:K,7,FALSE)</f>
        <v>#N/A</v>
      </c>
      <c r="E910" s="33" t="str">
        <f>VLOOKUP(F910,辅助信息!A:B,2,FALSE)</f>
        <v>螺纹钢</v>
      </c>
      <c r="F910" s="33" t="s">
        <v>65</v>
      </c>
      <c r="G910" s="29">
        <v>19</v>
      </c>
      <c r="H910" s="80" t="e">
        <f>_xlfn._xlws.FILTER('[1]2025年已发货'!$E:$E,'[1]2025年已发货'!$F:$F&amp;'[1]2025年已发货'!$C:$C&amp;'[1]2025年已发货'!$G:$G&amp;'[1]2025年已发货'!$H:$H=C910&amp;F910&amp;I910&amp;J910,"未发货")</f>
        <v>#N/A</v>
      </c>
      <c r="I910" s="33" t="e">
        <f>VLOOKUP(B910,辅助信息!E:I,3,FALSE)</f>
        <v>#N/A</v>
      </c>
      <c r="J910" s="33" t="e">
        <f>VLOOKUP(B910,辅助信息!E:I,4,FALSE)</f>
        <v>#N/A</v>
      </c>
      <c r="K910" s="33" t="e">
        <f>VLOOKUP(J910,辅助信息!H:I,2,FALSE)</f>
        <v>#N/A</v>
      </c>
      <c r="L910" s="69"/>
      <c r="M910" s="84">
        <v>45728</v>
      </c>
      <c r="O910" s="55">
        <f ca="1" t="shared" si="28"/>
        <v>0</v>
      </c>
      <c r="P910" s="55">
        <f ca="1" t="shared" si="29"/>
        <v>229</v>
      </c>
      <c r="Q910" s="19" t="e">
        <f>VLOOKUP(B910,辅助信息!E:M,9,FALSE)</f>
        <v>#N/A</v>
      </c>
      <c r="R910" s="19"/>
    </row>
    <row r="911" hidden="1" spans="2:18">
      <c r="B911" s="33" t="s">
        <v>74</v>
      </c>
      <c r="C911" s="63">
        <v>45727</v>
      </c>
      <c r="D911" s="33" t="e">
        <f>VLOOKUP(B911,辅助信息!E:K,7,FALSE)</f>
        <v>#N/A</v>
      </c>
      <c r="E911" s="33" t="str">
        <f>VLOOKUP(F911,辅助信息!A:B,2,FALSE)</f>
        <v>螺纹钢</v>
      </c>
      <c r="F911" s="33" t="s">
        <v>27</v>
      </c>
      <c r="G911" s="29">
        <v>3</v>
      </c>
      <c r="H911" s="29" t="e">
        <f>_xlfn._xlws.FILTER('[1]2025年已发货'!$E:$E,'[1]2025年已发货'!$F:$F&amp;'[1]2025年已发货'!$C:$C&amp;'[1]2025年已发货'!$G:$G&amp;'[1]2025年已发货'!$H:$H=C911&amp;F911&amp;I911&amp;J911,"未发货")</f>
        <v>#N/A</v>
      </c>
      <c r="I911" s="33" t="e">
        <f>VLOOKUP(B911,辅助信息!E:I,3,FALSE)</f>
        <v>#N/A</v>
      </c>
      <c r="J911" s="33" t="e">
        <f>VLOOKUP(B911,辅助信息!E:I,4,FALSE)</f>
        <v>#N/A</v>
      </c>
      <c r="K911" s="33" t="e">
        <f>VLOOKUP(J911,辅助信息!H:I,2,FALSE)</f>
        <v>#N/A</v>
      </c>
      <c r="L911" s="70" t="e">
        <f>VLOOKUP(B912,辅助信息!E:J,6,FALSE)</f>
        <v>#N/A</v>
      </c>
      <c r="M911" s="84">
        <v>45728</v>
      </c>
      <c r="O911" s="55">
        <f ca="1" t="shared" si="28"/>
        <v>0</v>
      </c>
      <c r="P911" s="55">
        <f ca="1" t="shared" si="29"/>
        <v>229</v>
      </c>
      <c r="Q911" s="19" t="e">
        <f>VLOOKUP(B911,辅助信息!E:M,9,FALSE)</f>
        <v>#N/A</v>
      </c>
      <c r="R911" s="19"/>
    </row>
    <row r="912" hidden="1" spans="2:18">
      <c r="B912" s="33" t="s">
        <v>74</v>
      </c>
      <c r="C912" s="63">
        <v>45727</v>
      </c>
      <c r="D912" s="33" t="e">
        <f>VLOOKUP(B912,辅助信息!E:K,7,FALSE)</f>
        <v>#N/A</v>
      </c>
      <c r="E912" s="33" t="str">
        <f>VLOOKUP(F912,辅助信息!A:B,2,FALSE)</f>
        <v>螺纹钢</v>
      </c>
      <c r="F912" s="33" t="s">
        <v>19</v>
      </c>
      <c r="G912" s="29">
        <v>3</v>
      </c>
      <c r="H912" s="29" t="e">
        <f>_xlfn._xlws.FILTER('[1]2025年已发货'!$E:$E,'[1]2025年已发货'!$F:$F&amp;'[1]2025年已发货'!$C:$C&amp;'[1]2025年已发货'!$G:$G&amp;'[1]2025年已发货'!$H:$H=C912&amp;F912&amp;I912&amp;J912,"未发货")</f>
        <v>#N/A</v>
      </c>
      <c r="I912" s="33" t="e">
        <f>VLOOKUP(B912,辅助信息!E:I,3,FALSE)</f>
        <v>#N/A</v>
      </c>
      <c r="J912" s="33" t="e">
        <f>VLOOKUP(B912,辅助信息!E:I,4,FALSE)</f>
        <v>#N/A</v>
      </c>
      <c r="K912" s="33" t="e">
        <f>VLOOKUP(J912,辅助信息!H:I,2,FALSE)</f>
        <v>#N/A</v>
      </c>
      <c r="L912" s="71"/>
      <c r="M912" s="84">
        <v>45728</v>
      </c>
      <c r="O912" s="55">
        <f ca="1" t="shared" si="28"/>
        <v>0</v>
      </c>
      <c r="P912" s="55">
        <f ca="1" t="shared" si="29"/>
        <v>229</v>
      </c>
      <c r="Q912" s="19" t="e">
        <f>VLOOKUP(B912,辅助信息!E:M,9,FALSE)</f>
        <v>#N/A</v>
      </c>
      <c r="R912" s="19"/>
    </row>
    <row r="913" hidden="1" spans="2:18">
      <c r="B913" s="33" t="s">
        <v>74</v>
      </c>
      <c r="C913" s="63">
        <v>45727</v>
      </c>
      <c r="D913" s="33" t="e">
        <f>VLOOKUP(B913,辅助信息!E:K,7,FALSE)</f>
        <v>#N/A</v>
      </c>
      <c r="E913" s="33" t="str">
        <f>VLOOKUP(F913,辅助信息!A:B,2,FALSE)</f>
        <v>螺纹钢</v>
      </c>
      <c r="F913" s="33" t="s">
        <v>32</v>
      </c>
      <c r="G913" s="29">
        <v>6</v>
      </c>
      <c r="H913" s="29" t="e">
        <f>_xlfn._xlws.FILTER('[1]2025年已发货'!$E:$E,'[1]2025年已发货'!$F:$F&amp;'[1]2025年已发货'!$C:$C&amp;'[1]2025年已发货'!$G:$G&amp;'[1]2025年已发货'!$H:$H=C913&amp;F913&amp;I913&amp;J913,"未发货")</f>
        <v>#N/A</v>
      </c>
      <c r="I913" s="33" t="e">
        <f>VLOOKUP(B913,辅助信息!E:I,3,FALSE)</f>
        <v>#N/A</v>
      </c>
      <c r="J913" s="33" t="e">
        <f>VLOOKUP(B913,辅助信息!E:I,4,FALSE)</f>
        <v>#N/A</v>
      </c>
      <c r="K913" s="33" t="e">
        <f>VLOOKUP(J913,辅助信息!H:I,2,FALSE)</f>
        <v>#N/A</v>
      </c>
      <c r="L913" s="71"/>
      <c r="M913" s="84">
        <v>45728</v>
      </c>
      <c r="O913" s="55">
        <f ca="1" t="shared" si="28"/>
        <v>0</v>
      </c>
      <c r="P913" s="55">
        <f ca="1" t="shared" si="29"/>
        <v>229</v>
      </c>
      <c r="Q913" s="19" t="e">
        <f>VLOOKUP(B913,辅助信息!E:M,9,FALSE)</f>
        <v>#N/A</v>
      </c>
      <c r="R913" s="19"/>
    </row>
    <row r="914" hidden="1" spans="2:18">
      <c r="B914" s="33" t="s">
        <v>74</v>
      </c>
      <c r="C914" s="63">
        <v>45727</v>
      </c>
      <c r="D914" s="33" t="e">
        <f>VLOOKUP(B914,辅助信息!E:K,7,FALSE)</f>
        <v>#N/A</v>
      </c>
      <c r="E914" s="33" t="str">
        <f>VLOOKUP(F914,辅助信息!A:B,2,FALSE)</f>
        <v>螺纹钢</v>
      </c>
      <c r="F914" s="33" t="s">
        <v>33</v>
      </c>
      <c r="G914" s="29">
        <v>9</v>
      </c>
      <c r="H914" s="29" t="e">
        <f>_xlfn._xlws.FILTER('[1]2025年已发货'!$E:$E,'[1]2025年已发货'!$F:$F&amp;'[1]2025年已发货'!$C:$C&amp;'[1]2025年已发货'!$G:$G&amp;'[1]2025年已发货'!$H:$H=C914&amp;F914&amp;I914&amp;J914,"未发货")</f>
        <v>#N/A</v>
      </c>
      <c r="I914" s="33" t="e">
        <f>VLOOKUP(B914,辅助信息!E:I,3,FALSE)</f>
        <v>#N/A</v>
      </c>
      <c r="J914" s="33" t="e">
        <f>VLOOKUP(B914,辅助信息!E:I,4,FALSE)</f>
        <v>#N/A</v>
      </c>
      <c r="K914" s="33" t="e">
        <f>VLOOKUP(J914,辅助信息!H:I,2,FALSE)</f>
        <v>#N/A</v>
      </c>
      <c r="L914" s="71"/>
      <c r="M914" s="84">
        <v>45728</v>
      </c>
      <c r="O914" s="55">
        <f ca="1" t="shared" si="28"/>
        <v>0</v>
      </c>
      <c r="P914" s="55">
        <f ca="1" t="shared" si="29"/>
        <v>229</v>
      </c>
      <c r="Q914" s="19" t="e">
        <f>VLOOKUP(B914,辅助信息!E:M,9,FALSE)</f>
        <v>#N/A</v>
      </c>
      <c r="R914" s="19"/>
    </row>
    <row r="915" hidden="1" spans="2:18">
      <c r="B915" s="33" t="s">
        <v>74</v>
      </c>
      <c r="C915" s="63">
        <v>45727</v>
      </c>
      <c r="D915" s="33" t="e">
        <f>VLOOKUP(B915,辅助信息!E:K,7,FALSE)</f>
        <v>#N/A</v>
      </c>
      <c r="E915" s="33" t="str">
        <f>VLOOKUP(F915,辅助信息!A:B,2,FALSE)</f>
        <v>螺纹钢</v>
      </c>
      <c r="F915" s="33" t="s">
        <v>18</v>
      </c>
      <c r="G915" s="29">
        <v>3</v>
      </c>
      <c r="H915" s="29" t="e">
        <f>_xlfn._xlws.FILTER('[1]2025年已发货'!$E:$E,'[1]2025年已发货'!$F:$F&amp;'[1]2025年已发货'!$C:$C&amp;'[1]2025年已发货'!$G:$G&amp;'[1]2025年已发货'!$H:$H=C915&amp;F915&amp;I915&amp;J915,"未发货")</f>
        <v>#N/A</v>
      </c>
      <c r="I915" s="33" t="e">
        <f>VLOOKUP(B915,辅助信息!E:I,3,FALSE)</f>
        <v>#N/A</v>
      </c>
      <c r="J915" s="33" t="e">
        <f>VLOOKUP(B915,辅助信息!E:I,4,FALSE)</f>
        <v>#N/A</v>
      </c>
      <c r="K915" s="33" t="e">
        <f>VLOOKUP(J915,辅助信息!H:I,2,FALSE)</f>
        <v>#N/A</v>
      </c>
      <c r="L915" s="71"/>
      <c r="M915" s="84">
        <v>45728</v>
      </c>
      <c r="O915" s="55">
        <f ca="1" t="shared" si="28"/>
        <v>0</v>
      </c>
      <c r="P915" s="55">
        <f ca="1" t="shared" si="29"/>
        <v>229</v>
      </c>
      <c r="Q915" s="19" t="e">
        <f>VLOOKUP(B915,辅助信息!E:M,9,FALSE)</f>
        <v>#N/A</v>
      </c>
      <c r="R915" s="19"/>
    </row>
    <row r="916" hidden="1" spans="2:18">
      <c r="B916" s="33" t="s">
        <v>74</v>
      </c>
      <c r="C916" s="63">
        <v>45727</v>
      </c>
      <c r="D916" s="33" t="e">
        <f>VLOOKUP(B916,辅助信息!E:K,7,FALSE)</f>
        <v>#N/A</v>
      </c>
      <c r="E916" s="33" t="str">
        <f>VLOOKUP(F916,辅助信息!A:B,2,FALSE)</f>
        <v>螺纹钢</v>
      </c>
      <c r="F916" s="33" t="s">
        <v>65</v>
      </c>
      <c r="G916" s="29">
        <v>21</v>
      </c>
      <c r="H916" s="29" t="e">
        <f>_xlfn._xlws.FILTER('[1]2025年已发货'!$E:$E,'[1]2025年已发货'!$F:$F&amp;'[1]2025年已发货'!$C:$C&amp;'[1]2025年已发货'!$G:$G&amp;'[1]2025年已发货'!$H:$H=C916&amp;F916&amp;I916&amp;J916,"未发货")</f>
        <v>#N/A</v>
      </c>
      <c r="I916" s="33" t="e">
        <f>VLOOKUP(B916,辅助信息!E:I,3,FALSE)</f>
        <v>#N/A</v>
      </c>
      <c r="J916" s="33" t="e">
        <f>VLOOKUP(B916,辅助信息!E:I,4,FALSE)</f>
        <v>#N/A</v>
      </c>
      <c r="K916" s="33" t="e">
        <f>VLOOKUP(J916,辅助信息!H:I,2,FALSE)</f>
        <v>#N/A</v>
      </c>
      <c r="L916" s="69"/>
      <c r="M916" s="84">
        <v>45728</v>
      </c>
      <c r="O916" s="55">
        <f ca="1" t="shared" si="28"/>
        <v>0</v>
      </c>
      <c r="P916" s="55">
        <f ca="1" t="shared" si="29"/>
        <v>229</v>
      </c>
      <c r="Q916" s="19" t="e">
        <f>VLOOKUP(B916,辅助信息!E:M,9,FALSE)</f>
        <v>#N/A</v>
      </c>
      <c r="R916" s="19"/>
    </row>
    <row r="917" ht="45" hidden="1" customHeight="1" spans="2:18">
      <c r="B917" s="33" t="s">
        <v>63</v>
      </c>
      <c r="C917" s="63">
        <v>45727</v>
      </c>
      <c r="D917" s="33" t="e">
        <f>VLOOKUP(B917,辅助信息!E:K,7,FALSE)</f>
        <v>#N/A</v>
      </c>
      <c r="E917" s="33" t="str">
        <f>VLOOKUP(F917,辅助信息!A:B,2,FALSE)</f>
        <v>螺纹钢</v>
      </c>
      <c r="F917" s="33" t="s">
        <v>18</v>
      </c>
      <c r="G917" s="29">
        <v>36</v>
      </c>
      <c r="H917" s="80" t="e">
        <f>_xlfn._xlws.FILTER('[1]2025年已发货'!$E:$E,'[1]2025年已发货'!$F:$F&amp;'[1]2025年已发货'!$C:$C&amp;'[1]2025年已发货'!$G:$G&amp;'[1]2025年已发货'!$H:$H=C917&amp;F917&amp;I917&amp;J917,"未发货")</f>
        <v>#N/A</v>
      </c>
      <c r="I917" s="33" t="e">
        <f>VLOOKUP(B917,辅助信息!E:I,3,FALSE)</f>
        <v>#N/A</v>
      </c>
      <c r="J917" s="33" t="e">
        <f>VLOOKUP(B917,辅助信息!E:I,4,FALSE)</f>
        <v>#N/A</v>
      </c>
      <c r="K917" s="33" t="e">
        <f>VLOOKUP(J917,辅助信息!H:I,2,FALSE)</f>
        <v>#N/A</v>
      </c>
      <c r="L917" s="70" t="e">
        <f>VLOOKUP(B917,辅助信息!E:J,6,FALSE)</f>
        <v>#N/A</v>
      </c>
      <c r="M917" s="84">
        <v>45728</v>
      </c>
      <c r="O917" s="55">
        <f ca="1" t="shared" si="28"/>
        <v>0</v>
      </c>
      <c r="P917" s="55">
        <f ca="1" t="shared" si="29"/>
        <v>229</v>
      </c>
      <c r="Q917" s="19" t="e">
        <f>VLOOKUP(B917,辅助信息!E:M,9,FALSE)</f>
        <v>#N/A</v>
      </c>
      <c r="R917" s="19"/>
    </row>
    <row r="918" hidden="1" spans="2:18">
      <c r="B918" s="33" t="s">
        <v>64</v>
      </c>
      <c r="C918" s="63">
        <v>45727</v>
      </c>
      <c r="D918" s="33" t="e">
        <f>VLOOKUP(B918,辅助信息!E:K,7,FALSE)</f>
        <v>#N/A</v>
      </c>
      <c r="E918" s="33" t="str">
        <f>VLOOKUP(F918,辅助信息!A:B,2,FALSE)</f>
        <v>螺纹钢</v>
      </c>
      <c r="F918" s="33" t="s">
        <v>32</v>
      </c>
      <c r="G918" s="29">
        <v>6</v>
      </c>
      <c r="H918" s="80" t="e">
        <f>_xlfn._xlws.FILTER('[1]2025年已发货'!$E:$E,'[1]2025年已发货'!$F:$F&amp;'[1]2025年已发货'!$C:$C&amp;'[1]2025年已发货'!$G:$G&amp;'[1]2025年已发货'!$H:$H=C918&amp;F918&amp;I918&amp;J918,"未发货")</f>
        <v>#N/A</v>
      </c>
      <c r="I918" s="33" t="e">
        <f>VLOOKUP(B918,辅助信息!E:I,3,FALSE)</f>
        <v>#N/A</v>
      </c>
      <c r="J918" s="33" t="e">
        <f>VLOOKUP(B918,辅助信息!E:I,4,FALSE)</f>
        <v>#N/A</v>
      </c>
      <c r="K918" s="33" t="e">
        <f>VLOOKUP(J918,辅助信息!H:I,2,FALSE)</f>
        <v>#N/A</v>
      </c>
      <c r="L918" s="70" t="e">
        <f>VLOOKUP(B918,辅助信息!E:J,6,FALSE)</f>
        <v>#N/A</v>
      </c>
      <c r="M918" s="84">
        <v>45728</v>
      </c>
      <c r="O918" s="55">
        <f ca="1" t="shared" si="28"/>
        <v>0</v>
      </c>
      <c r="P918" s="55">
        <f ca="1" t="shared" si="29"/>
        <v>229</v>
      </c>
      <c r="Q918" s="19" t="e">
        <f>VLOOKUP(B918,辅助信息!E:M,9,FALSE)</f>
        <v>#N/A</v>
      </c>
      <c r="R918" s="19"/>
    </row>
    <row r="919" hidden="1" spans="2:18">
      <c r="B919" s="33" t="s">
        <v>64</v>
      </c>
      <c r="C919" s="63">
        <v>45727</v>
      </c>
      <c r="D919" s="33" t="e">
        <f>VLOOKUP(B919,辅助信息!E:K,7,FALSE)</f>
        <v>#N/A</v>
      </c>
      <c r="E919" s="33" t="str">
        <f>VLOOKUP(F919,辅助信息!A:B,2,FALSE)</f>
        <v>螺纹钢</v>
      </c>
      <c r="F919" s="33" t="s">
        <v>33</v>
      </c>
      <c r="G919" s="29">
        <v>6</v>
      </c>
      <c r="H919" s="80" t="e">
        <f>_xlfn._xlws.FILTER('[1]2025年已发货'!$E:$E,'[1]2025年已发货'!$F:$F&amp;'[1]2025年已发货'!$C:$C&amp;'[1]2025年已发货'!$G:$G&amp;'[1]2025年已发货'!$H:$H=C919&amp;F919&amp;I919&amp;J919,"未发货")</f>
        <v>#N/A</v>
      </c>
      <c r="I919" s="33" t="e">
        <f>VLOOKUP(B919,辅助信息!E:I,3,FALSE)</f>
        <v>#N/A</v>
      </c>
      <c r="J919" s="33" t="e">
        <f>VLOOKUP(B919,辅助信息!E:I,4,FALSE)</f>
        <v>#N/A</v>
      </c>
      <c r="K919" s="33" t="e">
        <f>VLOOKUP(J919,辅助信息!H:I,2,FALSE)</f>
        <v>#N/A</v>
      </c>
      <c r="L919" s="71"/>
      <c r="M919" s="84">
        <v>45728</v>
      </c>
      <c r="O919" s="55">
        <f ca="1" t="shared" si="28"/>
        <v>0</v>
      </c>
      <c r="P919" s="55">
        <f ca="1" t="shared" si="29"/>
        <v>229</v>
      </c>
      <c r="Q919" s="19" t="e">
        <f>VLOOKUP(B919,辅助信息!E:M,9,FALSE)</f>
        <v>#N/A</v>
      </c>
      <c r="R919" s="19"/>
    </row>
    <row r="920" hidden="1" spans="2:18">
      <c r="B920" s="33" t="s">
        <v>64</v>
      </c>
      <c r="C920" s="63">
        <v>45727</v>
      </c>
      <c r="D920" s="33" t="e">
        <f>VLOOKUP(B920,辅助信息!E:K,7,FALSE)</f>
        <v>#N/A</v>
      </c>
      <c r="E920" s="33" t="str">
        <f>VLOOKUP(F920,辅助信息!A:B,2,FALSE)</f>
        <v>螺纹钢</v>
      </c>
      <c r="F920" s="33" t="s">
        <v>28</v>
      </c>
      <c r="G920" s="29">
        <v>9</v>
      </c>
      <c r="H920" s="80" t="e">
        <f>_xlfn._xlws.FILTER('[1]2025年已发货'!$E:$E,'[1]2025年已发货'!$F:$F&amp;'[1]2025年已发货'!$C:$C&amp;'[1]2025年已发货'!$G:$G&amp;'[1]2025年已发货'!$H:$H=C920&amp;F920&amp;I920&amp;J920,"未发货")</f>
        <v>#N/A</v>
      </c>
      <c r="I920" s="33" t="e">
        <f>VLOOKUP(B920,辅助信息!E:I,3,FALSE)</f>
        <v>#N/A</v>
      </c>
      <c r="J920" s="33" t="e">
        <f>VLOOKUP(B920,辅助信息!E:I,4,FALSE)</f>
        <v>#N/A</v>
      </c>
      <c r="K920" s="33" t="e">
        <f>VLOOKUP(J920,辅助信息!H:I,2,FALSE)</f>
        <v>#N/A</v>
      </c>
      <c r="L920" s="71"/>
      <c r="M920" s="84">
        <v>45728</v>
      </c>
      <c r="O920" s="55">
        <f ca="1" t="shared" si="28"/>
        <v>0</v>
      </c>
      <c r="P920" s="55">
        <f ca="1" t="shared" si="29"/>
        <v>229</v>
      </c>
      <c r="Q920" s="19" t="e">
        <f>VLOOKUP(B920,辅助信息!E:M,9,FALSE)</f>
        <v>#N/A</v>
      </c>
      <c r="R920" s="19"/>
    </row>
    <row r="921" hidden="1" spans="2:18">
      <c r="B921" s="33" t="s">
        <v>64</v>
      </c>
      <c r="C921" s="63">
        <v>45727</v>
      </c>
      <c r="D921" s="33" t="e">
        <f>VLOOKUP(B921,辅助信息!E:K,7,FALSE)</f>
        <v>#N/A</v>
      </c>
      <c r="E921" s="33" t="str">
        <f>VLOOKUP(F921,辅助信息!A:B,2,FALSE)</f>
        <v>螺纹钢</v>
      </c>
      <c r="F921" s="33" t="s">
        <v>65</v>
      </c>
      <c r="G921" s="29">
        <f>42+12</f>
        <v>54</v>
      </c>
      <c r="H921" s="80" t="e">
        <f>_xlfn._xlws.FILTER('[1]2025年已发货'!$E:$E,'[1]2025年已发货'!$F:$F&amp;'[1]2025年已发货'!$C:$C&amp;'[1]2025年已发货'!$G:$G&amp;'[1]2025年已发货'!$H:$H=C921&amp;F921&amp;I921&amp;J921,"未发货")</f>
        <v>#N/A</v>
      </c>
      <c r="I921" s="33" t="e">
        <f>VLOOKUP(B921,辅助信息!E:I,3,FALSE)</f>
        <v>#N/A</v>
      </c>
      <c r="J921" s="33" t="e">
        <f>VLOOKUP(B921,辅助信息!E:I,4,FALSE)</f>
        <v>#N/A</v>
      </c>
      <c r="K921" s="33" t="e">
        <f>VLOOKUP(J921,辅助信息!H:I,2,FALSE)</f>
        <v>#N/A</v>
      </c>
      <c r="L921" s="71"/>
      <c r="M921" s="84">
        <v>45728</v>
      </c>
      <c r="O921" s="55">
        <f ca="1" t="shared" si="28"/>
        <v>0</v>
      </c>
      <c r="P921" s="55">
        <f ca="1" t="shared" si="29"/>
        <v>229</v>
      </c>
      <c r="Q921" s="19" t="e">
        <f>VLOOKUP(B921,辅助信息!E:M,9,FALSE)</f>
        <v>#N/A</v>
      </c>
      <c r="R921" s="19"/>
    </row>
    <row r="922" hidden="1" spans="2:18">
      <c r="B922" s="33" t="s">
        <v>64</v>
      </c>
      <c r="C922" s="63">
        <v>45727</v>
      </c>
      <c r="D922" s="33" t="e">
        <f>VLOOKUP(B922,辅助信息!E:K,7,FALSE)</f>
        <v>#N/A</v>
      </c>
      <c r="E922" s="33" t="str">
        <f>VLOOKUP(F922,辅助信息!A:B,2,FALSE)</f>
        <v>螺纹钢</v>
      </c>
      <c r="F922" s="33" t="s">
        <v>52</v>
      </c>
      <c r="G922" s="29">
        <f>21+9</f>
        <v>30</v>
      </c>
      <c r="H922" s="80" t="e">
        <f>_xlfn._xlws.FILTER('[1]2025年已发货'!$E:$E,'[1]2025年已发货'!$F:$F&amp;'[1]2025年已发货'!$C:$C&amp;'[1]2025年已发货'!$G:$G&amp;'[1]2025年已发货'!$H:$H=C922&amp;F922&amp;I922&amp;J922,"未发货")</f>
        <v>#N/A</v>
      </c>
      <c r="I922" s="33" t="e">
        <f>VLOOKUP(B922,辅助信息!E:I,3,FALSE)</f>
        <v>#N/A</v>
      </c>
      <c r="J922" s="33" t="e">
        <f>VLOOKUP(B922,辅助信息!E:I,4,FALSE)</f>
        <v>#N/A</v>
      </c>
      <c r="K922" s="33" t="e">
        <f>VLOOKUP(J922,辅助信息!H:I,2,FALSE)</f>
        <v>#N/A</v>
      </c>
      <c r="L922" s="69"/>
      <c r="M922" s="84">
        <v>45728</v>
      </c>
      <c r="O922" s="55">
        <f ca="1" t="shared" si="28"/>
        <v>0</v>
      </c>
      <c r="P922" s="55">
        <f ca="1" t="shared" si="29"/>
        <v>229</v>
      </c>
      <c r="Q922" s="19" t="e">
        <f>VLOOKUP(B922,辅助信息!E:M,9,FALSE)</f>
        <v>#N/A</v>
      </c>
      <c r="R922" s="19"/>
    </row>
    <row r="923" hidden="1" spans="2:18">
      <c r="B923" s="33" t="s">
        <v>60</v>
      </c>
      <c r="C923" s="63">
        <v>45727</v>
      </c>
      <c r="D923" s="33" t="str">
        <f>VLOOKUP(B923,辅助信息!E:K,7,FALSE)</f>
        <v>JWDDCD2025051000019</v>
      </c>
      <c r="E923" s="33" t="str">
        <f>VLOOKUP(F923,辅助信息!A:B,2,FALSE)</f>
        <v>高线</v>
      </c>
      <c r="F923" s="33" t="s">
        <v>51</v>
      </c>
      <c r="G923" s="29">
        <v>9</v>
      </c>
      <c r="H923" s="80">
        <f>_xlfn._xlws.FILTER('[1]2025年已发货'!$E:$E,'[1]2025年已发货'!$F:$F&amp;'[1]2025年已发货'!$C:$C&amp;'[1]2025年已发货'!$G:$G&amp;'[1]2025年已发货'!$H:$H=C923&amp;F923&amp;I923&amp;J923,"未发货")</f>
        <v>10</v>
      </c>
      <c r="I923" s="33" t="str">
        <f>VLOOKUP(B923,辅助信息!E:I,3,FALSE)</f>
        <v>(五冶钢构医学科学产业园建设项目房建二部-六标)四川省南充市顺庆区搬罾街道学府大道二段</v>
      </c>
      <c r="J923" s="33" t="str">
        <f>VLOOKUP(B923,辅助信息!E:I,4,FALSE)</f>
        <v>安南</v>
      </c>
      <c r="K923" s="33">
        <f>VLOOKUP(J923,辅助信息!H:I,2,FALSE)</f>
        <v>19950525030</v>
      </c>
      <c r="L923" s="70" t="str">
        <f>VLOOKUP(B923,辅助信息!E:J,6,FALSE)</f>
        <v>送货单：送货单位：南充思临新材料科技有限公司,收货单位：五冶集团川北(南充)建设有限公司,项目名称：南充医学科学产业园,送货车型13米,装货前联系收货人核实到场规格</v>
      </c>
      <c r="M923" s="84">
        <v>45728</v>
      </c>
      <c r="O923" s="55">
        <f ca="1" t="shared" si="28"/>
        <v>0</v>
      </c>
      <c r="P923" s="55">
        <f ca="1" t="shared" si="29"/>
        <v>229</v>
      </c>
      <c r="Q923" s="19" t="str">
        <f>VLOOKUP(B923,辅助信息!E:M,9,FALSE)</f>
        <v>ZTWM-CDGS-XS-2024-0248-五冶钢构-南充市医学院项目</v>
      </c>
      <c r="R923" s="19"/>
    </row>
    <row r="924" hidden="1" spans="2:18">
      <c r="B924" s="33" t="s">
        <v>60</v>
      </c>
      <c r="C924" s="63">
        <v>45727</v>
      </c>
      <c r="D924" s="33" t="str">
        <f>VLOOKUP(B924,辅助信息!E:K,7,FALSE)</f>
        <v>JWDDCD2025051000019</v>
      </c>
      <c r="E924" s="33" t="str">
        <f>VLOOKUP(F924,辅助信息!A:B,2,FALSE)</f>
        <v>螺纹钢</v>
      </c>
      <c r="F924" s="33" t="s">
        <v>27</v>
      </c>
      <c r="G924" s="29">
        <v>16</v>
      </c>
      <c r="H924" s="80">
        <f>_xlfn._xlws.FILTER('[1]2025年已发货'!$E:$E,'[1]2025年已发货'!$F:$F&amp;'[1]2025年已发货'!$C:$C&amp;'[1]2025年已发货'!$G:$G&amp;'[1]2025年已发货'!$H:$H=C924&amp;F924&amp;I924&amp;J924,"未发货")</f>
        <v>16</v>
      </c>
      <c r="I924" s="33" t="str">
        <f>VLOOKUP(B924,辅助信息!E:I,3,FALSE)</f>
        <v>(五冶钢构医学科学产业园建设项目房建二部-六标)四川省南充市顺庆区搬罾街道学府大道二段</v>
      </c>
      <c r="J924" s="33" t="str">
        <f>VLOOKUP(B924,辅助信息!E:I,4,FALSE)</f>
        <v>安南</v>
      </c>
      <c r="K924" s="33">
        <f>VLOOKUP(J924,辅助信息!H:I,2,FALSE)</f>
        <v>19950525030</v>
      </c>
      <c r="L924" s="71"/>
      <c r="M924" s="84">
        <v>45728</v>
      </c>
      <c r="O924" s="55">
        <f ca="1" t="shared" si="28"/>
        <v>0</v>
      </c>
      <c r="P924" s="55">
        <f ca="1" t="shared" si="29"/>
        <v>229</v>
      </c>
      <c r="Q924" s="19" t="str">
        <f>VLOOKUP(B924,辅助信息!E:M,9,FALSE)</f>
        <v>ZTWM-CDGS-XS-2024-0248-五冶钢构-南充市医学院项目</v>
      </c>
      <c r="R924" s="19"/>
    </row>
    <row r="925" hidden="1" spans="2:18">
      <c r="B925" s="33" t="s">
        <v>60</v>
      </c>
      <c r="C925" s="63">
        <v>45727</v>
      </c>
      <c r="D925" s="33" t="str">
        <f>VLOOKUP(B925,辅助信息!E:K,7,FALSE)</f>
        <v>JWDDCD2025051000019</v>
      </c>
      <c r="E925" s="33" t="str">
        <f>VLOOKUP(F925,辅助信息!A:B,2,FALSE)</f>
        <v>螺纹钢</v>
      </c>
      <c r="F925" s="33" t="s">
        <v>19</v>
      </c>
      <c r="G925" s="29">
        <v>15</v>
      </c>
      <c r="H925" s="80">
        <f>_xlfn._xlws.FILTER('[1]2025年已发货'!$E:$E,'[1]2025年已发货'!$F:$F&amp;'[1]2025年已发货'!$C:$C&amp;'[1]2025年已发货'!$G:$G&amp;'[1]2025年已发货'!$H:$H=C925&amp;F925&amp;I925&amp;J925,"未发货")</f>
        <v>15</v>
      </c>
      <c r="I925" s="33" t="str">
        <f>VLOOKUP(B925,辅助信息!E:I,3,FALSE)</f>
        <v>(五冶钢构医学科学产业园建设项目房建二部-六标)四川省南充市顺庆区搬罾街道学府大道二段</v>
      </c>
      <c r="J925" s="33" t="str">
        <f>VLOOKUP(B925,辅助信息!E:I,4,FALSE)</f>
        <v>安南</v>
      </c>
      <c r="K925" s="33">
        <f>VLOOKUP(J925,辅助信息!H:I,2,FALSE)</f>
        <v>19950525030</v>
      </c>
      <c r="L925" s="71"/>
      <c r="M925" s="84">
        <v>45728</v>
      </c>
      <c r="O925" s="55">
        <f ca="1" t="shared" si="28"/>
        <v>0</v>
      </c>
      <c r="P925" s="55">
        <f ca="1" t="shared" si="29"/>
        <v>229</v>
      </c>
      <c r="Q925" s="19" t="str">
        <f>VLOOKUP(B925,辅助信息!E:M,9,FALSE)</f>
        <v>ZTWM-CDGS-XS-2024-0248-五冶钢构-南充市医学院项目</v>
      </c>
      <c r="R925" s="19"/>
    </row>
    <row r="926" hidden="1" spans="2:18">
      <c r="B926" s="33" t="s">
        <v>60</v>
      </c>
      <c r="C926" s="63">
        <v>45727</v>
      </c>
      <c r="D926" s="33" t="str">
        <f>VLOOKUP(B926,辅助信息!E:K,7,FALSE)</f>
        <v>JWDDCD2025051000019</v>
      </c>
      <c r="E926" s="33" t="str">
        <f>VLOOKUP(F926,辅助信息!A:B,2,FALSE)</f>
        <v>螺纹钢</v>
      </c>
      <c r="F926" s="33" t="s">
        <v>32</v>
      </c>
      <c r="G926" s="29">
        <v>10</v>
      </c>
      <c r="H926" s="80">
        <f>_xlfn._xlws.FILTER('[1]2025年已发货'!$E:$E,'[1]2025年已发货'!$F:$F&amp;'[1]2025年已发货'!$C:$C&amp;'[1]2025年已发货'!$G:$G&amp;'[1]2025年已发货'!$H:$H=C926&amp;F926&amp;I926&amp;J926,"未发货")</f>
        <v>12</v>
      </c>
      <c r="I926" s="33" t="str">
        <f>VLOOKUP(B926,辅助信息!E:I,3,FALSE)</f>
        <v>(五冶钢构医学科学产业园建设项目房建二部-六标)四川省南充市顺庆区搬罾街道学府大道二段</v>
      </c>
      <c r="J926" s="33" t="str">
        <f>VLOOKUP(B926,辅助信息!E:I,4,FALSE)</f>
        <v>安南</v>
      </c>
      <c r="K926" s="33">
        <f>VLOOKUP(J926,辅助信息!H:I,2,FALSE)</f>
        <v>19950525030</v>
      </c>
      <c r="L926" s="71"/>
      <c r="M926" s="84">
        <v>45728</v>
      </c>
      <c r="O926" s="55">
        <f ca="1" t="shared" si="28"/>
        <v>0</v>
      </c>
      <c r="P926" s="55">
        <f ca="1" t="shared" si="29"/>
        <v>229</v>
      </c>
      <c r="Q926" s="19" t="str">
        <f>VLOOKUP(B926,辅助信息!E:M,9,FALSE)</f>
        <v>ZTWM-CDGS-XS-2024-0248-五冶钢构-南充市医学院项目</v>
      </c>
      <c r="R926" s="19"/>
    </row>
    <row r="927" hidden="1" spans="2:18">
      <c r="B927" s="33" t="s">
        <v>60</v>
      </c>
      <c r="C927" s="63">
        <v>45727</v>
      </c>
      <c r="D927" s="33" t="str">
        <f>VLOOKUP(B927,辅助信息!E:K,7,FALSE)</f>
        <v>JWDDCD2025051000019</v>
      </c>
      <c r="E927" s="33" t="str">
        <f>VLOOKUP(F927,辅助信息!A:B,2,FALSE)</f>
        <v>螺纹钢</v>
      </c>
      <c r="F927" s="33" t="s">
        <v>18</v>
      </c>
      <c r="G927" s="29">
        <v>20</v>
      </c>
      <c r="H927" s="80">
        <f>_xlfn._xlws.FILTER('[1]2025年已发货'!$E:$E,'[1]2025年已发货'!$F:$F&amp;'[1]2025年已发货'!$C:$C&amp;'[1]2025年已发货'!$G:$G&amp;'[1]2025年已发货'!$H:$H=C927&amp;F927&amp;I927&amp;J927,"未发货")</f>
        <v>20</v>
      </c>
      <c r="I927" s="33" t="str">
        <f>VLOOKUP(B927,辅助信息!E:I,3,FALSE)</f>
        <v>(五冶钢构医学科学产业园建设项目房建二部-六标)四川省南充市顺庆区搬罾街道学府大道二段</v>
      </c>
      <c r="J927" s="33" t="str">
        <f>VLOOKUP(B927,辅助信息!E:I,4,FALSE)</f>
        <v>安南</v>
      </c>
      <c r="K927" s="33">
        <f>VLOOKUP(J927,辅助信息!H:I,2,FALSE)</f>
        <v>19950525030</v>
      </c>
      <c r="L927" s="69"/>
      <c r="M927" s="84">
        <v>45728</v>
      </c>
      <c r="O927" s="55">
        <f ca="1" t="shared" si="28"/>
        <v>0</v>
      </c>
      <c r="P927" s="55">
        <f ca="1" t="shared" si="29"/>
        <v>229</v>
      </c>
      <c r="Q927" s="19" t="str">
        <f>VLOOKUP(B927,辅助信息!E:M,9,FALSE)</f>
        <v>ZTWM-CDGS-XS-2024-0248-五冶钢构-南充市医学院项目</v>
      </c>
      <c r="R927" s="19"/>
    </row>
    <row r="928" hidden="1" spans="2:18">
      <c r="B928" s="33" t="s">
        <v>68</v>
      </c>
      <c r="C928" s="63">
        <v>45727</v>
      </c>
      <c r="D928" s="33" t="s">
        <v>115</v>
      </c>
      <c r="E928" s="33" t="s">
        <v>116</v>
      </c>
      <c r="F928" s="33" t="s">
        <v>27</v>
      </c>
      <c r="G928" s="29">
        <v>11</v>
      </c>
      <c r="H928" s="29">
        <f>_xlfn._xlws.FILTER('[1]2025年已发货'!$E:$E,'[1]2025年已发货'!$F:$F&amp;'[1]2025年已发货'!$C:$C&amp;'[1]2025年已发货'!$G:$G&amp;'[1]2025年已发货'!$H:$H=C928&amp;F928&amp;I928&amp;J928,"未发货")</f>
        <v>11</v>
      </c>
      <c r="I928" s="33" t="str">
        <f>VLOOKUP(B928,辅助信息!E:I,3,FALSE)</f>
        <v>（商投建工达州中医药科技园-2工区-景观桥）达州市通川区达州中医药职业学院犀牛大道北段</v>
      </c>
      <c r="J928" s="33" t="str">
        <f>VLOOKUP(B928,辅助信息!E:I,4,FALSE)</f>
        <v>李波</v>
      </c>
      <c r="K928" s="33">
        <f>VLOOKUP(J928,辅助信息!H:I,2,FALSE)</f>
        <v>18381899787</v>
      </c>
      <c r="L928" s="70" t="str">
        <f>VLOOKUP(B931,辅助信息!E:J,6,FALSE)</f>
        <v>控制炉批号！多了现场不收！,优先安排达钢,提前联系到场规格及数量</v>
      </c>
      <c r="M928" s="84">
        <v>45726</v>
      </c>
      <c r="O928" s="55">
        <f ca="1" t="shared" si="28"/>
        <v>0</v>
      </c>
      <c r="P928" s="55">
        <f ca="1" t="shared" si="29"/>
        <v>231</v>
      </c>
      <c r="Q928" s="19" t="str">
        <f>VLOOKUP(B928,辅助信息!E:M,9,FALSE)</f>
        <v>ZTWM-CDGS-XS-2024-0134-商投建工达州中医药科技成果示范园项目</v>
      </c>
      <c r="R928" s="19"/>
    </row>
    <row r="929" hidden="1" spans="2:18">
      <c r="B929" s="33" t="s">
        <v>68</v>
      </c>
      <c r="C929" s="63">
        <v>45727</v>
      </c>
      <c r="D929" s="33" t="s">
        <v>115</v>
      </c>
      <c r="E929" s="33" t="s">
        <v>116</v>
      </c>
      <c r="F929" s="33" t="s">
        <v>32</v>
      </c>
      <c r="G929" s="29">
        <v>132</v>
      </c>
      <c r="H929" s="80">
        <f>_xlfn._xlws.FILTER('[1]2025年已发货'!$E:$E,'[1]2025年已发货'!$F:$F&amp;'[1]2025年已发货'!$C:$C&amp;'[1]2025年已发货'!$G:$G&amp;'[1]2025年已发货'!$H:$H=C929&amp;F929&amp;I929&amp;J929,"未发货")</f>
        <v>80</v>
      </c>
      <c r="I929" s="33" t="str">
        <f>VLOOKUP(B929,辅助信息!E:I,3,FALSE)</f>
        <v>（商投建工达州中医药科技园-2工区-景观桥）达州市通川区达州中医药职业学院犀牛大道北段</v>
      </c>
      <c r="J929" s="33" t="str">
        <f>VLOOKUP(B929,辅助信息!E:I,4,FALSE)</f>
        <v>李波</v>
      </c>
      <c r="K929" s="33">
        <f>VLOOKUP(J929,辅助信息!H:I,2,FALSE)</f>
        <v>18381899787</v>
      </c>
      <c r="L929" s="71"/>
      <c r="M929" s="84">
        <v>45726</v>
      </c>
      <c r="O929" s="55">
        <f ca="1" t="shared" si="28"/>
        <v>0</v>
      </c>
      <c r="P929" s="55">
        <f ca="1" t="shared" si="29"/>
        <v>231</v>
      </c>
      <c r="Q929" s="19" t="str">
        <f>VLOOKUP(B929,辅助信息!E:M,9,FALSE)</f>
        <v>ZTWM-CDGS-XS-2024-0134-商投建工达州中医药科技成果示范园项目</v>
      </c>
      <c r="R929" s="19"/>
    </row>
    <row r="930" hidden="1" spans="2:18">
      <c r="B930" s="33" t="s">
        <v>68</v>
      </c>
      <c r="C930" s="63">
        <v>45727</v>
      </c>
      <c r="D930" s="33" t="s">
        <v>115</v>
      </c>
      <c r="E930" s="33" t="s">
        <v>116</v>
      </c>
      <c r="F930" s="33" t="s">
        <v>33</v>
      </c>
      <c r="G930" s="29">
        <v>19</v>
      </c>
      <c r="H930" s="80">
        <f>_xlfn._xlws.FILTER('[1]2025年已发货'!$E:$E,'[1]2025年已发货'!$F:$F&amp;'[1]2025年已发货'!$C:$C&amp;'[1]2025年已发货'!$G:$G&amp;'[1]2025年已发货'!$H:$H=C930&amp;F930&amp;I930&amp;J930,"未发货")</f>
        <v>18</v>
      </c>
      <c r="I930" s="33" t="str">
        <f>VLOOKUP(B930,辅助信息!E:I,3,FALSE)</f>
        <v>（商投建工达州中医药科技园-2工区-景观桥）达州市通川区达州中医药职业学院犀牛大道北段</v>
      </c>
      <c r="J930" s="33" t="str">
        <f>VLOOKUP(B930,辅助信息!E:I,4,FALSE)</f>
        <v>李波</v>
      </c>
      <c r="K930" s="33">
        <f>VLOOKUP(J930,辅助信息!H:I,2,FALSE)</f>
        <v>18381899787</v>
      </c>
      <c r="L930" s="71"/>
      <c r="M930" s="84">
        <v>45726</v>
      </c>
      <c r="O930" s="55">
        <f ca="1" t="shared" ref="O930:O993" si="30">IF(OR(M930="",N930&lt;&gt;""),"",MAX(M930-TODAY(),0))</f>
        <v>0</v>
      </c>
      <c r="P930" s="55">
        <f ca="1" t="shared" ref="P930:P993" si="31">IF(M930="","",IF(N930&lt;&gt;"",MAX(N930-M930,0),IF(TODAY()&gt;M930,TODAY()-M930,0)))</f>
        <v>231</v>
      </c>
      <c r="Q930" s="19" t="str">
        <f>VLOOKUP(B930,辅助信息!E:M,9,FALSE)</f>
        <v>ZTWM-CDGS-XS-2024-0134-商投建工达州中医药科技成果示范园项目</v>
      </c>
      <c r="R930" s="19"/>
    </row>
    <row r="931" hidden="1" spans="2:18">
      <c r="B931" s="33" t="s">
        <v>68</v>
      </c>
      <c r="C931" s="63">
        <v>45727</v>
      </c>
      <c r="D931" s="33" t="str">
        <f>VLOOKUP(B931,辅助信息!E:K,7,FALSE)</f>
        <v>JWDDCD2025052800131</v>
      </c>
      <c r="E931" s="33" t="str">
        <f>VLOOKUP(F931,辅助信息!A:B,2,FALSE)</f>
        <v>螺纹钢</v>
      </c>
      <c r="F931" s="33" t="s">
        <v>18</v>
      </c>
      <c r="G931" s="29">
        <v>14</v>
      </c>
      <c r="H931" s="29">
        <f>_xlfn._xlws.FILTER('[1]2025年已发货'!$E:$E,'[1]2025年已发货'!$F:$F&amp;'[1]2025年已发货'!$C:$C&amp;'[1]2025年已发货'!$G:$G&amp;'[1]2025年已发货'!$H:$H=C931&amp;F931&amp;I931&amp;J931,"未发货")</f>
        <v>14</v>
      </c>
      <c r="I931" s="33" t="str">
        <f>VLOOKUP(B931,辅助信息!E:I,3,FALSE)</f>
        <v>（商投建工达州中医药科技园-2工区-景观桥）达州市通川区达州中医药职业学院犀牛大道北段</v>
      </c>
      <c r="J931" s="33" t="str">
        <f>VLOOKUP(B931,辅助信息!E:I,4,FALSE)</f>
        <v>李波</v>
      </c>
      <c r="K931" s="33">
        <f>VLOOKUP(J931,辅助信息!H:I,2,FALSE)</f>
        <v>18381899787</v>
      </c>
      <c r="L931" s="69"/>
      <c r="M931" s="84">
        <v>45726</v>
      </c>
      <c r="O931" s="55">
        <f ca="1" t="shared" si="30"/>
        <v>0</v>
      </c>
      <c r="P931" s="55">
        <f ca="1" t="shared" si="31"/>
        <v>231</v>
      </c>
      <c r="Q931" s="19" t="str">
        <f>VLOOKUP(B931,辅助信息!E:M,9,FALSE)</f>
        <v>ZTWM-CDGS-XS-2024-0134-商投建工达州中医药科技成果示范园项目</v>
      </c>
      <c r="R931" s="19"/>
    </row>
    <row r="932" hidden="1" spans="2:18">
      <c r="B932" s="33" t="s">
        <v>64</v>
      </c>
      <c r="C932" s="63">
        <v>45727</v>
      </c>
      <c r="D932" s="33" t="e">
        <f>VLOOKUP(B932,辅助信息!E:K,7,FALSE)</f>
        <v>#N/A</v>
      </c>
      <c r="E932" s="33" t="str">
        <f>VLOOKUP(F932,辅助信息!A:B,2,FALSE)</f>
        <v>螺纹钢</v>
      </c>
      <c r="F932" s="33" t="s">
        <v>65</v>
      </c>
      <c r="G932" s="29">
        <v>12</v>
      </c>
      <c r="H932" s="80">
        <v>12</v>
      </c>
      <c r="I932" s="33" t="e">
        <f>VLOOKUP(B932,辅助信息!E:I,3,FALSE)</f>
        <v>#N/A</v>
      </c>
      <c r="J932" s="33" t="e">
        <f>VLOOKUP(B932,辅助信息!E:I,4,FALSE)</f>
        <v>#N/A</v>
      </c>
      <c r="K932" s="33" t="e">
        <f>VLOOKUP(J932,辅助信息!H:I,2,FALSE)</f>
        <v>#N/A</v>
      </c>
      <c r="L932" s="70" t="e">
        <f>VLOOKUP(B932,辅助信息!E:J,6,FALSE)</f>
        <v>#N/A</v>
      </c>
      <c r="M932" s="84">
        <v>45726</v>
      </c>
      <c r="O932" s="55">
        <f ca="1" t="shared" si="30"/>
        <v>0</v>
      </c>
      <c r="P932" s="55">
        <f ca="1" t="shared" si="31"/>
        <v>231</v>
      </c>
      <c r="Q932" s="19" t="e">
        <f>VLOOKUP(B932,辅助信息!E:M,9,FALSE)</f>
        <v>#N/A</v>
      </c>
      <c r="R932" s="19"/>
    </row>
    <row r="933" hidden="1" spans="2:18">
      <c r="B933" s="33" t="s">
        <v>64</v>
      </c>
      <c r="C933" s="63">
        <v>45727</v>
      </c>
      <c r="D933" s="33" t="e">
        <f>VLOOKUP(B933,辅助信息!E:K,7,FALSE)</f>
        <v>#N/A</v>
      </c>
      <c r="E933" s="33" t="str">
        <f>VLOOKUP(F933,辅助信息!A:B,2,FALSE)</f>
        <v>螺纹钢</v>
      </c>
      <c r="F933" s="33" t="s">
        <v>52</v>
      </c>
      <c r="G933" s="29">
        <v>8</v>
      </c>
      <c r="H933" s="80">
        <v>8</v>
      </c>
      <c r="I933" s="33" t="e">
        <f>VLOOKUP(B933,辅助信息!E:I,3,FALSE)</f>
        <v>#N/A</v>
      </c>
      <c r="J933" s="33" t="e">
        <f>VLOOKUP(B933,辅助信息!E:I,4,FALSE)</f>
        <v>#N/A</v>
      </c>
      <c r="K933" s="33" t="e">
        <f>VLOOKUP(J933,辅助信息!H:I,2,FALSE)</f>
        <v>#N/A</v>
      </c>
      <c r="L933" s="69"/>
      <c r="M933" s="84">
        <v>45726</v>
      </c>
      <c r="O933" s="55">
        <f ca="1" t="shared" si="30"/>
        <v>0</v>
      </c>
      <c r="P933" s="55">
        <f ca="1" t="shared" si="31"/>
        <v>231</v>
      </c>
      <c r="Q933" s="19" t="e">
        <f>VLOOKUP(B933,辅助信息!E:M,9,FALSE)</f>
        <v>#N/A</v>
      </c>
      <c r="R933" s="19"/>
    </row>
    <row r="934" ht="56.25" hidden="1" customHeight="1" spans="2:18">
      <c r="B934" s="33" t="s">
        <v>29</v>
      </c>
      <c r="C934" s="63">
        <v>45727</v>
      </c>
      <c r="D934" s="33" t="e">
        <f>VLOOKUP(B934,辅助信息!E:K,7,FALSE)</f>
        <v>#N/A</v>
      </c>
      <c r="E934" s="33" t="str">
        <f>VLOOKUP(F934,辅助信息!A:B,2,FALSE)</f>
        <v>螺纹钢</v>
      </c>
      <c r="F934" s="33" t="s">
        <v>28</v>
      </c>
      <c r="G934" s="29">
        <v>70</v>
      </c>
      <c r="H934" s="80" t="e">
        <f>_xlfn._xlws.FILTER('[1]2025年已发货'!$E:$E,'[1]2025年已发货'!$F:$F&amp;'[1]2025年已发货'!$C:$C&amp;'[1]2025年已发货'!$G:$G&amp;'[1]2025年已发货'!$H:$H=C934&amp;F934&amp;I934&amp;J934,"未发货")</f>
        <v>#N/A</v>
      </c>
      <c r="I934" s="33" t="e">
        <f>VLOOKUP(B934,辅助信息!E:I,3,FALSE)</f>
        <v>#N/A</v>
      </c>
      <c r="J934" s="33" t="e">
        <f>VLOOKUP(B934,辅助信息!E:I,4,FALSE)</f>
        <v>#N/A</v>
      </c>
      <c r="K934" s="33" t="e">
        <f>VLOOKUP(J934,辅助信息!H:I,2,FALSE)</f>
        <v>#N/A</v>
      </c>
      <c r="L934" s="70" t="e">
        <f>VLOOKUP(B934,辅助信息!E:J,6,FALSE)</f>
        <v>#N/A</v>
      </c>
      <c r="M934" s="84">
        <v>45726</v>
      </c>
      <c r="O934" s="55">
        <f ca="1" t="shared" si="30"/>
        <v>0</v>
      </c>
      <c r="P934" s="55">
        <f ca="1" t="shared" si="31"/>
        <v>231</v>
      </c>
      <c r="Q934" s="19" t="e">
        <f>VLOOKUP(B934,辅助信息!E:M,9,FALSE)</f>
        <v>#N/A</v>
      </c>
      <c r="R934" s="19"/>
    </row>
    <row r="935" hidden="1" spans="2:18">
      <c r="B935" s="33" t="s">
        <v>54</v>
      </c>
      <c r="C935" s="63">
        <v>45727</v>
      </c>
      <c r="D935" s="33" t="e">
        <f>VLOOKUP(B935,辅助信息!E:K,7,FALSE)</f>
        <v>#N/A</v>
      </c>
      <c r="E935" s="33" t="str">
        <f>VLOOKUP(F935,辅助信息!A:B,2,FALSE)</f>
        <v>螺纹钢</v>
      </c>
      <c r="F935" s="33" t="s">
        <v>32</v>
      </c>
      <c r="G935" s="29">
        <f>46-27</f>
        <v>19</v>
      </c>
      <c r="H935" s="80" t="e">
        <f>_xlfn._xlws.FILTER('[1]2025年已发货'!$E:$E,'[1]2025年已发货'!$F:$F&amp;'[1]2025年已发货'!$C:$C&amp;'[1]2025年已发货'!$G:$G&amp;'[1]2025年已发货'!$H:$H=C935&amp;F935&amp;I935&amp;J935,"未发货")</f>
        <v>#N/A</v>
      </c>
      <c r="I935" s="33" t="e">
        <f>VLOOKUP(B935,辅助信息!E:I,3,FALSE)</f>
        <v>#N/A</v>
      </c>
      <c r="J935" s="33" t="e">
        <f>VLOOKUP(B935,辅助信息!E:I,4,FALSE)</f>
        <v>#N/A</v>
      </c>
      <c r="K935" s="33" t="e">
        <f>VLOOKUP(J935,辅助信息!H:I,2,FALSE)</f>
        <v>#N/A</v>
      </c>
      <c r="L935" s="70" t="e">
        <f>VLOOKUP(B935,辅助信息!E:J,6,FALSE)</f>
        <v>#N/A</v>
      </c>
      <c r="M935" s="84">
        <v>45728</v>
      </c>
      <c r="O935" s="55">
        <f ca="1" t="shared" si="30"/>
        <v>0</v>
      </c>
      <c r="P935" s="55">
        <f ca="1" t="shared" si="31"/>
        <v>229</v>
      </c>
      <c r="Q935" s="19" t="e">
        <f>VLOOKUP(B935,辅助信息!E:M,9,FALSE)</f>
        <v>#N/A</v>
      </c>
      <c r="R935" s="19"/>
    </row>
    <row r="936" hidden="1" spans="2:18">
      <c r="B936" s="33" t="s">
        <v>54</v>
      </c>
      <c r="C936" s="63">
        <v>45727</v>
      </c>
      <c r="D936" s="33" t="e">
        <f>VLOOKUP(B936,辅助信息!E:K,7,FALSE)</f>
        <v>#N/A</v>
      </c>
      <c r="E936" s="33" t="str">
        <f>VLOOKUP(F936,辅助信息!A:B,2,FALSE)</f>
        <v>螺纹钢</v>
      </c>
      <c r="F936" s="33" t="s">
        <v>52</v>
      </c>
      <c r="G936" s="29">
        <v>2</v>
      </c>
      <c r="H936" s="80" t="e">
        <f>_xlfn._xlws.FILTER('[1]2025年已发货'!$E:$E,'[1]2025年已发货'!$F:$F&amp;'[1]2025年已发货'!$C:$C&amp;'[1]2025年已发货'!$G:$G&amp;'[1]2025年已发货'!$H:$H=C936&amp;F936&amp;I936&amp;J936,"未发货")</f>
        <v>#N/A</v>
      </c>
      <c r="I936" s="33" t="e">
        <f>VLOOKUP(B936,辅助信息!E:I,3,FALSE)</f>
        <v>#N/A</v>
      </c>
      <c r="J936" s="33" t="e">
        <f>VLOOKUP(B936,辅助信息!E:I,4,FALSE)</f>
        <v>#N/A</v>
      </c>
      <c r="K936" s="33" t="e">
        <f>VLOOKUP(J936,辅助信息!H:I,2,FALSE)</f>
        <v>#N/A</v>
      </c>
      <c r="L936" s="69"/>
      <c r="M936" s="84">
        <v>45728</v>
      </c>
      <c r="O936" s="55">
        <f ca="1" t="shared" si="30"/>
        <v>0</v>
      </c>
      <c r="P936" s="55">
        <f ca="1" t="shared" si="31"/>
        <v>229</v>
      </c>
      <c r="Q936" s="19" t="e">
        <f>VLOOKUP(B936,辅助信息!E:M,9,FALSE)</f>
        <v>#N/A</v>
      </c>
      <c r="R936" s="19"/>
    </row>
    <row r="937" hidden="1" spans="2:18">
      <c r="B937" s="33" t="s">
        <v>20</v>
      </c>
      <c r="C937" s="63">
        <v>45728</v>
      </c>
      <c r="D937" s="33" t="str">
        <f>VLOOKUP(B937,辅助信息!E:K,7,FALSE)</f>
        <v>JWDDCD2025051000019</v>
      </c>
      <c r="E937" s="33" t="str">
        <f>VLOOKUP(F937,辅助信息!A:B,2,FALSE)</f>
        <v>盘螺</v>
      </c>
      <c r="F937" s="33" t="s">
        <v>49</v>
      </c>
      <c r="G937" s="29">
        <v>8</v>
      </c>
      <c r="H937" s="80">
        <f>_xlfn._xlws.FILTER('[1]2025年已发货'!$E:$E,'[1]2025年已发货'!$F:$F&amp;'[1]2025年已发货'!$C:$C&amp;'[1]2025年已发货'!$G:$G&amp;'[1]2025年已发货'!$H:$H=C937&amp;F937&amp;I937&amp;J937,"未发货")</f>
        <v>8</v>
      </c>
      <c r="I937" s="33" t="str">
        <f>VLOOKUP(B937,辅助信息!E:I,3,FALSE)</f>
        <v>(五冶钢构医学科学产业园建设项目房建三部-一标（7-2）)四川省南充市顺庆区搬罾街道学府大道二段</v>
      </c>
      <c r="J937" s="33" t="str">
        <f>VLOOKUP(B937,辅助信息!E:I,4,FALSE)</f>
        <v>郑林</v>
      </c>
      <c r="K937" s="33">
        <f>VLOOKUP(J937,辅助信息!H:I,2,FALSE)</f>
        <v>18349955455</v>
      </c>
      <c r="L937" s="70" t="str">
        <f>VLOOKUP(B938,辅助信息!E:J,6,FALSE)</f>
        <v>送货单：送货单位：南充思临新材料科技有限公司,收货单位：五冶集团川北(南充)建设有限公司,项目名称：南充医学科学产业园,送货车型13米,装货前联系收货人核实到场规格</v>
      </c>
      <c r="M937" s="84">
        <v>45727</v>
      </c>
      <c r="O937" s="55">
        <f ca="1" t="shared" si="30"/>
        <v>0</v>
      </c>
      <c r="P937" s="55">
        <f ca="1" t="shared" si="31"/>
        <v>230</v>
      </c>
      <c r="Q937" s="19" t="str">
        <f>VLOOKUP(B937,辅助信息!E:M,9,FALSE)</f>
        <v>ZTWM-CDGS-XS-2024-0248-五冶钢构-南充市医学院项目</v>
      </c>
      <c r="R937" s="19"/>
    </row>
    <row r="938" hidden="1" spans="2:18">
      <c r="B938" s="33" t="s">
        <v>20</v>
      </c>
      <c r="C938" s="63">
        <v>45728</v>
      </c>
      <c r="D938" s="33" t="str">
        <f>VLOOKUP(B938,辅助信息!E:K,7,FALSE)</f>
        <v>JWDDCD2025051000019</v>
      </c>
      <c r="E938" s="33" t="str">
        <f>VLOOKUP(F938,辅助信息!A:B,2,FALSE)</f>
        <v>盘螺</v>
      </c>
      <c r="F938" s="33" t="s">
        <v>40</v>
      </c>
      <c r="G938" s="29">
        <v>4</v>
      </c>
      <c r="H938" s="80">
        <f>_xlfn._xlws.FILTER('[1]2025年已发货'!$E:$E,'[1]2025年已发货'!$F:$F&amp;'[1]2025年已发货'!$C:$C&amp;'[1]2025年已发货'!$G:$G&amp;'[1]2025年已发货'!$H:$H=C938&amp;F938&amp;I938&amp;J938,"未发货")</f>
        <v>4</v>
      </c>
      <c r="I938" s="33" t="str">
        <f>VLOOKUP(B938,辅助信息!E:I,3,FALSE)</f>
        <v>(五冶钢构医学科学产业园建设项目房建三部-一标（7-2）)四川省南充市顺庆区搬罾街道学府大道二段</v>
      </c>
      <c r="J938" s="33" t="str">
        <f>VLOOKUP(B938,辅助信息!E:I,4,FALSE)</f>
        <v>郑林</v>
      </c>
      <c r="K938" s="33">
        <f>VLOOKUP(J938,辅助信息!H:I,2,FALSE)</f>
        <v>18349955455</v>
      </c>
      <c r="L938" s="71"/>
      <c r="M938" s="84">
        <v>45727</v>
      </c>
      <c r="O938" s="55">
        <f ca="1" t="shared" si="30"/>
        <v>0</v>
      </c>
      <c r="P938" s="55">
        <f ca="1" t="shared" si="31"/>
        <v>230</v>
      </c>
      <c r="Q938" s="19" t="str">
        <f>VLOOKUP(B938,辅助信息!E:M,9,FALSE)</f>
        <v>ZTWM-CDGS-XS-2024-0248-五冶钢构-南充市医学院项目</v>
      </c>
      <c r="R938" s="19"/>
    </row>
    <row r="939" hidden="1" spans="2:18">
      <c r="B939" s="33" t="s">
        <v>20</v>
      </c>
      <c r="C939" s="63">
        <v>45728</v>
      </c>
      <c r="D939" s="33" t="str">
        <f>VLOOKUP(B939,辅助信息!E:K,7,FALSE)</f>
        <v>JWDDCD2025051000019</v>
      </c>
      <c r="E939" s="33" t="str">
        <f>VLOOKUP(F939,辅助信息!A:B,2,FALSE)</f>
        <v>盘螺</v>
      </c>
      <c r="F939" s="33" t="s">
        <v>41</v>
      </c>
      <c r="G939" s="29">
        <v>6</v>
      </c>
      <c r="H939" s="80">
        <f>_xlfn._xlws.FILTER('[1]2025年已发货'!$E:$E,'[1]2025年已发货'!$F:$F&amp;'[1]2025年已发货'!$C:$C&amp;'[1]2025年已发货'!$G:$G&amp;'[1]2025年已发货'!$H:$H=C939&amp;F939&amp;I939&amp;J939,"未发货")</f>
        <v>6</v>
      </c>
      <c r="I939" s="33" t="str">
        <f>VLOOKUP(B939,辅助信息!E:I,3,FALSE)</f>
        <v>(五冶钢构医学科学产业园建设项目房建三部-一标（7-2）)四川省南充市顺庆区搬罾街道学府大道二段</v>
      </c>
      <c r="J939" s="33" t="str">
        <f>VLOOKUP(B939,辅助信息!E:I,4,FALSE)</f>
        <v>郑林</v>
      </c>
      <c r="K939" s="33">
        <f>VLOOKUP(J939,辅助信息!H:I,2,FALSE)</f>
        <v>18349955455</v>
      </c>
      <c r="L939" s="71"/>
      <c r="M939" s="84">
        <v>45727</v>
      </c>
      <c r="O939" s="55">
        <f ca="1" t="shared" si="30"/>
        <v>0</v>
      </c>
      <c r="P939" s="55">
        <f ca="1" t="shared" si="31"/>
        <v>230</v>
      </c>
      <c r="Q939" s="19" t="str">
        <f>VLOOKUP(B939,辅助信息!E:M,9,FALSE)</f>
        <v>ZTWM-CDGS-XS-2024-0248-五冶钢构-南充市医学院项目</v>
      </c>
      <c r="R939" s="19"/>
    </row>
    <row r="940" hidden="1" spans="2:18">
      <c r="B940" s="33" t="s">
        <v>20</v>
      </c>
      <c r="C940" s="63">
        <v>45728</v>
      </c>
      <c r="D940" s="33" t="str">
        <f>VLOOKUP(B940,辅助信息!E:K,7,FALSE)</f>
        <v>JWDDCD2025051000019</v>
      </c>
      <c r="E940" s="33" t="str">
        <f>VLOOKUP(F940,辅助信息!A:B,2,FALSE)</f>
        <v>盘螺</v>
      </c>
      <c r="F940" s="33" t="s">
        <v>26</v>
      </c>
      <c r="G940" s="29">
        <v>9</v>
      </c>
      <c r="H940" s="80">
        <f>_xlfn._xlws.FILTER('[1]2025年已发货'!$E:$E,'[1]2025年已发货'!$F:$F&amp;'[1]2025年已发货'!$C:$C&amp;'[1]2025年已发货'!$G:$G&amp;'[1]2025年已发货'!$H:$H=C940&amp;F940&amp;I940&amp;J940,"未发货")</f>
        <v>9</v>
      </c>
      <c r="I940" s="33" t="str">
        <f>VLOOKUP(B940,辅助信息!E:I,3,FALSE)</f>
        <v>(五冶钢构医学科学产业园建设项目房建三部-一标（7-2）)四川省南充市顺庆区搬罾街道学府大道二段</v>
      </c>
      <c r="J940" s="33" t="str">
        <f>VLOOKUP(B940,辅助信息!E:I,4,FALSE)</f>
        <v>郑林</v>
      </c>
      <c r="K940" s="33">
        <f>VLOOKUP(J940,辅助信息!H:I,2,FALSE)</f>
        <v>18349955455</v>
      </c>
      <c r="L940" s="71"/>
      <c r="M940" s="84">
        <v>45727</v>
      </c>
      <c r="O940" s="55">
        <f ca="1" t="shared" si="30"/>
        <v>0</v>
      </c>
      <c r="P940" s="55">
        <f ca="1" t="shared" si="31"/>
        <v>230</v>
      </c>
      <c r="Q940" s="19" t="str">
        <f>VLOOKUP(B940,辅助信息!E:M,9,FALSE)</f>
        <v>ZTWM-CDGS-XS-2024-0248-五冶钢构-南充市医学院项目</v>
      </c>
      <c r="R940" s="19"/>
    </row>
    <row r="941" hidden="1" spans="2:18">
      <c r="B941" s="33" t="s">
        <v>20</v>
      </c>
      <c r="C941" s="63">
        <v>45728</v>
      </c>
      <c r="D941" s="33" t="str">
        <f>VLOOKUP(B941,辅助信息!E:K,7,FALSE)</f>
        <v>JWDDCD2025051000019</v>
      </c>
      <c r="E941" s="33" t="str">
        <f>VLOOKUP(F941,辅助信息!A:B,2,FALSE)</f>
        <v>螺纹钢</v>
      </c>
      <c r="F941" s="33" t="s">
        <v>46</v>
      </c>
      <c r="G941" s="29">
        <v>8</v>
      </c>
      <c r="H941" s="80">
        <f>_xlfn._xlws.FILTER('[1]2025年已发货'!$E:$E,'[1]2025年已发货'!$F:$F&amp;'[1]2025年已发货'!$C:$C&amp;'[1]2025年已发货'!$G:$G&amp;'[1]2025年已发货'!$H:$H=C941&amp;F941&amp;I941&amp;J941,"未发货")</f>
        <v>8</v>
      </c>
      <c r="I941" s="33" t="str">
        <f>VLOOKUP(B941,辅助信息!E:I,3,FALSE)</f>
        <v>(五冶钢构医学科学产业园建设项目房建三部-一标（7-2）)四川省南充市顺庆区搬罾街道学府大道二段</v>
      </c>
      <c r="J941" s="33" t="str">
        <f>VLOOKUP(B941,辅助信息!E:I,4,FALSE)</f>
        <v>郑林</v>
      </c>
      <c r="K941" s="33">
        <f>VLOOKUP(J941,辅助信息!H:I,2,FALSE)</f>
        <v>18349955455</v>
      </c>
      <c r="L941" s="69"/>
      <c r="M941" s="84">
        <v>45727</v>
      </c>
      <c r="O941" s="55">
        <f ca="1" t="shared" si="30"/>
        <v>0</v>
      </c>
      <c r="P941" s="55">
        <f ca="1" t="shared" si="31"/>
        <v>230</v>
      </c>
      <c r="Q941" s="19" t="str">
        <f>VLOOKUP(B941,辅助信息!E:M,9,FALSE)</f>
        <v>ZTWM-CDGS-XS-2024-0248-五冶钢构-南充市医学院项目</v>
      </c>
      <c r="R941" s="19"/>
    </row>
    <row r="942" hidden="1" spans="2:18">
      <c r="B942" s="33" t="s">
        <v>74</v>
      </c>
      <c r="C942" s="63">
        <v>45730</v>
      </c>
      <c r="D942" s="33" t="e">
        <f>VLOOKUP(B942,辅助信息!E:K,7,FALSE)</f>
        <v>#N/A</v>
      </c>
      <c r="E942" s="33" t="str">
        <f>VLOOKUP(F942,辅助信息!A:B,2,FALSE)</f>
        <v>螺纹钢</v>
      </c>
      <c r="F942" s="33" t="s">
        <v>27</v>
      </c>
      <c r="G942" s="29">
        <v>3</v>
      </c>
      <c r="H942" s="29" t="e">
        <f>_xlfn._xlws.FILTER('[1]2025年已发货'!$E:$E,'[1]2025年已发货'!$F:$F&amp;'[1]2025年已发货'!$C:$C&amp;'[1]2025年已发货'!$G:$G&amp;'[1]2025年已发货'!$H:$H=C942&amp;F942&amp;I942&amp;J942,"未发货")</f>
        <v>#N/A</v>
      </c>
      <c r="I942" s="33" t="e">
        <f>VLOOKUP(B942,辅助信息!E:I,3,FALSE)</f>
        <v>#N/A</v>
      </c>
      <c r="J942" s="33" t="e">
        <f>VLOOKUP(B942,辅助信息!E:I,4,FALSE)</f>
        <v>#N/A</v>
      </c>
      <c r="K942" s="33" t="e">
        <f>VLOOKUP(J942,辅助信息!H:I,2,FALSE)</f>
        <v>#N/A</v>
      </c>
      <c r="L942" s="70" t="e">
        <f>VLOOKUP(B943,辅助信息!E:J,6,FALSE)</f>
        <v>#N/A</v>
      </c>
      <c r="M942" s="84">
        <v>45728</v>
      </c>
      <c r="O942" s="55">
        <f ca="1" t="shared" si="30"/>
        <v>0</v>
      </c>
      <c r="P942" s="55">
        <f ca="1" t="shared" si="31"/>
        <v>229</v>
      </c>
      <c r="Q942" s="19" t="e">
        <f>VLOOKUP(B942,辅助信息!E:M,9,FALSE)</f>
        <v>#N/A</v>
      </c>
      <c r="R942" s="19"/>
    </row>
    <row r="943" hidden="1" spans="2:18">
      <c r="B943" s="33" t="s">
        <v>74</v>
      </c>
      <c r="C943" s="63">
        <v>45730</v>
      </c>
      <c r="D943" s="33" t="e">
        <f>VLOOKUP(B943,辅助信息!E:K,7,FALSE)</f>
        <v>#N/A</v>
      </c>
      <c r="E943" s="33" t="str">
        <f>VLOOKUP(F943,辅助信息!A:B,2,FALSE)</f>
        <v>螺纹钢</v>
      </c>
      <c r="F943" s="33" t="s">
        <v>19</v>
      </c>
      <c r="G943" s="29">
        <v>3</v>
      </c>
      <c r="H943" s="29" t="e">
        <f>_xlfn._xlws.FILTER('[1]2025年已发货'!$E:$E,'[1]2025年已发货'!$F:$F&amp;'[1]2025年已发货'!$C:$C&amp;'[1]2025年已发货'!$G:$G&amp;'[1]2025年已发货'!$H:$H=C943&amp;F943&amp;I943&amp;J943,"未发货")</f>
        <v>#N/A</v>
      </c>
      <c r="I943" s="33" t="e">
        <f>VLOOKUP(B943,辅助信息!E:I,3,FALSE)</f>
        <v>#N/A</v>
      </c>
      <c r="J943" s="33" t="e">
        <f>VLOOKUP(B943,辅助信息!E:I,4,FALSE)</f>
        <v>#N/A</v>
      </c>
      <c r="K943" s="33" t="e">
        <f>VLOOKUP(J943,辅助信息!H:I,2,FALSE)</f>
        <v>#N/A</v>
      </c>
      <c r="L943" s="71"/>
      <c r="M943" s="84">
        <v>45728</v>
      </c>
      <c r="O943" s="55">
        <f ca="1" t="shared" si="30"/>
        <v>0</v>
      </c>
      <c r="P943" s="55">
        <f ca="1" t="shared" si="31"/>
        <v>229</v>
      </c>
      <c r="Q943" s="19" t="e">
        <f>VLOOKUP(B943,辅助信息!E:M,9,FALSE)</f>
        <v>#N/A</v>
      </c>
      <c r="R943" s="19"/>
    </row>
    <row r="944" hidden="1" spans="2:18">
      <c r="B944" s="33" t="s">
        <v>74</v>
      </c>
      <c r="C944" s="63">
        <v>45730</v>
      </c>
      <c r="D944" s="33" t="e">
        <f>VLOOKUP(B944,辅助信息!E:K,7,FALSE)</f>
        <v>#N/A</v>
      </c>
      <c r="E944" s="33" t="str">
        <f>VLOOKUP(F944,辅助信息!A:B,2,FALSE)</f>
        <v>螺纹钢</v>
      </c>
      <c r="F944" s="33" t="s">
        <v>32</v>
      </c>
      <c r="G944" s="29">
        <v>6</v>
      </c>
      <c r="H944" s="29" t="e">
        <f>_xlfn._xlws.FILTER('[1]2025年已发货'!$E:$E,'[1]2025年已发货'!$F:$F&amp;'[1]2025年已发货'!$C:$C&amp;'[1]2025年已发货'!$G:$G&amp;'[1]2025年已发货'!$H:$H=C944&amp;F944&amp;I944&amp;J944,"未发货")</f>
        <v>#N/A</v>
      </c>
      <c r="I944" s="33" t="e">
        <f>VLOOKUP(B944,辅助信息!E:I,3,FALSE)</f>
        <v>#N/A</v>
      </c>
      <c r="J944" s="33" t="e">
        <f>VLOOKUP(B944,辅助信息!E:I,4,FALSE)</f>
        <v>#N/A</v>
      </c>
      <c r="K944" s="33" t="e">
        <f>VLOOKUP(J944,辅助信息!H:I,2,FALSE)</f>
        <v>#N/A</v>
      </c>
      <c r="L944" s="71"/>
      <c r="M944" s="84">
        <v>45728</v>
      </c>
      <c r="O944" s="55">
        <f ca="1" t="shared" si="30"/>
        <v>0</v>
      </c>
      <c r="P944" s="55">
        <f ca="1" t="shared" si="31"/>
        <v>229</v>
      </c>
      <c r="Q944" s="19" t="e">
        <f>VLOOKUP(B944,辅助信息!E:M,9,FALSE)</f>
        <v>#N/A</v>
      </c>
      <c r="R944" s="19"/>
    </row>
    <row r="945" hidden="1" spans="2:18">
      <c r="B945" s="33" t="s">
        <v>74</v>
      </c>
      <c r="C945" s="63">
        <v>45730</v>
      </c>
      <c r="D945" s="33" t="e">
        <f>VLOOKUP(B945,辅助信息!E:K,7,FALSE)</f>
        <v>#N/A</v>
      </c>
      <c r="E945" s="33" t="str">
        <f>VLOOKUP(F945,辅助信息!A:B,2,FALSE)</f>
        <v>螺纹钢</v>
      </c>
      <c r="F945" s="33" t="s">
        <v>33</v>
      </c>
      <c r="G945" s="29">
        <v>9</v>
      </c>
      <c r="H945" s="29" t="e">
        <f>_xlfn._xlws.FILTER('[1]2025年已发货'!$E:$E,'[1]2025年已发货'!$F:$F&amp;'[1]2025年已发货'!$C:$C&amp;'[1]2025年已发货'!$G:$G&amp;'[1]2025年已发货'!$H:$H=C945&amp;F945&amp;I945&amp;J945,"未发货")</f>
        <v>#N/A</v>
      </c>
      <c r="I945" s="33" t="e">
        <f>VLOOKUP(B945,辅助信息!E:I,3,FALSE)</f>
        <v>#N/A</v>
      </c>
      <c r="J945" s="33" t="e">
        <f>VLOOKUP(B945,辅助信息!E:I,4,FALSE)</f>
        <v>#N/A</v>
      </c>
      <c r="K945" s="33" t="e">
        <f>VLOOKUP(J945,辅助信息!H:I,2,FALSE)</f>
        <v>#N/A</v>
      </c>
      <c r="L945" s="71"/>
      <c r="M945" s="84">
        <v>45728</v>
      </c>
      <c r="O945" s="55">
        <f ca="1" t="shared" si="30"/>
        <v>0</v>
      </c>
      <c r="P945" s="55">
        <f ca="1" t="shared" si="31"/>
        <v>229</v>
      </c>
      <c r="Q945" s="19" t="e">
        <f>VLOOKUP(B945,辅助信息!E:M,9,FALSE)</f>
        <v>#N/A</v>
      </c>
      <c r="R945" s="19"/>
    </row>
    <row r="946" hidden="1" spans="2:18">
      <c r="B946" s="33" t="s">
        <v>74</v>
      </c>
      <c r="C946" s="63">
        <v>45730</v>
      </c>
      <c r="D946" s="33" t="e">
        <f>VLOOKUP(B946,辅助信息!E:K,7,FALSE)</f>
        <v>#N/A</v>
      </c>
      <c r="E946" s="33" t="str">
        <f>VLOOKUP(F946,辅助信息!A:B,2,FALSE)</f>
        <v>螺纹钢</v>
      </c>
      <c r="F946" s="33" t="s">
        <v>18</v>
      </c>
      <c r="G946" s="29">
        <v>3</v>
      </c>
      <c r="H946" s="29" t="e">
        <f>_xlfn._xlws.FILTER('[1]2025年已发货'!$E:$E,'[1]2025年已发货'!$F:$F&amp;'[1]2025年已发货'!$C:$C&amp;'[1]2025年已发货'!$G:$G&amp;'[1]2025年已发货'!$H:$H=C946&amp;F946&amp;I946&amp;J946,"未发货")</f>
        <v>#N/A</v>
      </c>
      <c r="I946" s="33" t="e">
        <f>VLOOKUP(B946,辅助信息!E:I,3,FALSE)</f>
        <v>#N/A</v>
      </c>
      <c r="J946" s="33" t="e">
        <f>VLOOKUP(B946,辅助信息!E:I,4,FALSE)</f>
        <v>#N/A</v>
      </c>
      <c r="K946" s="33" t="e">
        <f>VLOOKUP(J946,辅助信息!H:I,2,FALSE)</f>
        <v>#N/A</v>
      </c>
      <c r="L946" s="71"/>
      <c r="M946" s="84">
        <v>45728</v>
      </c>
      <c r="O946" s="55">
        <f ca="1" t="shared" si="30"/>
        <v>0</v>
      </c>
      <c r="P946" s="55">
        <f ca="1" t="shared" si="31"/>
        <v>229</v>
      </c>
      <c r="Q946" s="19" t="e">
        <f>VLOOKUP(B946,辅助信息!E:M,9,FALSE)</f>
        <v>#N/A</v>
      </c>
      <c r="R946" s="19"/>
    </row>
    <row r="947" hidden="1" spans="2:18">
      <c r="B947" s="33" t="s">
        <v>74</v>
      </c>
      <c r="C947" s="63">
        <v>45730</v>
      </c>
      <c r="D947" s="33" t="e">
        <f>VLOOKUP(B947,辅助信息!E:K,7,FALSE)</f>
        <v>#N/A</v>
      </c>
      <c r="E947" s="33" t="str">
        <f>VLOOKUP(F947,辅助信息!A:B,2,FALSE)</f>
        <v>螺纹钢</v>
      </c>
      <c r="F947" s="33" t="s">
        <v>65</v>
      </c>
      <c r="G947" s="29">
        <v>21</v>
      </c>
      <c r="H947" s="29" t="e">
        <f>_xlfn._xlws.FILTER('[1]2025年已发货'!$E:$E,'[1]2025年已发货'!$F:$F&amp;'[1]2025年已发货'!$C:$C&amp;'[1]2025年已发货'!$G:$G&amp;'[1]2025年已发货'!$H:$H=C947&amp;F947&amp;I947&amp;J947,"未发货")</f>
        <v>#N/A</v>
      </c>
      <c r="I947" s="33" t="e">
        <f>VLOOKUP(B947,辅助信息!E:I,3,FALSE)</f>
        <v>#N/A</v>
      </c>
      <c r="J947" s="33" t="e">
        <f>VLOOKUP(B947,辅助信息!E:I,4,FALSE)</f>
        <v>#N/A</v>
      </c>
      <c r="K947" s="33" t="e">
        <f>VLOOKUP(J947,辅助信息!H:I,2,FALSE)</f>
        <v>#N/A</v>
      </c>
      <c r="L947" s="69"/>
      <c r="M947" s="84">
        <v>45728</v>
      </c>
      <c r="O947" s="55">
        <f ca="1" t="shared" si="30"/>
        <v>0</v>
      </c>
      <c r="P947" s="55">
        <f ca="1" t="shared" si="31"/>
        <v>229</v>
      </c>
      <c r="Q947" s="19" t="e">
        <f>VLOOKUP(B947,辅助信息!E:M,9,FALSE)</f>
        <v>#N/A</v>
      </c>
      <c r="R947" s="19"/>
    </row>
    <row r="948" hidden="1" spans="2:18">
      <c r="B948" s="33" t="s">
        <v>68</v>
      </c>
      <c r="C948" s="63">
        <v>45730</v>
      </c>
      <c r="D948" s="33" t="s">
        <v>115</v>
      </c>
      <c r="E948" s="33" t="s">
        <v>116</v>
      </c>
      <c r="F948" s="33" t="s">
        <v>27</v>
      </c>
      <c r="G948" s="29">
        <v>11</v>
      </c>
      <c r="H948" s="29" t="str">
        <f>_xlfn._xlws.FILTER('[1]2025年已发货'!$E:$E,'[1]2025年已发货'!$F:$F&amp;'[1]2025年已发货'!$C:$C&amp;'[1]2025年已发货'!$G:$G&amp;'[1]2025年已发货'!$H:$H=C948&amp;F948&amp;I948&amp;J948,"未发货")</f>
        <v>未发货</v>
      </c>
      <c r="I948" s="33" t="str">
        <f>VLOOKUP(B948,辅助信息!E:I,3,FALSE)</f>
        <v>（商投建工达州中医药科技园-2工区-景观桥）达州市通川区达州中医药职业学院犀牛大道北段</v>
      </c>
      <c r="J948" s="33" t="str">
        <f>VLOOKUP(B948,辅助信息!E:I,4,FALSE)</f>
        <v>李波</v>
      </c>
      <c r="K948" s="33">
        <f>VLOOKUP(J948,辅助信息!H:I,2,FALSE)</f>
        <v>18381899787</v>
      </c>
      <c r="L948" s="70" t="str">
        <f>VLOOKUP(B948,辅助信息!E:J,6,FALSE)</f>
        <v>控制炉批号！多了现场不收！,优先安排达钢,提前联系到场规格及数量</v>
      </c>
      <c r="M948" s="84">
        <v>45726</v>
      </c>
      <c r="O948" s="55">
        <f ca="1" t="shared" si="30"/>
        <v>0</v>
      </c>
      <c r="P948" s="55">
        <f ca="1" t="shared" si="31"/>
        <v>231</v>
      </c>
      <c r="Q948" s="19" t="str">
        <f>VLOOKUP(B948,辅助信息!E:M,9,FALSE)</f>
        <v>ZTWM-CDGS-XS-2024-0134-商投建工达州中医药科技成果示范园项目</v>
      </c>
      <c r="R948" s="19"/>
    </row>
    <row r="949" hidden="1" spans="2:18">
      <c r="B949" s="33" t="s">
        <v>68</v>
      </c>
      <c r="C949" s="63">
        <v>45730</v>
      </c>
      <c r="D949" s="33" t="s">
        <v>115</v>
      </c>
      <c r="E949" s="33" t="s">
        <v>116</v>
      </c>
      <c r="F949" s="33" t="s">
        <v>32</v>
      </c>
      <c r="G949" s="29">
        <v>99</v>
      </c>
      <c r="H949" s="29" t="str">
        <f>_xlfn._xlws.FILTER('[1]2025年已发货'!$E:$E,'[1]2025年已发货'!$F:$F&amp;'[1]2025年已发货'!$C:$C&amp;'[1]2025年已发货'!$G:$G&amp;'[1]2025年已发货'!$H:$H=C949&amp;F949&amp;I949&amp;J949,"未发货")</f>
        <v>未发货</v>
      </c>
      <c r="I949" s="33" t="str">
        <f>VLOOKUP(B949,辅助信息!E:I,3,FALSE)</f>
        <v>（商投建工达州中医药科技园-2工区-景观桥）达州市通川区达州中医药职业学院犀牛大道北段</v>
      </c>
      <c r="J949" s="33" t="str">
        <f>VLOOKUP(B949,辅助信息!E:I,4,FALSE)</f>
        <v>李波</v>
      </c>
      <c r="K949" s="33">
        <f>VLOOKUP(J949,辅助信息!H:I,2,FALSE)</f>
        <v>18381899787</v>
      </c>
      <c r="L949" s="71"/>
      <c r="M949" s="84">
        <v>45726</v>
      </c>
      <c r="O949" s="55">
        <f ca="1" t="shared" si="30"/>
        <v>0</v>
      </c>
      <c r="P949" s="55">
        <f ca="1" t="shared" si="31"/>
        <v>231</v>
      </c>
      <c r="Q949" s="19" t="str">
        <f>VLOOKUP(B949,辅助信息!E:M,9,FALSE)</f>
        <v>ZTWM-CDGS-XS-2024-0134-商投建工达州中医药科技成果示范园项目</v>
      </c>
      <c r="R949" s="19"/>
    </row>
    <row r="950" hidden="1" spans="2:18">
      <c r="B950" s="33" t="s">
        <v>68</v>
      </c>
      <c r="C950" s="63">
        <v>45730</v>
      </c>
      <c r="D950" s="33" t="str">
        <f>VLOOKUP(B950,辅助信息!E:K,7,FALSE)</f>
        <v>JWDDCD2025052800131</v>
      </c>
      <c r="E950" s="33" t="str">
        <f>VLOOKUP(F950,辅助信息!A:B,2,FALSE)</f>
        <v>螺纹钢</v>
      </c>
      <c r="F950" s="33" t="s">
        <v>18</v>
      </c>
      <c r="G950" s="29">
        <v>14</v>
      </c>
      <c r="H950" s="29" t="str">
        <f>_xlfn._xlws.FILTER('[1]2025年已发货'!$E:$E,'[1]2025年已发货'!$F:$F&amp;'[1]2025年已发货'!$C:$C&amp;'[1]2025年已发货'!$G:$G&amp;'[1]2025年已发货'!$H:$H=C950&amp;F950&amp;I950&amp;J950,"未发货")</f>
        <v>未发货</v>
      </c>
      <c r="I950" s="33" t="str">
        <f>VLOOKUP(B950,辅助信息!E:I,3,FALSE)</f>
        <v>（商投建工达州中医药科技园-2工区-景观桥）达州市通川区达州中医药职业学院犀牛大道北段</v>
      </c>
      <c r="J950" s="33" t="str">
        <f>VLOOKUP(B950,辅助信息!E:I,4,FALSE)</f>
        <v>李波</v>
      </c>
      <c r="K950" s="33">
        <f>VLOOKUP(J950,辅助信息!H:I,2,FALSE)</f>
        <v>18381899787</v>
      </c>
      <c r="L950" s="69"/>
      <c r="M950" s="84">
        <v>45726</v>
      </c>
      <c r="O950" s="55">
        <f ca="1" t="shared" si="30"/>
        <v>0</v>
      </c>
      <c r="P950" s="55">
        <f ca="1" t="shared" si="31"/>
        <v>231</v>
      </c>
      <c r="Q950" s="19" t="str">
        <f>VLOOKUP(B950,辅助信息!E:M,9,FALSE)</f>
        <v>ZTWM-CDGS-XS-2024-0134-商投建工达州中医药科技成果示范园项目</v>
      </c>
      <c r="R950" s="19"/>
    </row>
    <row r="951" hidden="1" spans="2:18">
      <c r="B951" s="33" t="s">
        <v>69</v>
      </c>
      <c r="C951" s="63">
        <v>45730</v>
      </c>
      <c r="D951" s="33" t="str">
        <f>VLOOKUP(B951,辅助信息!E:K,7,FALSE)</f>
        <v>JWDDCD2025052800131</v>
      </c>
      <c r="E951" s="33" t="str">
        <f>VLOOKUP(F951,辅助信息!A:B,2,FALSE)</f>
        <v>螺纹钢</v>
      </c>
      <c r="F951" s="33" t="s">
        <v>58</v>
      </c>
      <c r="G951" s="29">
        <v>24</v>
      </c>
      <c r="H951" s="29" t="str">
        <f>_xlfn._xlws.FILTER('[1]2025年已发货'!$E:$E,'[1]2025年已发货'!$F:$F&amp;'[1]2025年已发货'!$C:$C&amp;'[1]2025年已发货'!$G:$G&amp;'[1]2025年已发货'!$H:$H=C951&amp;F951&amp;I951&amp;J951,"未发货")</f>
        <v>未发货</v>
      </c>
      <c r="I951" s="33" t="str">
        <f>VLOOKUP(B951,辅助信息!E:I,3,FALSE)</f>
        <v>（商投建工达州中医药科技园-4工区-2号楼）达州市通川区达州中医药职业学院犀牛大道北段</v>
      </c>
      <c r="J951" s="33" t="str">
        <f>VLOOKUP(B951,辅助信息!E:I,4,FALSE)</f>
        <v>张扬</v>
      </c>
      <c r="K951" s="33">
        <f>VLOOKUP(J951,辅助信息!H:I,2,FALSE)</f>
        <v>18381904567</v>
      </c>
      <c r="L951" s="70" t="str">
        <f>VLOOKUP(B951,辅助信息!E:J,6,FALSE)</f>
        <v>控制炉批号！多了现场不收！,优先安排达钢,提前联系到场规格及数量</v>
      </c>
      <c r="M951" s="84">
        <v>45731</v>
      </c>
      <c r="O951" s="55">
        <f ca="1" t="shared" si="30"/>
        <v>0</v>
      </c>
      <c r="P951" s="55">
        <f ca="1" t="shared" si="31"/>
        <v>226</v>
      </c>
      <c r="Q951" s="19" t="str">
        <f>VLOOKUP(B951,辅助信息!E:M,9,FALSE)</f>
        <v>ZTWM-CDGS-XS-2024-0134-商投建工达州中医药科技成果示范园项目</v>
      </c>
      <c r="R951" s="19"/>
    </row>
    <row r="952" hidden="1" spans="2:18">
      <c r="B952" s="33" t="s">
        <v>69</v>
      </c>
      <c r="C952" s="63">
        <v>45730</v>
      </c>
      <c r="D952" s="33" t="str">
        <f>VLOOKUP(B952,辅助信息!E:K,7,FALSE)</f>
        <v>JWDDCD2025052800131</v>
      </c>
      <c r="E952" s="33" t="str">
        <f>VLOOKUP(F952,辅助信息!A:B,2,FALSE)</f>
        <v>螺纹钢</v>
      </c>
      <c r="F952" s="33" t="s">
        <v>22</v>
      </c>
      <c r="G952" s="29">
        <v>12</v>
      </c>
      <c r="H952" s="29" t="str">
        <f>_xlfn._xlws.FILTER('[1]2025年已发货'!$E:$E,'[1]2025年已发货'!$F:$F&amp;'[1]2025年已发货'!$C:$C&amp;'[1]2025年已发货'!$G:$G&amp;'[1]2025年已发货'!$H:$H=C952&amp;F952&amp;I952&amp;J952,"未发货")</f>
        <v>未发货</v>
      </c>
      <c r="I952" s="33" t="str">
        <f>VLOOKUP(B952,辅助信息!E:I,3,FALSE)</f>
        <v>（商投建工达州中医药科技园-4工区-2号楼）达州市通川区达州中医药职业学院犀牛大道北段</v>
      </c>
      <c r="J952" s="33" t="str">
        <f>VLOOKUP(B952,辅助信息!E:I,4,FALSE)</f>
        <v>张扬</v>
      </c>
      <c r="K952" s="33">
        <f>VLOOKUP(J952,辅助信息!H:I,2,FALSE)</f>
        <v>18381904567</v>
      </c>
      <c r="L952" s="71"/>
      <c r="M952" s="84">
        <v>45731</v>
      </c>
      <c r="O952" s="55">
        <f ca="1" t="shared" si="30"/>
        <v>0</v>
      </c>
      <c r="P952" s="55">
        <f ca="1" t="shared" si="31"/>
        <v>226</v>
      </c>
      <c r="Q952" s="19" t="str">
        <f>VLOOKUP(B952,辅助信息!E:M,9,FALSE)</f>
        <v>ZTWM-CDGS-XS-2024-0134-商投建工达州中医药科技成果示范园项目</v>
      </c>
      <c r="R952" s="19"/>
    </row>
    <row r="953" hidden="1" spans="2:18">
      <c r="B953" s="33" t="s">
        <v>69</v>
      </c>
      <c r="C953" s="63">
        <v>45730</v>
      </c>
      <c r="D953" s="33" t="str">
        <f>VLOOKUP(B953,辅助信息!E:K,7,FALSE)</f>
        <v>JWDDCD2025052800131</v>
      </c>
      <c r="E953" s="33" t="str">
        <f>VLOOKUP(F953,辅助信息!A:B,2,FALSE)</f>
        <v>盘螺</v>
      </c>
      <c r="F953" s="33" t="s">
        <v>40</v>
      </c>
      <c r="G953" s="29">
        <v>60</v>
      </c>
      <c r="H953" s="29" t="str">
        <f>_xlfn._xlws.FILTER('[1]2025年已发货'!$E:$E,'[1]2025年已发货'!$F:$F&amp;'[1]2025年已发货'!$C:$C&amp;'[1]2025年已发货'!$G:$G&amp;'[1]2025年已发货'!$H:$H=C953&amp;F953&amp;I953&amp;J953,"未发货")</f>
        <v>未发货</v>
      </c>
      <c r="I953" s="33" t="str">
        <f>VLOOKUP(B953,辅助信息!E:I,3,FALSE)</f>
        <v>（商投建工达州中医药科技园-4工区-2号楼）达州市通川区达州中医药职业学院犀牛大道北段</v>
      </c>
      <c r="J953" s="33" t="str">
        <f>VLOOKUP(B953,辅助信息!E:I,4,FALSE)</f>
        <v>张扬</v>
      </c>
      <c r="K953" s="33">
        <f>VLOOKUP(J953,辅助信息!H:I,2,FALSE)</f>
        <v>18381904567</v>
      </c>
      <c r="L953" s="71"/>
      <c r="M953" s="84">
        <v>45731</v>
      </c>
      <c r="O953" s="55">
        <f ca="1" t="shared" si="30"/>
        <v>0</v>
      </c>
      <c r="P953" s="55">
        <f ca="1" t="shared" si="31"/>
        <v>226</v>
      </c>
      <c r="Q953" s="19" t="str">
        <f>VLOOKUP(B953,辅助信息!E:M,9,FALSE)</f>
        <v>ZTWM-CDGS-XS-2024-0134-商投建工达州中医药科技成果示范园项目</v>
      </c>
      <c r="R953" s="19"/>
    </row>
    <row r="954" hidden="1" spans="2:18">
      <c r="B954" s="33" t="s">
        <v>69</v>
      </c>
      <c r="C954" s="63">
        <v>45730</v>
      </c>
      <c r="D954" s="33" t="str">
        <f>VLOOKUP(B954,辅助信息!E:K,7,FALSE)</f>
        <v>JWDDCD2025052800131</v>
      </c>
      <c r="E954" s="33" t="str">
        <f>VLOOKUP(F954,辅助信息!A:B,2,FALSE)</f>
        <v>螺纹钢</v>
      </c>
      <c r="F954" s="33" t="s">
        <v>33</v>
      </c>
      <c r="G954" s="29">
        <v>9</v>
      </c>
      <c r="H954" s="29" t="str">
        <f>_xlfn._xlws.FILTER('[1]2025年已发货'!$E:$E,'[1]2025年已发货'!$F:$F&amp;'[1]2025年已发货'!$C:$C&amp;'[1]2025年已发货'!$G:$G&amp;'[1]2025年已发货'!$H:$H=C954&amp;F954&amp;I954&amp;J954,"未发货")</f>
        <v>未发货</v>
      </c>
      <c r="I954" s="33" t="str">
        <f>VLOOKUP(B954,辅助信息!E:I,3,FALSE)</f>
        <v>（商投建工达州中医药科技园-4工区-2号楼）达州市通川区达州中医药职业学院犀牛大道北段</v>
      </c>
      <c r="J954" s="33" t="str">
        <f>VLOOKUP(B954,辅助信息!E:I,4,FALSE)</f>
        <v>张扬</v>
      </c>
      <c r="K954" s="33">
        <f>VLOOKUP(J954,辅助信息!H:I,2,FALSE)</f>
        <v>18381904567</v>
      </c>
      <c r="L954" s="69"/>
      <c r="M954" s="84">
        <v>45731</v>
      </c>
      <c r="O954" s="55">
        <f ca="1" t="shared" si="30"/>
        <v>0</v>
      </c>
      <c r="P954" s="55">
        <f ca="1" t="shared" si="31"/>
        <v>226</v>
      </c>
      <c r="Q954" s="19" t="str">
        <f>VLOOKUP(B954,辅助信息!E:M,9,FALSE)</f>
        <v>ZTWM-CDGS-XS-2024-0134-商投建工达州中医药科技成果示范园项目</v>
      </c>
      <c r="R954" s="19"/>
    </row>
    <row r="955" hidden="1" spans="2:18">
      <c r="B955" s="33" t="s">
        <v>74</v>
      </c>
      <c r="C955" s="63">
        <v>45732</v>
      </c>
      <c r="D955" s="33" t="e">
        <f>VLOOKUP(B955,辅助信息!E:K,7,FALSE)</f>
        <v>#N/A</v>
      </c>
      <c r="E955" s="33" t="str">
        <f>VLOOKUP(F955,辅助信息!A:B,2,FALSE)</f>
        <v>螺纹钢</v>
      </c>
      <c r="F955" s="33" t="s">
        <v>27</v>
      </c>
      <c r="G955" s="29">
        <v>3</v>
      </c>
      <c r="H955" s="29" t="e">
        <f>_xlfn._xlws.FILTER('[1]2025年已发货'!$E:$E,'[1]2025年已发货'!$F:$F&amp;'[1]2025年已发货'!$C:$C&amp;'[1]2025年已发货'!$G:$G&amp;'[1]2025年已发货'!$H:$H=C955&amp;F955&amp;I955&amp;J955,"未发货")</f>
        <v>#N/A</v>
      </c>
      <c r="I955" s="33" t="e">
        <f>VLOOKUP(B955,辅助信息!E:I,3,FALSE)</f>
        <v>#N/A</v>
      </c>
      <c r="J955" s="33" t="e">
        <f>VLOOKUP(B955,辅助信息!E:I,4,FALSE)</f>
        <v>#N/A</v>
      </c>
      <c r="K955" s="33" t="e">
        <f>VLOOKUP(J955,辅助信息!H:I,2,FALSE)</f>
        <v>#N/A</v>
      </c>
      <c r="L955" s="70" t="e">
        <f>VLOOKUP(B955,辅助信息!E:J,6,FALSE)</f>
        <v>#N/A</v>
      </c>
      <c r="M955" s="84">
        <v>45728</v>
      </c>
      <c r="O955" s="55">
        <f ca="1" t="shared" si="30"/>
        <v>0</v>
      </c>
      <c r="P955" s="55">
        <f ca="1" t="shared" si="31"/>
        <v>229</v>
      </c>
      <c r="Q955" s="19" t="e">
        <f>VLOOKUP(B955,辅助信息!E:M,9,FALSE)</f>
        <v>#N/A</v>
      </c>
      <c r="R955" s="19"/>
    </row>
    <row r="956" hidden="1" spans="2:18">
      <c r="B956" s="33" t="s">
        <v>74</v>
      </c>
      <c r="C956" s="63">
        <v>45732</v>
      </c>
      <c r="D956" s="33" t="e">
        <f>VLOOKUP(B956,辅助信息!E:K,7,FALSE)</f>
        <v>#N/A</v>
      </c>
      <c r="E956" s="33" t="str">
        <f>VLOOKUP(F956,辅助信息!A:B,2,FALSE)</f>
        <v>螺纹钢</v>
      </c>
      <c r="F956" s="33" t="s">
        <v>19</v>
      </c>
      <c r="G956" s="29">
        <v>3</v>
      </c>
      <c r="H956" s="29" t="e">
        <f>_xlfn._xlws.FILTER('[1]2025年已发货'!$E:$E,'[1]2025年已发货'!$F:$F&amp;'[1]2025年已发货'!$C:$C&amp;'[1]2025年已发货'!$G:$G&amp;'[1]2025年已发货'!$H:$H=C956&amp;F956&amp;I956&amp;J956,"未发货")</f>
        <v>#N/A</v>
      </c>
      <c r="I956" s="33" t="e">
        <f>VLOOKUP(B956,辅助信息!E:I,3,FALSE)</f>
        <v>#N/A</v>
      </c>
      <c r="J956" s="33" t="e">
        <f>VLOOKUP(B956,辅助信息!E:I,4,FALSE)</f>
        <v>#N/A</v>
      </c>
      <c r="K956" s="33" t="e">
        <f>VLOOKUP(J956,辅助信息!H:I,2,FALSE)</f>
        <v>#N/A</v>
      </c>
      <c r="L956" s="71"/>
      <c r="M956" s="84">
        <v>45728</v>
      </c>
      <c r="O956" s="55">
        <f ca="1" t="shared" si="30"/>
        <v>0</v>
      </c>
      <c r="P956" s="55">
        <f ca="1" t="shared" si="31"/>
        <v>229</v>
      </c>
      <c r="Q956" s="19" t="e">
        <f>VLOOKUP(B956,辅助信息!E:M,9,FALSE)</f>
        <v>#N/A</v>
      </c>
      <c r="R956" s="19"/>
    </row>
    <row r="957" hidden="1" spans="2:18">
      <c r="B957" s="33" t="s">
        <v>74</v>
      </c>
      <c r="C957" s="63">
        <v>45732</v>
      </c>
      <c r="D957" s="33" t="e">
        <f>VLOOKUP(B957,辅助信息!E:K,7,FALSE)</f>
        <v>#N/A</v>
      </c>
      <c r="E957" s="33" t="str">
        <f>VLOOKUP(F957,辅助信息!A:B,2,FALSE)</f>
        <v>螺纹钢</v>
      </c>
      <c r="F957" s="33" t="s">
        <v>32</v>
      </c>
      <c r="G957" s="29">
        <v>6</v>
      </c>
      <c r="H957" s="29" t="e">
        <f>_xlfn._xlws.FILTER('[1]2025年已发货'!$E:$E,'[1]2025年已发货'!$F:$F&amp;'[1]2025年已发货'!$C:$C&amp;'[1]2025年已发货'!$G:$G&amp;'[1]2025年已发货'!$H:$H=C957&amp;F957&amp;I957&amp;J957,"未发货")</f>
        <v>#N/A</v>
      </c>
      <c r="I957" s="33" t="e">
        <f>VLOOKUP(B957,辅助信息!E:I,3,FALSE)</f>
        <v>#N/A</v>
      </c>
      <c r="J957" s="33" t="e">
        <f>VLOOKUP(B957,辅助信息!E:I,4,FALSE)</f>
        <v>#N/A</v>
      </c>
      <c r="K957" s="33" t="e">
        <f>VLOOKUP(J957,辅助信息!H:I,2,FALSE)</f>
        <v>#N/A</v>
      </c>
      <c r="L957" s="71"/>
      <c r="M957" s="84">
        <v>45728</v>
      </c>
      <c r="O957" s="55">
        <f ca="1" t="shared" si="30"/>
        <v>0</v>
      </c>
      <c r="P957" s="55">
        <f ca="1" t="shared" si="31"/>
        <v>229</v>
      </c>
      <c r="Q957" s="19" t="e">
        <f>VLOOKUP(B957,辅助信息!E:M,9,FALSE)</f>
        <v>#N/A</v>
      </c>
      <c r="R957" s="19"/>
    </row>
    <row r="958" hidden="1" spans="2:18">
      <c r="B958" s="33" t="s">
        <v>74</v>
      </c>
      <c r="C958" s="63">
        <v>45732</v>
      </c>
      <c r="D958" s="33" t="e">
        <f>VLOOKUP(B958,辅助信息!E:K,7,FALSE)</f>
        <v>#N/A</v>
      </c>
      <c r="E958" s="33" t="str">
        <f>VLOOKUP(F958,辅助信息!A:B,2,FALSE)</f>
        <v>螺纹钢</v>
      </c>
      <c r="F958" s="33" t="s">
        <v>33</v>
      </c>
      <c r="G958" s="29">
        <v>9</v>
      </c>
      <c r="H958" s="29" t="e">
        <f>_xlfn._xlws.FILTER('[1]2025年已发货'!$E:$E,'[1]2025年已发货'!$F:$F&amp;'[1]2025年已发货'!$C:$C&amp;'[1]2025年已发货'!$G:$G&amp;'[1]2025年已发货'!$H:$H=C958&amp;F958&amp;I958&amp;J958,"未发货")</f>
        <v>#N/A</v>
      </c>
      <c r="I958" s="33" t="e">
        <f>VLOOKUP(B958,辅助信息!E:I,3,FALSE)</f>
        <v>#N/A</v>
      </c>
      <c r="J958" s="33" t="e">
        <f>VLOOKUP(B958,辅助信息!E:I,4,FALSE)</f>
        <v>#N/A</v>
      </c>
      <c r="K958" s="33" t="e">
        <f>VLOOKUP(J958,辅助信息!H:I,2,FALSE)</f>
        <v>#N/A</v>
      </c>
      <c r="L958" s="71"/>
      <c r="M958" s="84">
        <v>45728</v>
      </c>
      <c r="O958" s="55">
        <f ca="1" t="shared" si="30"/>
        <v>0</v>
      </c>
      <c r="P958" s="55">
        <f ca="1" t="shared" si="31"/>
        <v>229</v>
      </c>
      <c r="Q958" s="19" t="e">
        <f>VLOOKUP(B958,辅助信息!E:M,9,FALSE)</f>
        <v>#N/A</v>
      </c>
      <c r="R958" s="19"/>
    </row>
    <row r="959" hidden="1" spans="2:18">
      <c r="B959" s="33" t="s">
        <v>74</v>
      </c>
      <c r="C959" s="63">
        <v>45732</v>
      </c>
      <c r="D959" s="33" t="e">
        <f>VLOOKUP(B959,辅助信息!E:K,7,FALSE)</f>
        <v>#N/A</v>
      </c>
      <c r="E959" s="33" t="str">
        <f>VLOOKUP(F959,辅助信息!A:B,2,FALSE)</f>
        <v>螺纹钢</v>
      </c>
      <c r="F959" s="33" t="s">
        <v>18</v>
      </c>
      <c r="G959" s="29">
        <v>3</v>
      </c>
      <c r="H959" s="29" t="e">
        <f>_xlfn._xlws.FILTER('[1]2025年已发货'!$E:$E,'[1]2025年已发货'!$F:$F&amp;'[1]2025年已发货'!$C:$C&amp;'[1]2025年已发货'!$G:$G&amp;'[1]2025年已发货'!$H:$H=C959&amp;F959&amp;I959&amp;J959,"未发货")</f>
        <v>#N/A</v>
      </c>
      <c r="I959" s="33" t="e">
        <f>VLOOKUP(B959,辅助信息!E:I,3,FALSE)</f>
        <v>#N/A</v>
      </c>
      <c r="J959" s="33" t="e">
        <f>VLOOKUP(B959,辅助信息!E:I,4,FALSE)</f>
        <v>#N/A</v>
      </c>
      <c r="K959" s="33" t="e">
        <f>VLOOKUP(J959,辅助信息!H:I,2,FALSE)</f>
        <v>#N/A</v>
      </c>
      <c r="L959" s="71"/>
      <c r="M959" s="84">
        <v>45728</v>
      </c>
      <c r="O959" s="55">
        <f ca="1" t="shared" si="30"/>
        <v>0</v>
      </c>
      <c r="P959" s="55">
        <f ca="1" t="shared" si="31"/>
        <v>229</v>
      </c>
      <c r="Q959" s="19" t="e">
        <f>VLOOKUP(B959,辅助信息!E:M,9,FALSE)</f>
        <v>#N/A</v>
      </c>
      <c r="R959" s="19"/>
    </row>
    <row r="960" hidden="1" spans="2:18">
      <c r="B960" s="33" t="s">
        <v>74</v>
      </c>
      <c r="C960" s="63">
        <v>45732</v>
      </c>
      <c r="D960" s="33" t="e">
        <f>VLOOKUP(B960,辅助信息!E:K,7,FALSE)</f>
        <v>#N/A</v>
      </c>
      <c r="E960" s="33" t="str">
        <f>VLOOKUP(F960,辅助信息!A:B,2,FALSE)</f>
        <v>螺纹钢</v>
      </c>
      <c r="F960" s="33" t="s">
        <v>65</v>
      </c>
      <c r="G960" s="29">
        <v>21</v>
      </c>
      <c r="H960" s="29" t="e">
        <f>_xlfn._xlws.FILTER('[1]2025年已发货'!$E:$E,'[1]2025年已发货'!$F:$F&amp;'[1]2025年已发货'!$C:$C&amp;'[1]2025年已发货'!$G:$G&amp;'[1]2025年已发货'!$H:$H=C960&amp;F960&amp;I960&amp;J960,"未发货")</f>
        <v>#N/A</v>
      </c>
      <c r="I960" s="33" t="e">
        <f>VLOOKUP(B960,辅助信息!E:I,3,FALSE)</f>
        <v>#N/A</v>
      </c>
      <c r="J960" s="33" t="e">
        <f>VLOOKUP(B960,辅助信息!E:I,4,FALSE)</f>
        <v>#N/A</v>
      </c>
      <c r="K960" s="33" t="e">
        <f>VLOOKUP(J960,辅助信息!H:I,2,FALSE)</f>
        <v>#N/A</v>
      </c>
      <c r="L960" s="69"/>
      <c r="M960" s="84">
        <v>45728</v>
      </c>
      <c r="O960" s="55">
        <f ca="1" t="shared" si="30"/>
        <v>0</v>
      </c>
      <c r="P960" s="55">
        <f ca="1" t="shared" si="31"/>
        <v>229</v>
      </c>
      <c r="Q960" s="19" t="e">
        <f>VLOOKUP(B960,辅助信息!E:M,9,FALSE)</f>
        <v>#N/A</v>
      </c>
      <c r="R960" s="19"/>
    </row>
    <row r="961" hidden="1" spans="2:18">
      <c r="B961" s="33" t="s">
        <v>68</v>
      </c>
      <c r="C961" s="63">
        <v>45732</v>
      </c>
      <c r="D961" s="33" t="str">
        <f>VLOOKUP(B961,辅助信息!E:K,7,FALSE)</f>
        <v>JWDDCD2025052800131</v>
      </c>
      <c r="E961" s="33" t="str">
        <f>VLOOKUP(F961,辅助信息!A:B,2,FALSE)</f>
        <v>螺纹钢</v>
      </c>
      <c r="F961" s="33" t="s">
        <v>27</v>
      </c>
      <c r="G961" s="29">
        <v>11</v>
      </c>
      <c r="H961" s="29" t="str">
        <f>_xlfn._xlws.FILTER('[1]2025年已发货'!$E:$E,'[1]2025年已发货'!$F:$F&amp;'[1]2025年已发货'!$C:$C&amp;'[1]2025年已发货'!$G:$G&amp;'[1]2025年已发货'!$H:$H=C961&amp;F961&amp;I961&amp;J961,"未发货")</f>
        <v>未发货</v>
      </c>
      <c r="I961" s="33" t="str">
        <f>VLOOKUP(B961,辅助信息!E:I,3,FALSE)</f>
        <v>（商投建工达州中医药科技园-2工区-景观桥）达州市通川区达州中医药职业学院犀牛大道北段</v>
      </c>
      <c r="J961" s="33" t="str">
        <f>VLOOKUP(B961,辅助信息!E:I,4,FALSE)</f>
        <v>李波</v>
      </c>
      <c r="K961" s="33">
        <f>VLOOKUP(J961,辅助信息!H:I,2,FALSE)</f>
        <v>18381899787</v>
      </c>
      <c r="L961" s="70" t="str">
        <f>VLOOKUP(B961,辅助信息!E:J,6,FALSE)</f>
        <v>控制炉批号！多了现场不收！,优先安排达钢,提前联系到场规格及数量</v>
      </c>
      <c r="M961" s="84">
        <v>45726</v>
      </c>
      <c r="O961" s="55">
        <f ca="1" t="shared" si="30"/>
        <v>0</v>
      </c>
      <c r="P961" s="55">
        <f ca="1" t="shared" si="31"/>
        <v>231</v>
      </c>
      <c r="Q961" s="19" t="str">
        <f>VLOOKUP(B961,辅助信息!E:M,9,FALSE)</f>
        <v>ZTWM-CDGS-XS-2024-0134-商投建工达州中医药科技成果示范园项目</v>
      </c>
      <c r="R961" s="19"/>
    </row>
    <row r="962" hidden="1" spans="2:18">
      <c r="B962" s="33" t="s">
        <v>68</v>
      </c>
      <c r="C962" s="63">
        <v>45732</v>
      </c>
      <c r="D962" s="33" t="str">
        <f>VLOOKUP(B962,辅助信息!E:K,7,FALSE)</f>
        <v>JWDDCD2025052800131</v>
      </c>
      <c r="E962" s="33" t="str">
        <f>VLOOKUP(F962,辅助信息!A:B,2,FALSE)</f>
        <v>螺纹钢</v>
      </c>
      <c r="F962" s="33" t="s">
        <v>32</v>
      </c>
      <c r="G962" s="29">
        <v>99</v>
      </c>
      <c r="H962" s="29" t="str">
        <f>_xlfn._xlws.FILTER('[1]2025年已发货'!$E:$E,'[1]2025年已发货'!$F:$F&amp;'[1]2025年已发货'!$C:$C&amp;'[1]2025年已发货'!$G:$G&amp;'[1]2025年已发货'!$H:$H=C962&amp;F962&amp;I962&amp;J962,"未发货")</f>
        <v>未发货</v>
      </c>
      <c r="I962" s="33" t="str">
        <f>VLOOKUP(B962,辅助信息!E:I,3,FALSE)</f>
        <v>（商投建工达州中医药科技园-2工区-景观桥）达州市通川区达州中医药职业学院犀牛大道北段</v>
      </c>
      <c r="J962" s="33" t="str">
        <f>VLOOKUP(B962,辅助信息!E:I,4,FALSE)</f>
        <v>李波</v>
      </c>
      <c r="K962" s="33">
        <f>VLOOKUP(J962,辅助信息!H:I,2,FALSE)</f>
        <v>18381899787</v>
      </c>
      <c r="L962" s="71"/>
      <c r="M962" s="84">
        <v>45726</v>
      </c>
      <c r="O962" s="55">
        <f ca="1" t="shared" si="30"/>
        <v>0</v>
      </c>
      <c r="P962" s="55">
        <f ca="1" t="shared" si="31"/>
        <v>231</v>
      </c>
      <c r="Q962" s="19" t="str">
        <f>VLOOKUP(B962,辅助信息!E:M,9,FALSE)</f>
        <v>ZTWM-CDGS-XS-2024-0134-商投建工达州中医药科技成果示范园项目</v>
      </c>
      <c r="R962" s="19"/>
    </row>
    <row r="963" hidden="1" spans="2:18">
      <c r="B963" s="33" t="s">
        <v>68</v>
      </c>
      <c r="C963" s="63">
        <v>45732</v>
      </c>
      <c r="D963" s="33" t="str">
        <f>VLOOKUP(B963,辅助信息!E:K,7,FALSE)</f>
        <v>JWDDCD2025052800131</v>
      </c>
      <c r="E963" s="33" t="str">
        <f>VLOOKUP(F963,辅助信息!A:B,2,FALSE)</f>
        <v>螺纹钢</v>
      </c>
      <c r="F963" s="33" t="s">
        <v>18</v>
      </c>
      <c r="G963" s="29">
        <v>14</v>
      </c>
      <c r="H963" s="29" t="str">
        <f>_xlfn._xlws.FILTER('[1]2025年已发货'!$E:$E,'[1]2025年已发货'!$F:$F&amp;'[1]2025年已发货'!$C:$C&amp;'[1]2025年已发货'!$G:$G&amp;'[1]2025年已发货'!$H:$H=C963&amp;F963&amp;I963&amp;J963,"未发货")</f>
        <v>未发货</v>
      </c>
      <c r="I963" s="33" t="str">
        <f>VLOOKUP(B963,辅助信息!E:I,3,FALSE)</f>
        <v>（商投建工达州中医药科技园-2工区-景观桥）达州市通川区达州中医药职业学院犀牛大道北段</v>
      </c>
      <c r="J963" s="33" t="str">
        <f>VLOOKUP(B963,辅助信息!E:I,4,FALSE)</f>
        <v>李波</v>
      </c>
      <c r="K963" s="33">
        <f>VLOOKUP(J963,辅助信息!H:I,2,FALSE)</f>
        <v>18381899787</v>
      </c>
      <c r="L963" s="69"/>
      <c r="M963" s="84">
        <v>45726</v>
      </c>
      <c r="O963" s="55">
        <f ca="1" t="shared" si="30"/>
        <v>0</v>
      </c>
      <c r="P963" s="55">
        <f ca="1" t="shared" si="31"/>
        <v>231</v>
      </c>
      <c r="Q963" s="19" t="str">
        <f>VLOOKUP(B963,辅助信息!E:M,9,FALSE)</f>
        <v>ZTWM-CDGS-XS-2024-0134-商投建工达州中医药科技成果示范园项目</v>
      </c>
      <c r="R963" s="19"/>
    </row>
    <row r="964" hidden="1" spans="2:18">
      <c r="B964" s="33" t="s">
        <v>69</v>
      </c>
      <c r="C964" s="63">
        <v>45732</v>
      </c>
      <c r="D964" s="33" t="str">
        <f>VLOOKUP(B964,辅助信息!E:K,7,FALSE)</f>
        <v>JWDDCD2025052800131</v>
      </c>
      <c r="E964" s="33" t="str">
        <f>VLOOKUP(F964,辅助信息!A:B,2,FALSE)</f>
        <v>螺纹钢</v>
      </c>
      <c r="F964" s="33" t="s">
        <v>58</v>
      </c>
      <c r="G964" s="29">
        <v>24</v>
      </c>
      <c r="H964" s="80">
        <f>_xlfn._xlws.FILTER('[1]2025年已发货'!$E:$E,'[1]2025年已发货'!$F:$F&amp;'[1]2025年已发货'!$C:$C&amp;'[1]2025年已发货'!$G:$G&amp;'[1]2025年已发货'!$H:$H=C964&amp;F964&amp;I964&amp;J964,"未发货")</f>
        <v>18</v>
      </c>
      <c r="I964" s="33" t="str">
        <f>VLOOKUP(B964,辅助信息!E:I,3,FALSE)</f>
        <v>（商投建工达州中医药科技园-4工区-2号楼）达州市通川区达州中医药职业学院犀牛大道北段</v>
      </c>
      <c r="J964" s="33" t="str">
        <f>VLOOKUP(B964,辅助信息!E:I,4,FALSE)</f>
        <v>张扬</v>
      </c>
      <c r="K964" s="33">
        <f>VLOOKUP(J964,辅助信息!H:I,2,FALSE)</f>
        <v>18381904567</v>
      </c>
      <c r="L964" s="70" t="str">
        <f>VLOOKUP(B967,辅助信息!E:J,6,FALSE)</f>
        <v>控制炉批号！多了现场不收！,优先安排达钢,提前联系到场规格及数量</v>
      </c>
      <c r="M964" s="84">
        <v>45731</v>
      </c>
      <c r="O964" s="55">
        <f ca="1" t="shared" si="30"/>
        <v>0</v>
      </c>
      <c r="P964" s="55">
        <f ca="1" t="shared" si="31"/>
        <v>226</v>
      </c>
      <c r="Q964" s="19" t="str">
        <f>VLOOKUP(B964,辅助信息!E:M,9,FALSE)</f>
        <v>ZTWM-CDGS-XS-2024-0134-商投建工达州中医药科技成果示范园项目</v>
      </c>
      <c r="R964" s="19"/>
    </row>
    <row r="965" hidden="1" spans="2:18">
      <c r="B965" s="33" t="s">
        <v>69</v>
      </c>
      <c r="C965" s="63">
        <v>45732</v>
      </c>
      <c r="D965" s="33" t="str">
        <f>VLOOKUP(B965,辅助信息!E:K,7,FALSE)</f>
        <v>JWDDCD2025052800131</v>
      </c>
      <c r="E965" s="33" t="str">
        <f>VLOOKUP(F965,辅助信息!A:B,2,FALSE)</f>
        <v>螺纹钢</v>
      </c>
      <c r="F965" s="33" t="s">
        <v>22</v>
      </c>
      <c r="G965" s="29">
        <v>12</v>
      </c>
      <c r="H965" s="80">
        <f>_xlfn._xlws.FILTER('[1]2025年已发货'!$E:$E,'[1]2025年已发货'!$F:$F&amp;'[1]2025年已发货'!$C:$C&amp;'[1]2025年已发货'!$G:$G&amp;'[1]2025年已发货'!$H:$H=C965&amp;F965&amp;I965&amp;J965,"未发货")</f>
        <v>12</v>
      </c>
      <c r="I965" s="33" t="str">
        <f>VLOOKUP(B965,辅助信息!E:I,3,FALSE)</f>
        <v>（商投建工达州中医药科技园-4工区-2号楼）达州市通川区达州中医药职业学院犀牛大道北段</v>
      </c>
      <c r="J965" s="33" t="str">
        <f>VLOOKUP(B965,辅助信息!E:I,4,FALSE)</f>
        <v>张扬</v>
      </c>
      <c r="K965" s="33">
        <f>VLOOKUP(J965,辅助信息!H:I,2,FALSE)</f>
        <v>18381904567</v>
      </c>
      <c r="L965" s="71"/>
      <c r="M965" s="84">
        <v>45731</v>
      </c>
      <c r="O965" s="55">
        <f ca="1" t="shared" si="30"/>
        <v>0</v>
      </c>
      <c r="P965" s="55">
        <f ca="1" t="shared" si="31"/>
        <v>226</v>
      </c>
      <c r="Q965" s="19" t="str">
        <f>VLOOKUP(B965,辅助信息!E:M,9,FALSE)</f>
        <v>ZTWM-CDGS-XS-2024-0134-商投建工达州中医药科技成果示范园项目</v>
      </c>
      <c r="R965" s="19"/>
    </row>
    <row r="966" hidden="1" spans="2:18">
      <c r="B966" s="33" t="s">
        <v>69</v>
      </c>
      <c r="C966" s="63">
        <v>45732</v>
      </c>
      <c r="D966" s="33" t="str">
        <f>VLOOKUP(B966,辅助信息!E:K,7,FALSE)</f>
        <v>JWDDCD2025052800131</v>
      </c>
      <c r="E966" s="33" t="str">
        <f>VLOOKUP(F966,辅助信息!A:B,2,FALSE)</f>
        <v>盘螺</v>
      </c>
      <c r="F966" s="33" t="s">
        <v>40</v>
      </c>
      <c r="G966" s="29">
        <v>60</v>
      </c>
      <c r="H966" s="80">
        <f>_xlfn._xlws.FILTER('[1]2025年已发货'!$E:$E,'[1]2025年已发货'!$F:$F&amp;'[1]2025年已发货'!$C:$C&amp;'[1]2025年已发货'!$G:$G&amp;'[1]2025年已发货'!$H:$H=C966&amp;F966&amp;I966&amp;J966,"未发货")</f>
        <v>60</v>
      </c>
      <c r="I966" s="33" t="str">
        <f>VLOOKUP(B966,辅助信息!E:I,3,FALSE)</f>
        <v>（商投建工达州中医药科技园-4工区-2号楼）达州市通川区达州中医药职业学院犀牛大道北段</v>
      </c>
      <c r="J966" s="33" t="str">
        <f>VLOOKUP(B966,辅助信息!E:I,4,FALSE)</f>
        <v>张扬</v>
      </c>
      <c r="K966" s="33">
        <f>VLOOKUP(J966,辅助信息!H:I,2,FALSE)</f>
        <v>18381904567</v>
      </c>
      <c r="L966" s="71"/>
      <c r="M966" s="84">
        <v>45731</v>
      </c>
      <c r="O966" s="55">
        <f ca="1" t="shared" si="30"/>
        <v>0</v>
      </c>
      <c r="P966" s="55">
        <f ca="1" t="shared" si="31"/>
        <v>226</v>
      </c>
      <c r="Q966" s="19" t="str">
        <f>VLOOKUP(B966,辅助信息!E:M,9,FALSE)</f>
        <v>ZTWM-CDGS-XS-2024-0134-商投建工达州中医药科技成果示范园项目</v>
      </c>
      <c r="R966" s="19"/>
    </row>
    <row r="967" hidden="1" spans="2:18">
      <c r="B967" s="33" t="s">
        <v>69</v>
      </c>
      <c r="C967" s="63">
        <v>45731</v>
      </c>
      <c r="D967" s="33" t="str">
        <f>VLOOKUP(B967,辅助信息!E:K,7,FALSE)</f>
        <v>JWDDCD2025052800131</v>
      </c>
      <c r="E967" s="33" t="str">
        <f>VLOOKUP(F967,辅助信息!A:B,2,FALSE)</f>
        <v>螺纹钢</v>
      </c>
      <c r="F967" s="33" t="s">
        <v>33</v>
      </c>
      <c r="G967" s="29">
        <v>9</v>
      </c>
      <c r="H967" s="29" t="str">
        <f>_xlfn._xlws.FILTER('[1]2025年已发货'!$E:$E,'[1]2025年已发货'!$F:$F&amp;'[1]2025年已发货'!$C:$C&amp;'[1]2025年已发货'!$G:$G&amp;'[1]2025年已发货'!$H:$H=C967&amp;F967&amp;I967&amp;J967,"未发货")</f>
        <v>未发货</v>
      </c>
      <c r="I967" s="33" t="str">
        <f>VLOOKUP(B967,辅助信息!E:I,3,FALSE)</f>
        <v>（商投建工达州中医药科技园-4工区-2号楼）达州市通川区达州中医药职业学院犀牛大道北段</v>
      </c>
      <c r="J967" s="33" t="str">
        <f>VLOOKUP(B967,辅助信息!E:I,4,FALSE)</f>
        <v>张扬</v>
      </c>
      <c r="K967" s="33">
        <f>VLOOKUP(J967,辅助信息!H:I,2,FALSE)</f>
        <v>18381904567</v>
      </c>
      <c r="L967" s="69"/>
      <c r="M967" s="97">
        <v>45731</v>
      </c>
      <c r="N967" s="36"/>
      <c r="O967" s="36">
        <f ca="1" t="shared" si="30"/>
        <v>0</v>
      </c>
      <c r="P967" s="36">
        <f ca="1" t="shared" si="31"/>
        <v>226</v>
      </c>
      <c r="Q967" s="33" t="str">
        <f>VLOOKUP(B967,辅助信息!E:M,9,FALSE)</f>
        <v>ZTWM-CDGS-XS-2024-0134-商投建工达州中医药科技成果示范园项目</v>
      </c>
      <c r="R967" s="19"/>
    </row>
    <row r="968" hidden="1" spans="2:18">
      <c r="B968" s="33" t="s">
        <v>44</v>
      </c>
      <c r="C968" s="63">
        <v>45731</v>
      </c>
      <c r="D968" s="33" t="str">
        <f>VLOOKUP(B968,辅助信息!E:K,7,FALSE)</f>
        <v>JWDDCD2025060600053</v>
      </c>
      <c r="E968" s="33" t="str">
        <f>VLOOKUP(F968,辅助信息!A:B,2,FALSE)</f>
        <v>盘螺</v>
      </c>
      <c r="F968" s="33" t="s">
        <v>26</v>
      </c>
      <c r="G968" s="29">
        <v>35</v>
      </c>
      <c r="H968" s="29">
        <f>_xlfn._xlws.FILTER('[1]2025年已发货'!$E:$E,'[1]2025年已发货'!$F:$F&amp;'[1]2025年已发货'!$C:$C&amp;'[1]2025年已发货'!$G:$G&amp;'[1]2025年已发货'!$H:$H=C968&amp;F968&amp;I968&amp;J968,"未发货")</f>
        <v>35</v>
      </c>
      <c r="I968" s="33" t="str">
        <f>VLOOKUP(B968,辅助信息!E:I,3,FALSE)</f>
        <v>（华西酒城南）成都市武侯区火车南站西路8号酒城南项目</v>
      </c>
      <c r="J968" s="33" t="str">
        <f>VLOOKUP(B968,辅助信息!E:I,4,FALSE)</f>
        <v>龙耀宇</v>
      </c>
      <c r="K968" s="33">
        <f>VLOOKUP(J968,辅助信息!H:I,2,FALSE)</f>
        <v>18384145895</v>
      </c>
      <c r="L968" s="79" t="str">
        <f>VLOOKUP(B968,辅助信息!E:J,6,FALSE)</f>
        <v>对方卸车</v>
      </c>
      <c r="M968" s="97">
        <v>45733</v>
      </c>
      <c r="N968" s="36"/>
      <c r="O968" s="36">
        <f ca="1" t="shared" si="30"/>
        <v>0</v>
      </c>
      <c r="P968" s="36">
        <f ca="1" t="shared" si="31"/>
        <v>224</v>
      </c>
      <c r="Q968" s="33" t="str">
        <f>VLOOKUP(B968,辅助信息!E:M,9,FALSE)</f>
        <v>ZTWM-CDGS-XS-2024-0189-华西集采-酒城南项目</v>
      </c>
      <c r="R968" s="19"/>
    </row>
    <row r="969" hidden="1" spans="2:18">
      <c r="B969" s="33" t="s">
        <v>64</v>
      </c>
      <c r="C969" s="63">
        <v>45731</v>
      </c>
      <c r="D969" s="33" t="e">
        <f>VLOOKUP(B969,辅助信息!E:K,7,FALSE)</f>
        <v>#N/A</v>
      </c>
      <c r="E969" s="33" t="str">
        <f>VLOOKUP(F969,辅助信息!A:B,2,FALSE)</f>
        <v>螺纹钢</v>
      </c>
      <c r="F969" s="33" t="s">
        <v>27</v>
      </c>
      <c r="G969" s="29">
        <v>24</v>
      </c>
      <c r="H969" s="29" t="e">
        <f>_xlfn._xlws.FILTER('[1]2025年已发货'!$E:$E,'[1]2025年已发货'!$F:$F&amp;'[1]2025年已发货'!$C:$C&amp;'[1]2025年已发货'!$G:$G&amp;'[1]2025年已发货'!$H:$H=C969&amp;F969&amp;I969&amp;J969,"未发货")</f>
        <v>#N/A</v>
      </c>
      <c r="I969" s="33" t="e">
        <f>VLOOKUP(B969,辅助信息!E:I,3,FALSE)</f>
        <v>#N/A</v>
      </c>
      <c r="J969" s="33" t="e">
        <f>VLOOKUP(B969,辅助信息!E:I,4,FALSE)</f>
        <v>#N/A</v>
      </c>
      <c r="K969" s="33" t="e">
        <f>VLOOKUP(J969,辅助信息!H:I,2,FALSE)</f>
        <v>#N/A</v>
      </c>
      <c r="L969" s="70" t="e">
        <f>VLOOKUP(B969,辅助信息!E:J,6,FALSE)</f>
        <v>#N/A</v>
      </c>
      <c r="M969" s="97">
        <v>45733</v>
      </c>
      <c r="N969" s="36"/>
      <c r="O969" s="36">
        <f ca="1" t="shared" si="30"/>
        <v>0</v>
      </c>
      <c r="P969" s="36">
        <f ca="1" t="shared" si="31"/>
        <v>224</v>
      </c>
      <c r="Q969" s="33" t="e">
        <f>VLOOKUP(B969,辅助信息!E:M,9,FALSE)</f>
        <v>#N/A</v>
      </c>
      <c r="R969" s="19"/>
    </row>
    <row r="970" hidden="1" spans="2:18">
      <c r="B970" s="33" t="s">
        <v>64</v>
      </c>
      <c r="C970" s="63">
        <v>45731</v>
      </c>
      <c r="D970" s="33" t="e">
        <f>VLOOKUP(B970,辅助信息!E:K,7,FALSE)</f>
        <v>#N/A</v>
      </c>
      <c r="E970" s="33" t="str">
        <f>VLOOKUP(F970,辅助信息!A:B,2,FALSE)</f>
        <v>螺纹钢</v>
      </c>
      <c r="F970" s="33" t="s">
        <v>32</v>
      </c>
      <c r="G970" s="29">
        <v>12</v>
      </c>
      <c r="H970" s="29" t="e">
        <f>_xlfn._xlws.FILTER('[1]2025年已发货'!$E:$E,'[1]2025年已发货'!$F:$F&amp;'[1]2025年已发货'!$C:$C&amp;'[1]2025年已发货'!$G:$G&amp;'[1]2025年已发货'!$H:$H=C970&amp;F970&amp;I970&amp;J970,"未发货")</f>
        <v>#N/A</v>
      </c>
      <c r="I970" s="33" t="e">
        <f>VLOOKUP(B970,辅助信息!E:I,3,FALSE)</f>
        <v>#N/A</v>
      </c>
      <c r="J970" s="33" t="e">
        <f>VLOOKUP(B970,辅助信息!E:I,4,FALSE)</f>
        <v>#N/A</v>
      </c>
      <c r="K970" s="33" t="e">
        <f>VLOOKUP(J970,辅助信息!H:I,2,FALSE)</f>
        <v>#N/A</v>
      </c>
      <c r="L970" s="71"/>
      <c r="M970" s="97">
        <v>45733</v>
      </c>
      <c r="N970" s="36"/>
      <c r="O970" s="36">
        <f ca="1" t="shared" si="30"/>
        <v>0</v>
      </c>
      <c r="P970" s="36">
        <f ca="1" t="shared" si="31"/>
        <v>224</v>
      </c>
      <c r="Q970" s="33" t="e">
        <f>VLOOKUP(B970,辅助信息!E:M,9,FALSE)</f>
        <v>#N/A</v>
      </c>
      <c r="R970" s="19"/>
    </row>
    <row r="971" hidden="1" spans="2:18">
      <c r="B971" s="33" t="s">
        <v>64</v>
      </c>
      <c r="C971" s="63">
        <v>45731</v>
      </c>
      <c r="D971" s="33" t="e">
        <f>VLOOKUP(B971,辅助信息!E:K,7,FALSE)</f>
        <v>#N/A</v>
      </c>
      <c r="E971" s="33" t="str">
        <f>VLOOKUP(F971,辅助信息!A:B,2,FALSE)</f>
        <v>螺纹钢</v>
      </c>
      <c r="F971" s="33" t="s">
        <v>33</v>
      </c>
      <c r="G971" s="29">
        <v>6</v>
      </c>
      <c r="H971" s="29" t="e">
        <f>_xlfn._xlws.FILTER('[1]2025年已发货'!$E:$E,'[1]2025年已发货'!$F:$F&amp;'[1]2025年已发货'!$C:$C&amp;'[1]2025年已发货'!$G:$G&amp;'[1]2025年已发货'!$H:$H=C971&amp;F971&amp;I971&amp;J971,"未发货")</f>
        <v>#N/A</v>
      </c>
      <c r="I971" s="33" t="e">
        <f>VLOOKUP(B971,辅助信息!E:I,3,FALSE)</f>
        <v>#N/A</v>
      </c>
      <c r="J971" s="33" t="e">
        <f>VLOOKUP(B971,辅助信息!E:I,4,FALSE)</f>
        <v>#N/A</v>
      </c>
      <c r="K971" s="33" t="e">
        <f>VLOOKUP(J971,辅助信息!H:I,2,FALSE)</f>
        <v>#N/A</v>
      </c>
      <c r="L971" s="69"/>
      <c r="M971" s="97">
        <v>45733</v>
      </c>
      <c r="N971" s="36"/>
      <c r="O971" s="36">
        <f ca="1" t="shared" si="30"/>
        <v>0</v>
      </c>
      <c r="P971" s="36">
        <f ca="1" t="shared" si="31"/>
        <v>224</v>
      </c>
      <c r="Q971" s="33" t="e">
        <f>VLOOKUP(B971,辅助信息!E:M,9,FALSE)</f>
        <v>#N/A</v>
      </c>
      <c r="R971" s="19"/>
    </row>
    <row r="972" hidden="1" spans="2:18">
      <c r="B972" s="33" t="s">
        <v>74</v>
      </c>
      <c r="C972" s="63">
        <v>45731</v>
      </c>
      <c r="D972" s="33" t="e">
        <f>VLOOKUP(B972,辅助信息!E:K,7,FALSE)</f>
        <v>#N/A</v>
      </c>
      <c r="E972" s="33" t="str">
        <f>VLOOKUP(F972,辅助信息!A:B,2,FALSE)</f>
        <v>螺纹钢</v>
      </c>
      <c r="F972" s="33" t="s">
        <v>27</v>
      </c>
      <c r="G972" s="29">
        <v>15</v>
      </c>
      <c r="H972" s="29" t="e">
        <f>_xlfn._xlws.FILTER('[1]2025年已发货'!$E:$E,'[1]2025年已发货'!$F:$F&amp;'[1]2025年已发货'!$C:$C&amp;'[1]2025年已发货'!$G:$G&amp;'[1]2025年已发货'!$H:$H=C972&amp;F972&amp;I972&amp;J972,"未发货")</f>
        <v>#N/A</v>
      </c>
      <c r="I972" s="33" t="e">
        <f>VLOOKUP(B972,辅助信息!E:I,3,FALSE)</f>
        <v>#N/A</v>
      </c>
      <c r="J972" s="33" t="e">
        <f>VLOOKUP(B972,辅助信息!E:I,4,FALSE)</f>
        <v>#N/A</v>
      </c>
      <c r="K972" s="33" t="e">
        <f>VLOOKUP(J972,辅助信息!H:I,2,FALSE)</f>
        <v>#N/A</v>
      </c>
      <c r="L972" s="70" t="e">
        <f>VLOOKUP(B972,辅助信息!E:J,6,FALSE)</f>
        <v>#N/A</v>
      </c>
      <c r="M972" s="97">
        <v>45738</v>
      </c>
      <c r="N972" s="36"/>
      <c r="O972" s="36">
        <f ca="1" t="shared" si="30"/>
        <v>0</v>
      </c>
      <c r="P972" s="36">
        <f ca="1" t="shared" si="31"/>
        <v>219</v>
      </c>
      <c r="Q972" s="33" t="e">
        <f>VLOOKUP(B972,辅助信息!E:M,9,FALSE)</f>
        <v>#N/A</v>
      </c>
      <c r="R972" s="19"/>
    </row>
    <row r="973" hidden="1" spans="2:18">
      <c r="B973" s="33" t="s">
        <v>74</v>
      </c>
      <c r="C973" s="63">
        <v>45731</v>
      </c>
      <c r="D973" s="33" t="e">
        <f>VLOOKUP(B973,辅助信息!E:K,7,FALSE)</f>
        <v>#N/A</v>
      </c>
      <c r="E973" s="33" t="str">
        <f>VLOOKUP(F973,辅助信息!A:B,2,FALSE)</f>
        <v>螺纹钢</v>
      </c>
      <c r="F973" s="33" t="s">
        <v>19</v>
      </c>
      <c r="G973" s="29">
        <v>15</v>
      </c>
      <c r="H973" s="29" t="e">
        <f>_xlfn._xlws.FILTER('[1]2025年已发货'!$E:$E,'[1]2025年已发货'!$F:$F&amp;'[1]2025年已发货'!$C:$C&amp;'[1]2025年已发货'!$G:$G&amp;'[1]2025年已发货'!$H:$H=C973&amp;F973&amp;I973&amp;J973,"未发货")</f>
        <v>#N/A</v>
      </c>
      <c r="I973" s="33" t="e">
        <f>VLOOKUP(B973,辅助信息!E:I,3,FALSE)</f>
        <v>#N/A</v>
      </c>
      <c r="J973" s="33" t="e">
        <f>VLOOKUP(B973,辅助信息!E:I,4,FALSE)</f>
        <v>#N/A</v>
      </c>
      <c r="K973" s="33" t="e">
        <f>VLOOKUP(J973,辅助信息!H:I,2,FALSE)</f>
        <v>#N/A</v>
      </c>
      <c r="L973" s="71"/>
      <c r="M973" s="97">
        <v>45738</v>
      </c>
      <c r="N973" s="36"/>
      <c r="O973" s="36">
        <f ca="1" t="shared" si="30"/>
        <v>0</v>
      </c>
      <c r="P973" s="36">
        <f ca="1" t="shared" si="31"/>
        <v>219</v>
      </c>
      <c r="Q973" s="33" t="e">
        <f>VLOOKUP(B973,辅助信息!E:M,9,FALSE)</f>
        <v>#N/A</v>
      </c>
      <c r="R973" s="19"/>
    </row>
    <row r="974" hidden="1" spans="2:18">
      <c r="B974" s="33" t="s">
        <v>74</v>
      </c>
      <c r="C974" s="63">
        <v>45731</v>
      </c>
      <c r="D974" s="33" t="e">
        <f>VLOOKUP(B974,辅助信息!E:K,7,FALSE)</f>
        <v>#N/A</v>
      </c>
      <c r="E974" s="33" t="str">
        <f>VLOOKUP(F974,辅助信息!A:B,2,FALSE)</f>
        <v>螺纹钢</v>
      </c>
      <c r="F974" s="33" t="s">
        <v>32</v>
      </c>
      <c r="G974" s="29">
        <v>15</v>
      </c>
      <c r="H974" s="29" t="e">
        <f>_xlfn._xlws.FILTER('[1]2025年已发货'!$E:$E,'[1]2025年已发货'!$F:$F&amp;'[1]2025年已发货'!$C:$C&amp;'[1]2025年已发货'!$G:$G&amp;'[1]2025年已发货'!$H:$H=C974&amp;F974&amp;I974&amp;J974,"未发货")</f>
        <v>#N/A</v>
      </c>
      <c r="I974" s="33" t="e">
        <f>VLOOKUP(B974,辅助信息!E:I,3,FALSE)</f>
        <v>#N/A</v>
      </c>
      <c r="J974" s="33" t="e">
        <f>VLOOKUP(B974,辅助信息!E:I,4,FALSE)</f>
        <v>#N/A</v>
      </c>
      <c r="K974" s="33" t="e">
        <f>VLOOKUP(J974,辅助信息!H:I,2,FALSE)</f>
        <v>#N/A</v>
      </c>
      <c r="L974" s="71"/>
      <c r="M974" s="97">
        <v>45738</v>
      </c>
      <c r="N974" s="36"/>
      <c r="O974" s="36">
        <f ca="1" t="shared" si="30"/>
        <v>0</v>
      </c>
      <c r="P974" s="36">
        <f ca="1" t="shared" si="31"/>
        <v>219</v>
      </c>
      <c r="Q974" s="33" t="e">
        <f>VLOOKUP(B974,辅助信息!E:M,9,FALSE)</f>
        <v>#N/A</v>
      </c>
      <c r="R974" s="19"/>
    </row>
    <row r="975" hidden="1" spans="2:18">
      <c r="B975" s="33" t="s">
        <v>74</v>
      </c>
      <c r="C975" s="63">
        <v>45731</v>
      </c>
      <c r="D975" s="33" t="e">
        <f>VLOOKUP(B975,辅助信息!E:K,7,FALSE)</f>
        <v>#N/A</v>
      </c>
      <c r="E975" s="33" t="str">
        <f>VLOOKUP(F975,辅助信息!A:B,2,FALSE)</f>
        <v>螺纹钢</v>
      </c>
      <c r="F975" s="33" t="s">
        <v>65</v>
      </c>
      <c r="G975" s="29">
        <v>30</v>
      </c>
      <c r="H975" s="29" t="e">
        <f>_xlfn._xlws.FILTER('[1]2025年已发货'!$E:$E,'[1]2025年已发货'!$F:$F&amp;'[1]2025年已发货'!$C:$C&amp;'[1]2025年已发货'!$G:$G&amp;'[1]2025年已发货'!$H:$H=C975&amp;F975&amp;I975&amp;J975,"未发货")</f>
        <v>#N/A</v>
      </c>
      <c r="I975" s="33" t="e">
        <f>VLOOKUP(B975,辅助信息!E:I,3,FALSE)</f>
        <v>#N/A</v>
      </c>
      <c r="J975" s="33" t="e">
        <f>VLOOKUP(B975,辅助信息!E:I,4,FALSE)</f>
        <v>#N/A</v>
      </c>
      <c r="K975" s="33" t="e">
        <f>VLOOKUP(J975,辅助信息!H:I,2,FALSE)</f>
        <v>#N/A</v>
      </c>
      <c r="L975" s="69"/>
      <c r="M975" s="97">
        <v>45738</v>
      </c>
      <c r="N975" s="36"/>
      <c r="O975" s="36">
        <f ca="1" t="shared" si="30"/>
        <v>0</v>
      </c>
      <c r="P975" s="36">
        <f ca="1" t="shared" si="31"/>
        <v>219</v>
      </c>
      <c r="Q975" s="33" t="e">
        <f>VLOOKUP(B975,辅助信息!E:M,9,FALSE)</f>
        <v>#N/A</v>
      </c>
      <c r="R975" s="19"/>
    </row>
    <row r="976" hidden="1" spans="2:18">
      <c r="B976" s="33" t="s">
        <v>75</v>
      </c>
      <c r="C976" s="63">
        <v>45731</v>
      </c>
      <c r="D976" s="33" t="e">
        <f>VLOOKUP(B976,辅助信息!E:K,7,FALSE)</f>
        <v>#N/A</v>
      </c>
      <c r="E976" s="33" t="str">
        <f>VLOOKUP(F976,辅助信息!A:B,2,FALSE)</f>
        <v>盘螺</v>
      </c>
      <c r="F976" s="33" t="s">
        <v>26</v>
      </c>
      <c r="G976" s="29">
        <v>10</v>
      </c>
      <c r="H976" s="29" t="e">
        <f>_xlfn._xlws.FILTER('[1]2025年已发货'!$E:$E,'[1]2025年已发货'!$F:$F&amp;'[1]2025年已发货'!$C:$C&amp;'[1]2025年已发货'!$G:$G&amp;'[1]2025年已发货'!$H:$H=C976&amp;F976&amp;I976&amp;J976,"未发货")</f>
        <v>#N/A</v>
      </c>
      <c r="I976" s="33" t="e">
        <f>VLOOKUP(B976,辅助信息!E:I,3,FALSE)</f>
        <v>#N/A</v>
      </c>
      <c r="J976" s="33" t="e">
        <f>VLOOKUP(B976,辅助信息!E:I,4,FALSE)</f>
        <v>#N/A</v>
      </c>
      <c r="K976" s="33" t="e">
        <f>VLOOKUP(J976,辅助信息!H:I,2,FALSE)</f>
        <v>#N/A</v>
      </c>
      <c r="L976" s="70" t="e">
        <f>VLOOKUP(B976,辅助信息!E:J,6,FALSE)</f>
        <v>#N/A</v>
      </c>
      <c r="M976" s="97">
        <v>45733</v>
      </c>
      <c r="N976" s="36"/>
      <c r="O976" s="36">
        <f ca="1" t="shared" si="30"/>
        <v>0</v>
      </c>
      <c r="P976" s="36">
        <f ca="1" t="shared" si="31"/>
        <v>224</v>
      </c>
      <c r="Q976" s="33" t="e">
        <f>VLOOKUP(B976,辅助信息!E:M,9,FALSE)</f>
        <v>#N/A</v>
      </c>
      <c r="R976" s="19"/>
    </row>
    <row r="977" hidden="1" spans="2:18">
      <c r="B977" s="33" t="s">
        <v>75</v>
      </c>
      <c r="C977" s="63">
        <v>45731</v>
      </c>
      <c r="D977" s="33" t="e">
        <f>VLOOKUP(B977,辅助信息!E:K,7,FALSE)</f>
        <v>#N/A</v>
      </c>
      <c r="E977" s="33" t="str">
        <f>VLOOKUP(F977,辅助信息!A:B,2,FALSE)</f>
        <v>螺纹钢</v>
      </c>
      <c r="F977" s="33" t="s">
        <v>27</v>
      </c>
      <c r="G977" s="29">
        <v>10</v>
      </c>
      <c r="H977" s="29" t="e">
        <f>_xlfn._xlws.FILTER('[1]2025年已发货'!$E:$E,'[1]2025年已发货'!$F:$F&amp;'[1]2025年已发货'!$C:$C&amp;'[1]2025年已发货'!$G:$G&amp;'[1]2025年已发货'!$H:$H=C977&amp;F977&amp;I977&amp;J977,"未发货")</f>
        <v>#N/A</v>
      </c>
      <c r="I977" s="33" t="e">
        <f>VLOOKUP(B977,辅助信息!E:I,3,FALSE)</f>
        <v>#N/A</v>
      </c>
      <c r="J977" s="33" t="e">
        <f>VLOOKUP(B977,辅助信息!E:I,4,FALSE)</f>
        <v>#N/A</v>
      </c>
      <c r="K977" s="33" t="e">
        <f>VLOOKUP(J977,辅助信息!H:I,2,FALSE)</f>
        <v>#N/A</v>
      </c>
      <c r="L977" s="71"/>
      <c r="M977" s="97">
        <v>45733</v>
      </c>
      <c r="N977" s="36"/>
      <c r="O977" s="36">
        <f ca="1" t="shared" si="30"/>
        <v>0</v>
      </c>
      <c r="P977" s="36">
        <f ca="1" t="shared" si="31"/>
        <v>224</v>
      </c>
      <c r="Q977" s="33" t="e">
        <f>VLOOKUP(B977,辅助信息!E:M,9,FALSE)</f>
        <v>#N/A</v>
      </c>
      <c r="R977" s="19"/>
    </row>
    <row r="978" hidden="1" spans="2:18">
      <c r="B978" s="33" t="s">
        <v>75</v>
      </c>
      <c r="C978" s="63">
        <v>45731</v>
      </c>
      <c r="D978" s="33" t="e">
        <f>VLOOKUP(B978,辅助信息!E:K,7,FALSE)</f>
        <v>#N/A</v>
      </c>
      <c r="E978" s="33" t="str">
        <f>VLOOKUP(F978,辅助信息!A:B,2,FALSE)</f>
        <v>螺纹钢</v>
      </c>
      <c r="F978" s="33" t="s">
        <v>19</v>
      </c>
      <c r="G978" s="29">
        <v>12</v>
      </c>
      <c r="H978" s="29" t="e">
        <f>_xlfn._xlws.FILTER('[1]2025年已发货'!$E:$E,'[1]2025年已发货'!$F:$F&amp;'[1]2025年已发货'!$C:$C&amp;'[1]2025年已发货'!$G:$G&amp;'[1]2025年已发货'!$H:$H=C978&amp;F978&amp;I978&amp;J978,"未发货")</f>
        <v>#N/A</v>
      </c>
      <c r="I978" s="33" t="e">
        <f>VLOOKUP(B978,辅助信息!E:I,3,FALSE)</f>
        <v>#N/A</v>
      </c>
      <c r="J978" s="33" t="e">
        <f>VLOOKUP(B978,辅助信息!E:I,4,FALSE)</f>
        <v>#N/A</v>
      </c>
      <c r="K978" s="33" t="e">
        <f>VLOOKUP(J978,辅助信息!H:I,2,FALSE)</f>
        <v>#N/A</v>
      </c>
      <c r="L978" s="71"/>
      <c r="M978" s="97">
        <v>45733</v>
      </c>
      <c r="N978" s="36"/>
      <c r="O978" s="36">
        <f ca="1" t="shared" si="30"/>
        <v>0</v>
      </c>
      <c r="P978" s="36">
        <f ca="1" t="shared" si="31"/>
        <v>224</v>
      </c>
      <c r="Q978" s="33" t="e">
        <f>VLOOKUP(B978,辅助信息!E:M,9,FALSE)</f>
        <v>#N/A</v>
      </c>
      <c r="R978" s="19"/>
    </row>
    <row r="979" hidden="1" spans="2:18">
      <c r="B979" s="33" t="s">
        <v>75</v>
      </c>
      <c r="C979" s="63">
        <v>45731</v>
      </c>
      <c r="D979" s="33" t="e">
        <f>VLOOKUP(B979,辅助信息!E:K,7,FALSE)</f>
        <v>#N/A</v>
      </c>
      <c r="E979" s="33" t="str">
        <f>VLOOKUP(F979,辅助信息!A:B,2,FALSE)</f>
        <v>螺纹钢</v>
      </c>
      <c r="F979" s="33" t="s">
        <v>28</v>
      </c>
      <c r="G979" s="29">
        <v>9</v>
      </c>
      <c r="H979" s="29" t="e">
        <f>_xlfn._xlws.FILTER('[1]2025年已发货'!$E:$E,'[1]2025年已发货'!$F:$F&amp;'[1]2025年已发货'!$C:$C&amp;'[1]2025年已发货'!$G:$G&amp;'[1]2025年已发货'!$H:$H=C979&amp;F979&amp;I979&amp;J979,"未发货")</f>
        <v>#N/A</v>
      </c>
      <c r="I979" s="33" t="e">
        <f>VLOOKUP(B979,辅助信息!E:I,3,FALSE)</f>
        <v>#N/A</v>
      </c>
      <c r="J979" s="33" t="e">
        <f>VLOOKUP(B979,辅助信息!E:I,4,FALSE)</f>
        <v>#N/A</v>
      </c>
      <c r="K979" s="33" t="e">
        <f>VLOOKUP(J979,辅助信息!H:I,2,FALSE)</f>
        <v>#N/A</v>
      </c>
      <c r="L979" s="71"/>
      <c r="M979" s="97">
        <v>45733</v>
      </c>
      <c r="N979" s="36"/>
      <c r="O979" s="36">
        <f ca="1" t="shared" si="30"/>
        <v>0</v>
      </c>
      <c r="P979" s="36">
        <f ca="1" t="shared" si="31"/>
        <v>224</v>
      </c>
      <c r="Q979" s="33" t="e">
        <f>VLOOKUP(B979,辅助信息!E:M,9,FALSE)</f>
        <v>#N/A</v>
      </c>
      <c r="R979" s="19"/>
    </row>
    <row r="980" hidden="1" spans="2:18">
      <c r="B980" s="33" t="s">
        <v>75</v>
      </c>
      <c r="C980" s="63">
        <v>45731</v>
      </c>
      <c r="D980" s="33" t="e">
        <f>VLOOKUP(B980,辅助信息!E:K,7,FALSE)</f>
        <v>#N/A</v>
      </c>
      <c r="E980" s="33" t="str">
        <f>VLOOKUP(F980,辅助信息!A:B,2,FALSE)</f>
        <v>螺纹钢</v>
      </c>
      <c r="F980" s="33" t="s">
        <v>65</v>
      </c>
      <c r="G980" s="29">
        <v>50</v>
      </c>
      <c r="H980" s="29" t="e">
        <f>_xlfn._xlws.FILTER('[1]2025年已发货'!$E:$E,'[1]2025年已发货'!$F:$F&amp;'[1]2025年已发货'!$C:$C&amp;'[1]2025年已发货'!$G:$G&amp;'[1]2025年已发货'!$H:$H=C980&amp;F980&amp;I980&amp;J980,"未发货")</f>
        <v>#N/A</v>
      </c>
      <c r="I980" s="33" t="e">
        <f>VLOOKUP(B980,辅助信息!E:I,3,FALSE)</f>
        <v>#N/A</v>
      </c>
      <c r="J980" s="33" t="e">
        <f>VLOOKUP(B980,辅助信息!E:I,4,FALSE)</f>
        <v>#N/A</v>
      </c>
      <c r="K980" s="33" t="e">
        <f>VLOOKUP(J980,辅助信息!H:I,2,FALSE)</f>
        <v>#N/A</v>
      </c>
      <c r="L980" s="69"/>
      <c r="M980" s="97">
        <v>45733</v>
      </c>
      <c r="N980" s="36"/>
      <c r="O980" s="36">
        <f ca="1" t="shared" si="30"/>
        <v>0</v>
      </c>
      <c r="P980" s="36">
        <f ca="1" t="shared" si="31"/>
        <v>224</v>
      </c>
      <c r="Q980" s="33" t="e">
        <f>VLOOKUP(B980,辅助信息!E:M,9,FALSE)</f>
        <v>#N/A</v>
      </c>
      <c r="R980" s="19"/>
    </row>
    <row r="981" hidden="1" spans="2:18">
      <c r="B981" s="33" t="s">
        <v>87</v>
      </c>
      <c r="C981" s="63">
        <v>45731</v>
      </c>
      <c r="D981" s="33" t="e">
        <f>VLOOKUP(B981,辅助信息!E:K,7,FALSE)</f>
        <v>#N/A</v>
      </c>
      <c r="E981" s="33" t="str">
        <f>VLOOKUP(F981,辅助信息!A:B,2,FALSE)</f>
        <v>盘螺</v>
      </c>
      <c r="F981" s="33" t="s">
        <v>26</v>
      </c>
      <c r="G981" s="29">
        <v>10</v>
      </c>
      <c r="H981" s="29" t="e">
        <f>_xlfn._xlws.FILTER('[1]2025年已发货'!$E:$E,'[1]2025年已发货'!$F:$F&amp;'[1]2025年已发货'!$C:$C&amp;'[1]2025年已发货'!$G:$G&amp;'[1]2025年已发货'!$H:$H=C981&amp;F981&amp;I981&amp;J981,"未发货")</f>
        <v>#N/A</v>
      </c>
      <c r="I981" s="33" t="e">
        <f>VLOOKUP(B981,辅助信息!E:I,3,FALSE)</f>
        <v>#N/A</v>
      </c>
      <c r="J981" s="33" t="e">
        <f>VLOOKUP(B981,辅助信息!E:I,4,FALSE)</f>
        <v>#N/A</v>
      </c>
      <c r="K981" s="33" t="e">
        <f>VLOOKUP(J981,辅助信息!H:I,2,FALSE)</f>
        <v>#N/A</v>
      </c>
      <c r="L981" s="70" t="e">
        <f>VLOOKUP(B981,辅助信息!E:J,6,FALSE)</f>
        <v>#N/A</v>
      </c>
      <c r="M981" s="97">
        <v>45733</v>
      </c>
      <c r="N981" s="36"/>
      <c r="O981" s="36">
        <f ca="1" t="shared" si="30"/>
        <v>0</v>
      </c>
      <c r="P981" s="36">
        <f ca="1" t="shared" si="31"/>
        <v>224</v>
      </c>
      <c r="Q981" s="33" t="e">
        <f>VLOOKUP(B981,辅助信息!E:M,9,FALSE)</f>
        <v>#N/A</v>
      </c>
      <c r="R981" s="19"/>
    </row>
    <row r="982" hidden="1" spans="2:18">
      <c r="B982" s="33" t="s">
        <v>87</v>
      </c>
      <c r="C982" s="63">
        <v>45731</v>
      </c>
      <c r="D982" s="33" t="e">
        <f>VLOOKUP(B982,辅助信息!E:K,7,FALSE)</f>
        <v>#N/A</v>
      </c>
      <c r="E982" s="33" t="str">
        <f>VLOOKUP(F982,辅助信息!A:B,2,FALSE)</f>
        <v>螺纹钢</v>
      </c>
      <c r="F982" s="33" t="s">
        <v>27</v>
      </c>
      <c r="G982" s="29">
        <v>10</v>
      </c>
      <c r="H982" s="29" t="e">
        <f>_xlfn._xlws.FILTER('[1]2025年已发货'!$E:$E,'[1]2025年已发货'!$F:$F&amp;'[1]2025年已发货'!$C:$C&amp;'[1]2025年已发货'!$G:$G&amp;'[1]2025年已发货'!$H:$H=C982&amp;F982&amp;I982&amp;J982,"未发货")</f>
        <v>#N/A</v>
      </c>
      <c r="I982" s="33" t="e">
        <f>VLOOKUP(B982,辅助信息!E:I,3,FALSE)</f>
        <v>#N/A</v>
      </c>
      <c r="J982" s="33" t="e">
        <f>VLOOKUP(B982,辅助信息!E:I,4,FALSE)</f>
        <v>#N/A</v>
      </c>
      <c r="K982" s="33" t="e">
        <f>VLOOKUP(J982,辅助信息!H:I,2,FALSE)</f>
        <v>#N/A</v>
      </c>
      <c r="L982" s="71"/>
      <c r="M982" s="97">
        <v>45733</v>
      </c>
      <c r="N982" s="36"/>
      <c r="O982" s="36">
        <f ca="1" t="shared" si="30"/>
        <v>0</v>
      </c>
      <c r="P982" s="36">
        <f ca="1" t="shared" si="31"/>
        <v>224</v>
      </c>
      <c r="Q982" s="33" t="e">
        <f>VLOOKUP(B982,辅助信息!E:M,9,FALSE)</f>
        <v>#N/A</v>
      </c>
      <c r="R982" s="19"/>
    </row>
    <row r="983" hidden="1" spans="2:18">
      <c r="B983" s="33" t="s">
        <v>87</v>
      </c>
      <c r="C983" s="63">
        <v>45731</v>
      </c>
      <c r="D983" s="33" t="e">
        <f>VLOOKUP(B983,辅助信息!E:K,7,FALSE)</f>
        <v>#N/A</v>
      </c>
      <c r="E983" s="33" t="str">
        <f>VLOOKUP(F983,辅助信息!A:B,2,FALSE)</f>
        <v>螺纹钢</v>
      </c>
      <c r="F983" s="33" t="s">
        <v>19</v>
      </c>
      <c r="G983" s="29">
        <v>10</v>
      </c>
      <c r="H983" s="29" t="e">
        <f>_xlfn._xlws.FILTER('[1]2025年已发货'!$E:$E,'[1]2025年已发货'!$F:$F&amp;'[1]2025年已发货'!$C:$C&amp;'[1]2025年已发货'!$G:$G&amp;'[1]2025年已发货'!$H:$H=C983&amp;F983&amp;I983&amp;J983,"未发货")</f>
        <v>#N/A</v>
      </c>
      <c r="I983" s="33" t="e">
        <f>VLOOKUP(B983,辅助信息!E:I,3,FALSE)</f>
        <v>#N/A</v>
      </c>
      <c r="J983" s="33" t="e">
        <f>VLOOKUP(B983,辅助信息!E:I,4,FALSE)</f>
        <v>#N/A</v>
      </c>
      <c r="K983" s="33" t="e">
        <f>VLOOKUP(J983,辅助信息!H:I,2,FALSE)</f>
        <v>#N/A</v>
      </c>
      <c r="L983" s="71"/>
      <c r="M983" s="97">
        <v>45733</v>
      </c>
      <c r="N983" s="36"/>
      <c r="O983" s="36">
        <f ca="1" t="shared" si="30"/>
        <v>0</v>
      </c>
      <c r="P983" s="36">
        <f ca="1" t="shared" si="31"/>
        <v>224</v>
      </c>
      <c r="Q983" s="33" t="e">
        <f>VLOOKUP(B983,辅助信息!E:M,9,FALSE)</f>
        <v>#N/A</v>
      </c>
      <c r="R983" s="19"/>
    </row>
    <row r="984" hidden="1" spans="2:18">
      <c r="B984" s="33" t="s">
        <v>87</v>
      </c>
      <c r="C984" s="63">
        <v>45731</v>
      </c>
      <c r="D984" s="33" t="e">
        <f>VLOOKUP(B984,辅助信息!E:K,7,FALSE)</f>
        <v>#N/A</v>
      </c>
      <c r="E984" s="33" t="str">
        <f>VLOOKUP(F984,辅助信息!A:B,2,FALSE)</f>
        <v>螺纹钢</v>
      </c>
      <c r="F984" s="33" t="s">
        <v>28</v>
      </c>
      <c r="G984" s="29">
        <v>10</v>
      </c>
      <c r="H984" s="29" t="e">
        <f>_xlfn._xlws.FILTER('[1]2025年已发货'!$E:$E,'[1]2025年已发货'!$F:$F&amp;'[1]2025年已发货'!$C:$C&amp;'[1]2025年已发货'!$G:$G&amp;'[1]2025年已发货'!$H:$H=C984&amp;F984&amp;I984&amp;J984,"未发货")</f>
        <v>#N/A</v>
      </c>
      <c r="I984" s="33" t="e">
        <f>VLOOKUP(B984,辅助信息!E:I,3,FALSE)</f>
        <v>#N/A</v>
      </c>
      <c r="J984" s="33" t="e">
        <f>VLOOKUP(B984,辅助信息!E:I,4,FALSE)</f>
        <v>#N/A</v>
      </c>
      <c r="K984" s="33" t="e">
        <f>VLOOKUP(J984,辅助信息!H:I,2,FALSE)</f>
        <v>#N/A</v>
      </c>
      <c r="L984" s="71"/>
      <c r="M984" s="97">
        <v>45733</v>
      </c>
      <c r="N984" s="36"/>
      <c r="O984" s="36">
        <f ca="1" t="shared" si="30"/>
        <v>0</v>
      </c>
      <c r="P984" s="36">
        <f ca="1" t="shared" si="31"/>
        <v>224</v>
      </c>
      <c r="Q984" s="33" t="e">
        <f>VLOOKUP(B984,辅助信息!E:M,9,FALSE)</f>
        <v>#N/A</v>
      </c>
      <c r="R984" s="19"/>
    </row>
    <row r="985" hidden="1" spans="2:18">
      <c r="B985" s="33" t="s">
        <v>87</v>
      </c>
      <c r="C985" s="63">
        <v>45731</v>
      </c>
      <c r="D985" s="33" t="e">
        <f>VLOOKUP(B985,辅助信息!E:K,7,FALSE)</f>
        <v>#N/A</v>
      </c>
      <c r="E985" s="33" t="str">
        <f>VLOOKUP(F985,辅助信息!A:B,2,FALSE)</f>
        <v>螺纹钢</v>
      </c>
      <c r="F985" s="33" t="s">
        <v>65</v>
      </c>
      <c r="G985" s="29">
        <v>30</v>
      </c>
      <c r="H985" s="29" t="e">
        <f>_xlfn._xlws.FILTER('[1]2025年已发货'!$E:$E,'[1]2025年已发货'!$F:$F&amp;'[1]2025年已发货'!$C:$C&amp;'[1]2025年已发货'!$G:$G&amp;'[1]2025年已发货'!$H:$H=C985&amp;F985&amp;I985&amp;J985,"未发货")</f>
        <v>#N/A</v>
      </c>
      <c r="I985" s="33" t="e">
        <f>VLOOKUP(B985,辅助信息!E:I,3,FALSE)</f>
        <v>#N/A</v>
      </c>
      <c r="J985" s="33" t="e">
        <f>VLOOKUP(B985,辅助信息!E:I,4,FALSE)</f>
        <v>#N/A</v>
      </c>
      <c r="K985" s="33" t="e">
        <f>VLOOKUP(J985,辅助信息!H:I,2,FALSE)</f>
        <v>#N/A</v>
      </c>
      <c r="L985" s="71"/>
      <c r="M985" s="97">
        <v>45733</v>
      </c>
      <c r="N985" s="36"/>
      <c r="O985" s="36">
        <f ca="1" t="shared" si="30"/>
        <v>0</v>
      </c>
      <c r="P985" s="36">
        <f ca="1" t="shared" si="31"/>
        <v>224</v>
      </c>
      <c r="Q985" s="33" t="e">
        <f>VLOOKUP(B985,辅助信息!E:M,9,FALSE)</f>
        <v>#N/A</v>
      </c>
      <c r="R985" s="19"/>
    </row>
    <row r="986" hidden="1" spans="2:18">
      <c r="B986" s="33" t="s">
        <v>87</v>
      </c>
      <c r="C986" s="63">
        <v>45731</v>
      </c>
      <c r="D986" s="33" t="e">
        <f>VLOOKUP(B986,辅助信息!E:K,7,FALSE)</f>
        <v>#N/A</v>
      </c>
      <c r="E986" s="33" t="str">
        <f>VLOOKUP(F986,辅助信息!A:B,2,FALSE)</f>
        <v>螺纹钢</v>
      </c>
      <c r="F986" s="33" t="s">
        <v>52</v>
      </c>
      <c r="G986" s="29">
        <v>30</v>
      </c>
      <c r="H986" s="29" t="e">
        <f>_xlfn._xlws.FILTER('[1]2025年已发货'!$E:$E,'[1]2025年已发货'!$F:$F&amp;'[1]2025年已发货'!$C:$C&amp;'[1]2025年已发货'!$G:$G&amp;'[1]2025年已发货'!$H:$H=C986&amp;F986&amp;I986&amp;J986,"未发货")</f>
        <v>#N/A</v>
      </c>
      <c r="I986" s="33" t="e">
        <f>VLOOKUP(B986,辅助信息!E:I,3,FALSE)</f>
        <v>#N/A</v>
      </c>
      <c r="J986" s="33" t="e">
        <f>VLOOKUP(B986,辅助信息!E:I,4,FALSE)</f>
        <v>#N/A</v>
      </c>
      <c r="K986" s="33" t="e">
        <f>VLOOKUP(J986,辅助信息!H:I,2,FALSE)</f>
        <v>#N/A</v>
      </c>
      <c r="L986" s="69"/>
      <c r="M986" s="97">
        <v>45733</v>
      </c>
      <c r="N986" s="36"/>
      <c r="O986" s="36">
        <f ca="1" t="shared" si="30"/>
        <v>0</v>
      </c>
      <c r="P986" s="36">
        <f ca="1" t="shared" si="31"/>
        <v>224</v>
      </c>
      <c r="Q986" s="33" t="e">
        <f>VLOOKUP(B986,辅助信息!E:M,9,FALSE)</f>
        <v>#N/A</v>
      </c>
      <c r="R986" s="19"/>
    </row>
    <row r="987" hidden="1" spans="2:18">
      <c r="B987" s="33" t="s">
        <v>108</v>
      </c>
      <c r="C987" s="63">
        <v>45731</v>
      </c>
      <c r="D987" s="33" t="e">
        <f>VLOOKUP(B987,辅助信息!E:K,7,FALSE)</f>
        <v>#N/A</v>
      </c>
      <c r="E987" s="33" t="str">
        <f>VLOOKUP(F987,辅助信息!A:B,2,FALSE)</f>
        <v>螺纹钢</v>
      </c>
      <c r="F987" s="33" t="s">
        <v>27</v>
      </c>
      <c r="G987" s="29">
        <v>7</v>
      </c>
      <c r="H987" s="29" t="e">
        <f>_xlfn._xlws.FILTER('[1]2025年已发货'!$E:$E,'[1]2025年已发货'!$F:$F&amp;'[1]2025年已发货'!$C:$C&amp;'[1]2025年已发货'!$G:$G&amp;'[1]2025年已发货'!$H:$H=C987&amp;F987&amp;I987&amp;J987,"未发货")</f>
        <v>#N/A</v>
      </c>
      <c r="I987" s="33" t="e">
        <f>VLOOKUP(B987,辅助信息!E:I,3,FALSE)</f>
        <v>#N/A</v>
      </c>
      <c r="J987" s="33" t="e">
        <f>VLOOKUP(B987,辅助信息!E:I,4,FALSE)</f>
        <v>#N/A</v>
      </c>
      <c r="K987" s="33" t="e">
        <f>VLOOKUP(J987,辅助信息!H:I,2,FALSE)</f>
        <v>#N/A</v>
      </c>
      <c r="L987" s="70" t="e">
        <f>VLOOKUP(B987,辅助信息!E:J,6,FALSE)</f>
        <v>#N/A</v>
      </c>
      <c r="M987" s="97">
        <v>45733</v>
      </c>
      <c r="N987" s="36"/>
      <c r="O987" s="36">
        <f ca="1" t="shared" si="30"/>
        <v>0</v>
      </c>
      <c r="P987" s="36">
        <f ca="1" t="shared" si="31"/>
        <v>224</v>
      </c>
      <c r="Q987" s="33" t="e">
        <f>VLOOKUP(B987,辅助信息!E:M,9,FALSE)</f>
        <v>#N/A</v>
      </c>
      <c r="R987" s="19"/>
    </row>
    <row r="988" hidden="1" spans="2:18">
      <c r="B988" s="33" t="s">
        <v>108</v>
      </c>
      <c r="C988" s="63">
        <v>45731</v>
      </c>
      <c r="D988" s="33" t="e">
        <f>VLOOKUP(B988,辅助信息!E:K,7,FALSE)</f>
        <v>#N/A</v>
      </c>
      <c r="E988" s="33" t="str">
        <f>VLOOKUP(F988,辅助信息!A:B,2,FALSE)</f>
        <v>螺纹钢</v>
      </c>
      <c r="F988" s="33" t="s">
        <v>32</v>
      </c>
      <c r="G988" s="29">
        <v>3</v>
      </c>
      <c r="H988" s="29" t="e">
        <f>_xlfn._xlws.FILTER('[1]2025年已发货'!$E:$E,'[1]2025年已发货'!$F:$F&amp;'[1]2025年已发货'!$C:$C&amp;'[1]2025年已发货'!$G:$G&amp;'[1]2025年已发货'!$H:$H=C988&amp;F988&amp;I988&amp;J988,"未发货")</f>
        <v>#N/A</v>
      </c>
      <c r="I988" s="33" t="e">
        <f>VLOOKUP(B988,辅助信息!E:I,3,FALSE)</f>
        <v>#N/A</v>
      </c>
      <c r="J988" s="33" t="e">
        <f>VLOOKUP(B988,辅助信息!E:I,4,FALSE)</f>
        <v>#N/A</v>
      </c>
      <c r="K988" s="33" t="e">
        <f>VLOOKUP(J988,辅助信息!H:I,2,FALSE)</f>
        <v>#N/A</v>
      </c>
      <c r="L988" s="71"/>
      <c r="M988" s="97">
        <v>45733</v>
      </c>
      <c r="N988" s="36"/>
      <c r="O988" s="36">
        <f ca="1" t="shared" si="30"/>
        <v>0</v>
      </c>
      <c r="P988" s="36">
        <f ca="1" t="shared" si="31"/>
        <v>224</v>
      </c>
      <c r="Q988" s="33" t="e">
        <f>VLOOKUP(B988,辅助信息!E:M,9,FALSE)</f>
        <v>#N/A</v>
      </c>
      <c r="R988" s="19"/>
    </row>
    <row r="989" hidden="1" spans="2:18">
      <c r="B989" s="33" t="s">
        <v>108</v>
      </c>
      <c r="C989" s="63">
        <v>45731</v>
      </c>
      <c r="D989" s="33" t="e">
        <f>VLOOKUP(B989,辅助信息!E:K,7,FALSE)</f>
        <v>#N/A</v>
      </c>
      <c r="E989" s="33" t="str">
        <f>VLOOKUP(F989,辅助信息!A:B,2,FALSE)</f>
        <v>螺纹钢</v>
      </c>
      <c r="F989" s="33" t="s">
        <v>33</v>
      </c>
      <c r="G989" s="29">
        <v>3</v>
      </c>
      <c r="H989" s="29" t="e">
        <f>_xlfn._xlws.FILTER('[1]2025年已发货'!$E:$E,'[1]2025年已发货'!$F:$F&amp;'[1]2025年已发货'!$C:$C&amp;'[1]2025年已发货'!$G:$G&amp;'[1]2025年已发货'!$H:$H=C989&amp;F989&amp;I989&amp;J989,"未发货")</f>
        <v>#N/A</v>
      </c>
      <c r="I989" s="33" t="e">
        <f>VLOOKUP(B989,辅助信息!E:I,3,FALSE)</f>
        <v>#N/A</v>
      </c>
      <c r="J989" s="33" t="e">
        <f>VLOOKUP(B989,辅助信息!E:I,4,FALSE)</f>
        <v>#N/A</v>
      </c>
      <c r="K989" s="33" t="e">
        <f>VLOOKUP(J989,辅助信息!H:I,2,FALSE)</f>
        <v>#N/A</v>
      </c>
      <c r="L989" s="71"/>
      <c r="M989" s="97">
        <v>45733</v>
      </c>
      <c r="N989" s="36"/>
      <c r="O989" s="36">
        <f ca="1" t="shared" si="30"/>
        <v>0</v>
      </c>
      <c r="P989" s="36">
        <f ca="1" t="shared" si="31"/>
        <v>224</v>
      </c>
      <c r="Q989" s="33" t="e">
        <f>VLOOKUP(B989,辅助信息!E:M,9,FALSE)</f>
        <v>#N/A</v>
      </c>
      <c r="R989" s="19"/>
    </row>
    <row r="990" hidden="1" spans="2:18">
      <c r="B990" s="33" t="s">
        <v>108</v>
      </c>
      <c r="C990" s="63">
        <v>45731</v>
      </c>
      <c r="D990" s="33" t="e">
        <f>VLOOKUP(B990,辅助信息!E:K,7,FALSE)</f>
        <v>#N/A</v>
      </c>
      <c r="E990" s="33" t="str">
        <f>VLOOKUP(F990,辅助信息!A:B,2,FALSE)</f>
        <v>螺纹钢</v>
      </c>
      <c r="F990" s="33" t="s">
        <v>52</v>
      </c>
      <c r="G990" s="29">
        <v>46</v>
      </c>
      <c r="H990" s="29" t="e">
        <f>_xlfn._xlws.FILTER('[1]2025年已发货'!$E:$E,'[1]2025年已发货'!$F:$F&amp;'[1]2025年已发货'!$C:$C&amp;'[1]2025年已发货'!$G:$G&amp;'[1]2025年已发货'!$H:$H=C990&amp;F990&amp;I990&amp;J990,"未发货")</f>
        <v>#N/A</v>
      </c>
      <c r="I990" s="33" t="e">
        <f>VLOOKUP(B990,辅助信息!E:I,3,FALSE)</f>
        <v>#N/A</v>
      </c>
      <c r="J990" s="33" t="e">
        <f>VLOOKUP(B990,辅助信息!E:I,4,FALSE)</f>
        <v>#N/A</v>
      </c>
      <c r="K990" s="33" t="e">
        <f>VLOOKUP(J990,辅助信息!H:I,2,FALSE)</f>
        <v>#N/A</v>
      </c>
      <c r="L990" s="69"/>
      <c r="M990" s="97">
        <v>45733</v>
      </c>
      <c r="N990" s="36"/>
      <c r="O990" s="36">
        <f ca="1" t="shared" si="30"/>
        <v>0</v>
      </c>
      <c r="P990" s="36">
        <f ca="1" t="shared" si="31"/>
        <v>224</v>
      </c>
      <c r="Q990" s="33" t="e">
        <f>VLOOKUP(B990,辅助信息!E:M,9,FALSE)</f>
        <v>#N/A</v>
      </c>
      <c r="R990" s="19"/>
    </row>
    <row r="991" hidden="1" spans="2:18">
      <c r="B991" s="33" t="s">
        <v>106</v>
      </c>
      <c r="C991" s="63">
        <v>45731</v>
      </c>
      <c r="D991" s="33" t="str">
        <f>VLOOKUP(B991,辅助信息!E:K,7,FALSE)</f>
        <v>JWDDCD2024101600133</v>
      </c>
      <c r="E991" s="33" t="str">
        <f>VLOOKUP(F991,辅助信息!A:B,2,FALSE)</f>
        <v>高线</v>
      </c>
      <c r="F991" s="33" t="s">
        <v>51</v>
      </c>
      <c r="G991" s="29">
        <v>3</v>
      </c>
      <c r="H991" s="29">
        <f>_xlfn._xlws.FILTER('[1]2025年已发货'!$E:$E,'[1]2025年已发货'!$F:$F&amp;'[1]2025年已发货'!$C:$C&amp;'[1]2025年已发货'!$G:$G&amp;'[1]2025年已发货'!$H:$H=C991&amp;F991&amp;I991&amp;J991,"未发货")</f>
        <v>3</v>
      </c>
      <c r="I991" s="33" t="str">
        <f>VLOOKUP(B991,辅助信息!E:I,3,FALSE)</f>
        <v>（五冶钢构宜宾高县月江镇建设项目）  四川省宜宾市高县月江镇刚记超市斜对面(还阳组团沪碳二期项目)</v>
      </c>
      <c r="J991" s="33" t="str">
        <f>VLOOKUP(B991,辅助信息!E:I,4,FALSE)</f>
        <v>张朝亮</v>
      </c>
      <c r="K991" s="33">
        <f>VLOOKUP(J991,辅助信息!H:I,2,FALSE)</f>
        <v>15228205853</v>
      </c>
      <c r="L991" s="70" t="str">
        <f>VLOOKUP(B991,辅助信息!E:J,6,FALSE)</f>
        <v>提前联系到场规格</v>
      </c>
      <c r="M991" s="97">
        <v>45733</v>
      </c>
      <c r="N991" s="36"/>
      <c r="O991" s="36">
        <f ca="1" t="shared" si="30"/>
        <v>0</v>
      </c>
      <c r="P991" s="36">
        <f ca="1" t="shared" si="31"/>
        <v>224</v>
      </c>
      <c r="Q991" s="33" t="str">
        <f>VLOOKUP(B991,辅助信息!E:M,9,FALSE)</f>
        <v>ZTWM-CDGS-XS-2024-0169-中冶西部钢构-宜宾市南溪区幸福路东路,高县月江镇建设项目</v>
      </c>
      <c r="R991" s="19"/>
    </row>
    <row r="992" hidden="1" spans="2:18">
      <c r="B992" s="33" t="s">
        <v>106</v>
      </c>
      <c r="C992" s="63">
        <v>45731</v>
      </c>
      <c r="D992" s="33" t="str">
        <f>VLOOKUP(B992,辅助信息!E:K,7,FALSE)</f>
        <v>JWDDCD2024101600133</v>
      </c>
      <c r="E992" s="33" t="str">
        <f>VLOOKUP(F992,辅助信息!A:B,2,FALSE)</f>
        <v>螺纹钢</v>
      </c>
      <c r="F992" s="33" t="s">
        <v>27</v>
      </c>
      <c r="G992" s="29">
        <v>3</v>
      </c>
      <c r="H992" s="29">
        <f>_xlfn._xlws.FILTER('[1]2025年已发货'!$E:$E,'[1]2025年已发货'!$F:$F&amp;'[1]2025年已发货'!$C:$C&amp;'[1]2025年已发货'!$G:$G&amp;'[1]2025年已发货'!$H:$H=C992&amp;F992&amp;I992&amp;J992,"未发货")</f>
        <v>3</v>
      </c>
      <c r="I992" s="33" t="str">
        <f>VLOOKUP(B992,辅助信息!E:I,3,FALSE)</f>
        <v>（五冶钢构宜宾高县月江镇建设项目）  四川省宜宾市高县月江镇刚记超市斜对面(还阳组团沪碳二期项目)</v>
      </c>
      <c r="J992" s="33" t="str">
        <f>VLOOKUP(B992,辅助信息!E:I,4,FALSE)</f>
        <v>张朝亮</v>
      </c>
      <c r="K992" s="33">
        <f>VLOOKUP(J992,辅助信息!H:I,2,FALSE)</f>
        <v>15228205853</v>
      </c>
      <c r="L992" s="71"/>
      <c r="M992" s="97">
        <v>45733</v>
      </c>
      <c r="N992" s="36"/>
      <c r="O992" s="36">
        <f ca="1" t="shared" si="30"/>
        <v>0</v>
      </c>
      <c r="P992" s="36">
        <f ca="1" t="shared" si="31"/>
        <v>224</v>
      </c>
      <c r="Q992" s="33" t="str">
        <f>VLOOKUP(B992,辅助信息!E:M,9,FALSE)</f>
        <v>ZTWM-CDGS-XS-2024-0169-中冶西部钢构-宜宾市南溪区幸福路东路,高县月江镇建设项目</v>
      </c>
      <c r="R992" s="19"/>
    </row>
    <row r="993" hidden="1" spans="2:18">
      <c r="B993" s="33" t="s">
        <v>106</v>
      </c>
      <c r="C993" s="63">
        <v>45731</v>
      </c>
      <c r="D993" s="33" t="str">
        <f>VLOOKUP(B993,辅助信息!E:K,7,FALSE)</f>
        <v>JWDDCD2024101600133</v>
      </c>
      <c r="E993" s="33" t="str">
        <f>VLOOKUP(F993,辅助信息!A:B,2,FALSE)</f>
        <v>螺纹钢</v>
      </c>
      <c r="F993" s="33" t="s">
        <v>32</v>
      </c>
      <c r="G993" s="29">
        <v>12</v>
      </c>
      <c r="H993" s="29">
        <f>_xlfn._xlws.FILTER('[1]2025年已发货'!$E:$E,'[1]2025年已发货'!$F:$F&amp;'[1]2025年已发货'!$C:$C&amp;'[1]2025年已发货'!$G:$G&amp;'[1]2025年已发货'!$H:$H=C993&amp;F993&amp;I993&amp;J993,"未发货")</f>
        <v>12</v>
      </c>
      <c r="I993" s="33" t="str">
        <f>VLOOKUP(B993,辅助信息!E:I,3,FALSE)</f>
        <v>（五冶钢构宜宾高县月江镇建设项目）  四川省宜宾市高县月江镇刚记超市斜对面(还阳组团沪碳二期项目)</v>
      </c>
      <c r="J993" s="33" t="str">
        <f>VLOOKUP(B993,辅助信息!E:I,4,FALSE)</f>
        <v>张朝亮</v>
      </c>
      <c r="K993" s="33">
        <f>VLOOKUP(J993,辅助信息!H:I,2,FALSE)</f>
        <v>15228205853</v>
      </c>
      <c r="L993" s="71"/>
      <c r="M993" s="97">
        <v>45733</v>
      </c>
      <c r="N993" s="36"/>
      <c r="O993" s="36">
        <f ca="1" t="shared" si="30"/>
        <v>0</v>
      </c>
      <c r="P993" s="36">
        <f ca="1" t="shared" si="31"/>
        <v>224</v>
      </c>
      <c r="Q993" s="33" t="str">
        <f>VLOOKUP(B993,辅助信息!E:M,9,FALSE)</f>
        <v>ZTWM-CDGS-XS-2024-0169-中冶西部钢构-宜宾市南溪区幸福路东路,高县月江镇建设项目</v>
      </c>
      <c r="R993" s="19"/>
    </row>
    <row r="994" hidden="1" spans="2:18">
      <c r="B994" s="33" t="s">
        <v>106</v>
      </c>
      <c r="C994" s="63">
        <v>45731</v>
      </c>
      <c r="D994" s="33" t="str">
        <f>VLOOKUP(B994,辅助信息!E:K,7,FALSE)</f>
        <v>JWDDCD2024101600133</v>
      </c>
      <c r="E994" s="33" t="str">
        <f>VLOOKUP(F994,辅助信息!A:B,2,FALSE)</f>
        <v>螺纹钢</v>
      </c>
      <c r="F994" s="33" t="s">
        <v>28</v>
      </c>
      <c r="G994" s="29">
        <v>18</v>
      </c>
      <c r="H994" s="29">
        <f>_xlfn._xlws.FILTER('[1]2025年已发货'!$E:$E,'[1]2025年已发货'!$F:$F&amp;'[1]2025年已发货'!$C:$C&amp;'[1]2025年已发货'!$G:$G&amp;'[1]2025年已发货'!$H:$H=C994&amp;F994&amp;I994&amp;J994,"未发货")</f>
        <v>18</v>
      </c>
      <c r="I994" s="33" t="str">
        <f>VLOOKUP(B994,辅助信息!E:I,3,FALSE)</f>
        <v>（五冶钢构宜宾高县月江镇建设项目）  四川省宜宾市高县月江镇刚记超市斜对面(还阳组团沪碳二期项目)</v>
      </c>
      <c r="J994" s="33" t="str">
        <f>VLOOKUP(B994,辅助信息!E:I,4,FALSE)</f>
        <v>张朝亮</v>
      </c>
      <c r="K994" s="33">
        <f>VLOOKUP(J994,辅助信息!H:I,2,FALSE)</f>
        <v>15228205853</v>
      </c>
      <c r="L994" s="69"/>
      <c r="M994" s="97">
        <v>45733</v>
      </c>
      <c r="N994" s="36"/>
      <c r="O994" s="36">
        <f ca="1" t="shared" ref="O994:O1000" si="32">IF(OR(M994="",N994&lt;&gt;""),"",MAX(M994-TODAY(),0))</f>
        <v>0</v>
      </c>
      <c r="P994" s="36">
        <f ca="1" t="shared" ref="P994:P1000" si="33">IF(M994="","",IF(N994&lt;&gt;"",MAX(N994-M994,0),IF(TODAY()&gt;M994,TODAY()-M994,0)))</f>
        <v>224</v>
      </c>
      <c r="Q994" s="33" t="str">
        <f>VLOOKUP(B994,辅助信息!E:M,9,FALSE)</f>
        <v>ZTWM-CDGS-XS-2024-0169-中冶西部钢构-宜宾市南溪区幸福路东路,高县月江镇建设项目</v>
      </c>
      <c r="R994" s="19"/>
    </row>
    <row r="995" ht="56.25" hidden="1" customHeight="1" spans="2:18">
      <c r="B995" s="33" t="s">
        <v>54</v>
      </c>
      <c r="C995" s="63">
        <v>45731</v>
      </c>
      <c r="D995" s="33" t="e">
        <f>VLOOKUP(B995,辅助信息!E:K,7,FALSE)</f>
        <v>#N/A</v>
      </c>
      <c r="E995" s="33" t="str">
        <f>VLOOKUP(F995,辅助信息!A:B,2,FALSE)</f>
        <v>螺纹钢</v>
      </c>
      <c r="F995" s="33" t="s">
        <v>32</v>
      </c>
      <c r="G995" s="29">
        <v>35</v>
      </c>
      <c r="H995" s="29" t="e">
        <f>_xlfn._xlws.FILTER('[1]2025年已发货'!$E:$E,'[1]2025年已发货'!$F:$F&amp;'[1]2025年已发货'!$C:$C&amp;'[1]2025年已发货'!$G:$G&amp;'[1]2025年已发货'!$H:$H=C995&amp;F995&amp;I995&amp;J995,"未发货")</f>
        <v>#N/A</v>
      </c>
      <c r="I995" s="33" t="e">
        <f>VLOOKUP(B995,辅助信息!E:I,3,FALSE)</f>
        <v>#N/A</v>
      </c>
      <c r="J995" s="33" t="e">
        <f>VLOOKUP(B995,辅助信息!E:I,4,FALSE)</f>
        <v>#N/A</v>
      </c>
      <c r="K995" s="33" t="e">
        <f>VLOOKUP(J995,辅助信息!H:I,2,FALSE)</f>
        <v>#N/A</v>
      </c>
      <c r="L995" s="79" t="e">
        <f>VLOOKUP(B995,辅助信息!E:J,6,FALSE)</f>
        <v>#N/A</v>
      </c>
      <c r="M995" s="97">
        <v>45734</v>
      </c>
      <c r="N995" s="36"/>
      <c r="O995" s="36">
        <f ca="1" t="shared" si="32"/>
        <v>0</v>
      </c>
      <c r="P995" s="36">
        <f ca="1" t="shared" si="33"/>
        <v>223</v>
      </c>
      <c r="Q995" s="33" t="e">
        <f>VLOOKUP(B995,辅助信息!E:M,9,FALSE)</f>
        <v>#N/A</v>
      </c>
      <c r="R995" s="19"/>
    </row>
    <row r="996" hidden="1" spans="2:18">
      <c r="B996" s="33" t="s">
        <v>69</v>
      </c>
      <c r="C996" s="63">
        <v>45740</v>
      </c>
      <c r="D996" s="33" t="str">
        <f>VLOOKUP(B996,辅助信息!E:K,7,FALSE)</f>
        <v>JWDDCD2025052800131</v>
      </c>
      <c r="E996" s="33" t="str">
        <f>VLOOKUP(F996,辅助信息!A:B,2,FALSE)</f>
        <v>盘螺</v>
      </c>
      <c r="F996" s="33" t="s">
        <v>40</v>
      </c>
      <c r="G996" s="29">
        <v>30</v>
      </c>
      <c r="H996" s="96">
        <f>_xlfn.XLOOKUP(C996&amp;F996&amp;I996&amp;J996,'[1]2025年已发货'!$F:$F&amp;'[1]2025年已发货'!$C:$C&amp;'[1]2025年已发货'!$G:$G&amp;'[1]2025年已发货'!$H:$H,'[1]2025年已发货'!$E:$E,"未发货")</f>
        <v>27</v>
      </c>
      <c r="I996" s="33" t="str">
        <f>VLOOKUP(B996,辅助信息!E:I,3,FALSE)</f>
        <v>（商投建工达州中医药科技园-4工区-2号楼）达州市通川区达州中医药职业学院犀牛大道北段</v>
      </c>
      <c r="J996" s="33" t="str">
        <f>VLOOKUP(B996,辅助信息!E:I,4,FALSE)</f>
        <v>张扬</v>
      </c>
      <c r="K996" s="33">
        <f>VLOOKUP(J996,辅助信息!H:I,2,FALSE)</f>
        <v>18381904567</v>
      </c>
      <c r="L996" s="82" t="str">
        <f>VLOOKUP(B996,辅助信息!E:J,6,FALSE)</f>
        <v>控制炉批号！多了现场不收！,优先安排达钢,提前联系到场规格及数量</v>
      </c>
      <c r="M996" s="97"/>
      <c r="N996" s="36"/>
      <c r="O996" s="36" t="str">
        <f ca="1" t="shared" si="32"/>
        <v/>
      </c>
      <c r="P996" s="36" t="str">
        <f ca="1" t="shared" si="33"/>
        <v/>
      </c>
      <c r="Q996" s="33" t="str">
        <f>VLOOKUP(B996,辅助信息!E:M,9,FALSE)</f>
        <v>ZTWM-CDGS-XS-2024-0134-商投建工达州中医药科技成果示范园项目</v>
      </c>
      <c r="R996" s="19"/>
    </row>
    <row r="997" hidden="1" spans="1:18">
      <c r="A997" s="70"/>
      <c r="B997" s="33" t="s">
        <v>69</v>
      </c>
      <c r="C997" s="63">
        <v>45740</v>
      </c>
      <c r="D997" s="33" t="str">
        <f>VLOOKUP(B997,辅助信息!E:K,7,FALSE)</f>
        <v>JWDDCD2025052800131</v>
      </c>
      <c r="E997" s="33" t="str">
        <f>VLOOKUP(F997,辅助信息!A:B,2,FALSE)</f>
        <v>螺纹钢</v>
      </c>
      <c r="F997" s="33" t="s">
        <v>33</v>
      </c>
      <c r="G997" s="29">
        <v>9</v>
      </c>
      <c r="H997" s="96">
        <f>_xlfn.XLOOKUP(C997&amp;F997&amp;I997&amp;J997,'[1]2025年已发货'!$F:$F&amp;'[1]2025年已发货'!$C:$C&amp;'[1]2025年已发货'!$G:$G&amp;'[1]2025年已发货'!$H:$H,'[1]2025年已发货'!$E:$E,"未发货")</f>
        <v>8</v>
      </c>
      <c r="I997" s="33" t="str">
        <f>VLOOKUP(B997,辅助信息!E:I,3,FALSE)</f>
        <v>（商投建工达州中医药科技园-4工区-2号楼）达州市通川区达州中医药职业学院犀牛大道北段</v>
      </c>
      <c r="J997" s="33" t="str">
        <f>VLOOKUP(B997,辅助信息!E:I,4,FALSE)</f>
        <v>张扬</v>
      </c>
      <c r="K997" s="33">
        <f>VLOOKUP(J997,辅助信息!H:I,2,FALSE)</f>
        <v>18381904567</v>
      </c>
      <c r="L997" s="71"/>
      <c r="M997" s="97">
        <v>45731</v>
      </c>
      <c r="N997" s="36"/>
      <c r="O997" s="36">
        <f ca="1" t="shared" si="32"/>
        <v>0</v>
      </c>
      <c r="P997" s="36">
        <f ca="1" t="shared" si="33"/>
        <v>226</v>
      </c>
      <c r="Q997" s="33" t="str">
        <f>VLOOKUP(B997,辅助信息!E:M,9,FALSE)</f>
        <v>ZTWM-CDGS-XS-2024-0134-商投建工达州中医药科技成果示范园项目</v>
      </c>
      <c r="R997" s="19"/>
    </row>
    <row r="998" hidden="1" spans="1:18">
      <c r="A998" s="70"/>
      <c r="B998" s="33" t="s">
        <v>75</v>
      </c>
      <c r="C998" s="63">
        <v>45740</v>
      </c>
      <c r="D998" s="33" t="e">
        <f>VLOOKUP(B998,辅助信息!E:K,7,FALSE)</f>
        <v>#N/A</v>
      </c>
      <c r="E998" s="33" t="str">
        <f>VLOOKUP(F998,辅助信息!A:B,2,FALSE)</f>
        <v>盘螺</v>
      </c>
      <c r="F998" s="33" t="s">
        <v>41</v>
      </c>
      <c r="G998" s="29">
        <v>2.5</v>
      </c>
      <c r="H998" s="96" t="e">
        <f>_xlfn.XLOOKUP(C998&amp;F998&amp;I998&amp;J998,'[1]2025年已发货'!$F:$F&amp;'[1]2025年已发货'!$C:$C&amp;'[1]2025年已发货'!$G:$G&amp;'[1]2025年已发货'!$H:$H,'[1]2025年已发货'!$E:$E,"未发货")</f>
        <v>#N/A</v>
      </c>
      <c r="I998" s="33" t="e">
        <f>VLOOKUP(B998,辅助信息!E:I,3,FALSE)</f>
        <v>#N/A</v>
      </c>
      <c r="J998" s="33" t="e">
        <f>VLOOKUP(B998,辅助信息!E:I,4,FALSE)</f>
        <v>#N/A</v>
      </c>
      <c r="K998" s="33" t="e">
        <f>VLOOKUP(J998,辅助信息!H:I,2,FALSE)</f>
        <v>#N/A</v>
      </c>
      <c r="L998" s="82" t="e">
        <f>VLOOKUP(B998,辅助信息!E:J,6,FALSE)</f>
        <v>#N/A</v>
      </c>
      <c r="M998" s="97">
        <v>45733</v>
      </c>
      <c r="N998" s="36"/>
      <c r="O998" s="36">
        <f ca="1" t="shared" si="32"/>
        <v>0</v>
      </c>
      <c r="P998" s="36">
        <f ca="1" t="shared" si="33"/>
        <v>224</v>
      </c>
      <c r="Q998" s="33" t="e">
        <f>VLOOKUP(B998,辅助信息!E:M,9,FALSE)</f>
        <v>#N/A</v>
      </c>
      <c r="R998" s="19"/>
    </row>
    <row r="999" hidden="1" spans="1:18">
      <c r="A999" s="70"/>
      <c r="B999" s="33" t="s">
        <v>75</v>
      </c>
      <c r="C999" s="63">
        <v>45740</v>
      </c>
      <c r="D999" s="33" t="e">
        <f>VLOOKUP(B999,辅助信息!E:K,7,FALSE)</f>
        <v>#N/A</v>
      </c>
      <c r="E999" s="33" t="str">
        <f>VLOOKUP(F999,辅助信息!A:B,2,FALSE)</f>
        <v>螺纹钢</v>
      </c>
      <c r="F999" s="33" t="s">
        <v>28</v>
      </c>
      <c r="G999" s="29">
        <v>9</v>
      </c>
      <c r="H999" s="96" t="e">
        <f>_xlfn.XLOOKUP(C999&amp;F999&amp;I999&amp;J999,'[1]2025年已发货'!$F:$F&amp;'[1]2025年已发货'!$C:$C&amp;'[1]2025年已发货'!$G:$G&amp;'[1]2025年已发货'!$H:$H,'[1]2025年已发货'!$E:$E,"未发货")</f>
        <v>#N/A</v>
      </c>
      <c r="I999" s="33" t="e">
        <f>VLOOKUP(B999,辅助信息!E:I,3,FALSE)</f>
        <v>#N/A</v>
      </c>
      <c r="J999" s="33" t="e">
        <f>VLOOKUP(B999,辅助信息!E:I,4,FALSE)</f>
        <v>#N/A</v>
      </c>
      <c r="K999" s="33" t="e">
        <f>VLOOKUP(J999,辅助信息!H:I,2,FALSE)</f>
        <v>#N/A</v>
      </c>
      <c r="L999" s="71"/>
      <c r="M999" s="97">
        <v>45733</v>
      </c>
      <c r="N999" s="36"/>
      <c r="O999" s="36">
        <f ca="1" t="shared" si="32"/>
        <v>0</v>
      </c>
      <c r="P999" s="36">
        <f ca="1" t="shared" si="33"/>
        <v>224</v>
      </c>
      <c r="Q999" s="33" t="e">
        <f>VLOOKUP(B999,辅助信息!E:M,9,FALSE)</f>
        <v>#N/A</v>
      </c>
      <c r="R999" s="19"/>
    </row>
    <row r="1000" ht="33.75" hidden="1" customHeight="1" spans="2:18">
      <c r="B1000" s="33" t="s">
        <v>68</v>
      </c>
      <c r="C1000" s="63">
        <v>45740</v>
      </c>
      <c r="D1000" s="33" t="str">
        <f>VLOOKUP(B1000,辅助信息!E:K,7,FALSE)</f>
        <v>JWDDCD2025052800131</v>
      </c>
      <c r="E1000" s="33" t="str">
        <f>VLOOKUP(F1000,辅助信息!A:B,2,FALSE)</f>
        <v>高线</v>
      </c>
      <c r="F1000" s="33" t="s">
        <v>51</v>
      </c>
      <c r="G1000" s="29">
        <v>3</v>
      </c>
      <c r="H1000" s="96" t="str">
        <f>_xlfn.XLOOKUP(C1000&amp;F1000&amp;I1000&amp;J1000,'[1]2025年已发货'!$F:$F&amp;'[1]2025年已发货'!$C:$C&amp;'[1]2025年已发货'!$G:$G&amp;'[1]2025年已发货'!$H:$H,'[1]2025年已发货'!$E:$E,"未发货")</f>
        <v>未发货</v>
      </c>
      <c r="I1000" s="33" t="str">
        <f>VLOOKUP(B1000,辅助信息!E:I,3,FALSE)</f>
        <v>（商投建工达州中医药科技园-2工区-景观桥）达州市通川区达州中医药职业学院犀牛大道北段</v>
      </c>
      <c r="J1000" s="33" t="str">
        <f>VLOOKUP(B1000,辅助信息!E:I,4,FALSE)</f>
        <v>李波</v>
      </c>
      <c r="K1000" s="33">
        <f>VLOOKUP(J1000,辅助信息!H:I,2,FALSE)</f>
        <v>18381899787</v>
      </c>
      <c r="L1000" s="70" t="str">
        <f>VLOOKUP(B1000,辅助信息!E:J,6,FALSE)</f>
        <v>控制炉批号！多了现场不收！,优先安排达钢,提前联系到场规格及数量</v>
      </c>
      <c r="M1000" s="98">
        <v>45736</v>
      </c>
      <c r="O1000" s="36">
        <f ca="1" t="shared" si="32"/>
        <v>0</v>
      </c>
      <c r="P1000" s="36">
        <f ca="1" t="shared" si="33"/>
        <v>221</v>
      </c>
      <c r="Q1000" s="33" t="str">
        <f>VLOOKUP(B1000,辅助信息!E:M,9,FALSE)</f>
        <v>ZTWM-CDGS-XS-2024-0134-商投建工达州中医药科技成果示范园项目</v>
      </c>
      <c r="R1000" s="19"/>
    </row>
    <row r="1001" hidden="1" spans="2:18">
      <c r="B1001" s="33" t="s">
        <v>73</v>
      </c>
      <c r="C1001" s="63">
        <v>45740</v>
      </c>
      <c r="D1001" s="33" t="s">
        <v>118</v>
      </c>
      <c r="E1001" s="33" t="s">
        <v>119</v>
      </c>
      <c r="F1001" s="33" t="s">
        <v>49</v>
      </c>
      <c r="G1001" s="29">
        <v>10</v>
      </c>
      <c r="H1001" s="96">
        <f>_xlfn.XLOOKUP(C1001&amp;F1001&amp;I1001&amp;J1001,'[1]2025年已发货'!$F:$F&amp;'[1]2025年已发货'!$C:$C&amp;'[1]2025年已发货'!$G:$G&amp;'[1]2025年已发货'!$H:$H,'[1]2025年已发货'!$E:$E,"未发货")</f>
        <v>10</v>
      </c>
      <c r="I1001" s="33" t="str">
        <f>VLOOKUP(B1001,辅助信息!E:I,3,FALSE)</f>
        <v>(五冶钢构医学科学产业园建设项目房建三部-一标（7-1）)四川省南充市顺庆区搬罾街道学府大道二段</v>
      </c>
      <c r="J1001" s="33" t="str">
        <f>VLOOKUP(B1001,辅助信息!E:I,4,FALSE)</f>
        <v>郑林</v>
      </c>
      <c r="K1001" s="33">
        <f>VLOOKUP(J1001,辅助信息!H:I,2,FALSE)</f>
        <v>18349955455</v>
      </c>
      <c r="L1001" s="70"/>
      <c r="M1001" s="98"/>
      <c r="O1001" s="36"/>
      <c r="P1001" s="36"/>
      <c r="Q1001" s="33"/>
      <c r="R1001" s="19"/>
    </row>
    <row r="1002" hidden="1" spans="2:18">
      <c r="B1002" s="33" t="s">
        <v>73</v>
      </c>
      <c r="C1002" s="63">
        <v>45740</v>
      </c>
      <c r="D1002" s="33" t="str">
        <f>VLOOKUP(B1002,辅助信息!E:K,7,FALSE)</f>
        <v>JWDDCD2025051000019</v>
      </c>
      <c r="E1002" s="33" t="str">
        <f>VLOOKUP(F1002,辅助信息!A:B,2,FALSE)</f>
        <v>盘螺</v>
      </c>
      <c r="F1002" s="33" t="s">
        <v>26</v>
      </c>
      <c r="G1002" s="29">
        <v>17</v>
      </c>
      <c r="H1002" s="96">
        <f>_xlfn.XLOOKUP(C1002&amp;F1002&amp;I1002&amp;J1002,'[1]2025年已发货'!$F:$F&amp;'[1]2025年已发货'!$C:$C&amp;'[1]2025年已发货'!$G:$G&amp;'[1]2025年已发货'!$H:$H,'[1]2025年已发货'!$E:$E,"未发货")</f>
        <v>17</v>
      </c>
      <c r="I1002" s="33" t="str">
        <f>VLOOKUP(B1002,辅助信息!E:I,3,FALSE)</f>
        <v>(五冶钢构医学科学产业园建设项目房建三部-一标（7-1）)四川省南充市顺庆区搬罾街道学府大道二段</v>
      </c>
      <c r="J1002" s="33" t="str">
        <f>VLOOKUP(B1002,辅助信息!E:I,4,FALSE)</f>
        <v>郑林</v>
      </c>
      <c r="K1002" s="33">
        <f>VLOOKUP(J1002,辅助信息!H:I,2,FALSE)</f>
        <v>18349955455</v>
      </c>
      <c r="L1002" s="70" t="str">
        <f>VLOOKUP(B1002,辅助信息!E:J,6,FALSE)</f>
        <v>送货单：送货单位：南充思临新材料科技有限公司,收货单位：五冶集团川北(南充)建设有限公司,项目名称：南充医学科学产业园,送货车型13米,装货前联系收货人核实到场规格</v>
      </c>
      <c r="M1002" s="98">
        <v>45738</v>
      </c>
      <c r="O1002" s="36">
        <f ca="1" t="shared" ref="O1002:O1010" si="34">IF(OR(M1002="",N1002&lt;&gt;""),"",MAX(M1002-TODAY(),0))</f>
        <v>0</v>
      </c>
      <c r="P1002" s="36">
        <f ca="1" t="shared" ref="P1002:P1010" si="35">IF(M1002="","",IF(N1002&lt;&gt;"",MAX(N1002-M1002,0),IF(TODAY()&gt;M1002,TODAY()-M1002,0)))</f>
        <v>219</v>
      </c>
      <c r="Q1002" s="33" t="str">
        <f>VLOOKUP(B1002,辅助信息!E:M,9,FALSE)</f>
        <v>ZTWM-CDGS-XS-2024-0248-五冶钢构-南充市医学院项目</v>
      </c>
      <c r="R1002" s="19"/>
    </row>
    <row r="1003" hidden="1" spans="2:18">
      <c r="B1003" s="33" t="s">
        <v>73</v>
      </c>
      <c r="C1003" s="63">
        <v>45740</v>
      </c>
      <c r="D1003" s="33" t="str">
        <f>VLOOKUP(B1003,辅助信息!E:K,7,FALSE)</f>
        <v>JWDDCD2025051000019</v>
      </c>
      <c r="E1003" s="33" t="str">
        <f>VLOOKUP(F1003,辅助信息!A:B,2,FALSE)</f>
        <v>盘螺</v>
      </c>
      <c r="F1003" s="33" t="s">
        <v>40</v>
      </c>
      <c r="G1003" s="29">
        <v>8</v>
      </c>
      <c r="H1003" s="96">
        <f>_xlfn.XLOOKUP(C1003&amp;F1003&amp;I1003&amp;J1003,'[1]2025年已发货'!$F:$F&amp;'[1]2025年已发货'!$C:$C&amp;'[1]2025年已发货'!$G:$G&amp;'[1]2025年已发货'!$H:$H,'[1]2025年已发货'!$E:$E,"未发货")</f>
        <v>8</v>
      </c>
      <c r="I1003" s="33" t="str">
        <f>VLOOKUP(B1003,辅助信息!E:I,3,FALSE)</f>
        <v>(五冶钢构医学科学产业园建设项目房建三部-一标（7-1）)四川省南充市顺庆区搬罾街道学府大道二段</v>
      </c>
      <c r="J1003" s="33" t="str">
        <f>VLOOKUP(B1003,辅助信息!E:I,4,FALSE)</f>
        <v>郑林</v>
      </c>
      <c r="K1003" s="33">
        <f>VLOOKUP(J1003,辅助信息!H:I,2,FALSE)</f>
        <v>18349955455</v>
      </c>
      <c r="L1003" s="69"/>
      <c r="M1003" s="98">
        <v>45738</v>
      </c>
      <c r="O1003" s="36">
        <f ca="1" t="shared" si="34"/>
        <v>0</v>
      </c>
      <c r="P1003" s="36">
        <f ca="1" t="shared" si="35"/>
        <v>219</v>
      </c>
      <c r="Q1003" s="33" t="str">
        <f>VLOOKUP(B1003,辅助信息!E:M,9,FALSE)</f>
        <v>ZTWM-CDGS-XS-2024-0248-五冶钢构-南充市医学院项目</v>
      </c>
      <c r="R1003" s="19"/>
    </row>
    <row r="1004" hidden="1" spans="2:18">
      <c r="B1004" s="33" t="s">
        <v>113</v>
      </c>
      <c r="C1004" s="63">
        <v>45740</v>
      </c>
      <c r="D1004" s="33" t="str">
        <f>VLOOKUP(B1004,辅助信息!E:K,7,FALSE)</f>
        <v>JWDDCD2025051000019</v>
      </c>
      <c r="E1004" s="33" t="str">
        <f>VLOOKUP(F1004,辅助信息!A:B,2,FALSE)</f>
        <v>螺纹钢</v>
      </c>
      <c r="F1004" s="33" t="s">
        <v>32</v>
      </c>
      <c r="G1004" s="29">
        <v>10</v>
      </c>
      <c r="H1004" s="96">
        <f>_xlfn.XLOOKUP(C1004&amp;F1004&amp;I1004&amp;J1004,'[1]2025年已发货'!$F:$F&amp;'[1]2025年已发货'!$C:$C&amp;'[1]2025年已发货'!$G:$G&amp;'[1]2025年已发货'!$H:$H,'[1]2025年已发货'!$E:$E,"未发货")</f>
        <v>10</v>
      </c>
      <c r="I1004" s="33" t="str">
        <f>VLOOKUP(B1004,辅助信息!E:I,3,FALSE)</f>
        <v>(五冶钢构医学科学产业园建设项目房建二部-排洪渠（五标）)四川省南充市顺庆区搬罾街道学府大道二段</v>
      </c>
      <c r="J1004" s="33" t="str">
        <f>VLOOKUP(B1004,辅助信息!E:I,4,FALSE)</f>
        <v>安南</v>
      </c>
      <c r="K1004" s="33">
        <f>VLOOKUP(J1004,辅助信息!H:I,2,FALSE)</f>
        <v>19950525030</v>
      </c>
      <c r="L1004" s="70" t="str">
        <f>VLOOKUP(B1004,辅助信息!E:J,6,FALSE)</f>
        <v>送货单：送货单位：南充思临新材料科技有限公司,收货单位：五冶集团川北(南充)建设有限公司,项目名称：南充医学科学产业园,送货车型13米,装货前联系收货人核实到场规格</v>
      </c>
      <c r="M1004" s="98">
        <v>45738</v>
      </c>
      <c r="O1004" s="36">
        <f ca="1" t="shared" si="34"/>
        <v>0</v>
      </c>
      <c r="P1004" s="36">
        <f ca="1" t="shared" si="35"/>
        <v>219</v>
      </c>
      <c r="Q1004" s="33" t="str">
        <f>VLOOKUP(B1004,辅助信息!E:M,9,FALSE)</f>
        <v>ZTWM-CDGS-XS-2024-0248-五冶钢构-南充市医学院项目</v>
      </c>
      <c r="R1004" s="19"/>
    </row>
    <row r="1005" hidden="1" spans="2:18">
      <c r="B1005" s="33" t="s">
        <v>113</v>
      </c>
      <c r="C1005" s="63">
        <v>45740</v>
      </c>
      <c r="D1005" s="33" t="str">
        <f>VLOOKUP(B1005,辅助信息!E:K,7,FALSE)</f>
        <v>JWDDCD2025051000019</v>
      </c>
      <c r="E1005" s="33" t="str">
        <f>VLOOKUP(F1005,辅助信息!A:B,2,FALSE)</f>
        <v>螺纹钢</v>
      </c>
      <c r="F1005" s="33" t="s">
        <v>18</v>
      </c>
      <c r="G1005" s="29">
        <v>25</v>
      </c>
      <c r="H1005" s="96">
        <f>_xlfn.XLOOKUP(C1005&amp;F1005&amp;I1005&amp;J1005,'[1]2025年已发货'!$F:$F&amp;'[1]2025年已发货'!$C:$C&amp;'[1]2025年已发货'!$G:$G&amp;'[1]2025年已发货'!$H:$H,'[1]2025年已发货'!$E:$E,"未发货")</f>
        <v>25</v>
      </c>
      <c r="I1005" s="33" t="str">
        <f>VLOOKUP(B1005,辅助信息!E:I,3,FALSE)</f>
        <v>(五冶钢构医学科学产业园建设项目房建二部-排洪渠（五标）)四川省南充市顺庆区搬罾街道学府大道二段</v>
      </c>
      <c r="J1005" s="33" t="str">
        <f>VLOOKUP(B1005,辅助信息!E:I,4,FALSE)</f>
        <v>安南</v>
      </c>
      <c r="K1005" s="33">
        <f>VLOOKUP(J1005,辅助信息!H:I,2,FALSE)</f>
        <v>19950525030</v>
      </c>
      <c r="L1005" s="69"/>
      <c r="M1005" s="98">
        <v>45738</v>
      </c>
      <c r="O1005" s="36">
        <f ca="1" t="shared" si="34"/>
        <v>0</v>
      </c>
      <c r="P1005" s="36">
        <f ca="1" t="shared" si="35"/>
        <v>219</v>
      </c>
      <c r="Q1005" s="33" t="str">
        <f>VLOOKUP(B1005,辅助信息!E:M,9,FALSE)</f>
        <v>ZTWM-CDGS-XS-2024-0248-五冶钢构-南充市医学院项目</v>
      </c>
      <c r="R1005" s="19"/>
    </row>
    <row r="1006" hidden="1" spans="2:18">
      <c r="B1006" s="33" t="s">
        <v>29</v>
      </c>
      <c r="C1006" s="63">
        <v>45740</v>
      </c>
      <c r="D1006" s="33" t="e">
        <f>VLOOKUP(B1006,辅助信息!E:K,7,FALSE)</f>
        <v>#N/A</v>
      </c>
      <c r="E1006" s="33" t="str">
        <f>VLOOKUP(F1006,辅助信息!A:B,2,FALSE)</f>
        <v>螺纹钢</v>
      </c>
      <c r="F1006" s="33" t="s">
        <v>27</v>
      </c>
      <c r="G1006" s="29">
        <v>20</v>
      </c>
      <c r="H1006" s="96" t="e">
        <f>_xlfn.XLOOKUP(C1006&amp;F1006&amp;I1006&amp;J1006,'[1]2025年已发货'!$F:$F&amp;'[1]2025年已发货'!$C:$C&amp;'[1]2025年已发货'!$G:$G&amp;'[1]2025年已发货'!$H:$H,'[1]2025年已发货'!$E:$E,"未发货")</f>
        <v>#N/A</v>
      </c>
      <c r="I1006" s="33" t="e">
        <f>VLOOKUP(B1006,辅助信息!E:I,3,FALSE)</f>
        <v>#N/A</v>
      </c>
      <c r="J1006" s="33" t="e">
        <f>VLOOKUP(B1006,辅助信息!E:I,4,FALSE)</f>
        <v>#N/A</v>
      </c>
      <c r="K1006" s="33" t="e">
        <f>VLOOKUP(J1006,辅助信息!H:I,2,FALSE)</f>
        <v>#N/A</v>
      </c>
      <c r="L1006" s="70" t="e">
        <f>VLOOKUP(B1006,辅助信息!E:J,6,FALSE)</f>
        <v>#N/A</v>
      </c>
      <c r="M1006" s="98">
        <v>45738</v>
      </c>
      <c r="O1006" s="36">
        <f ca="1" t="shared" si="34"/>
        <v>0</v>
      </c>
      <c r="P1006" s="36">
        <f ca="1" t="shared" si="35"/>
        <v>219</v>
      </c>
      <c r="Q1006" s="33" t="e">
        <f>VLOOKUP(B1006,辅助信息!E:M,9,FALSE)</f>
        <v>#N/A</v>
      </c>
      <c r="R1006" s="19"/>
    </row>
    <row r="1007" hidden="1" spans="2:18">
      <c r="B1007" s="33" t="s">
        <v>29</v>
      </c>
      <c r="C1007" s="63">
        <v>45740</v>
      </c>
      <c r="D1007" s="33" t="e">
        <f>VLOOKUP(B1007,辅助信息!E:K,7,FALSE)</f>
        <v>#N/A</v>
      </c>
      <c r="E1007" s="33" t="str">
        <f>VLOOKUP(F1007,辅助信息!A:B,2,FALSE)</f>
        <v>螺纹钢</v>
      </c>
      <c r="F1007" s="33" t="s">
        <v>28</v>
      </c>
      <c r="G1007" s="29">
        <v>15</v>
      </c>
      <c r="H1007" s="96" t="e">
        <f>_xlfn.XLOOKUP(C1007&amp;F1007&amp;I1007&amp;J1007,'[1]2025年已发货'!$F:$F&amp;'[1]2025年已发货'!$C:$C&amp;'[1]2025年已发货'!$G:$G&amp;'[1]2025年已发货'!$H:$H,'[1]2025年已发货'!$E:$E,"未发货")</f>
        <v>#N/A</v>
      </c>
      <c r="I1007" s="33" t="e">
        <f>VLOOKUP(B1007,辅助信息!E:I,3,FALSE)</f>
        <v>#N/A</v>
      </c>
      <c r="J1007" s="33" t="e">
        <f>VLOOKUP(B1007,辅助信息!E:I,4,FALSE)</f>
        <v>#N/A</v>
      </c>
      <c r="K1007" s="33" t="e">
        <f>VLOOKUP(J1007,辅助信息!H:I,2,FALSE)</f>
        <v>#N/A</v>
      </c>
      <c r="L1007" s="69"/>
      <c r="M1007" s="98">
        <v>45738</v>
      </c>
      <c r="O1007" s="36">
        <f ca="1" t="shared" si="34"/>
        <v>0</v>
      </c>
      <c r="P1007" s="36">
        <f ca="1" t="shared" si="35"/>
        <v>219</v>
      </c>
      <c r="Q1007" s="33" t="e">
        <f>VLOOKUP(B1007,辅助信息!E:M,9,FALSE)</f>
        <v>#N/A</v>
      </c>
      <c r="R1007" s="19"/>
    </row>
    <row r="1008" hidden="1" spans="2:18">
      <c r="B1008" s="33" t="s">
        <v>87</v>
      </c>
      <c r="C1008" s="63">
        <v>45740</v>
      </c>
      <c r="D1008" s="33" t="e">
        <f>VLOOKUP(B1008,辅助信息!E:K,7,FALSE)</f>
        <v>#N/A</v>
      </c>
      <c r="E1008" s="33" t="str">
        <f>VLOOKUP(F1008,辅助信息!A:B,2,FALSE)</f>
        <v>螺纹钢</v>
      </c>
      <c r="F1008" s="33" t="s">
        <v>27</v>
      </c>
      <c r="G1008" s="29">
        <v>5</v>
      </c>
      <c r="H1008" s="96" t="e">
        <f>_xlfn.XLOOKUP(C1008&amp;F1008&amp;I1008&amp;J1008,'[1]2025年已发货'!$F:$F&amp;'[1]2025年已发货'!$C:$C&amp;'[1]2025年已发货'!$G:$G&amp;'[1]2025年已发货'!$H:$H,'[1]2025年已发货'!$E:$E,"未发货")</f>
        <v>#N/A</v>
      </c>
      <c r="I1008" s="33" t="e">
        <f>VLOOKUP(B1008,辅助信息!E:I,3,FALSE)</f>
        <v>#N/A</v>
      </c>
      <c r="J1008" s="33" t="e">
        <f>VLOOKUP(B1008,辅助信息!E:I,4,FALSE)</f>
        <v>#N/A</v>
      </c>
      <c r="K1008" s="33" t="e">
        <f>VLOOKUP(J1008,辅助信息!H:I,2,FALSE)</f>
        <v>#N/A</v>
      </c>
      <c r="L1008" s="70" t="e">
        <f>VLOOKUP(B1008,辅助信息!E:J,6,FALSE)</f>
        <v>#N/A</v>
      </c>
      <c r="M1008" s="98">
        <v>45738</v>
      </c>
      <c r="O1008" s="36">
        <f ca="1" t="shared" si="34"/>
        <v>0</v>
      </c>
      <c r="P1008" s="36">
        <f ca="1" t="shared" si="35"/>
        <v>219</v>
      </c>
      <c r="Q1008" s="33" t="e">
        <f>VLOOKUP(B1008,辅助信息!E:M,9,FALSE)</f>
        <v>#N/A</v>
      </c>
      <c r="R1008" s="19"/>
    </row>
    <row r="1009" hidden="1" spans="2:18">
      <c r="B1009" s="33" t="s">
        <v>87</v>
      </c>
      <c r="C1009" s="63">
        <v>45740</v>
      </c>
      <c r="D1009" s="33" t="e">
        <f>VLOOKUP(B1009,辅助信息!E:K,7,FALSE)</f>
        <v>#N/A</v>
      </c>
      <c r="E1009" s="33" t="str">
        <f>VLOOKUP(F1009,辅助信息!A:B,2,FALSE)</f>
        <v>螺纹钢</v>
      </c>
      <c r="F1009" s="33" t="s">
        <v>19</v>
      </c>
      <c r="G1009" s="29">
        <v>8</v>
      </c>
      <c r="H1009" s="96" t="e">
        <f>_xlfn.XLOOKUP(C1009&amp;F1009&amp;I1009&amp;J1009,'[1]2025年已发货'!$F:$F&amp;'[1]2025年已发货'!$C:$C&amp;'[1]2025年已发货'!$G:$G&amp;'[1]2025年已发货'!$H:$H,'[1]2025年已发货'!$E:$E,"未发货")</f>
        <v>#N/A</v>
      </c>
      <c r="I1009" s="33" t="e">
        <f>VLOOKUP(B1009,辅助信息!E:I,3,FALSE)</f>
        <v>#N/A</v>
      </c>
      <c r="J1009" s="33" t="e">
        <f>VLOOKUP(B1009,辅助信息!E:I,4,FALSE)</f>
        <v>#N/A</v>
      </c>
      <c r="K1009" s="33" t="e">
        <f>VLOOKUP(J1009,辅助信息!H:I,2,FALSE)</f>
        <v>#N/A</v>
      </c>
      <c r="L1009" s="71"/>
      <c r="M1009" s="98">
        <v>45738</v>
      </c>
      <c r="O1009" s="36">
        <f ca="1" t="shared" si="34"/>
        <v>0</v>
      </c>
      <c r="P1009" s="36">
        <f ca="1" t="shared" si="35"/>
        <v>219</v>
      </c>
      <c r="Q1009" s="33" t="e">
        <f>VLOOKUP(B1009,辅助信息!E:M,9,FALSE)</f>
        <v>#N/A</v>
      </c>
      <c r="R1009" s="19"/>
    </row>
    <row r="1010" hidden="1" spans="2:18">
      <c r="B1010" s="33" t="s">
        <v>87</v>
      </c>
      <c r="C1010" s="63">
        <v>45740</v>
      </c>
      <c r="D1010" s="33" t="e">
        <f>VLOOKUP(B1010,辅助信息!E:K,7,FALSE)</f>
        <v>#N/A</v>
      </c>
      <c r="E1010" s="33" t="str">
        <f>VLOOKUP(F1010,辅助信息!A:B,2,FALSE)</f>
        <v>螺纹钢</v>
      </c>
      <c r="F1010" s="33" t="s">
        <v>52</v>
      </c>
      <c r="G1010" s="29">
        <v>22</v>
      </c>
      <c r="H1010" s="96" t="e">
        <f>_xlfn.XLOOKUP(C1010&amp;F1010&amp;I1010&amp;J1010,'[1]2025年已发货'!$F:$F&amp;'[1]2025年已发货'!$C:$C&amp;'[1]2025年已发货'!$G:$G&amp;'[1]2025年已发货'!$H:$H,'[1]2025年已发货'!$E:$E,"未发货")</f>
        <v>#N/A</v>
      </c>
      <c r="I1010" s="33" t="e">
        <f>VLOOKUP(B1010,辅助信息!E:I,3,FALSE)</f>
        <v>#N/A</v>
      </c>
      <c r="J1010" s="33" t="e">
        <f>VLOOKUP(B1010,辅助信息!E:I,4,FALSE)</f>
        <v>#N/A</v>
      </c>
      <c r="K1010" s="33" t="e">
        <f>VLOOKUP(J1010,辅助信息!H:I,2,FALSE)</f>
        <v>#N/A</v>
      </c>
      <c r="L1010" s="69"/>
      <c r="M1010" s="98">
        <v>45738</v>
      </c>
      <c r="O1010" s="36">
        <f ca="1" t="shared" si="34"/>
        <v>0</v>
      </c>
      <c r="P1010" s="36">
        <f ca="1" t="shared" si="35"/>
        <v>219</v>
      </c>
      <c r="Q1010" s="33" t="e">
        <f>VLOOKUP(B1010,辅助信息!E:M,9,FALSE)</f>
        <v>#N/A</v>
      </c>
      <c r="R1010" s="19"/>
    </row>
    <row r="1011" hidden="1" spans="2:18">
      <c r="B1011" s="33" t="s">
        <v>87</v>
      </c>
      <c r="C1011" s="63">
        <v>45740</v>
      </c>
      <c r="D1011" s="33" t="e">
        <f>VLOOKUP(B1011,辅助信息!E:K,7,FALSE)</f>
        <v>#N/A</v>
      </c>
      <c r="E1011" s="33" t="str">
        <f>VLOOKUP(F1011,辅助信息!A:B,2,FALSE)</f>
        <v>螺纹钢</v>
      </c>
      <c r="F1011" s="33" t="s">
        <v>65</v>
      </c>
      <c r="G1011" s="29">
        <v>10</v>
      </c>
      <c r="H1011" s="96" t="e">
        <f>_xlfn.XLOOKUP(C1011&amp;F1011&amp;I1011&amp;J1011,'[1]2025年已发货'!$F:$F&amp;'[1]2025年已发货'!$C:$C&amp;'[1]2025年已发货'!$G:$G&amp;'[1]2025年已发货'!$H:$H,'[1]2025年已发货'!$E:$E,"未发货")</f>
        <v>#N/A</v>
      </c>
      <c r="I1011" s="33" t="e">
        <f>VLOOKUP(B1011,辅助信息!E:I,3,FALSE)</f>
        <v>#N/A</v>
      </c>
      <c r="J1011" s="33" t="e">
        <f>VLOOKUP(B1011,辅助信息!E:I,4,FALSE)</f>
        <v>#N/A</v>
      </c>
      <c r="K1011" s="33"/>
      <c r="L1011" s="70"/>
      <c r="M1011" s="98"/>
      <c r="O1011" s="36"/>
      <c r="P1011" s="36"/>
      <c r="Q1011" s="33"/>
      <c r="R1011" s="19"/>
    </row>
    <row r="1012" hidden="1" spans="2:18">
      <c r="B1012" s="33" t="s">
        <v>120</v>
      </c>
      <c r="C1012" s="63">
        <v>45740</v>
      </c>
      <c r="D1012" s="33" t="e">
        <f>VLOOKUP(B1012,辅助信息!E:K,7,FALSE)</f>
        <v>#N/A</v>
      </c>
      <c r="E1012" s="33" t="str">
        <f>VLOOKUP(F1012,辅助信息!A:B,2,FALSE)</f>
        <v>高线</v>
      </c>
      <c r="F1012" s="33" t="s">
        <v>53</v>
      </c>
      <c r="G1012" s="29">
        <v>3</v>
      </c>
      <c r="H1012" s="96" t="e">
        <f>_xlfn.XLOOKUP(C1012&amp;F1012&amp;I1012&amp;J1012,'[1]2025年已发货'!$F:$F&amp;'[1]2025年已发货'!$C:$C&amp;'[1]2025年已发货'!$G:$G&amp;'[1]2025年已发货'!$H:$H,'[1]2025年已发货'!$E:$E,"未发货")</f>
        <v>#N/A</v>
      </c>
      <c r="I1012" s="33" t="e">
        <f>VLOOKUP(B1012,辅助信息!E:I,3,FALSE)</f>
        <v>#N/A</v>
      </c>
      <c r="J1012" s="33" t="e">
        <f>VLOOKUP(B1012,辅助信息!E:I,4,FALSE)</f>
        <v>#N/A</v>
      </c>
      <c r="K1012" s="33" t="e">
        <f>VLOOKUP(J1012,辅助信息!H:I,2,FALSE)</f>
        <v>#N/A</v>
      </c>
      <c r="L1012" s="70" t="e">
        <f>VLOOKUP(B1012,辅助信息!E:J,6,FALSE)</f>
        <v>#N/A</v>
      </c>
      <c r="M1012" s="98">
        <v>45738</v>
      </c>
      <c r="O1012" s="36">
        <f ca="1" t="shared" ref="O1012:O1019" si="36">IF(OR(M1012="",N1012&lt;&gt;""),"",MAX(M1012-TODAY(),0))</f>
        <v>0</v>
      </c>
      <c r="P1012" s="36">
        <f ca="1" t="shared" ref="P1012:P1075" si="37">IF(M1012="","",IF(N1012&lt;&gt;"",MAX(N1012-M1012,0),IF(TODAY()&gt;M1012,TODAY()-M1012,0)))</f>
        <v>219</v>
      </c>
      <c r="Q1012" s="33" t="e">
        <f>VLOOKUP(B1012,辅助信息!E:M,9,FALSE)</f>
        <v>#N/A</v>
      </c>
      <c r="R1012" s="19"/>
    </row>
    <row r="1013" hidden="1" spans="2:18">
      <c r="B1013" s="33" t="s">
        <v>120</v>
      </c>
      <c r="C1013" s="63">
        <v>45740</v>
      </c>
      <c r="D1013" s="33" t="e">
        <f>VLOOKUP(B1013,辅助信息!E:K,7,FALSE)</f>
        <v>#N/A</v>
      </c>
      <c r="E1013" s="33" t="str">
        <f>VLOOKUP(F1013,辅助信息!A:B,2,FALSE)</f>
        <v>盘螺</v>
      </c>
      <c r="F1013" s="33" t="s">
        <v>41</v>
      </c>
      <c r="G1013" s="29">
        <v>6</v>
      </c>
      <c r="H1013" s="96" t="e">
        <f>_xlfn.XLOOKUP(C1013&amp;F1013&amp;I1013&amp;J1013,'[1]2025年已发货'!$F:$F&amp;'[1]2025年已发货'!$C:$C&amp;'[1]2025年已发货'!$G:$G&amp;'[1]2025年已发货'!$H:$H,'[1]2025年已发货'!$E:$E,"未发货")</f>
        <v>#N/A</v>
      </c>
      <c r="I1013" s="33" t="e">
        <f>VLOOKUP(B1013,辅助信息!E:I,3,FALSE)</f>
        <v>#N/A</v>
      </c>
      <c r="J1013" s="33" t="e">
        <f>VLOOKUP(B1013,辅助信息!E:I,4,FALSE)</f>
        <v>#N/A</v>
      </c>
      <c r="K1013" s="33" t="e">
        <f>VLOOKUP(J1013,辅助信息!H:I,2,FALSE)</f>
        <v>#N/A</v>
      </c>
      <c r="L1013" s="71"/>
      <c r="M1013" s="98">
        <v>45738</v>
      </c>
      <c r="O1013" s="36">
        <f ca="1" t="shared" si="36"/>
        <v>0</v>
      </c>
      <c r="P1013" s="36">
        <f ca="1" t="shared" si="37"/>
        <v>219</v>
      </c>
      <c r="Q1013" s="33" t="e">
        <f>VLOOKUP(B1013,辅助信息!E:M,9,FALSE)</f>
        <v>#N/A</v>
      </c>
      <c r="R1013" s="19"/>
    </row>
    <row r="1014" hidden="1" spans="2:18">
      <c r="B1014" s="33" t="s">
        <v>120</v>
      </c>
      <c r="C1014" s="63">
        <v>45740</v>
      </c>
      <c r="D1014" s="33" t="e">
        <f>VLOOKUP(B1014,辅助信息!E:K,7,FALSE)</f>
        <v>#N/A</v>
      </c>
      <c r="E1014" s="33" t="str">
        <f>VLOOKUP(F1014,辅助信息!A:B,2,FALSE)</f>
        <v>螺纹钢</v>
      </c>
      <c r="F1014" s="33" t="s">
        <v>27</v>
      </c>
      <c r="G1014" s="29">
        <v>6</v>
      </c>
      <c r="H1014" s="96" t="e">
        <f>_xlfn.XLOOKUP(C1014&amp;F1014&amp;I1014&amp;J1014,'[1]2025年已发货'!$F:$F&amp;'[1]2025年已发货'!$C:$C&amp;'[1]2025年已发货'!$G:$G&amp;'[1]2025年已发货'!$H:$H,'[1]2025年已发货'!$E:$E,"未发货")</f>
        <v>#N/A</v>
      </c>
      <c r="I1014" s="33" t="e">
        <f>VLOOKUP(B1014,辅助信息!E:I,3,FALSE)</f>
        <v>#N/A</v>
      </c>
      <c r="J1014" s="33" t="e">
        <f>VLOOKUP(B1014,辅助信息!E:I,4,FALSE)</f>
        <v>#N/A</v>
      </c>
      <c r="K1014" s="33" t="e">
        <f>VLOOKUP(J1014,辅助信息!H:I,2,FALSE)</f>
        <v>#N/A</v>
      </c>
      <c r="L1014" s="71"/>
      <c r="M1014" s="98">
        <v>45738</v>
      </c>
      <c r="O1014" s="36">
        <f ca="1" t="shared" si="36"/>
        <v>0</v>
      </c>
      <c r="P1014" s="36">
        <f ca="1" t="shared" si="37"/>
        <v>219</v>
      </c>
      <c r="Q1014" s="33" t="e">
        <f>VLOOKUP(B1014,辅助信息!E:M,9,FALSE)</f>
        <v>#N/A</v>
      </c>
      <c r="R1014" s="19"/>
    </row>
    <row r="1015" hidden="1" spans="2:18">
      <c r="B1015" s="33" t="s">
        <v>120</v>
      </c>
      <c r="C1015" s="63">
        <v>45740</v>
      </c>
      <c r="D1015" s="33" t="e">
        <f>VLOOKUP(B1015,辅助信息!E:K,7,FALSE)</f>
        <v>#N/A</v>
      </c>
      <c r="E1015" s="33" t="str">
        <f>VLOOKUP(F1015,辅助信息!A:B,2,FALSE)</f>
        <v>螺纹钢</v>
      </c>
      <c r="F1015" s="33" t="s">
        <v>32</v>
      </c>
      <c r="G1015" s="29">
        <v>3</v>
      </c>
      <c r="H1015" s="96" t="e">
        <f>_xlfn.XLOOKUP(C1015&amp;F1015&amp;I1015&amp;J1015,'[1]2025年已发货'!$F:$F&amp;'[1]2025年已发货'!$C:$C&amp;'[1]2025年已发货'!$G:$G&amp;'[1]2025年已发货'!$H:$H,'[1]2025年已发货'!$E:$E,"未发货")</f>
        <v>#N/A</v>
      </c>
      <c r="I1015" s="33" t="e">
        <f>VLOOKUP(B1015,辅助信息!E:I,3,FALSE)</f>
        <v>#N/A</v>
      </c>
      <c r="J1015" s="33" t="e">
        <f>VLOOKUP(B1015,辅助信息!E:I,4,FALSE)</f>
        <v>#N/A</v>
      </c>
      <c r="K1015" s="33" t="e">
        <f>VLOOKUP(J1015,辅助信息!H:I,2,FALSE)</f>
        <v>#N/A</v>
      </c>
      <c r="L1015" s="71"/>
      <c r="M1015" s="98">
        <v>45738</v>
      </c>
      <c r="O1015" s="36">
        <f ca="1" t="shared" si="36"/>
        <v>0</v>
      </c>
      <c r="P1015" s="36">
        <f ca="1" t="shared" si="37"/>
        <v>219</v>
      </c>
      <c r="Q1015" s="33" t="e">
        <f>VLOOKUP(B1015,辅助信息!E:M,9,FALSE)</f>
        <v>#N/A</v>
      </c>
      <c r="R1015" s="19"/>
    </row>
    <row r="1016" hidden="1" spans="2:18">
      <c r="B1016" s="33" t="s">
        <v>120</v>
      </c>
      <c r="C1016" s="63">
        <v>45740</v>
      </c>
      <c r="D1016" s="33" t="e">
        <f>VLOOKUP(B1016,辅助信息!E:K,7,FALSE)</f>
        <v>#N/A</v>
      </c>
      <c r="E1016" s="33" t="str">
        <f>VLOOKUP(F1016,辅助信息!A:B,2,FALSE)</f>
        <v>螺纹钢</v>
      </c>
      <c r="F1016" s="33" t="s">
        <v>52</v>
      </c>
      <c r="G1016" s="29">
        <v>15</v>
      </c>
      <c r="H1016" s="96" t="e">
        <f>_xlfn.XLOOKUP(C1016&amp;F1016&amp;I1016&amp;J1016,'[1]2025年已发货'!$F:$F&amp;'[1]2025年已发货'!$C:$C&amp;'[1]2025年已发货'!$G:$G&amp;'[1]2025年已发货'!$H:$H,'[1]2025年已发货'!$E:$E,"未发货")</f>
        <v>#N/A</v>
      </c>
      <c r="I1016" s="33" t="e">
        <f>VLOOKUP(B1016,辅助信息!E:I,3,FALSE)</f>
        <v>#N/A</v>
      </c>
      <c r="J1016" s="33" t="e">
        <f>VLOOKUP(B1016,辅助信息!E:I,4,FALSE)</f>
        <v>#N/A</v>
      </c>
      <c r="K1016" s="33" t="e">
        <f>VLOOKUP(J1016,辅助信息!H:I,2,FALSE)</f>
        <v>#N/A</v>
      </c>
      <c r="L1016" s="69"/>
      <c r="M1016" s="98">
        <v>45738</v>
      </c>
      <c r="O1016" s="36">
        <f ca="1" t="shared" si="36"/>
        <v>0</v>
      </c>
      <c r="P1016" s="36">
        <f ca="1" t="shared" si="37"/>
        <v>219</v>
      </c>
      <c r="Q1016" s="33" t="e">
        <f>VLOOKUP(B1016,辅助信息!E:M,9,FALSE)</f>
        <v>#N/A</v>
      </c>
      <c r="R1016" s="19"/>
    </row>
    <row r="1017" hidden="1" spans="2:18">
      <c r="B1017" s="33" t="s">
        <v>64</v>
      </c>
      <c r="C1017" s="63">
        <v>45740</v>
      </c>
      <c r="D1017" s="33" t="e">
        <f>VLOOKUP(B1017,辅助信息!E:K,7,FALSE)</f>
        <v>#N/A</v>
      </c>
      <c r="E1017" s="33" t="str">
        <f>VLOOKUP(F1017,辅助信息!A:B,2,FALSE)</f>
        <v>螺纹钢</v>
      </c>
      <c r="F1017" s="33" t="s">
        <v>19</v>
      </c>
      <c r="G1017" s="29">
        <v>10</v>
      </c>
      <c r="H1017" s="96" t="e">
        <f>_xlfn.XLOOKUP(C1017&amp;F1017&amp;I1017&amp;J1017,'[1]2025年已发货'!$F:$F&amp;'[1]2025年已发货'!$C:$C&amp;'[1]2025年已发货'!$G:$G&amp;'[1]2025年已发货'!$H:$H,'[1]2025年已发货'!$E:$E,"未发货")</f>
        <v>#N/A</v>
      </c>
      <c r="I1017" s="33" t="e">
        <f>VLOOKUP(B1017,辅助信息!E:I,3,FALSE)</f>
        <v>#N/A</v>
      </c>
      <c r="J1017" s="33" t="e">
        <f>VLOOKUP(B1017,辅助信息!E:I,4,FALSE)</f>
        <v>#N/A</v>
      </c>
      <c r="K1017" s="33" t="e">
        <f>VLOOKUP(J1017,辅助信息!H:I,2,FALSE)</f>
        <v>#N/A</v>
      </c>
      <c r="L1017" s="70" t="e">
        <f>VLOOKUP(B1017,辅助信息!E:J,6,FALSE)</f>
        <v>#N/A</v>
      </c>
      <c r="M1017" s="98">
        <v>45738</v>
      </c>
      <c r="O1017" s="36">
        <f ca="1" t="shared" si="36"/>
        <v>0</v>
      </c>
      <c r="P1017" s="36">
        <f ca="1" t="shared" si="37"/>
        <v>219</v>
      </c>
      <c r="Q1017" s="33" t="e">
        <f>VLOOKUP(B1017,辅助信息!E:M,9,FALSE)</f>
        <v>#N/A</v>
      </c>
      <c r="R1017" s="19"/>
    </row>
    <row r="1018" hidden="1" spans="2:18">
      <c r="B1018" s="33" t="s">
        <v>64</v>
      </c>
      <c r="C1018" s="63">
        <v>45740</v>
      </c>
      <c r="D1018" s="33" t="e">
        <f>VLOOKUP(B1018,辅助信息!E:K,7,FALSE)</f>
        <v>#N/A</v>
      </c>
      <c r="E1018" s="33" t="str">
        <f>VLOOKUP(F1018,辅助信息!A:B,2,FALSE)</f>
        <v>螺纹钢</v>
      </c>
      <c r="F1018" s="33" t="s">
        <v>32</v>
      </c>
      <c r="G1018" s="29">
        <v>11</v>
      </c>
      <c r="H1018" s="96" t="e">
        <f>_xlfn.XLOOKUP(C1018&amp;F1018&amp;I1018&amp;J1018,'[1]2025年已发货'!$F:$F&amp;'[1]2025年已发货'!$C:$C&amp;'[1]2025年已发货'!$G:$G&amp;'[1]2025年已发货'!$H:$H,'[1]2025年已发货'!$E:$E,"未发货")</f>
        <v>#N/A</v>
      </c>
      <c r="I1018" s="33" t="e">
        <f>VLOOKUP(B1018,辅助信息!E:I,3,FALSE)</f>
        <v>#N/A</v>
      </c>
      <c r="J1018" s="33" t="e">
        <f>VLOOKUP(B1018,辅助信息!E:I,4,FALSE)</f>
        <v>#N/A</v>
      </c>
      <c r="K1018" s="33" t="e">
        <f>VLOOKUP(J1018,辅助信息!H:I,2,FALSE)</f>
        <v>#N/A</v>
      </c>
      <c r="L1018" s="71"/>
      <c r="M1018" s="98">
        <v>45738</v>
      </c>
      <c r="O1018" s="36">
        <f ca="1" t="shared" si="36"/>
        <v>0</v>
      </c>
      <c r="P1018" s="36">
        <f ca="1" t="shared" si="37"/>
        <v>219</v>
      </c>
      <c r="Q1018" s="33" t="e">
        <f>VLOOKUP(B1018,辅助信息!E:M,9,FALSE)</f>
        <v>#N/A</v>
      </c>
      <c r="R1018" s="19"/>
    </row>
    <row r="1019" hidden="1" spans="2:18">
      <c r="B1019" s="33" t="s">
        <v>64</v>
      </c>
      <c r="C1019" s="63">
        <v>45740</v>
      </c>
      <c r="D1019" s="33" t="e">
        <f>VLOOKUP(B1019,辅助信息!E:K,7,FALSE)</f>
        <v>#N/A</v>
      </c>
      <c r="E1019" s="33" t="str">
        <f>VLOOKUP(F1019,辅助信息!A:B,2,FALSE)</f>
        <v>螺纹钢</v>
      </c>
      <c r="F1019" s="33" t="s">
        <v>52</v>
      </c>
      <c r="G1019" s="29">
        <v>21</v>
      </c>
      <c r="H1019" s="96" t="e">
        <f>_xlfn.XLOOKUP(C1019&amp;F1019&amp;I1019&amp;J1019,'[1]2025年已发货'!$F:$F&amp;'[1]2025年已发货'!$C:$C&amp;'[1]2025年已发货'!$G:$G&amp;'[1]2025年已发货'!$H:$H,'[1]2025年已发货'!$E:$E,"未发货")</f>
        <v>#N/A</v>
      </c>
      <c r="I1019" s="33" t="e">
        <f>VLOOKUP(B1019,辅助信息!E:I,3,FALSE)</f>
        <v>#N/A</v>
      </c>
      <c r="J1019" s="33" t="e">
        <f>VLOOKUP(B1019,辅助信息!E:I,4,FALSE)</f>
        <v>#N/A</v>
      </c>
      <c r="K1019" s="33" t="e">
        <f>VLOOKUP(J1019,辅助信息!H:I,2,FALSE)</f>
        <v>#N/A</v>
      </c>
      <c r="L1019" s="69"/>
      <c r="M1019" s="98">
        <v>45738</v>
      </c>
      <c r="O1019" s="36">
        <f ca="1" t="shared" si="36"/>
        <v>0</v>
      </c>
      <c r="P1019" s="36">
        <f ca="1" t="shared" si="37"/>
        <v>219</v>
      </c>
      <c r="Q1019" s="33" t="e">
        <f>VLOOKUP(B1019,辅助信息!E:M,9,FALSE)</f>
        <v>#N/A</v>
      </c>
      <c r="R1019" s="19"/>
    </row>
    <row r="1020" ht="13.5" hidden="1" customHeight="1" spans="2:17">
      <c r="B1020" s="33" t="s">
        <v>106</v>
      </c>
      <c r="C1020" s="63">
        <v>45740</v>
      </c>
      <c r="D1020" s="33" t="s">
        <v>121</v>
      </c>
      <c r="E1020" s="33" t="str">
        <f>VLOOKUP(F1020,辅助信息!A:B,2,FALSE)</f>
        <v>盘螺</v>
      </c>
      <c r="F1020" s="33" t="s">
        <v>40</v>
      </c>
      <c r="G1020" s="29">
        <v>10</v>
      </c>
      <c r="H1020" s="96" t="str">
        <f>_xlfn.XLOOKUP(C1020&amp;F1020&amp;I1020&amp;J1020,'[1]2025年已发货'!$F:$F&amp;'[1]2025年已发货'!$C:$C&amp;'[1]2025年已发货'!$G:$G&amp;'[1]2025年已发货'!$H:$H,'[1]2025年已发货'!$E:$E,"未发货")</f>
        <v>未发货</v>
      </c>
      <c r="I1020" s="33" t="s">
        <v>122</v>
      </c>
      <c r="J1020" s="33" t="s">
        <v>123</v>
      </c>
      <c r="K1020" s="33">
        <v>15228205853</v>
      </c>
      <c r="L1020" s="70" t="s">
        <v>124</v>
      </c>
      <c r="M1020" s="98">
        <v>45741</v>
      </c>
      <c r="O1020" s="36">
        <v>1</v>
      </c>
      <c r="P1020" s="36">
        <f ca="1" t="shared" si="37"/>
        <v>216</v>
      </c>
      <c r="Q1020" s="33" t="s">
        <v>125</v>
      </c>
    </row>
    <row r="1021" ht="13.5" hidden="1" customHeight="1" spans="2:17">
      <c r="B1021" s="33" t="s">
        <v>106</v>
      </c>
      <c r="C1021" s="63">
        <v>45740</v>
      </c>
      <c r="D1021" s="33" t="s">
        <v>121</v>
      </c>
      <c r="E1021" s="33" t="str">
        <f>VLOOKUP(F1021,辅助信息!A:B,2,FALSE)</f>
        <v>盘螺</v>
      </c>
      <c r="F1021" s="33" t="s">
        <v>41</v>
      </c>
      <c r="G1021" s="29">
        <v>15</v>
      </c>
      <c r="H1021" s="96" t="str">
        <f>_xlfn.XLOOKUP(C1021&amp;F1021&amp;I1021&amp;J1021,'[1]2025年已发货'!$F:$F&amp;'[1]2025年已发货'!$C:$C&amp;'[1]2025年已发货'!$G:$G&amp;'[1]2025年已发货'!$H:$H,'[1]2025年已发货'!$E:$E,"未发货")</f>
        <v>未发货</v>
      </c>
      <c r="I1021" s="33" t="s">
        <v>122</v>
      </c>
      <c r="J1021" s="33" t="s">
        <v>123</v>
      </c>
      <c r="K1021" s="33">
        <v>15228205853</v>
      </c>
      <c r="L1021" s="71"/>
      <c r="M1021" s="98">
        <v>45741</v>
      </c>
      <c r="O1021" s="36">
        <v>1</v>
      </c>
      <c r="P1021" s="36">
        <f ca="1" t="shared" si="37"/>
        <v>216</v>
      </c>
      <c r="Q1021" s="33" t="s">
        <v>125</v>
      </c>
    </row>
    <row r="1022" ht="13.5" hidden="1" customHeight="1" spans="2:17">
      <c r="B1022" s="33" t="s">
        <v>106</v>
      </c>
      <c r="C1022" s="63">
        <v>45740</v>
      </c>
      <c r="D1022" s="33" t="s">
        <v>121</v>
      </c>
      <c r="E1022" s="33" t="str">
        <f>VLOOKUP(F1022,辅助信息!A:B,2,FALSE)</f>
        <v>螺纹钢</v>
      </c>
      <c r="F1022" s="33" t="s">
        <v>18</v>
      </c>
      <c r="G1022" s="29">
        <v>9</v>
      </c>
      <c r="H1022" s="96" t="str">
        <f>_xlfn.XLOOKUP(C1022&amp;F1022&amp;I1022&amp;J1022,'[1]2025年已发货'!$F:$F&amp;'[1]2025年已发货'!$C:$C&amp;'[1]2025年已发货'!$G:$G&amp;'[1]2025年已发货'!$H:$H,'[1]2025年已发货'!$E:$E,"未发货")</f>
        <v>未发货</v>
      </c>
      <c r="I1022" s="33" t="s">
        <v>122</v>
      </c>
      <c r="J1022" s="33" t="s">
        <v>123</v>
      </c>
      <c r="K1022" s="33">
        <v>15228205853</v>
      </c>
      <c r="L1022" s="69"/>
      <c r="M1022" s="99">
        <v>45741</v>
      </c>
      <c r="O1022" s="91">
        <v>1</v>
      </c>
      <c r="P1022" s="91">
        <f ca="1" t="shared" si="37"/>
        <v>216</v>
      </c>
      <c r="Q1022" s="33" t="s">
        <v>125</v>
      </c>
    </row>
    <row r="1023" hidden="1" spans="1:18">
      <c r="A1023" s="92" t="s">
        <v>126</v>
      </c>
      <c r="B1023" s="33" t="s">
        <v>120</v>
      </c>
      <c r="C1023" s="63">
        <v>45744</v>
      </c>
      <c r="D1023" s="33" t="e">
        <f>VLOOKUP(B1023,辅助信息!E:K,7,FALSE)</f>
        <v>#N/A</v>
      </c>
      <c r="E1023" s="33" t="str">
        <f>VLOOKUP(F1023,辅助信息!A:B,2,FALSE)</f>
        <v>高线</v>
      </c>
      <c r="F1023" s="33" t="s">
        <v>53</v>
      </c>
      <c r="G1023" s="29">
        <v>3</v>
      </c>
      <c r="H1023" s="29" t="e">
        <f>_xlfn.XLOOKUP(C1023&amp;F1023&amp;I1023&amp;J1023,'[1]2025年已发货'!$F:$F&amp;'[1]2025年已发货'!$C:$C&amp;'[1]2025年已发货'!$G:$G&amp;'[1]2025年已发货'!$H:$H,'[1]2025年已发货'!$E:$E,"未发货")</f>
        <v>#N/A</v>
      </c>
      <c r="I1023" s="33" t="e">
        <f>VLOOKUP(B1023,辅助信息!E:I,3,FALSE)</f>
        <v>#N/A</v>
      </c>
      <c r="J1023" s="33" t="e">
        <f>VLOOKUP(B1023,辅助信息!E:I,4,FALSE)</f>
        <v>#N/A</v>
      </c>
      <c r="K1023" s="33" t="e">
        <f>VLOOKUP(J1023,辅助信息!H:I,2,FALSE)</f>
        <v>#N/A</v>
      </c>
      <c r="L1023" s="36" t="e">
        <f>VLOOKUP(B1023,辅助信息!E:J,6,FALSE)</f>
        <v>#N/A</v>
      </c>
      <c r="M1023" s="84">
        <v>45738</v>
      </c>
      <c r="O1023" s="55">
        <f ca="1" t="shared" ref="O1023:O1086" si="38">IF(OR(M1023="",N1023&lt;&gt;""),"",MAX(M1023-TODAY(),0))</f>
        <v>0</v>
      </c>
      <c r="P1023" s="55">
        <f ca="1" t="shared" si="37"/>
        <v>219</v>
      </c>
      <c r="Q1023" s="19" t="e">
        <f>VLOOKUP(B1023,辅助信息!E:M,9,FALSE)</f>
        <v>#N/A</v>
      </c>
      <c r="R1023" s="19"/>
    </row>
    <row r="1024" hidden="1" spans="1:18">
      <c r="A1024" s="71"/>
      <c r="B1024" s="33" t="s">
        <v>120</v>
      </c>
      <c r="C1024" s="63">
        <v>45744</v>
      </c>
      <c r="D1024" s="33" t="e">
        <f>VLOOKUP(B1024,辅助信息!E:K,7,FALSE)</f>
        <v>#N/A</v>
      </c>
      <c r="E1024" s="33" t="str">
        <f>VLOOKUP(F1024,辅助信息!A:B,2,FALSE)</f>
        <v>盘螺</v>
      </c>
      <c r="F1024" s="33" t="s">
        <v>41</v>
      </c>
      <c r="G1024" s="29">
        <v>6</v>
      </c>
      <c r="H1024" s="29" t="e">
        <f>_xlfn.XLOOKUP(C1024&amp;F1024&amp;I1024&amp;J1024,'[1]2025年已发货'!$F:$F&amp;'[1]2025年已发货'!$C:$C&amp;'[1]2025年已发货'!$G:$G&amp;'[1]2025年已发货'!$H:$H,'[1]2025年已发货'!$E:$E,"未发货")</f>
        <v>#N/A</v>
      </c>
      <c r="I1024" s="33" t="e">
        <f>VLOOKUP(B1024,辅助信息!E:I,3,FALSE)</f>
        <v>#N/A</v>
      </c>
      <c r="J1024" s="33" t="e">
        <f>VLOOKUP(B1024,辅助信息!E:I,4,FALSE)</f>
        <v>#N/A</v>
      </c>
      <c r="K1024" s="33" t="e">
        <f>VLOOKUP(J1024,辅助信息!H:I,2,FALSE)</f>
        <v>#N/A</v>
      </c>
      <c r="L1024" s="71"/>
      <c r="M1024" s="84">
        <v>45738</v>
      </c>
      <c r="O1024" s="55">
        <f ca="1" t="shared" si="38"/>
        <v>0</v>
      </c>
      <c r="P1024" s="55">
        <f ca="1" t="shared" si="37"/>
        <v>219</v>
      </c>
      <c r="Q1024" s="19" t="e">
        <f>VLOOKUP(B1024,辅助信息!E:M,9,FALSE)</f>
        <v>#N/A</v>
      </c>
      <c r="R1024" s="19"/>
    </row>
    <row r="1025" hidden="1" spans="1:18">
      <c r="A1025" s="71"/>
      <c r="B1025" s="33" t="s">
        <v>120</v>
      </c>
      <c r="C1025" s="63">
        <v>45744</v>
      </c>
      <c r="D1025" s="33" t="e">
        <f>VLOOKUP(B1025,辅助信息!E:K,7,FALSE)</f>
        <v>#N/A</v>
      </c>
      <c r="E1025" s="33" t="str">
        <f>VLOOKUP(F1025,辅助信息!A:B,2,FALSE)</f>
        <v>螺纹钢</v>
      </c>
      <c r="F1025" s="33" t="s">
        <v>27</v>
      </c>
      <c r="G1025" s="29">
        <v>6</v>
      </c>
      <c r="H1025" s="29" t="e">
        <f>_xlfn.XLOOKUP(C1025&amp;F1025&amp;I1025&amp;J1025,'[1]2025年已发货'!$F:$F&amp;'[1]2025年已发货'!$C:$C&amp;'[1]2025年已发货'!$G:$G&amp;'[1]2025年已发货'!$H:$H,'[1]2025年已发货'!$E:$E,"未发货")</f>
        <v>#N/A</v>
      </c>
      <c r="I1025" s="33" t="e">
        <f>VLOOKUP(B1025,辅助信息!E:I,3,FALSE)</f>
        <v>#N/A</v>
      </c>
      <c r="J1025" s="33" t="e">
        <f>VLOOKUP(B1025,辅助信息!E:I,4,FALSE)</f>
        <v>#N/A</v>
      </c>
      <c r="K1025" s="33" t="e">
        <f>VLOOKUP(J1025,辅助信息!H:I,2,FALSE)</f>
        <v>#N/A</v>
      </c>
      <c r="L1025" s="71"/>
      <c r="M1025" s="84">
        <v>45738</v>
      </c>
      <c r="O1025" s="55">
        <f ca="1" t="shared" si="38"/>
        <v>0</v>
      </c>
      <c r="P1025" s="55">
        <f ca="1" t="shared" si="37"/>
        <v>219</v>
      </c>
      <c r="Q1025" s="19" t="e">
        <f>VLOOKUP(B1025,辅助信息!E:M,9,FALSE)</f>
        <v>#N/A</v>
      </c>
      <c r="R1025" s="19"/>
    </row>
    <row r="1026" hidden="1" spans="1:18">
      <c r="A1026" s="71"/>
      <c r="B1026" s="33" t="s">
        <v>120</v>
      </c>
      <c r="C1026" s="63">
        <v>45744</v>
      </c>
      <c r="D1026" s="33" t="e">
        <f>VLOOKUP(B1026,辅助信息!E:K,7,FALSE)</f>
        <v>#N/A</v>
      </c>
      <c r="E1026" s="33" t="str">
        <f>VLOOKUP(F1026,辅助信息!A:B,2,FALSE)</f>
        <v>螺纹钢</v>
      </c>
      <c r="F1026" s="33" t="s">
        <v>32</v>
      </c>
      <c r="G1026" s="29">
        <v>3</v>
      </c>
      <c r="H1026" s="29" t="e">
        <f>_xlfn.XLOOKUP(C1026&amp;F1026&amp;I1026&amp;J1026,'[1]2025年已发货'!$F:$F&amp;'[1]2025年已发货'!$C:$C&amp;'[1]2025年已发货'!$G:$G&amp;'[1]2025年已发货'!$H:$H,'[1]2025年已发货'!$E:$E,"未发货")</f>
        <v>#N/A</v>
      </c>
      <c r="I1026" s="33" t="e">
        <f>VLOOKUP(B1026,辅助信息!E:I,3,FALSE)</f>
        <v>#N/A</v>
      </c>
      <c r="J1026" s="33" t="e">
        <f>VLOOKUP(B1026,辅助信息!E:I,4,FALSE)</f>
        <v>#N/A</v>
      </c>
      <c r="K1026" s="33" t="e">
        <f>VLOOKUP(J1026,辅助信息!H:I,2,FALSE)</f>
        <v>#N/A</v>
      </c>
      <c r="L1026" s="71"/>
      <c r="M1026" s="84">
        <v>45738</v>
      </c>
      <c r="O1026" s="55">
        <f ca="1" t="shared" si="38"/>
        <v>0</v>
      </c>
      <c r="P1026" s="55">
        <f ca="1" t="shared" si="37"/>
        <v>219</v>
      </c>
      <c r="Q1026" s="19" t="e">
        <f>VLOOKUP(B1026,辅助信息!E:M,9,FALSE)</f>
        <v>#N/A</v>
      </c>
      <c r="R1026" s="19"/>
    </row>
    <row r="1027" hidden="1" spans="1:18">
      <c r="A1027" s="69"/>
      <c r="B1027" s="33" t="s">
        <v>120</v>
      </c>
      <c r="C1027" s="63">
        <v>45744</v>
      </c>
      <c r="D1027" s="33" t="e">
        <f>VLOOKUP(B1027,辅助信息!E:K,7,FALSE)</f>
        <v>#N/A</v>
      </c>
      <c r="E1027" s="33" t="str">
        <f>VLOOKUP(F1027,辅助信息!A:B,2,FALSE)</f>
        <v>螺纹钢</v>
      </c>
      <c r="F1027" s="33" t="s">
        <v>52</v>
      </c>
      <c r="G1027" s="29">
        <v>15</v>
      </c>
      <c r="H1027" s="29" t="e">
        <f>_xlfn.XLOOKUP(C1027&amp;F1027&amp;I1027&amp;J1027,'[1]2025年已发货'!$F:$F&amp;'[1]2025年已发货'!$C:$C&amp;'[1]2025年已发货'!$G:$G&amp;'[1]2025年已发货'!$H:$H,'[1]2025年已发货'!$E:$E,"未发货")</f>
        <v>#N/A</v>
      </c>
      <c r="I1027" s="33" t="e">
        <f>VLOOKUP(B1027,辅助信息!E:I,3,FALSE)</f>
        <v>#N/A</v>
      </c>
      <c r="J1027" s="33" t="e">
        <f>VLOOKUP(B1027,辅助信息!E:I,4,FALSE)</f>
        <v>#N/A</v>
      </c>
      <c r="K1027" s="33" t="e">
        <f>VLOOKUP(J1027,辅助信息!H:I,2,FALSE)</f>
        <v>#N/A</v>
      </c>
      <c r="L1027" s="69"/>
      <c r="M1027" s="84">
        <v>45738</v>
      </c>
      <c r="O1027" s="55">
        <f ca="1" t="shared" si="38"/>
        <v>0</v>
      </c>
      <c r="P1027" s="55">
        <f ca="1" t="shared" si="37"/>
        <v>219</v>
      </c>
      <c r="Q1027" s="19" t="e">
        <f>VLOOKUP(B1027,辅助信息!E:M,9,FALSE)</f>
        <v>#N/A</v>
      </c>
      <c r="R1027" s="19"/>
    </row>
    <row r="1028" hidden="1" spans="2:18">
      <c r="B1028" s="33" t="s">
        <v>74</v>
      </c>
      <c r="C1028" s="63">
        <v>45746</v>
      </c>
      <c r="D1028" s="33" t="e">
        <f>VLOOKUP(B1028,辅助信息!E:K,7,FALSE)</f>
        <v>#N/A</v>
      </c>
      <c r="E1028" s="33" t="str">
        <f>VLOOKUP(F1028,辅助信息!A:B,2,FALSE)</f>
        <v>螺纹钢</v>
      </c>
      <c r="F1028" s="33" t="s">
        <v>27</v>
      </c>
      <c r="G1028" s="29">
        <v>30</v>
      </c>
      <c r="H1028" s="29" t="e">
        <f>_xlfn.XLOOKUP(C1028&amp;F1028&amp;I1028&amp;J1028,'[1]2025年已发货'!$F:$F&amp;'[1]2025年已发货'!$C:$C&amp;'[1]2025年已发货'!$G:$G&amp;'[1]2025年已发货'!$H:$H,'[1]2025年已发货'!$E:$E,"未发货")</f>
        <v>#N/A</v>
      </c>
      <c r="I1028" s="33" t="e">
        <f>VLOOKUP(B1028,辅助信息!E:I,3,FALSE)</f>
        <v>#N/A</v>
      </c>
      <c r="J1028" s="33" t="e">
        <f>VLOOKUP(B1028,辅助信息!E:I,4,FALSE)</f>
        <v>#N/A</v>
      </c>
      <c r="K1028" s="33" t="e">
        <f>VLOOKUP(J1028,辅助信息!H:I,2,FALSE)</f>
        <v>#N/A</v>
      </c>
      <c r="L1028" s="36" t="e">
        <f>VLOOKUP(B1028,辅助信息!E:J,6,FALSE)</f>
        <v>#N/A</v>
      </c>
      <c r="M1028" s="84">
        <v>45752</v>
      </c>
      <c r="O1028" s="55">
        <f ca="1" t="shared" si="38"/>
        <v>0</v>
      </c>
      <c r="P1028" s="55">
        <f ca="1" t="shared" si="37"/>
        <v>205</v>
      </c>
      <c r="Q1028" s="19" t="e">
        <f>VLOOKUP(B1028,辅助信息!E:M,9,FALSE)</f>
        <v>#N/A</v>
      </c>
      <c r="R1028" s="19"/>
    </row>
    <row r="1029" hidden="1" spans="2:18">
      <c r="B1029" s="33" t="s">
        <v>74</v>
      </c>
      <c r="C1029" s="63">
        <v>45746</v>
      </c>
      <c r="D1029" s="33" t="e">
        <f>VLOOKUP(B1029,辅助信息!E:K,7,FALSE)</f>
        <v>#N/A</v>
      </c>
      <c r="E1029" s="33" t="str">
        <f>VLOOKUP(F1029,辅助信息!A:B,2,FALSE)</f>
        <v>螺纹钢</v>
      </c>
      <c r="F1029" s="33" t="s">
        <v>19</v>
      </c>
      <c r="G1029" s="29">
        <v>15</v>
      </c>
      <c r="H1029" s="29" t="e">
        <f>_xlfn.XLOOKUP(C1029&amp;F1029&amp;I1029&amp;J1029,'[1]2025年已发货'!$F:$F&amp;'[1]2025年已发货'!$C:$C&amp;'[1]2025年已发货'!$G:$G&amp;'[1]2025年已发货'!$H:$H,'[1]2025年已发货'!$E:$E,"未发货")</f>
        <v>#N/A</v>
      </c>
      <c r="I1029" s="33" t="e">
        <f>VLOOKUP(B1029,辅助信息!E:I,3,FALSE)</f>
        <v>#N/A</v>
      </c>
      <c r="J1029" s="33" t="e">
        <f>VLOOKUP(B1029,辅助信息!E:I,4,FALSE)</f>
        <v>#N/A</v>
      </c>
      <c r="K1029" s="33" t="e">
        <f>VLOOKUP(J1029,辅助信息!H:I,2,FALSE)</f>
        <v>#N/A</v>
      </c>
      <c r="L1029" s="71"/>
      <c r="M1029" s="84">
        <v>45752</v>
      </c>
      <c r="O1029" s="55">
        <f ca="1" t="shared" si="38"/>
        <v>0</v>
      </c>
      <c r="P1029" s="55">
        <f ca="1" t="shared" si="37"/>
        <v>205</v>
      </c>
      <c r="Q1029" s="19" t="e">
        <f>VLOOKUP(B1029,辅助信息!E:M,9,FALSE)</f>
        <v>#N/A</v>
      </c>
      <c r="R1029" s="19"/>
    </row>
    <row r="1030" hidden="1" spans="2:18">
      <c r="B1030" s="33" t="s">
        <v>74</v>
      </c>
      <c r="C1030" s="63">
        <v>45746</v>
      </c>
      <c r="D1030" s="33" t="e">
        <f>VLOOKUP(B1030,辅助信息!E:K,7,FALSE)</f>
        <v>#N/A</v>
      </c>
      <c r="E1030" s="33" t="str">
        <f>VLOOKUP(F1030,辅助信息!A:B,2,FALSE)</f>
        <v>螺纹钢</v>
      </c>
      <c r="F1030" s="33" t="s">
        <v>32</v>
      </c>
      <c r="G1030" s="29">
        <v>15</v>
      </c>
      <c r="H1030" s="29" t="e">
        <f>_xlfn.XLOOKUP(C1030&amp;F1030&amp;I1030&amp;J1030,'[1]2025年已发货'!$F:$F&amp;'[1]2025年已发货'!$C:$C&amp;'[1]2025年已发货'!$G:$G&amp;'[1]2025年已发货'!$H:$H,'[1]2025年已发货'!$E:$E,"未发货")</f>
        <v>#N/A</v>
      </c>
      <c r="I1030" s="33" t="e">
        <f>VLOOKUP(B1030,辅助信息!E:I,3,FALSE)</f>
        <v>#N/A</v>
      </c>
      <c r="J1030" s="33" t="e">
        <f>VLOOKUP(B1030,辅助信息!E:I,4,FALSE)</f>
        <v>#N/A</v>
      </c>
      <c r="K1030" s="33" t="e">
        <f>VLOOKUP(J1030,辅助信息!H:I,2,FALSE)</f>
        <v>#N/A</v>
      </c>
      <c r="L1030" s="71"/>
      <c r="M1030" s="84">
        <v>45752</v>
      </c>
      <c r="O1030" s="55">
        <f ca="1" t="shared" si="38"/>
        <v>0</v>
      </c>
      <c r="P1030" s="55">
        <f ca="1" t="shared" si="37"/>
        <v>205</v>
      </c>
      <c r="Q1030" s="19" t="e">
        <f>VLOOKUP(B1030,辅助信息!E:M,9,FALSE)</f>
        <v>#N/A</v>
      </c>
      <c r="R1030" s="19"/>
    </row>
    <row r="1031" hidden="1" spans="2:18">
      <c r="B1031" s="33" t="s">
        <v>74</v>
      </c>
      <c r="C1031" s="63">
        <v>45746</v>
      </c>
      <c r="D1031" s="33" t="e">
        <f>VLOOKUP(B1031,辅助信息!E:K,7,FALSE)</f>
        <v>#N/A</v>
      </c>
      <c r="E1031" s="33" t="str">
        <f>VLOOKUP(F1031,辅助信息!A:B,2,FALSE)</f>
        <v>螺纹钢</v>
      </c>
      <c r="F1031" s="33" t="s">
        <v>65</v>
      </c>
      <c r="G1031" s="29">
        <v>30</v>
      </c>
      <c r="H1031" s="29" t="e">
        <f>_xlfn.XLOOKUP(C1031&amp;F1031&amp;I1031&amp;J1031,'[1]2025年已发货'!$F:$F&amp;'[1]2025年已发货'!$C:$C&amp;'[1]2025年已发货'!$G:$G&amp;'[1]2025年已发货'!$H:$H,'[1]2025年已发货'!$E:$E,"未发货")</f>
        <v>#N/A</v>
      </c>
      <c r="I1031" s="33" t="e">
        <f>VLOOKUP(B1031,辅助信息!E:I,3,FALSE)</f>
        <v>#N/A</v>
      </c>
      <c r="J1031" s="33" t="e">
        <f>VLOOKUP(B1031,辅助信息!E:I,4,FALSE)</f>
        <v>#N/A</v>
      </c>
      <c r="K1031" s="33" t="e">
        <f>VLOOKUP(J1031,辅助信息!H:I,2,FALSE)</f>
        <v>#N/A</v>
      </c>
      <c r="L1031" s="69"/>
      <c r="M1031" s="84">
        <v>45752</v>
      </c>
      <c r="O1031" s="55">
        <f ca="1" t="shared" si="38"/>
        <v>0</v>
      </c>
      <c r="P1031" s="55">
        <f ca="1" t="shared" si="37"/>
        <v>205</v>
      </c>
      <c r="Q1031" s="19" t="e">
        <f>VLOOKUP(B1031,辅助信息!E:M,9,FALSE)</f>
        <v>#N/A</v>
      </c>
      <c r="R1031" s="19"/>
    </row>
    <row r="1032" hidden="1" spans="2:18">
      <c r="B1032" s="33" t="s">
        <v>64</v>
      </c>
      <c r="C1032" s="63">
        <v>45746</v>
      </c>
      <c r="D1032" s="33" t="e">
        <f>VLOOKUP(B1032,辅助信息!E:K,7,FALSE)</f>
        <v>#N/A</v>
      </c>
      <c r="E1032" s="33" t="str">
        <f>VLOOKUP(F1032,辅助信息!A:B,2,FALSE)</f>
        <v>螺纹钢</v>
      </c>
      <c r="F1032" s="33" t="s">
        <v>65</v>
      </c>
      <c r="G1032" s="29">
        <v>30</v>
      </c>
      <c r="H1032" s="29" t="e">
        <f>_xlfn.XLOOKUP(C1032&amp;F1032&amp;I1032&amp;J1032,'[1]2025年已发货'!$F:$F&amp;'[1]2025年已发货'!$C:$C&amp;'[1]2025年已发货'!$G:$G&amp;'[1]2025年已发货'!$H:$H,'[1]2025年已发货'!$E:$E,"未发货")</f>
        <v>#N/A</v>
      </c>
      <c r="I1032" s="33" t="e">
        <f>VLOOKUP(B1032,辅助信息!E:I,3,FALSE)</f>
        <v>#N/A</v>
      </c>
      <c r="J1032" s="33" t="e">
        <f>VLOOKUP(B1032,辅助信息!E:I,4,FALSE)</f>
        <v>#N/A</v>
      </c>
      <c r="K1032" s="33" t="e">
        <f>VLOOKUP(J1032,辅助信息!H:I,2,FALSE)</f>
        <v>#N/A</v>
      </c>
      <c r="L1032" s="36" t="e">
        <f>VLOOKUP(B1032,辅助信息!E:J,6,FALSE)</f>
        <v>#N/A</v>
      </c>
      <c r="M1032" s="84">
        <v>45746</v>
      </c>
      <c r="O1032" s="55">
        <f ca="1" t="shared" si="38"/>
        <v>0</v>
      </c>
      <c r="P1032" s="55">
        <f ca="1" t="shared" si="37"/>
        <v>211</v>
      </c>
      <c r="Q1032" s="19" t="e">
        <f>VLOOKUP(B1032,辅助信息!E:M,9,FALSE)</f>
        <v>#N/A</v>
      </c>
      <c r="R1032" s="19"/>
    </row>
    <row r="1033" hidden="1" spans="2:18">
      <c r="B1033" s="33" t="s">
        <v>64</v>
      </c>
      <c r="C1033" s="63">
        <v>45746</v>
      </c>
      <c r="D1033" s="33" t="e">
        <f>VLOOKUP(B1033,辅助信息!E:K,7,FALSE)</f>
        <v>#N/A</v>
      </c>
      <c r="E1033" s="33" t="str">
        <f>VLOOKUP(F1033,辅助信息!A:B,2,FALSE)</f>
        <v>螺纹钢</v>
      </c>
      <c r="F1033" s="33" t="s">
        <v>52</v>
      </c>
      <c r="G1033" s="29">
        <v>33</v>
      </c>
      <c r="H1033" s="29" t="e">
        <f>_xlfn.XLOOKUP(C1033&amp;F1033&amp;I1033&amp;J1033,'[1]2025年已发货'!$F:$F&amp;'[1]2025年已发货'!$C:$C&amp;'[1]2025年已发货'!$G:$G&amp;'[1]2025年已发货'!$H:$H,'[1]2025年已发货'!$E:$E,"未发货")</f>
        <v>#N/A</v>
      </c>
      <c r="I1033" s="33" t="e">
        <f>VLOOKUP(B1033,辅助信息!E:I,3,FALSE)</f>
        <v>#N/A</v>
      </c>
      <c r="J1033" s="33" t="e">
        <f>VLOOKUP(B1033,辅助信息!E:I,4,FALSE)</f>
        <v>#N/A</v>
      </c>
      <c r="K1033" s="33" t="e">
        <f>VLOOKUP(J1033,辅助信息!H:I,2,FALSE)</f>
        <v>#N/A</v>
      </c>
      <c r="L1033" s="69"/>
      <c r="M1033" s="84">
        <v>45746</v>
      </c>
      <c r="O1033" s="55">
        <f ca="1" t="shared" si="38"/>
        <v>0</v>
      </c>
      <c r="P1033" s="55">
        <f ca="1" t="shared" si="37"/>
        <v>211</v>
      </c>
      <c r="Q1033" s="19" t="e">
        <f>VLOOKUP(B1033,辅助信息!E:M,9,FALSE)</f>
        <v>#N/A</v>
      </c>
      <c r="R1033" s="19"/>
    </row>
    <row r="1034" hidden="1" spans="2:18">
      <c r="B1034" s="33" t="s">
        <v>87</v>
      </c>
      <c r="C1034" s="63">
        <v>45746</v>
      </c>
      <c r="D1034" s="33" t="e">
        <f>VLOOKUP(B1034,辅助信息!E:K,7,FALSE)</f>
        <v>#N/A</v>
      </c>
      <c r="E1034" s="33" t="str">
        <f>VLOOKUP(F1034,辅助信息!A:B,2,FALSE)</f>
        <v>螺纹钢</v>
      </c>
      <c r="F1034" s="33" t="s">
        <v>27</v>
      </c>
      <c r="G1034" s="29">
        <v>5</v>
      </c>
      <c r="H1034" s="29" t="e">
        <f>_xlfn.XLOOKUP(C1034&amp;F1034&amp;I1034&amp;J1034,'[1]2025年已发货'!$F:$F&amp;'[1]2025年已发货'!$C:$C&amp;'[1]2025年已发货'!$G:$G&amp;'[1]2025年已发货'!$H:$H,'[1]2025年已发货'!$E:$E,"未发货")</f>
        <v>#N/A</v>
      </c>
      <c r="I1034" s="33" t="e">
        <f>VLOOKUP(B1034,辅助信息!E:I,3,FALSE)</f>
        <v>#N/A</v>
      </c>
      <c r="J1034" s="33" t="e">
        <f>VLOOKUP(B1034,辅助信息!E:I,4,FALSE)</f>
        <v>#N/A</v>
      </c>
      <c r="K1034" s="33" t="e">
        <f>VLOOKUP(J1034,辅助信息!H:I,2,FALSE)</f>
        <v>#N/A</v>
      </c>
      <c r="L1034" s="36" t="e">
        <f>VLOOKUP(B1034,辅助信息!E:J,6,FALSE)</f>
        <v>#N/A</v>
      </c>
      <c r="M1034" s="84">
        <v>45747</v>
      </c>
      <c r="O1034" s="55">
        <f ca="1" t="shared" si="38"/>
        <v>0</v>
      </c>
      <c r="P1034" s="55">
        <f ca="1" t="shared" si="37"/>
        <v>210</v>
      </c>
      <c r="Q1034" s="19" t="e">
        <f>VLOOKUP(B1034,辅助信息!E:M,9,FALSE)</f>
        <v>#N/A</v>
      </c>
      <c r="R1034" s="19"/>
    </row>
    <row r="1035" hidden="1" spans="2:18">
      <c r="B1035" s="33" t="s">
        <v>87</v>
      </c>
      <c r="C1035" s="63">
        <v>45746</v>
      </c>
      <c r="D1035" s="33" t="e">
        <f>VLOOKUP(B1035,辅助信息!E:K,7,FALSE)</f>
        <v>#N/A</v>
      </c>
      <c r="E1035" s="33" t="str">
        <f>VLOOKUP(F1035,辅助信息!A:B,2,FALSE)</f>
        <v>螺纹钢</v>
      </c>
      <c r="F1035" s="33" t="s">
        <v>19</v>
      </c>
      <c r="G1035" s="29">
        <v>8</v>
      </c>
      <c r="H1035" s="29" t="e">
        <f>_xlfn.XLOOKUP(C1035&amp;F1035&amp;I1035&amp;J1035,'[1]2025年已发货'!$F:$F&amp;'[1]2025年已发货'!$C:$C&amp;'[1]2025年已发货'!$G:$G&amp;'[1]2025年已发货'!$H:$H,'[1]2025年已发货'!$E:$E,"未发货")</f>
        <v>#N/A</v>
      </c>
      <c r="I1035" s="33" t="e">
        <f>VLOOKUP(B1035,辅助信息!E:I,3,FALSE)</f>
        <v>#N/A</v>
      </c>
      <c r="J1035" s="33" t="e">
        <f>VLOOKUP(B1035,辅助信息!E:I,4,FALSE)</f>
        <v>#N/A</v>
      </c>
      <c r="K1035" s="33" t="e">
        <f>VLOOKUP(J1035,辅助信息!H:I,2,FALSE)</f>
        <v>#N/A</v>
      </c>
      <c r="L1035" s="71"/>
      <c r="M1035" s="84">
        <v>45747</v>
      </c>
      <c r="O1035" s="55">
        <f ca="1" t="shared" si="38"/>
        <v>0</v>
      </c>
      <c r="P1035" s="55">
        <f ca="1" t="shared" si="37"/>
        <v>210</v>
      </c>
      <c r="Q1035" s="19" t="e">
        <f>VLOOKUP(B1035,辅助信息!E:M,9,FALSE)</f>
        <v>#N/A</v>
      </c>
      <c r="R1035" s="19"/>
    </row>
    <row r="1036" hidden="1" spans="2:18">
      <c r="B1036" s="33" t="s">
        <v>87</v>
      </c>
      <c r="C1036" s="63">
        <v>45746</v>
      </c>
      <c r="D1036" s="33" t="e">
        <f>VLOOKUP(B1036,辅助信息!E:K,7,FALSE)</f>
        <v>#N/A</v>
      </c>
      <c r="E1036" s="33" t="str">
        <f>VLOOKUP(F1036,辅助信息!A:B,2,FALSE)</f>
        <v>螺纹钢</v>
      </c>
      <c r="F1036" s="33" t="s">
        <v>32</v>
      </c>
      <c r="G1036" s="29">
        <v>8</v>
      </c>
      <c r="H1036" s="29" t="e">
        <f>_xlfn.XLOOKUP(C1036&amp;F1036&amp;I1036&amp;J1036,'[1]2025年已发货'!$F:$F&amp;'[1]2025年已发货'!$C:$C&amp;'[1]2025年已发货'!$G:$G&amp;'[1]2025年已发货'!$H:$H,'[1]2025年已发货'!$E:$E,"未发货")</f>
        <v>#N/A</v>
      </c>
      <c r="I1036" s="33" t="e">
        <f>VLOOKUP(B1036,辅助信息!E:I,3,FALSE)</f>
        <v>#N/A</v>
      </c>
      <c r="J1036" s="33" t="e">
        <f>VLOOKUP(B1036,辅助信息!E:I,4,FALSE)</f>
        <v>#N/A</v>
      </c>
      <c r="K1036" s="33" t="e">
        <f>VLOOKUP(J1036,辅助信息!H:I,2,FALSE)</f>
        <v>#N/A</v>
      </c>
      <c r="L1036" s="71"/>
      <c r="M1036" s="84">
        <v>45747</v>
      </c>
      <c r="O1036" s="55">
        <f ca="1" t="shared" si="38"/>
        <v>0</v>
      </c>
      <c r="P1036" s="55">
        <f ca="1" t="shared" si="37"/>
        <v>210</v>
      </c>
      <c r="Q1036" s="19" t="e">
        <f>VLOOKUP(B1036,辅助信息!E:M,9,FALSE)</f>
        <v>#N/A</v>
      </c>
      <c r="R1036" s="19"/>
    </row>
    <row r="1037" hidden="1" spans="2:18">
      <c r="B1037" s="33" t="s">
        <v>87</v>
      </c>
      <c r="C1037" s="63">
        <v>45745</v>
      </c>
      <c r="D1037" s="33" t="e">
        <f>VLOOKUP(B1037,辅助信息!E:K,7,FALSE)</f>
        <v>#N/A</v>
      </c>
      <c r="E1037" s="33" t="str">
        <f>VLOOKUP(F1037,辅助信息!A:B,2,FALSE)</f>
        <v>螺纹钢</v>
      </c>
      <c r="F1037" s="33" t="s">
        <v>28</v>
      </c>
      <c r="G1037" s="29">
        <v>35</v>
      </c>
      <c r="H1037" s="29" t="e">
        <f>_xlfn.XLOOKUP(C1037&amp;F1037&amp;I1037&amp;J1037,'[1]2025年已发货'!$F:$F&amp;'[1]2025年已发货'!$C:$C&amp;'[1]2025年已发货'!$G:$G&amp;'[1]2025年已发货'!$H:$H,'[1]2025年已发货'!$E:$E,"未发货")</f>
        <v>#N/A</v>
      </c>
      <c r="I1037" s="33" t="e">
        <f>VLOOKUP(B1037,辅助信息!E:I,3,FALSE)</f>
        <v>#N/A</v>
      </c>
      <c r="J1037" s="33" t="e">
        <f>VLOOKUP(B1037,辅助信息!E:I,4,FALSE)</f>
        <v>#N/A</v>
      </c>
      <c r="K1037" s="33" t="e">
        <f>VLOOKUP(J1037,辅助信息!H:I,2,FALSE)</f>
        <v>#N/A</v>
      </c>
      <c r="L1037" s="71"/>
      <c r="M1037" s="84">
        <v>45747</v>
      </c>
      <c r="O1037" s="55">
        <f ca="1" t="shared" si="38"/>
        <v>0</v>
      </c>
      <c r="P1037" s="55">
        <f ca="1" t="shared" si="37"/>
        <v>210</v>
      </c>
      <c r="Q1037" s="19" t="e">
        <f>VLOOKUP(B1037,辅助信息!E:M,9,FALSE)</f>
        <v>#N/A</v>
      </c>
      <c r="R1037" s="19"/>
    </row>
    <row r="1038" hidden="1" spans="2:18">
      <c r="B1038" s="33" t="s">
        <v>87</v>
      </c>
      <c r="C1038" s="63">
        <v>45746</v>
      </c>
      <c r="D1038" s="33" t="e">
        <f>VLOOKUP(B1038,辅助信息!E:K,7,FALSE)</f>
        <v>#N/A</v>
      </c>
      <c r="E1038" s="33" t="str">
        <f>VLOOKUP(F1038,辅助信息!A:B,2,FALSE)</f>
        <v>螺纹钢</v>
      </c>
      <c r="F1038" s="33" t="s">
        <v>18</v>
      </c>
      <c r="G1038" s="29">
        <v>5</v>
      </c>
      <c r="H1038" s="29" t="e">
        <f>_xlfn.XLOOKUP(C1038&amp;F1038&amp;I1038&amp;J1038,'[1]2025年已发货'!$F:$F&amp;'[1]2025年已发货'!$C:$C&amp;'[1]2025年已发货'!$G:$G&amp;'[1]2025年已发货'!$H:$H,'[1]2025年已发货'!$E:$E,"未发货")</f>
        <v>#N/A</v>
      </c>
      <c r="I1038" s="33" t="e">
        <f>VLOOKUP(B1038,辅助信息!E:I,3,FALSE)</f>
        <v>#N/A</v>
      </c>
      <c r="J1038" s="33" t="e">
        <f>VLOOKUP(B1038,辅助信息!E:I,4,FALSE)</f>
        <v>#N/A</v>
      </c>
      <c r="K1038" s="33" t="e">
        <f>VLOOKUP(J1038,辅助信息!H:I,2,FALSE)</f>
        <v>#N/A</v>
      </c>
      <c r="L1038" s="71"/>
      <c r="M1038" s="84">
        <v>45747</v>
      </c>
      <c r="O1038" s="55">
        <f ca="1" t="shared" si="38"/>
        <v>0</v>
      </c>
      <c r="P1038" s="55">
        <f ca="1" t="shared" si="37"/>
        <v>210</v>
      </c>
      <c r="Q1038" s="19" t="e">
        <f>VLOOKUP(B1038,辅助信息!E:M,9,FALSE)</f>
        <v>#N/A</v>
      </c>
      <c r="R1038" s="19"/>
    </row>
    <row r="1039" hidden="1" spans="2:18">
      <c r="B1039" s="33" t="s">
        <v>87</v>
      </c>
      <c r="C1039" s="63">
        <v>45746</v>
      </c>
      <c r="D1039" s="33" t="e">
        <f>VLOOKUP(B1039,辅助信息!E:K,7,FALSE)</f>
        <v>#N/A</v>
      </c>
      <c r="E1039" s="33" t="str">
        <f>VLOOKUP(F1039,辅助信息!A:B,2,FALSE)</f>
        <v>螺纹钢</v>
      </c>
      <c r="F1039" s="33" t="s">
        <v>65</v>
      </c>
      <c r="G1039" s="29">
        <v>8</v>
      </c>
      <c r="H1039" s="29" t="e">
        <f>_xlfn.XLOOKUP(C1039&amp;F1039&amp;I1039&amp;J1039,'[1]2025年已发货'!$F:$F&amp;'[1]2025年已发货'!$C:$C&amp;'[1]2025年已发货'!$G:$G&amp;'[1]2025年已发货'!$H:$H,'[1]2025年已发货'!$E:$E,"未发货")</f>
        <v>#N/A</v>
      </c>
      <c r="I1039" s="33" t="e">
        <f>VLOOKUP(B1039,辅助信息!E:I,3,FALSE)</f>
        <v>#N/A</v>
      </c>
      <c r="J1039" s="33" t="e">
        <f>VLOOKUP(B1039,辅助信息!E:I,4,FALSE)</f>
        <v>#N/A</v>
      </c>
      <c r="K1039" s="33" t="e">
        <f>VLOOKUP(J1039,辅助信息!H:I,2,FALSE)</f>
        <v>#N/A</v>
      </c>
      <c r="L1039" s="71"/>
      <c r="M1039" s="84">
        <v>45747</v>
      </c>
      <c r="O1039" s="55">
        <f ca="1" t="shared" si="38"/>
        <v>0</v>
      </c>
      <c r="P1039" s="55">
        <f ca="1" t="shared" si="37"/>
        <v>210</v>
      </c>
      <c r="Q1039" s="19" t="e">
        <f>VLOOKUP(B1039,辅助信息!E:M,9,FALSE)</f>
        <v>#N/A</v>
      </c>
      <c r="R1039" s="19"/>
    </row>
    <row r="1040" hidden="1" spans="2:18">
      <c r="B1040" s="33" t="s">
        <v>87</v>
      </c>
      <c r="C1040" s="63">
        <v>45746</v>
      </c>
      <c r="D1040" s="33" t="e">
        <f>VLOOKUP(B1040,辅助信息!E:K,7,FALSE)</f>
        <v>#N/A</v>
      </c>
      <c r="E1040" s="33" t="str">
        <f>VLOOKUP(F1040,辅助信息!A:B,2,FALSE)</f>
        <v>螺纹钢</v>
      </c>
      <c r="F1040" s="33" t="s">
        <v>52</v>
      </c>
      <c r="G1040" s="29">
        <v>70</v>
      </c>
      <c r="H1040" s="29" t="e">
        <f>_xlfn.XLOOKUP(C1040&amp;F1040&amp;I1040&amp;J1040,'[1]2025年已发货'!$F:$F&amp;'[1]2025年已发货'!$C:$C&amp;'[1]2025年已发货'!$G:$G&amp;'[1]2025年已发货'!$H:$H,'[1]2025年已发货'!$E:$E,"未发货")</f>
        <v>#N/A</v>
      </c>
      <c r="I1040" s="33" t="e">
        <f>VLOOKUP(B1040,辅助信息!E:I,3,FALSE)</f>
        <v>#N/A</v>
      </c>
      <c r="J1040" s="33" t="e">
        <f>VLOOKUP(B1040,辅助信息!E:I,4,FALSE)</f>
        <v>#N/A</v>
      </c>
      <c r="K1040" s="33" t="e">
        <f>VLOOKUP(J1040,辅助信息!H:I,2,FALSE)</f>
        <v>#N/A</v>
      </c>
      <c r="L1040" s="69"/>
      <c r="M1040" s="84">
        <v>45747</v>
      </c>
      <c r="O1040" s="55">
        <f ca="1" t="shared" si="38"/>
        <v>0</v>
      </c>
      <c r="P1040" s="55">
        <f ca="1" t="shared" si="37"/>
        <v>210</v>
      </c>
      <c r="Q1040" s="19" t="e">
        <f>VLOOKUP(B1040,辅助信息!E:M,9,FALSE)</f>
        <v>#N/A</v>
      </c>
      <c r="R1040" s="19"/>
    </row>
    <row r="1041" hidden="1" spans="2:18">
      <c r="B1041" s="33" t="s">
        <v>75</v>
      </c>
      <c r="C1041" s="63">
        <v>45746</v>
      </c>
      <c r="D1041" s="33" t="e">
        <f>VLOOKUP(B1041,辅助信息!E:K,7,FALSE)</f>
        <v>#N/A</v>
      </c>
      <c r="E1041" s="33" t="str">
        <f>VLOOKUP(F1041,辅助信息!A:B,2,FALSE)</f>
        <v>螺纹钢</v>
      </c>
      <c r="F1041" s="33" t="s">
        <v>27</v>
      </c>
      <c r="G1041" s="29">
        <v>10</v>
      </c>
      <c r="H1041" s="29" t="e">
        <f>_xlfn.XLOOKUP(C1041&amp;F1041&amp;I1041&amp;J1041,'[1]2025年已发货'!$F:$F&amp;'[1]2025年已发货'!$C:$C&amp;'[1]2025年已发货'!$G:$G&amp;'[1]2025年已发货'!$H:$H,'[1]2025年已发货'!$E:$E,"未发货")</f>
        <v>#N/A</v>
      </c>
      <c r="I1041" s="33" t="e">
        <f>VLOOKUP(B1041,辅助信息!E:I,3,FALSE)</f>
        <v>#N/A</v>
      </c>
      <c r="J1041" s="33" t="e">
        <f>VLOOKUP(B1041,辅助信息!E:I,4,FALSE)</f>
        <v>#N/A</v>
      </c>
      <c r="K1041" s="33" t="e">
        <f>VLOOKUP(J1041,辅助信息!H:I,2,FALSE)</f>
        <v>#N/A</v>
      </c>
      <c r="L1041" s="36" t="e">
        <f>VLOOKUP(B1041,辅助信息!E:J,6,FALSE)</f>
        <v>#N/A</v>
      </c>
      <c r="M1041" s="84">
        <v>45750</v>
      </c>
      <c r="O1041" s="55">
        <f ca="1" t="shared" si="38"/>
        <v>0</v>
      </c>
      <c r="P1041" s="55">
        <f ca="1" t="shared" si="37"/>
        <v>207</v>
      </c>
      <c r="Q1041" s="19" t="e">
        <f>VLOOKUP(B1041,辅助信息!E:M,9,FALSE)</f>
        <v>#N/A</v>
      </c>
      <c r="R1041" s="19"/>
    </row>
    <row r="1042" hidden="1" spans="2:18">
      <c r="B1042" s="33" t="s">
        <v>75</v>
      </c>
      <c r="C1042" s="63">
        <v>45746</v>
      </c>
      <c r="D1042" s="33" t="e">
        <f>VLOOKUP(B1042,辅助信息!E:K,7,FALSE)</f>
        <v>#N/A</v>
      </c>
      <c r="E1042" s="33" t="str">
        <f>VLOOKUP(F1042,辅助信息!A:B,2,FALSE)</f>
        <v>螺纹钢</v>
      </c>
      <c r="F1042" s="33" t="s">
        <v>19</v>
      </c>
      <c r="G1042" s="29">
        <v>40</v>
      </c>
      <c r="H1042" s="29" t="e">
        <f>_xlfn.XLOOKUP(C1042&amp;F1042&amp;I1042&amp;J1042,'[1]2025年已发货'!$F:$F&amp;'[1]2025年已发货'!$C:$C&amp;'[1]2025年已发货'!$G:$G&amp;'[1]2025年已发货'!$H:$H,'[1]2025年已发货'!$E:$E,"未发货")</f>
        <v>#N/A</v>
      </c>
      <c r="I1042" s="33" t="e">
        <f>VLOOKUP(B1042,辅助信息!E:I,3,FALSE)</f>
        <v>#N/A</v>
      </c>
      <c r="J1042" s="33" t="e">
        <f>VLOOKUP(B1042,辅助信息!E:I,4,FALSE)</f>
        <v>#N/A</v>
      </c>
      <c r="K1042" s="33" t="e">
        <f>VLOOKUP(J1042,辅助信息!H:I,2,FALSE)</f>
        <v>#N/A</v>
      </c>
      <c r="L1042" s="71"/>
      <c r="M1042" s="84">
        <v>45750</v>
      </c>
      <c r="O1042" s="55">
        <f ca="1" t="shared" si="38"/>
        <v>0</v>
      </c>
      <c r="P1042" s="55">
        <f ca="1" t="shared" si="37"/>
        <v>207</v>
      </c>
      <c r="Q1042" s="19" t="e">
        <f>VLOOKUP(B1042,辅助信息!E:M,9,FALSE)</f>
        <v>#N/A</v>
      </c>
      <c r="R1042" s="19"/>
    </row>
    <row r="1043" hidden="1" spans="2:18">
      <c r="B1043" s="33" t="s">
        <v>75</v>
      </c>
      <c r="C1043" s="63">
        <v>45746</v>
      </c>
      <c r="D1043" s="33" t="e">
        <f>VLOOKUP(B1043,辅助信息!E:K,7,FALSE)</f>
        <v>#N/A</v>
      </c>
      <c r="E1043" s="33" t="str">
        <f>VLOOKUP(F1043,辅助信息!A:B,2,FALSE)</f>
        <v>螺纹钢</v>
      </c>
      <c r="F1043" s="33" t="s">
        <v>18</v>
      </c>
      <c r="G1043" s="29">
        <v>30</v>
      </c>
      <c r="H1043" s="29" t="e">
        <f>_xlfn.XLOOKUP(C1043&amp;F1043&amp;I1043&amp;J1043,'[1]2025年已发货'!$F:$F&amp;'[1]2025年已发货'!$C:$C&amp;'[1]2025年已发货'!$G:$G&amp;'[1]2025年已发货'!$H:$H,'[1]2025年已发货'!$E:$E,"未发货")</f>
        <v>#N/A</v>
      </c>
      <c r="I1043" s="33" t="e">
        <f>VLOOKUP(B1043,辅助信息!E:I,3,FALSE)</f>
        <v>#N/A</v>
      </c>
      <c r="J1043" s="33" t="e">
        <f>VLOOKUP(B1043,辅助信息!E:I,4,FALSE)</f>
        <v>#N/A</v>
      </c>
      <c r="K1043" s="33" t="e">
        <f>VLOOKUP(J1043,辅助信息!H:I,2,FALSE)</f>
        <v>#N/A</v>
      </c>
      <c r="L1043" s="71"/>
      <c r="M1043" s="84">
        <v>45750</v>
      </c>
      <c r="O1043" s="55">
        <f ca="1" t="shared" si="38"/>
        <v>0</v>
      </c>
      <c r="P1043" s="55">
        <f ca="1" t="shared" si="37"/>
        <v>207</v>
      </c>
      <c r="Q1043" s="19" t="e">
        <f>VLOOKUP(B1043,辅助信息!E:M,9,FALSE)</f>
        <v>#N/A</v>
      </c>
      <c r="R1043" s="19"/>
    </row>
    <row r="1044" hidden="1" spans="2:18">
      <c r="B1044" s="33" t="s">
        <v>75</v>
      </c>
      <c r="C1044" s="63">
        <v>45746</v>
      </c>
      <c r="D1044" s="33" t="e">
        <f>VLOOKUP(B1044,辅助信息!E:K,7,FALSE)</f>
        <v>#N/A</v>
      </c>
      <c r="E1044" s="33" t="str">
        <f>VLOOKUP(F1044,辅助信息!A:B,2,FALSE)</f>
        <v>螺纹钢</v>
      </c>
      <c r="F1044" s="33" t="s">
        <v>86</v>
      </c>
      <c r="G1044" s="29">
        <v>45</v>
      </c>
      <c r="H1044" s="29" t="e">
        <f>_xlfn.XLOOKUP(C1044&amp;F1044&amp;I1044&amp;J1044,'[1]2025年已发货'!$F:$F&amp;'[1]2025年已发货'!$C:$C&amp;'[1]2025年已发货'!$G:$G&amp;'[1]2025年已发货'!$H:$H,'[1]2025年已发货'!$E:$E,"未发货")</f>
        <v>#N/A</v>
      </c>
      <c r="I1044" s="33" t="e">
        <f>VLOOKUP(B1044,辅助信息!E:I,3,FALSE)</f>
        <v>#N/A</v>
      </c>
      <c r="J1044" s="33" t="e">
        <f>VLOOKUP(B1044,辅助信息!E:I,4,FALSE)</f>
        <v>#N/A</v>
      </c>
      <c r="K1044" s="33" t="e">
        <f>VLOOKUP(J1044,辅助信息!H:I,2,FALSE)</f>
        <v>#N/A</v>
      </c>
      <c r="L1044" s="69"/>
      <c r="M1044" s="84">
        <v>45750</v>
      </c>
      <c r="O1044" s="55">
        <f ca="1" t="shared" si="38"/>
        <v>0</v>
      </c>
      <c r="P1044" s="55">
        <f ca="1" t="shared" si="37"/>
        <v>207</v>
      </c>
      <c r="Q1044" s="19" t="e">
        <f>VLOOKUP(B1044,辅助信息!E:M,9,FALSE)</f>
        <v>#N/A</v>
      </c>
      <c r="R1044" s="19"/>
    </row>
    <row r="1045" hidden="1" spans="2:18">
      <c r="B1045" s="33" t="s">
        <v>120</v>
      </c>
      <c r="C1045" s="63">
        <v>45745</v>
      </c>
      <c r="D1045" s="33" t="e">
        <f>VLOOKUP(B1045,辅助信息!E:K,7,FALSE)</f>
        <v>#N/A</v>
      </c>
      <c r="E1045" s="33" t="str">
        <f>VLOOKUP(F1045,辅助信息!A:B,2,FALSE)</f>
        <v>高线</v>
      </c>
      <c r="F1045" s="33" t="s">
        <v>53</v>
      </c>
      <c r="G1045" s="29">
        <v>5</v>
      </c>
      <c r="H1045" s="29" t="e">
        <f>_xlfn.XLOOKUP(C1045&amp;F1045&amp;I1045&amp;J1045,'[1]2025年已发货'!$F:$F&amp;'[1]2025年已发货'!$C:$C&amp;'[1]2025年已发货'!$G:$G&amp;'[1]2025年已发货'!$H:$H,'[1]2025年已发货'!$E:$E,"未发货")</f>
        <v>#N/A</v>
      </c>
      <c r="I1045" s="33" t="e">
        <f>VLOOKUP(B1045,辅助信息!E:I,3,FALSE)</f>
        <v>#N/A</v>
      </c>
      <c r="J1045" s="33" t="e">
        <f>VLOOKUP(B1045,辅助信息!E:I,4,FALSE)</f>
        <v>#N/A</v>
      </c>
      <c r="K1045" s="33" t="e">
        <f>VLOOKUP(J1045,辅助信息!H:I,2,FALSE)</f>
        <v>#N/A</v>
      </c>
      <c r="L1045" s="36" t="e">
        <f>VLOOKUP(B1045,辅助信息!E:J,6,FALSE)</f>
        <v>#N/A</v>
      </c>
      <c r="M1045" s="84">
        <v>45750</v>
      </c>
      <c r="O1045" s="55">
        <f ca="1" t="shared" si="38"/>
        <v>0</v>
      </c>
      <c r="P1045" s="55">
        <f ca="1" t="shared" si="37"/>
        <v>207</v>
      </c>
      <c r="Q1045" s="19" t="e">
        <f>VLOOKUP(B1045,辅助信息!E:M,9,FALSE)</f>
        <v>#N/A</v>
      </c>
      <c r="R1045" s="19"/>
    </row>
    <row r="1046" hidden="1" spans="2:18">
      <c r="B1046" s="33" t="s">
        <v>120</v>
      </c>
      <c r="C1046" s="63">
        <v>45745</v>
      </c>
      <c r="D1046" s="33" t="e">
        <f>VLOOKUP(B1046,辅助信息!E:K,7,FALSE)</f>
        <v>#N/A</v>
      </c>
      <c r="E1046" s="33" t="str">
        <f>VLOOKUP(F1046,辅助信息!A:B,2,FALSE)</f>
        <v>高线</v>
      </c>
      <c r="F1046" s="33" t="s">
        <v>51</v>
      </c>
      <c r="G1046" s="29">
        <v>3</v>
      </c>
      <c r="H1046" s="29" t="e">
        <f>_xlfn.XLOOKUP(C1046&amp;F1046&amp;I1046&amp;J1046,'[1]2025年已发货'!$F:$F&amp;'[1]2025年已发货'!$C:$C&amp;'[1]2025年已发货'!$G:$G&amp;'[1]2025年已发货'!$H:$H,'[1]2025年已发货'!$E:$E,"未发货")</f>
        <v>#N/A</v>
      </c>
      <c r="I1046" s="33" t="e">
        <f>VLOOKUP(B1046,辅助信息!E:I,3,FALSE)</f>
        <v>#N/A</v>
      </c>
      <c r="J1046" s="33" t="e">
        <f>VLOOKUP(B1046,辅助信息!E:I,4,FALSE)</f>
        <v>#N/A</v>
      </c>
      <c r="K1046" s="33" t="e">
        <f>VLOOKUP(J1046,辅助信息!H:I,2,FALSE)</f>
        <v>#N/A</v>
      </c>
      <c r="L1046" s="71"/>
      <c r="M1046" s="84">
        <v>45750</v>
      </c>
      <c r="O1046" s="55">
        <f ca="1" t="shared" si="38"/>
        <v>0</v>
      </c>
      <c r="P1046" s="55">
        <f ca="1" t="shared" si="37"/>
        <v>207</v>
      </c>
      <c r="Q1046" s="19" t="e">
        <f>VLOOKUP(B1046,辅助信息!E:M,9,FALSE)</f>
        <v>#N/A</v>
      </c>
      <c r="R1046" s="19"/>
    </row>
    <row r="1047" hidden="1" spans="2:18">
      <c r="B1047" s="33" t="s">
        <v>120</v>
      </c>
      <c r="C1047" s="63">
        <v>45745</v>
      </c>
      <c r="D1047" s="33" t="e">
        <f>VLOOKUP(B1047,辅助信息!E:K,7,FALSE)</f>
        <v>#N/A</v>
      </c>
      <c r="E1047" s="33" t="str">
        <f>VLOOKUP(F1047,辅助信息!A:B,2,FALSE)</f>
        <v>螺纹钢</v>
      </c>
      <c r="F1047" s="33" t="s">
        <v>32</v>
      </c>
      <c r="G1047" s="29">
        <v>5</v>
      </c>
      <c r="H1047" s="29" t="e">
        <f>_xlfn.XLOOKUP(C1047&amp;F1047&amp;I1047&amp;J1047,'[1]2025年已发货'!$F:$F&amp;'[1]2025年已发货'!$C:$C&amp;'[1]2025年已发货'!$G:$G&amp;'[1]2025年已发货'!$H:$H,'[1]2025年已发货'!$E:$E,"未发货")</f>
        <v>#N/A</v>
      </c>
      <c r="I1047" s="33" t="e">
        <f>VLOOKUP(B1047,辅助信息!E:I,3,FALSE)</f>
        <v>#N/A</v>
      </c>
      <c r="J1047" s="33" t="e">
        <f>VLOOKUP(B1047,辅助信息!E:I,4,FALSE)</f>
        <v>#N/A</v>
      </c>
      <c r="K1047" s="33" t="e">
        <f>VLOOKUP(J1047,辅助信息!H:I,2,FALSE)</f>
        <v>#N/A</v>
      </c>
      <c r="L1047" s="71"/>
      <c r="M1047" s="84">
        <v>45750</v>
      </c>
      <c r="O1047" s="55">
        <f ca="1" t="shared" si="38"/>
        <v>0</v>
      </c>
      <c r="P1047" s="55">
        <f ca="1" t="shared" si="37"/>
        <v>207</v>
      </c>
      <c r="Q1047" s="19" t="e">
        <f>VLOOKUP(B1047,辅助信息!E:M,9,FALSE)</f>
        <v>#N/A</v>
      </c>
      <c r="R1047" s="19"/>
    </row>
    <row r="1048" hidden="1" spans="2:18">
      <c r="B1048" s="33" t="s">
        <v>120</v>
      </c>
      <c r="C1048" s="63">
        <v>45745</v>
      </c>
      <c r="D1048" s="33" t="e">
        <f>VLOOKUP(B1048,辅助信息!E:K,7,FALSE)</f>
        <v>#N/A</v>
      </c>
      <c r="E1048" s="33" t="str">
        <f>VLOOKUP(F1048,辅助信息!A:B,2,FALSE)</f>
        <v>螺纹钢</v>
      </c>
      <c r="F1048" s="33" t="s">
        <v>30</v>
      </c>
      <c r="G1048" s="29">
        <v>8</v>
      </c>
      <c r="H1048" s="29" t="e">
        <f>_xlfn.XLOOKUP(C1048&amp;F1048&amp;I1048&amp;J1048,'[1]2025年已发货'!$F:$F&amp;'[1]2025年已发货'!$C:$C&amp;'[1]2025年已发货'!$G:$G&amp;'[1]2025年已发货'!$H:$H,'[1]2025年已发货'!$E:$E,"未发货")</f>
        <v>#N/A</v>
      </c>
      <c r="I1048" s="33" t="e">
        <f>VLOOKUP(B1048,辅助信息!E:I,3,FALSE)</f>
        <v>#N/A</v>
      </c>
      <c r="J1048" s="33" t="e">
        <f>VLOOKUP(B1048,辅助信息!E:I,4,FALSE)</f>
        <v>#N/A</v>
      </c>
      <c r="K1048" s="33" t="e">
        <f>VLOOKUP(J1048,辅助信息!H:I,2,FALSE)</f>
        <v>#N/A</v>
      </c>
      <c r="L1048" s="71"/>
      <c r="M1048" s="84">
        <v>45750</v>
      </c>
      <c r="O1048" s="55">
        <f ca="1" t="shared" si="38"/>
        <v>0</v>
      </c>
      <c r="P1048" s="55">
        <f ca="1" t="shared" si="37"/>
        <v>207</v>
      </c>
      <c r="Q1048" s="19" t="e">
        <f>VLOOKUP(B1048,辅助信息!E:M,9,FALSE)</f>
        <v>#N/A</v>
      </c>
      <c r="R1048" s="19"/>
    </row>
    <row r="1049" hidden="1" spans="2:18">
      <c r="B1049" s="33" t="s">
        <v>120</v>
      </c>
      <c r="C1049" s="63">
        <v>45745</v>
      </c>
      <c r="D1049" s="33" t="e">
        <f>VLOOKUP(B1049,辅助信息!E:K,7,FALSE)</f>
        <v>#N/A</v>
      </c>
      <c r="E1049" s="33" t="str">
        <f>VLOOKUP(F1049,辅助信息!A:B,2,FALSE)</f>
        <v>螺纹钢</v>
      </c>
      <c r="F1049" s="33" t="s">
        <v>28</v>
      </c>
      <c r="G1049" s="29">
        <v>17</v>
      </c>
      <c r="H1049" s="29" t="e">
        <f>_xlfn.XLOOKUP(C1049&amp;F1049&amp;I1049&amp;J1049,'[1]2025年已发货'!$F:$F&amp;'[1]2025年已发货'!$C:$C&amp;'[1]2025年已发货'!$G:$G&amp;'[1]2025年已发货'!$H:$H,'[1]2025年已发货'!$E:$E,"未发货")</f>
        <v>#N/A</v>
      </c>
      <c r="I1049" s="33" t="e">
        <f>VLOOKUP(B1049,辅助信息!E:I,3,FALSE)</f>
        <v>#N/A</v>
      </c>
      <c r="J1049" s="33" t="e">
        <f>VLOOKUP(B1049,辅助信息!E:I,4,FALSE)</f>
        <v>#N/A</v>
      </c>
      <c r="K1049" s="33" t="e">
        <f>VLOOKUP(J1049,辅助信息!H:I,2,FALSE)</f>
        <v>#N/A</v>
      </c>
      <c r="L1049" s="69"/>
      <c r="M1049" s="84">
        <v>45750</v>
      </c>
      <c r="O1049" s="55">
        <f ca="1" t="shared" si="38"/>
        <v>0</v>
      </c>
      <c r="P1049" s="55">
        <f ca="1" t="shared" si="37"/>
        <v>207</v>
      </c>
      <c r="Q1049" s="19" t="e">
        <f>VLOOKUP(B1049,辅助信息!E:M,9,FALSE)</f>
        <v>#N/A</v>
      </c>
      <c r="R1049" s="19"/>
    </row>
    <row r="1050" hidden="1" spans="2:18">
      <c r="B1050" s="33" t="s">
        <v>25</v>
      </c>
      <c r="C1050" s="63">
        <v>45746</v>
      </c>
      <c r="D1050" s="33" t="e">
        <f>VLOOKUP(B1050,辅助信息!E:K,7,FALSE)</f>
        <v>#N/A</v>
      </c>
      <c r="E1050" s="33" t="str">
        <f>VLOOKUP(F1050,辅助信息!A:B,2,FALSE)</f>
        <v>螺纹钢</v>
      </c>
      <c r="F1050" s="33" t="s">
        <v>27</v>
      </c>
      <c r="G1050" s="29">
        <v>10</v>
      </c>
      <c r="H1050" s="29" t="e">
        <f>_xlfn.XLOOKUP(C1050&amp;F1050&amp;I1050&amp;J1050,'[1]2025年已发货'!$F:$F&amp;'[1]2025年已发货'!$C:$C&amp;'[1]2025年已发货'!$G:$G&amp;'[1]2025年已发货'!$H:$H,'[1]2025年已发货'!$E:$E,"未发货")</f>
        <v>#N/A</v>
      </c>
      <c r="I1050" s="33" t="e">
        <f>VLOOKUP(B1050,辅助信息!E:I,3,FALSE)</f>
        <v>#N/A</v>
      </c>
      <c r="J1050" s="33" t="e">
        <f>VLOOKUP(B1050,辅助信息!E:I,4,FALSE)</f>
        <v>#N/A</v>
      </c>
      <c r="K1050" s="33" t="e">
        <f>VLOOKUP(J1050,辅助信息!H:I,2,FALSE)</f>
        <v>#N/A</v>
      </c>
      <c r="L1050" s="36" t="e">
        <f>VLOOKUP(B1050,辅助信息!E:J,6,FALSE)</f>
        <v>#N/A</v>
      </c>
      <c r="M1050" s="84">
        <v>45749</v>
      </c>
      <c r="O1050" s="55">
        <f ca="1" t="shared" si="38"/>
        <v>0</v>
      </c>
      <c r="P1050" s="55">
        <f ca="1" t="shared" si="37"/>
        <v>208</v>
      </c>
      <c r="Q1050" s="19" t="e">
        <f>VLOOKUP(B1050,辅助信息!E:M,9,FALSE)</f>
        <v>#N/A</v>
      </c>
      <c r="R1050" s="19"/>
    </row>
    <row r="1051" hidden="1" spans="2:18">
      <c r="B1051" s="33" t="s">
        <v>25</v>
      </c>
      <c r="C1051" s="63">
        <v>45746</v>
      </c>
      <c r="D1051" s="33" t="e">
        <f>VLOOKUP(B1051,辅助信息!E:K,7,FALSE)</f>
        <v>#N/A</v>
      </c>
      <c r="E1051" s="33" t="str">
        <f>VLOOKUP(F1051,辅助信息!A:B,2,FALSE)</f>
        <v>螺纹钢</v>
      </c>
      <c r="F1051" s="33" t="s">
        <v>32</v>
      </c>
      <c r="G1051" s="29">
        <v>6</v>
      </c>
      <c r="H1051" s="29" t="e">
        <f>_xlfn.XLOOKUP(C1051&amp;F1051&amp;I1051&amp;J1051,'[1]2025年已发货'!$F:$F&amp;'[1]2025年已发货'!$C:$C&amp;'[1]2025年已发货'!$G:$G&amp;'[1]2025年已发货'!$H:$H,'[1]2025年已发货'!$E:$E,"未发货")</f>
        <v>#N/A</v>
      </c>
      <c r="I1051" s="33" t="e">
        <f>VLOOKUP(B1051,辅助信息!E:I,3,FALSE)</f>
        <v>#N/A</v>
      </c>
      <c r="J1051" s="33" t="e">
        <f>VLOOKUP(B1051,辅助信息!E:I,4,FALSE)</f>
        <v>#N/A</v>
      </c>
      <c r="K1051" s="33" t="e">
        <f>VLOOKUP(J1051,辅助信息!H:I,2,FALSE)</f>
        <v>#N/A</v>
      </c>
      <c r="L1051" s="71"/>
      <c r="M1051" s="84">
        <v>45749</v>
      </c>
      <c r="O1051" s="55">
        <f ca="1" t="shared" si="38"/>
        <v>0</v>
      </c>
      <c r="P1051" s="55">
        <f ca="1" t="shared" si="37"/>
        <v>208</v>
      </c>
      <c r="Q1051" s="19" t="e">
        <f>VLOOKUP(B1051,辅助信息!E:M,9,FALSE)</f>
        <v>#N/A</v>
      </c>
      <c r="R1051" s="19"/>
    </row>
    <row r="1052" hidden="1" spans="2:18">
      <c r="B1052" s="33" t="s">
        <v>25</v>
      </c>
      <c r="C1052" s="63">
        <v>45746</v>
      </c>
      <c r="D1052" s="33" t="e">
        <f>VLOOKUP(B1052,辅助信息!E:K,7,FALSE)</f>
        <v>#N/A</v>
      </c>
      <c r="E1052" s="33" t="str">
        <f>VLOOKUP(F1052,辅助信息!A:B,2,FALSE)</f>
        <v>螺纹钢</v>
      </c>
      <c r="F1052" s="33" t="s">
        <v>28</v>
      </c>
      <c r="G1052" s="29">
        <v>12</v>
      </c>
      <c r="H1052" s="29" t="e">
        <f>_xlfn.XLOOKUP(C1052&amp;F1052&amp;I1052&amp;J1052,'[1]2025年已发货'!$F:$F&amp;'[1]2025年已发货'!$C:$C&amp;'[1]2025年已发货'!$G:$G&amp;'[1]2025年已发货'!$H:$H,'[1]2025年已发货'!$E:$E,"未发货")</f>
        <v>#N/A</v>
      </c>
      <c r="I1052" s="33" t="e">
        <f>VLOOKUP(B1052,辅助信息!E:I,3,FALSE)</f>
        <v>#N/A</v>
      </c>
      <c r="J1052" s="33" t="e">
        <f>VLOOKUP(B1052,辅助信息!E:I,4,FALSE)</f>
        <v>#N/A</v>
      </c>
      <c r="K1052" s="33" t="e">
        <f>VLOOKUP(J1052,辅助信息!H:I,2,FALSE)</f>
        <v>#N/A</v>
      </c>
      <c r="L1052" s="71"/>
      <c r="M1052" s="84">
        <v>45749</v>
      </c>
      <c r="O1052" s="55">
        <f ca="1" t="shared" si="38"/>
        <v>0</v>
      </c>
      <c r="P1052" s="55">
        <f ca="1" t="shared" si="37"/>
        <v>208</v>
      </c>
      <c r="Q1052" s="19" t="e">
        <f>VLOOKUP(B1052,辅助信息!E:M,9,FALSE)</f>
        <v>#N/A</v>
      </c>
      <c r="R1052" s="19"/>
    </row>
    <row r="1053" hidden="1" spans="2:18">
      <c r="B1053" s="33" t="s">
        <v>25</v>
      </c>
      <c r="C1053" s="63">
        <v>45746</v>
      </c>
      <c r="D1053" s="33" t="e">
        <f>VLOOKUP(B1053,辅助信息!E:K,7,FALSE)</f>
        <v>#N/A</v>
      </c>
      <c r="E1053" s="33" t="str">
        <f>VLOOKUP(F1053,辅助信息!A:B,2,FALSE)</f>
        <v>螺纹钢</v>
      </c>
      <c r="F1053" s="33" t="s">
        <v>65</v>
      </c>
      <c r="G1053" s="29">
        <v>8</v>
      </c>
      <c r="H1053" s="29" t="e">
        <f>_xlfn.XLOOKUP(C1053&amp;F1053&amp;I1053&amp;J1053,'[1]2025年已发货'!$F:$F&amp;'[1]2025年已发货'!$C:$C&amp;'[1]2025年已发货'!$G:$G&amp;'[1]2025年已发货'!$H:$H,'[1]2025年已发货'!$E:$E,"未发货")</f>
        <v>#N/A</v>
      </c>
      <c r="I1053" s="33" t="e">
        <f>VLOOKUP(B1053,辅助信息!E:I,3,FALSE)</f>
        <v>#N/A</v>
      </c>
      <c r="J1053" s="33" t="e">
        <f>VLOOKUP(B1053,辅助信息!E:I,4,FALSE)</f>
        <v>#N/A</v>
      </c>
      <c r="K1053" s="33" t="e">
        <f>VLOOKUP(J1053,辅助信息!H:I,2,FALSE)</f>
        <v>#N/A</v>
      </c>
      <c r="L1053" s="69"/>
      <c r="M1053" s="84">
        <v>45749</v>
      </c>
      <c r="O1053" s="55">
        <f ca="1" t="shared" si="38"/>
        <v>0</v>
      </c>
      <c r="P1053" s="55">
        <f ca="1" t="shared" si="37"/>
        <v>208</v>
      </c>
      <c r="Q1053" s="19" t="e">
        <f>VLOOKUP(B1053,辅助信息!E:M,9,FALSE)</f>
        <v>#N/A</v>
      </c>
      <c r="R1053" s="19"/>
    </row>
    <row r="1054" hidden="1" spans="2:18">
      <c r="B1054" s="33" t="s">
        <v>29</v>
      </c>
      <c r="C1054" s="63">
        <v>45746</v>
      </c>
      <c r="D1054" s="33" t="e">
        <f>VLOOKUP(B1054,辅助信息!E:K,7,FALSE)</f>
        <v>#N/A</v>
      </c>
      <c r="E1054" s="33" t="str">
        <f>VLOOKUP(F1054,辅助信息!A:B,2,FALSE)</f>
        <v>高线</v>
      </c>
      <c r="F1054" s="33" t="s">
        <v>53</v>
      </c>
      <c r="G1054" s="29">
        <v>15</v>
      </c>
      <c r="H1054" s="29" t="e">
        <f>_xlfn.XLOOKUP(C1054&amp;F1054&amp;I1054&amp;J1054,'[1]2025年已发货'!$F:$F&amp;'[1]2025年已发货'!$C:$C&amp;'[1]2025年已发货'!$G:$G&amp;'[1]2025年已发货'!$H:$H,'[1]2025年已发货'!$E:$E,"未发货")</f>
        <v>#N/A</v>
      </c>
      <c r="I1054" s="33" t="e">
        <f>VLOOKUP(B1054,辅助信息!E:I,3,FALSE)</f>
        <v>#N/A</v>
      </c>
      <c r="J1054" s="33" t="e">
        <f>VLOOKUP(B1054,辅助信息!E:I,4,FALSE)</f>
        <v>#N/A</v>
      </c>
      <c r="K1054" s="33" t="e">
        <f>VLOOKUP(J1054,辅助信息!H:I,2,FALSE)</f>
        <v>#N/A</v>
      </c>
      <c r="L1054" s="36" t="e">
        <f>VLOOKUP(B1054,辅助信息!E:J,6,FALSE)</f>
        <v>#N/A</v>
      </c>
      <c r="M1054" s="84">
        <v>45750</v>
      </c>
      <c r="O1054" s="55">
        <f ca="1" t="shared" si="38"/>
        <v>0</v>
      </c>
      <c r="P1054" s="55">
        <f ca="1" t="shared" si="37"/>
        <v>207</v>
      </c>
      <c r="Q1054" s="19" t="e">
        <f>VLOOKUP(B1054,辅助信息!E:M,9,FALSE)</f>
        <v>#N/A</v>
      </c>
      <c r="R1054" s="19"/>
    </row>
    <row r="1055" hidden="1" spans="2:18">
      <c r="B1055" s="33" t="s">
        <v>29</v>
      </c>
      <c r="C1055" s="63">
        <v>45746</v>
      </c>
      <c r="D1055" s="33" t="e">
        <f>VLOOKUP(B1055,辅助信息!E:K,7,FALSE)</f>
        <v>#N/A</v>
      </c>
      <c r="E1055" s="33" t="str">
        <f>VLOOKUP(F1055,辅助信息!A:B,2,FALSE)</f>
        <v>螺纹钢</v>
      </c>
      <c r="F1055" s="33" t="s">
        <v>28</v>
      </c>
      <c r="G1055" s="29">
        <v>20</v>
      </c>
      <c r="H1055" s="29" t="e">
        <f>_xlfn.XLOOKUP(C1055&amp;F1055&amp;I1055&amp;J1055,'[1]2025年已发货'!$F:$F&amp;'[1]2025年已发货'!$C:$C&amp;'[1]2025年已发货'!$G:$G&amp;'[1]2025年已发货'!$H:$H,'[1]2025年已发货'!$E:$E,"未发货")</f>
        <v>#N/A</v>
      </c>
      <c r="I1055" s="33" t="e">
        <f>VLOOKUP(B1055,辅助信息!E:I,3,FALSE)</f>
        <v>#N/A</v>
      </c>
      <c r="J1055" s="33" t="e">
        <f>VLOOKUP(B1055,辅助信息!E:I,4,FALSE)</f>
        <v>#N/A</v>
      </c>
      <c r="K1055" s="33" t="e">
        <f>VLOOKUP(J1055,辅助信息!H:I,2,FALSE)</f>
        <v>#N/A</v>
      </c>
      <c r="L1055" s="69"/>
      <c r="M1055" s="84">
        <v>45750</v>
      </c>
      <c r="O1055" s="55">
        <f ca="1" t="shared" si="38"/>
        <v>0</v>
      </c>
      <c r="P1055" s="55">
        <f ca="1" t="shared" si="37"/>
        <v>207</v>
      </c>
      <c r="Q1055" s="19" t="e">
        <f>VLOOKUP(B1055,辅助信息!E:M,9,FALSE)</f>
        <v>#N/A</v>
      </c>
      <c r="R1055" s="19"/>
    </row>
    <row r="1056" hidden="1" spans="2:18">
      <c r="B1056" s="33" t="s">
        <v>78</v>
      </c>
      <c r="C1056" s="63">
        <v>45746</v>
      </c>
      <c r="D1056" s="33" t="e">
        <f>VLOOKUP(B1056,辅助信息!E:K,7,FALSE)</f>
        <v>#N/A</v>
      </c>
      <c r="E1056" s="33" t="str">
        <f>VLOOKUP(F1056,辅助信息!A:B,2,FALSE)</f>
        <v>螺纹钢</v>
      </c>
      <c r="F1056" s="33" t="s">
        <v>19</v>
      </c>
      <c r="G1056" s="29">
        <v>6</v>
      </c>
      <c r="H1056" s="29" t="e">
        <f>_xlfn.XLOOKUP(C1056&amp;F1056&amp;I1056&amp;J1056,'[1]2025年已发货'!$F:$F&amp;'[1]2025年已发货'!$C:$C&amp;'[1]2025年已发货'!$G:$G&amp;'[1]2025年已发货'!$H:$H,'[1]2025年已发货'!$E:$E,"未发货")</f>
        <v>#N/A</v>
      </c>
      <c r="I1056" s="33" t="e">
        <f>VLOOKUP(B1056,辅助信息!E:I,3,FALSE)</f>
        <v>#N/A</v>
      </c>
      <c r="J1056" s="33" t="e">
        <f>VLOOKUP(B1056,辅助信息!E:I,4,FALSE)</f>
        <v>#N/A</v>
      </c>
      <c r="K1056" s="33" t="e">
        <f>VLOOKUP(J1056,辅助信息!H:I,2,FALSE)</f>
        <v>#N/A</v>
      </c>
      <c r="L1056" s="36" t="e">
        <f>VLOOKUP(B1056,辅助信息!E:J,6,FALSE)</f>
        <v>#N/A</v>
      </c>
      <c r="M1056" s="84">
        <v>45747</v>
      </c>
      <c r="O1056" s="55">
        <f ca="1" t="shared" si="38"/>
        <v>0</v>
      </c>
      <c r="P1056" s="55">
        <f ca="1" t="shared" si="37"/>
        <v>210</v>
      </c>
      <c r="Q1056" s="19" t="e">
        <f>VLOOKUP(B1056,辅助信息!E:M,9,FALSE)</f>
        <v>#N/A</v>
      </c>
      <c r="R1056" s="19"/>
    </row>
    <row r="1057" hidden="1" spans="2:18">
      <c r="B1057" s="33" t="s">
        <v>78</v>
      </c>
      <c r="C1057" s="63">
        <v>45746</v>
      </c>
      <c r="D1057" s="33" t="e">
        <f>VLOOKUP(B1057,辅助信息!E:K,7,FALSE)</f>
        <v>#N/A</v>
      </c>
      <c r="E1057" s="33" t="str">
        <f>VLOOKUP(F1057,辅助信息!A:B,2,FALSE)</f>
        <v>螺纹钢</v>
      </c>
      <c r="F1057" s="33" t="s">
        <v>33</v>
      </c>
      <c r="G1057" s="29">
        <v>26</v>
      </c>
      <c r="H1057" s="29" t="e">
        <f>_xlfn.XLOOKUP(C1057&amp;F1057&amp;I1057&amp;J1057,'[1]2025年已发货'!$F:$F&amp;'[1]2025年已发货'!$C:$C&amp;'[1]2025年已发货'!$G:$G&amp;'[1]2025年已发货'!$H:$H,'[1]2025年已发货'!$E:$E,"未发货")</f>
        <v>#N/A</v>
      </c>
      <c r="I1057" s="33" t="e">
        <f>VLOOKUP(B1057,辅助信息!E:I,3,FALSE)</f>
        <v>#N/A</v>
      </c>
      <c r="J1057" s="33" t="e">
        <f>VLOOKUP(B1057,辅助信息!E:I,4,FALSE)</f>
        <v>#N/A</v>
      </c>
      <c r="K1057" s="33" t="e">
        <f>VLOOKUP(J1057,辅助信息!H:I,2,FALSE)</f>
        <v>#N/A</v>
      </c>
      <c r="L1057" s="71"/>
      <c r="M1057" s="84">
        <v>45747</v>
      </c>
      <c r="O1057" s="55">
        <f ca="1" t="shared" si="38"/>
        <v>0</v>
      </c>
      <c r="P1057" s="55">
        <f ca="1" t="shared" si="37"/>
        <v>210</v>
      </c>
      <c r="Q1057" s="19" t="e">
        <f>VLOOKUP(B1057,辅助信息!E:M,9,FALSE)</f>
        <v>#N/A</v>
      </c>
      <c r="R1057" s="19"/>
    </row>
    <row r="1058" hidden="1" spans="2:18">
      <c r="B1058" s="33" t="s">
        <v>78</v>
      </c>
      <c r="C1058" s="63">
        <v>45746</v>
      </c>
      <c r="D1058" s="33" t="e">
        <f>VLOOKUP(B1058,辅助信息!E:K,7,FALSE)</f>
        <v>#N/A</v>
      </c>
      <c r="E1058" s="33" t="str">
        <f>VLOOKUP(F1058,辅助信息!A:B,2,FALSE)</f>
        <v>螺纹钢</v>
      </c>
      <c r="F1058" s="33" t="s">
        <v>65</v>
      </c>
      <c r="G1058" s="29">
        <v>3</v>
      </c>
      <c r="H1058" s="29" t="e">
        <f>_xlfn.XLOOKUP(C1058&amp;F1058&amp;I1058&amp;J1058,'[1]2025年已发货'!$F:$F&amp;'[1]2025年已发货'!$C:$C&amp;'[1]2025年已发货'!$G:$G&amp;'[1]2025年已发货'!$H:$H,'[1]2025年已发货'!$E:$E,"未发货")</f>
        <v>#N/A</v>
      </c>
      <c r="I1058" s="33" t="e">
        <f>VLOOKUP(B1058,辅助信息!E:I,3,FALSE)</f>
        <v>#N/A</v>
      </c>
      <c r="J1058" s="33" t="e">
        <f>VLOOKUP(B1058,辅助信息!E:I,4,FALSE)</f>
        <v>#N/A</v>
      </c>
      <c r="K1058" s="33" t="e">
        <f>VLOOKUP(J1058,辅助信息!H:I,2,FALSE)</f>
        <v>#N/A</v>
      </c>
      <c r="L1058" s="69"/>
      <c r="M1058" s="84">
        <v>45747</v>
      </c>
      <c r="O1058" s="55">
        <f ca="1" t="shared" si="38"/>
        <v>0</v>
      </c>
      <c r="P1058" s="55">
        <f ca="1" t="shared" si="37"/>
        <v>210</v>
      </c>
      <c r="Q1058" s="19" t="e">
        <f>VLOOKUP(B1058,辅助信息!E:M,9,FALSE)</f>
        <v>#N/A</v>
      </c>
      <c r="R1058" s="19"/>
    </row>
    <row r="1059" hidden="1" spans="2:18">
      <c r="B1059" s="33" t="s">
        <v>54</v>
      </c>
      <c r="C1059" s="63">
        <v>45746</v>
      </c>
      <c r="D1059" s="33" t="e">
        <f>VLOOKUP(B1059,辅助信息!E:K,7,FALSE)</f>
        <v>#N/A</v>
      </c>
      <c r="E1059" s="33" t="str">
        <f>VLOOKUP(F1059,辅助信息!A:B,2,FALSE)</f>
        <v>螺纹钢</v>
      </c>
      <c r="F1059" s="33" t="s">
        <v>27</v>
      </c>
      <c r="G1059" s="29">
        <v>8</v>
      </c>
      <c r="H1059" s="29" t="e">
        <f>_xlfn.XLOOKUP(C1059&amp;F1059&amp;I1059&amp;J1059,'[1]2025年已发货'!$F:$F&amp;'[1]2025年已发货'!$C:$C&amp;'[1]2025年已发货'!$G:$G&amp;'[1]2025年已发货'!$H:$H,'[1]2025年已发货'!$E:$E,"未发货")</f>
        <v>#N/A</v>
      </c>
      <c r="I1059" s="33" t="e">
        <f>VLOOKUP(B1059,辅助信息!E:I,3,FALSE)</f>
        <v>#N/A</v>
      </c>
      <c r="J1059" s="33" t="e">
        <f>VLOOKUP(B1059,辅助信息!E:I,4,FALSE)</f>
        <v>#N/A</v>
      </c>
      <c r="K1059" s="33" t="e">
        <f>VLOOKUP(J1059,辅助信息!H:I,2,FALSE)</f>
        <v>#N/A</v>
      </c>
      <c r="L1059" s="36" t="e">
        <f>VLOOKUP(B1059,辅助信息!E:J,6,FALSE)</f>
        <v>#N/A</v>
      </c>
      <c r="M1059" s="84">
        <v>45747</v>
      </c>
      <c r="O1059" s="55">
        <f ca="1" t="shared" si="38"/>
        <v>0</v>
      </c>
      <c r="P1059" s="55">
        <f ca="1" t="shared" si="37"/>
        <v>210</v>
      </c>
      <c r="Q1059" s="19" t="e">
        <f>VLOOKUP(B1059,辅助信息!E:M,9,FALSE)</f>
        <v>#N/A</v>
      </c>
      <c r="R1059" s="19"/>
    </row>
    <row r="1060" hidden="1" spans="2:18">
      <c r="B1060" s="33" t="s">
        <v>54</v>
      </c>
      <c r="C1060" s="63">
        <v>45746</v>
      </c>
      <c r="D1060" s="33" t="e">
        <f>VLOOKUP(B1060,辅助信息!E:K,7,FALSE)</f>
        <v>#N/A</v>
      </c>
      <c r="E1060" s="33" t="str">
        <f>VLOOKUP(F1060,辅助信息!A:B,2,FALSE)</f>
        <v>螺纹钢</v>
      </c>
      <c r="F1060" s="33" t="s">
        <v>19</v>
      </c>
      <c r="G1060" s="29">
        <v>8</v>
      </c>
      <c r="H1060" s="29" t="e">
        <f>_xlfn.XLOOKUP(C1060&amp;F1060&amp;I1060&amp;J1060,'[1]2025年已发货'!$F:$F&amp;'[1]2025年已发货'!$C:$C&amp;'[1]2025年已发货'!$G:$G&amp;'[1]2025年已发货'!$H:$H,'[1]2025年已发货'!$E:$E,"未发货")</f>
        <v>#N/A</v>
      </c>
      <c r="I1060" s="33" t="e">
        <f>VLOOKUP(B1060,辅助信息!E:I,3,FALSE)</f>
        <v>#N/A</v>
      </c>
      <c r="J1060" s="33" t="e">
        <f>VLOOKUP(B1060,辅助信息!E:I,4,FALSE)</f>
        <v>#N/A</v>
      </c>
      <c r="K1060" s="33" t="e">
        <f>VLOOKUP(J1060,辅助信息!H:I,2,FALSE)</f>
        <v>#N/A</v>
      </c>
      <c r="L1060" s="71"/>
      <c r="M1060" s="84">
        <v>45747</v>
      </c>
      <c r="O1060" s="55">
        <f ca="1" t="shared" si="38"/>
        <v>0</v>
      </c>
      <c r="P1060" s="55">
        <f ca="1" t="shared" si="37"/>
        <v>210</v>
      </c>
      <c r="Q1060" s="19" t="e">
        <f>VLOOKUP(B1060,辅助信息!E:M,9,FALSE)</f>
        <v>#N/A</v>
      </c>
      <c r="R1060" s="19"/>
    </row>
    <row r="1061" hidden="1" spans="2:18">
      <c r="B1061" s="33" t="s">
        <v>54</v>
      </c>
      <c r="C1061" s="63">
        <v>45746</v>
      </c>
      <c r="D1061" s="33" t="e">
        <f>VLOOKUP(B1061,辅助信息!E:K,7,FALSE)</f>
        <v>#N/A</v>
      </c>
      <c r="E1061" s="33" t="str">
        <f>VLOOKUP(F1061,辅助信息!A:B,2,FALSE)</f>
        <v>螺纹钢</v>
      </c>
      <c r="F1061" s="33" t="s">
        <v>33</v>
      </c>
      <c r="G1061" s="29">
        <v>20</v>
      </c>
      <c r="H1061" s="29" t="e">
        <f>_xlfn.XLOOKUP(C1061&amp;F1061&amp;I1061&amp;J1061,'[1]2025年已发货'!$F:$F&amp;'[1]2025年已发货'!$C:$C&amp;'[1]2025年已发货'!$G:$G&amp;'[1]2025年已发货'!$H:$H,'[1]2025年已发货'!$E:$E,"未发货")</f>
        <v>#N/A</v>
      </c>
      <c r="I1061" s="33" t="e">
        <f>VLOOKUP(B1061,辅助信息!E:I,3,FALSE)</f>
        <v>#N/A</v>
      </c>
      <c r="J1061" s="33" t="e">
        <f>VLOOKUP(B1061,辅助信息!E:I,4,FALSE)</f>
        <v>#N/A</v>
      </c>
      <c r="K1061" s="33" t="e">
        <f>VLOOKUP(J1061,辅助信息!H:I,2,FALSE)</f>
        <v>#N/A</v>
      </c>
      <c r="L1061" s="69"/>
      <c r="M1061" s="84">
        <v>45747</v>
      </c>
      <c r="O1061" s="55">
        <f ca="1" t="shared" si="38"/>
        <v>0</v>
      </c>
      <c r="P1061" s="55">
        <f ca="1" t="shared" si="37"/>
        <v>210</v>
      </c>
      <c r="Q1061" s="19" t="e">
        <f>VLOOKUP(B1061,辅助信息!E:M,9,FALSE)</f>
        <v>#N/A</v>
      </c>
      <c r="R1061" s="19"/>
    </row>
    <row r="1062" hidden="1" spans="2:18">
      <c r="B1062" s="33" t="s">
        <v>89</v>
      </c>
      <c r="C1062" s="63">
        <v>45746</v>
      </c>
      <c r="D1062" s="33" t="str">
        <f>VLOOKUP(B1062,辅助信息!E:K,7,FALSE)</f>
        <v>JWDDCD2025051000019</v>
      </c>
      <c r="E1062" s="33" t="str">
        <f>VLOOKUP(F1062,辅助信息!A:B,2,FALSE)</f>
        <v>螺纹钢</v>
      </c>
      <c r="F1062" s="33" t="s">
        <v>32</v>
      </c>
      <c r="G1062" s="29">
        <v>60</v>
      </c>
      <c r="H1062" s="29">
        <f>_xlfn.XLOOKUP(C1062&amp;F1062&amp;I1062&amp;J1062,'[1]2025年已发货'!$F:$F&amp;'[1]2025年已发货'!$C:$C&amp;'[1]2025年已发货'!$G:$G&amp;'[1]2025年已发货'!$H:$H,'[1]2025年已发货'!$E:$E,"未发货")</f>
        <v>60</v>
      </c>
      <c r="I1062" s="33" t="str">
        <f>VLOOKUP(B1062,辅助信息!E:I,3,FALSE)</f>
        <v>(五冶钢构医学科学产业园建设项目房建三部-排洪渠)四川省南充市顺庆区搬罾街道学府大道二段</v>
      </c>
      <c r="J1062" s="33" t="str">
        <f>VLOOKUP(B1062,辅助信息!E:I,4,FALSE)</f>
        <v>郑林</v>
      </c>
      <c r="K1062" s="33">
        <f>VLOOKUP(J1062,辅助信息!H:I,2,FALSE)</f>
        <v>18349955455</v>
      </c>
      <c r="L1062" s="36" t="str">
        <f>VLOOKUP(B1062,辅助信息!E:J,6,FALSE)</f>
        <v>送货单：送货单位：南充思临新材料科技有限公司,收货单位：五冶集团川北(南充)建设有限公司,项目名称：南充医学科学产业园,送货车型13米,装货前联系收货人核实到场规格</v>
      </c>
      <c r="M1062" s="84">
        <v>45747</v>
      </c>
      <c r="O1062" s="55">
        <f ca="1" t="shared" si="38"/>
        <v>0</v>
      </c>
      <c r="P1062" s="55">
        <f ca="1" t="shared" si="37"/>
        <v>210</v>
      </c>
      <c r="Q1062" s="19" t="str">
        <f>VLOOKUP(B1062,辅助信息!E:M,9,FALSE)</f>
        <v>ZTWM-CDGS-XS-2024-0248-五冶钢构-南充市医学院项目</v>
      </c>
      <c r="R1062" s="19"/>
    </row>
    <row r="1063" hidden="1" spans="2:18">
      <c r="B1063" s="33" t="s">
        <v>89</v>
      </c>
      <c r="C1063" s="63">
        <v>45746</v>
      </c>
      <c r="D1063" s="33" t="str">
        <f>VLOOKUP(B1063,辅助信息!E:K,7,FALSE)</f>
        <v>JWDDCD2025051000019</v>
      </c>
      <c r="E1063" s="33" t="str">
        <f>VLOOKUP(F1063,辅助信息!A:B,2,FALSE)</f>
        <v>螺纹钢</v>
      </c>
      <c r="F1063" s="33" t="s">
        <v>18</v>
      </c>
      <c r="G1063" s="29">
        <v>70</v>
      </c>
      <c r="H1063" s="29">
        <f>_xlfn.XLOOKUP(C1063&amp;F1063&amp;I1063&amp;J1063,'[1]2025年已发货'!$F:$F&amp;'[1]2025年已发货'!$C:$C&amp;'[1]2025年已发货'!$G:$G&amp;'[1]2025年已发货'!$H:$H,'[1]2025年已发货'!$E:$E,"未发货")</f>
        <v>70</v>
      </c>
      <c r="I1063" s="33" t="str">
        <f>VLOOKUP(B1063,辅助信息!E:I,3,FALSE)</f>
        <v>(五冶钢构医学科学产业园建设项目房建三部-排洪渠)四川省南充市顺庆区搬罾街道学府大道二段</v>
      </c>
      <c r="J1063" s="33" t="str">
        <f>VLOOKUP(B1063,辅助信息!E:I,4,FALSE)</f>
        <v>郑林</v>
      </c>
      <c r="K1063" s="33">
        <f>VLOOKUP(J1063,辅助信息!H:I,2,FALSE)</f>
        <v>18349955455</v>
      </c>
      <c r="L1063" s="71"/>
      <c r="M1063" s="84">
        <v>45747</v>
      </c>
      <c r="O1063" s="55">
        <f ca="1" t="shared" si="38"/>
        <v>0</v>
      </c>
      <c r="P1063" s="55">
        <f ca="1" t="shared" si="37"/>
        <v>210</v>
      </c>
      <c r="Q1063" s="19" t="str">
        <f>VLOOKUP(B1063,辅助信息!E:M,9,FALSE)</f>
        <v>ZTWM-CDGS-XS-2024-0248-五冶钢构-南充市医学院项目</v>
      </c>
      <c r="R1063" s="19"/>
    </row>
    <row r="1064" hidden="1" spans="2:18">
      <c r="B1064" s="33" t="s">
        <v>89</v>
      </c>
      <c r="C1064" s="63">
        <v>45746</v>
      </c>
      <c r="D1064" s="33" t="str">
        <f>VLOOKUP(B1064,辅助信息!E:K,7,FALSE)</f>
        <v>JWDDCD2025051000019</v>
      </c>
      <c r="E1064" s="33" t="str">
        <f>VLOOKUP(F1064,辅助信息!A:B,2,FALSE)</f>
        <v>螺纹钢</v>
      </c>
      <c r="F1064" s="33" t="s">
        <v>90</v>
      </c>
      <c r="G1064" s="29">
        <v>50</v>
      </c>
      <c r="H1064" s="29">
        <f>_xlfn.XLOOKUP(C1064&amp;F1064&amp;I1064&amp;J1064,'[1]2025年已发货'!$F:$F&amp;'[1]2025年已发货'!$C:$C&amp;'[1]2025年已发货'!$G:$G&amp;'[1]2025年已发货'!$H:$H,'[1]2025年已发货'!$E:$E,"未发货")</f>
        <v>45</v>
      </c>
      <c r="I1064" s="33" t="str">
        <f>VLOOKUP(B1064,辅助信息!E:I,3,FALSE)</f>
        <v>(五冶钢构医学科学产业园建设项目房建三部-排洪渠)四川省南充市顺庆区搬罾街道学府大道二段</v>
      </c>
      <c r="J1064" s="33" t="str">
        <f>VLOOKUP(B1064,辅助信息!E:I,4,FALSE)</f>
        <v>郑林</v>
      </c>
      <c r="K1064" s="33">
        <f>VLOOKUP(J1064,辅助信息!H:I,2,FALSE)</f>
        <v>18349955455</v>
      </c>
      <c r="L1064" s="71"/>
      <c r="M1064" s="84">
        <v>45747</v>
      </c>
      <c r="O1064" s="55">
        <f ca="1" t="shared" si="38"/>
        <v>0</v>
      </c>
      <c r="P1064" s="55">
        <f ca="1" t="shared" si="37"/>
        <v>210</v>
      </c>
      <c r="Q1064" s="19" t="str">
        <f>VLOOKUP(B1064,辅助信息!E:M,9,FALSE)</f>
        <v>ZTWM-CDGS-XS-2024-0248-五冶钢构-南充市医学院项目</v>
      </c>
      <c r="R1064" s="19"/>
    </row>
    <row r="1065" hidden="1" spans="2:18">
      <c r="B1065" s="33" t="s">
        <v>89</v>
      </c>
      <c r="C1065" s="63">
        <v>45746</v>
      </c>
      <c r="D1065" s="33" t="str">
        <f>VLOOKUP(B1065,辅助信息!E:K,7,FALSE)</f>
        <v>JWDDCD2025051000019</v>
      </c>
      <c r="E1065" s="33" t="str">
        <f>VLOOKUP(F1065,辅助信息!A:B,2,FALSE)</f>
        <v>螺纹钢</v>
      </c>
      <c r="F1065" s="33" t="s">
        <v>91</v>
      </c>
      <c r="G1065" s="29">
        <v>275</v>
      </c>
      <c r="H1065" s="29">
        <f>_xlfn.XLOOKUP(C1065&amp;F1065&amp;I1065&amp;J1065,'[1]2025年已发货'!$F:$F&amp;'[1]2025年已发货'!$C:$C&amp;'[1]2025年已发货'!$G:$G&amp;'[1]2025年已发货'!$H:$H,'[1]2025年已发货'!$E:$E,"未发货")</f>
        <v>175</v>
      </c>
      <c r="I1065" s="33" t="str">
        <f>VLOOKUP(B1065,辅助信息!E:I,3,FALSE)</f>
        <v>(五冶钢构医学科学产业园建设项目房建三部-排洪渠)四川省南充市顺庆区搬罾街道学府大道二段</v>
      </c>
      <c r="J1065" s="33" t="str">
        <f>VLOOKUP(B1065,辅助信息!E:I,4,FALSE)</f>
        <v>郑林</v>
      </c>
      <c r="K1065" s="33">
        <f>VLOOKUP(J1065,辅助信息!H:I,2,FALSE)</f>
        <v>18349955455</v>
      </c>
      <c r="L1065" s="69"/>
      <c r="M1065" s="84">
        <v>45747</v>
      </c>
      <c r="O1065" s="55">
        <f ca="1" t="shared" si="38"/>
        <v>0</v>
      </c>
      <c r="P1065" s="55">
        <f ca="1" t="shared" si="37"/>
        <v>210</v>
      </c>
      <c r="Q1065" s="19" t="str">
        <f>VLOOKUP(B1065,辅助信息!E:M,9,FALSE)</f>
        <v>ZTWM-CDGS-XS-2024-0248-五冶钢构-南充市医学院项目</v>
      </c>
      <c r="R1065" s="19"/>
    </row>
    <row r="1066" hidden="1" spans="2:18">
      <c r="B1066" s="33" t="s">
        <v>127</v>
      </c>
      <c r="C1066" s="63">
        <v>45746</v>
      </c>
      <c r="D1066" s="33" t="str">
        <f>VLOOKUP(B1066,辅助信息!E:K,7,FALSE)</f>
        <v>JWDDCD2025051000019</v>
      </c>
      <c r="E1066" s="33" t="str">
        <f>VLOOKUP(F1066,辅助信息!A:B,2,FALSE)</f>
        <v>盘螺</v>
      </c>
      <c r="F1066" s="33" t="s">
        <v>49</v>
      </c>
      <c r="G1066" s="29">
        <v>4</v>
      </c>
      <c r="H1066" s="29">
        <f>_xlfn.XLOOKUP(C1066&amp;F1066&amp;I1066&amp;J1066,'[1]2025年已发货'!$F:$F&amp;'[1]2025年已发货'!$C:$C&amp;'[1]2025年已发货'!$G:$G&amp;'[1]2025年已发货'!$H:$H,'[1]2025年已发货'!$E:$E,"未发货")</f>
        <v>5</v>
      </c>
      <c r="I1066" s="33" t="str">
        <f>VLOOKUP(B1066,辅助信息!E:I,3,FALSE)</f>
        <v>(五冶钢构医学科学产业园建设项目房建三部-管网总坪)四川省南充市顺庆区搬罾街道学府大道二段</v>
      </c>
      <c r="J1066" s="33" t="str">
        <f>VLOOKUP(B1066,辅助信息!E:I,4,FALSE)</f>
        <v>郑林</v>
      </c>
      <c r="K1066" s="33">
        <f>VLOOKUP(J1066,辅助信息!H:I,2,FALSE)</f>
        <v>18349955455</v>
      </c>
      <c r="L1066" s="36" t="str">
        <f>VLOOKUP(B1066,辅助信息!E:J,6,FALSE)</f>
        <v>送货单：送货单位：南充思临新材料科技有限公司,收货单位：五冶集团川北(南充)建设有限公司,项目名称：南充医学科学产业园,送货车型13米,装货前联系收货人核实到场规格</v>
      </c>
      <c r="M1066" s="84">
        <v>45747</v>
      </c>
      <c r="O1066" s="55">
        <f ca="1" t="shared" si="38"/>
        <v>0</v>
      </c>
      <c r="P1066" s="55">
        <f ca="1" t="shared" si="37"/>
        <v>210</v>
      </c>
      <c r="Q1066" s="19" t="str">
        <f>VLOOKUP(B1066,辅助信息!E:M,9,FALSE)</f>
        <v>ZTWM-CDGS-XS-2024-0248-五冶钢构-南充市医学院项目</v>
      </c>
      <c r="R1066" s="19"/>
    </row>
    <row r="1067" hidden="1" spans="2:18">
      <c r="B1067" s="33" t="s">
        <v>127</v>
      </c>
      <c r="C1067" s="63">
        <v>45746</v>
      </c>
      <c r="D1067" s="33" t="str">
        <f>VLOOKUP(B1067,辅助信息!E:K,7,FALSE)</f>
        <v>JWDDCD2025051000019</v>
      </c>
      <c r="E1067" s="33" t="str">
        <f>VLOOKUP(F1067,辅助信息!A:B,2,FALSE)</f>
        <v>螺纹钢</v>
      </c>
      <c r="F1067" s="33" t="s">
        <v>27</v>
      </c>
      <c r="G1067" s="29">
        <v>13</v>
      </c>
      <c r="H1067" s="29">
        <f>_xlfn.XLOOKUP(C1067&amp;F1067&amp;I1067&amp;J1067,'[1]2025年已发货'!$F:$F&amp;'[1]2025年已发货'!$C:$C&amp;'[1]2025年已发货'!$G:$G&amp;'[1]2025年已发货'!$H:$H,'[1]2025年已发货'!$E:$E,"未发货")</f>
        <v>12</v>
      </c>
      <c r="I1067" s="33" t="str">
        <f>VLOOKUP(B1067,辅助信息!E:I,3,FALSE)</f>
        <v>(五冶钢构医学科学产业园建设项目房建三部-管网总坪)四川省南充市顺庆区搬罾街道学府大道二段</v>
      </c>
      <c r="J1067" s="33" t="str">
        <f>VLOOKUP(B1067,辅助信息!E:I,4,FALSE)</f>
        <v>郑林</v>
      </c>
      <c r="K1067" s="33">
        <f>VLOOKUP(J1067,辅助信息!H:I,2,FALSE)</f>
        <v>18349955455</v>
      </c>
      <c r="L1067" s="71"/>
      <c r="M1067" s="84">
        <v>45747</v>
      </c>
      <c r="O1067" s="55">
        <f ca="1" t="shared" si="38"/>
        <v>0</v>
      </c>
      <c r="P1067" s="55">
        <f ca="1" t="shared" si="37"/>
        <v>210</v>
      </c>
      <c r="Q1067" s="19" t="str">
        <f>VLOOKUP(B1067,辅助信息!E:M,9,FALSE)</f>
        <v>ZTWM-CDGS-XS-2024-0248-五冶钢构-南充市医学院项目</v>
      </c>
      <c r="R1067" s="19"/>
    </row>
    <row r="1068" hidden="1" spans="2:18">
      <c r="B1068" s="33" t="s">
        <v>127</v>
      </c>
      <c r="C1068" s="63">
        <v>45746</v>
      </c>
      <c r="D1068" s="33" t="str">
        <f>VLOOKUP(B1068,辅助信息!E:K,7,FALSE)</f>
        <v>JWDDCD2025051000019</v>
      </c>
      <c r="E1068" s="33" t="str">
        <f>VLOOKUP(F1068,辅助信息!A:B,2,FALSE)</f>
        <v>螺纹钢</v>
      </c>
      <c r="F1068" s="33" t="s">
        <v>19</v>
      </c>
      <c r="G1068" s="29">
        <v>18</v>
      </c>
      <c r="H1068" s="29">
        <f>_xlfn.XLOOKUP(C1068&amp;F1068&amp;I1068&amp;J1068,'[1]2025年已发货'!$F:$F&amp;'[1]2025年已发货'!$C:$C&amp;'[1]2025年已发货'!$G:$G&amp;'[1]2025年已发货'!$H:$H,'[1]2025年已发货'!$E:$E,"未发货")</f>
        <v>18</v>
      </c>
      <c r="I1068" s="33" t="str">
        <f>VLOOKUP(B1068,辅助信息!E:I,3,FALSE)</f>
        <v>(五冶钢构医学科学产业园建设项目房建三部-管网总坪)四川省南充市顺庆区搬罾街道学府大道二段</v>
      </c>
      <c r="J1068" s="33" t="str">
        <f>VLOOKUP(B1068,辅助信息!E:I,4,FALSE)</f>
        <v>郑林</v>
      </c>
      <c r="K1068" s="33">
        <f>VLOOKUP(J1068,辅助信息!H:I,2,FALSE)</f>
        <v>18349955455</v>
      </c>
      <c r="L1068" s="69"/>
      <c r="M1068" s="84">
        <v>45747</v>
      </c>
      <c r="O1068" s="55">
        <f ca="1" t="shared" si="38"/>
        <v>0</v>
      </c>
      <c r="P1068" s="55">
        <f ca="1" t="shared" si="37"/>
        <v>210</v>
      </c>
      <c r="Q1068" s="19" t="str">
        <f>VLOOKUP(B1068,辅助信息!E:M,9,FALSE)</f>
        <v>ZTWM-CDGS-XS-2024-0248-五冶钢构-南充市医学院项目</v>
      </c>
      <c r="R1068" s="19"/>
    </row>
    <row r="1069" hidden="1" spans="2:18">
      <c r="B1069" s="33" t="s">
        <v>69</v>
      </c>
      <c r="C1069" s="63">
        <v>45766</v>
      </c>
      <c r="D1069" s="33" t="str">
        <f>VLOOKUP(B1069,辅助信息!E:K,7,FALSE)</f>
        <v>JWDDCD2025052800131</v>
      </c>
      <c r="E1069" s="33" t="str">
        <f>VLOOKUP(F1069,辅助信息!A:B,2,FALSE)</f>
        <v>螺纹钢</v>
      </c>
      <c r="F1069" s="33" t="s">
        <v>45</v>
      </c>
      <c r="G1069" s="29">
        <v>3</v>
      </c>
      <c r="H1069" s="29">
        <f>_xlfn.XLOOKUP(C1069&amp;F1069&amp;I1069&amp;J1069,'[1]2025年已发货'!$F:$F&amp;'[1]2025年已发货'!$C:$C&amp;'[1]2025年已发货'!$G:$G&amp;'[1]2025年已发货'!$H:$H,'[1]2025年已发货'!$E:$E,"未发货")</f>
        <v>3</v>
      </c>
      <c r="I1069" s="33" t="str">
        <f>VLOOKUP(B1069,辅助信息!E:I,3,FALSE)</f>
        <v>（商投建工达州中医药科技园-4工区-2号楼）达州市通川区达州中医药职业学院犀牛大道北段</v>
      </c>
      <c r="J1069" s="33" t="str">
        <f>VLOOKUP(B1069,辅助信息!E:I,4,FALSE)</f>
        <v>张扬</v>
      </c>
      <c r="K1069" s="33">
        <f>VLOOKUP(J1069,辅助信息!H:I,2,FALSE)</f>
        <v>18381904567</v>
      </c>
      <c r="L1069" s="100" t="str">
        <f>VLOOKUP(B1069,辅助信息!E:J,6,FALSE)</f>
        <v>控制炉批号！多了现场不收！,优先安排达钢,提前联系到场规格及数量</v>
      </c>
      <c r="M1069" s="84">
        <v>45768</v>
      </c>
      <c r="O1069" s="55">
        <f ca="1" t="shared" si="38"/>
        <v>0</v>
      </c>
      <c r="P1069" s="55">
        <f ca="1" t="shared" si="37"/>
        <v>189</v>
      </c>
      <c r="Q1069" s="19" t="str">
        <f>VLOOKUP(B1069,辅助信息!E:M,9,FALSE)</f>
        <v>ZTWM-CDGS-XS-2024-0134-商投建工达州中医药科技成果示范园项目</v>
      </c>
      <c r="R1069" s="19" t="str">
        <f>_xlfn._xlws.FILTER(辅助信息!D:D,辅助信息!E:E=B1069)</f>
        <v>商投建工达州中医药科技园</v>
      </c>
    </row>
    <row r="1070" hidden="1" spans="2:18">
      <c r="B1070" s="33" t="s">
        <v>69</v>
      </c>
      <c r="C1070" s="63">
        <v>45766</v>
      </c>
      <c r="D1070" s="33" t="str">
        <f>VLOOKUP(B1070,辅助信息!E:K,7,FALSE)</f>
        <v>JWDDCD2025052800131</v>
      </c>
      <c r="E1070" s="33" t="str">
        <f>VLOOKUP(F1070,辅助信息!A:B,2,FALSE)</f>
        <v>螺纹钢</v>
      </c>
      <c r="F1070" s="33" t="s">
        <v>21</v>
      </c>
      <c r="G1070" s="29">
        <v>12</v>
      </c>
      <c r="H1070" s="29">
        <f>_xlfn.XLOOKUP(C1070&amp;F1070&amp;I1070&amp;J1070,'[1]2025年已发货'!$F:$F&amp;'[1]2025年已发货'!$C:$C&amp;'[1]2025年已发货'!$G:$G&amp;'[1]2025年已发货'!$H:$H,'[1]2025年已发货'!$E:$E,"未发货")</f>
        <v>12</v>
      </c>
      <c r="I1070" s="33" t="str">
        <f>VLOOKUP(B1070,辅助信息!E:I,3,FALSE)</f>
        <v>（商投建工达州中医药科技园-4工区-2号楼）达州市通川区达州中医药职业学院犀牛大道北段</v>
      </c>
      <c r="J1070" s="33" t="str">
        <f>VLOOKUP(B1070,辅助信息!E:I,4,FALSE)</f>
        <v>张扬</v>
      </c>
      <c r="K1070" s="33">
        <f>VLOOKUP(J1070,辅助信息!H:I,2,FALSE)</f>
        <v>18381904567</v>
      </c>
      <c r="L1070" s="100" t="str">
        <f>VLOOKUP(B1070,辅助信息!E:J,6,FALSE)</f>
        <v>控制炉批号！多了现场不收！,优先安排达钢,提前联系到场规格及数量</v>
      </c>
      <c r="M1070" s="84">
        <v>45768</v>
      </c>
      <c r="O1070" s="55">
        <f ca="1" t="shared" si="38"/>
        <v>0</v>
      </c>
      <c r="P1070" s="55">
        <f ca="1" t="shared" si="37"/>
        <v>189</v>
      </c>
      <c r="Q1070" s="19" t="str">
        <f>VLOOKUP(B1070,辅助信息!E:M,9,FALSE)</f>
        <v>ZTWM-CDGS-XS-2024-0134-商投建工达州中医药科技成果示范园项目</v>
      </c>
      <c r="R1070" s="19" t="str">
        <f>_xlfn._xlws.FILTER(辅助信息!D:D,辅助信息!E:E=B1070)</f>
        <v>商投建工达州中医药科技园</v>
      </c>
    </row>
    <row r="1071" hidden="1" spans="2:18">
      <c r="B1071" s="33" t="s">
        <v>69</v>
      </c>
      <c r="C1071" s="63">
        <v>45766</v>
      </c>
      <c r="D1071" s="33" t="str">
        <f>VLOOKUP(B1071,辅助信息!E:K,7,FALSE)</f>
        <v>JWDDCD2025052800131</v>
      </c>
      <c r="E1071" s="33" t="str">
        <f>VLOOKUP(F1071,辅助信息!A:B,2,FALSE)</f>
        <v>螺纹钢</v>
      </c>
      <c r="F1071" s="33" t="s">
        <v>58</v>
      </c>
      <c r="G1071" s="29">
        <v>9</v>
      </c>
      <c r="H1071" s="29">
        <f>_xlfn.XLOOKUP(C1071&amp;F1071&amp;I1071&amp;J1071,'[1]2025年已发货'!$F:$F&amp;'[1]2025年已发货'!$C:$C&amp;'[1]2025年已发货'!$G:$G&amp;'[1]2025年已发货'!$H:$H,'[1]2025年已发货'!$E:$E,"未发货")</f>
        <v>9</v>
      </c>
      <c r="I1071" s="33" t="str">
        <f>VLOOKUP(B1071,辅助信息!E:I,3,FALSE)</f>
        <v>（商投建工达州中医药科技园-4工区-2号楼）达州市通川区达州中医药职业学院犀牛大道北段</v>
      </c>
      <c r="J1071" s="33" t="str">
        <f>VLOOKUP(B1071,辅助信息!E:I,4,FALSE)</f>
        <v>张扬</v>
      </c>
      <c r="K1071" s="33">
        <f>VLOOKUP(J1071,辅助信息!H:I,2,FALSE)</f>
        <v>18381904567</v>
      </c>
      <c r="L1071" s="100" t="str">
        <f>VLOOKUP(B1071,辅助信息!E:J,6,FALSE)</f>
        <v>控制炉批号！多了现场不收！,优先安排达钢,提前联系到场规格及数量</v>
      </c>
      <c r="M1071" s="84">
        <v>45768</v>
      </c>
      <c r="O1071" s="55">
        <f ca="1" t="shared" si="38"/>
        <v>0</v>
      </c>
      <c r="P1071" s="55">
        <f ca="1" t="shared" si="37"/>
        <v>189</v>
      </c>
      <c r="Q1071" s="19" t="str">
        <f>VLOOKUP(B1071,辅助信息!E:M,9,FALSE)</f>
        <v>ZTWM-CDGS-XS-2024-0134-商投建工达州中医药科技成果示范园项目</v>
      </c>
      <c r="R1071" s="19" t="str">
        <f>_xlfn._xlws.FILTER(辅助信息!D:D,辅助信息!E:E=B1071)</f>
        <v>商投建工达州中医药科技园</v>
      </c>
    </row>
    <row r="1072" hidden="1" spans="2:18">
      <c r="B1072" s="33" t="s">
        <v>69</v>
      </c>
      <c r="C1072" s="63">
        <v>45766</v>
      </c>
      <c r="D1072" s="33" t="str">
        <f>VLOOKUP(B1072,辅助信息!E:K,7,FALSE)</f>
        <v>JWDDCD2025052800131</v>
      </c>
      <c r="E1072" s="33" t="str">
        <f>VLOOKUP(F1072,辅助信息!A:B,2,FALSE)</f>
        <v>螺纹钢</v>
      </c>
      <c r="F1072" s="33" t="s">
        <v>46</v>
      </c>
      <c r="G1072" s="29">
        <v>9</v>
      </c>
      <c r="H1072" s="29">
        <f>_xlfn.XLOOKUP(C1072&amp;F1072&amp;I1072&amp;J1072,'[1]2025年已发货'!$F:$F&amp;'[1]2025年已发货'!$C:$C&amp;'[1]2025年已发货'!$G:$G&amp;'[1]2025年已发货'!$H:$H,'[1]2025年已发货'!$E:$E,"未发货")</f>
        <v>9</v>
      </c>
      <c r="I1072" s="33" t="str">
        <f>VLOOKUP(B1072,辅助信息!E:I,3,FALSE)</f>
        <v>（商投建工达州中医药科技园-4工区-2号楼）达州市通川区达州中医药职业学院犀牛大道北段</v>
      </c>
      <c r="J1072" s="33" t="str">
        <f>VLOOKUP(B1072,辅助信息!E:I,4,FALSE)</f>
        <v>张扬</v>
      </c>
      <c r="K1072" s="33">
        <f>VLOOKUP(J1072,辅助信息!H:I,2,FALSE)</f>
        <v>18381904567</v>
      </c>
      <c r="L1072" s="100" t="str">
        <f>VLOOKUP(B1072,辅助信息!E:J,6,FALSE)</f>
        <v>控制炉批号！多了现场不收！,优先安排达钢,提前联系到场规格及数量</v>
      </c>
      <c r="M1072" s="84">
        <v>45768</v>
      </c>
      <c r="O1072" s="55">
        <f ca="1" t="shared" si="38"/>
        <v>0</v>
      </c>
      <c r="P1072" s="55">
        <f ca="1" t="shared" si="37"/>
        <v>189</v>
      </c>
      <c r="Q1072" s="19" t="str">
        <f>VLOOKUP(B1072,辅助信息!E:M,9,FALSE)</f>
        <v>ZTWM-CDGS-XS-2024-0134-商投建工达州中医药科技成果示范园项目</v>
      </c>
      <c r="R1072" s="19" t="str">
        <f>_xlfn._xlws.FILTER(辅助信息!D:D,辅助信息!E:E=B1072)</f>
        <v>商投建工达州中医药科技园</v>
      </c>
    </row>
    <row r="1073" hidden="1" spans="1:18">
      <c r="A1073" s="55">
        <f>G1073-H1073</f>
        <v>0</v>
      </c>
      <c r="B1073" s="33" t="s">
        <v>128</v>
      </c>
      <c r="C1073" s="63">
        <v>45767</v>
      </c>
      <c r="D1073" s="33" t="e">
        <f>VLOOKUP(B1073,辅助信息!E:K,7,FALSE)</f>
        <v>#N/A</v>
      </c>
      <c r="E1073" s="33" t="str">
        <f>VLOOKUP(F1073,辅助信息!A:B,2,FALSE)</f>
        <v>盘螺</v>
      </c>
      <c r="F1073" s="33" t="s">
        <v>41</v>
      </c>
      <c r="G1073" s="29">
        <v>5</v>
      </c>
      <c r="H1073" s="29">
        <v>5</v>
      </c>
      <c r="I1073" s="33" t="e">
        <f>VLOOKUP(B1073,辅助信息!E:I,3,FALSE)</f>
        <v>#N/A</v>
      </c>
      <c r="J1073" s="33" t="e">
        <f>VLOOKUP(B1073,辅助信息!E:I,4,FALSE)</f>
        <v>#N/A</v>
      </c>
      <c r="K1073" s="33" t="e">
        <f>VLOOKUP(J1073,辅助信息!H:I,2,FALSE)</f>
        <v>#N/A</v>
      </c>
      <c r="L1073" s="100" t="e">
        <f>VLOOKUP(B1073,辅助信息!E:J,6,FALSE)</f>
        <v>#N/A</v>
      </c>
      <c r="M1073" s="84">
        <v>45768</v>
      </c>
      <c r="O1073" s="55">
        <f ca="1" t="shared" si="38"/>
        <v>0</v>
      </c>
      <c r="P1073" s="55">
        <f ca="1" t="shared" si="37"/>
        <v>189</v>
      </c>
      <c r="Q1073" s="19" t="e">
        <f>VLOOKUP(B1073,辅助信息!E:M,9,FALSE)</f>
        <v>#N/A</v>
      </c>
      <c r="R1073" s="19" vm="1" t="e">
        <f>_xlfn._xlws.FILTER(辅助信息!D:D,辅助信息!E:E=B1073)</f>
        <v>#VALUE!</v>
      </c>
    </row>
    <row r="1074" hidden="1" spans="1:18">
      <c r="A1074" s="55">
        <f>G1074-H1074</f>
        <v>0</v>
      </c>
      <c r="B1074" s="33" t="s">
        <v>128</v>
      </c>
      <c r="C1074" s="63">
        <v>45767</v>
      </c>
      <c r="D1074" s="33" t="e">
        <f>VLOOKUP(B1074,辅助信息!E:K,7,FALSE)</f>
        <v>#N/A</v>
      </c>
      <c r="E1074" s="33" t="str">
        <f>VLOOKUP(F1074,辅助信息!A:B,2,FALSE)</f>
        <v>螺纹钢</v>
      </c>
      <c r="F1074" s="33" t="s">
        <v>30</v>
      </c>
      <c r="G1074" s="29">
        <v>30</v>
      </c>
      <c r="H1074" s="29">
        <v>30</v>
      </c>
      <c r="I1074" s="33" t="e">
        <f>VLOOKUP(B1074,辅助信息!E:I,3,FALSE)</f>
        <v>#N/A</v>
      </c>
      <c r="J1074" s="33" t="e">
        <f>VLOOKUP(B1074,辅助信息!E:I,4,FALSE)</f>
        <v>#N/A</v>
      </c>
      <c r="K1074" s="33" t="e">
        <f>VLOOKUP(J1074,辅助信息!H:I,2,FALSE)</f>
        <v>#N/A</v>
      </c>
      <c r="L1074" s="100" t="e">
        <f>VLOOKUP(B1074,辅助信息!E:J,6,FALSE)</f>
        <v>#N/A</v>
      </c>
      <c r="M1074" s="84">
        <v>45768</v>
      </c>
      <c r="O1074" s="55">
        <f ca="1" t="shared" si="38"/>
        <v>0</v>
      </c>
      <c r="P1074" s="55">
        <f ca="1" t="shared" si="37"/>
        <v>189</v>
      </c>
      <c r="Q1074" s="19" t="e">
        <f>VLOOKUP(B1074,辅助信息!E:M,9,FALSE)</f>
        <v>#N/A</v>
      </c>
      <c r="R1074" s="19" vm="1" t="e">
        <f>_xlfn._xlws.FILTER(辅助信息!D:D,辅助信息!E:E=B1074)</f>
        <v>#VALUE!</v>
      </c>
    </row>
    <row r="1075" hidden="1" spans="2:18">
      <c r="B1075" s="33" t="s">
        <v>64</v>
      </c>
      <c r="C1075" s="63">
        <v>45767</v>
      </c>
      <c r="D1075" s="33" t="e">
        <f>VLOOKUP(B1075,辅助信息!E:K,7,FALSE)</f>
        <v>#N/A</v>
      </c>
      <c r="E1075" s="33" t="str">
        <f>VLOOKUP(F1075,辅助信息!A:B,2,FALSE)</f>
        <v>螺纹钢</v>
      </c>
      <c r="F1075" s="33" t="s">
        <v>19</v>
      </c>
      <c r="G1075" s="29">
        <v>15</v>
      </c>
      <c r="H1075" s="29" t="e">
        <f>_xlfn.XLOOKUP(C1075&amp;F1075&amp;I1075&amp;J1075,'[1]2025年已发货'!$F:$F&amp;'[1]2025年已发货'!$C:$C&amp;'[1]2025年已发货'!$G:$G&amp;'[1]2025年已发货'!$H:$H,'[1]2025年已发货'!$E:$E,"未发货")</f>
        <v>#N/A</v>
      </c>
      <c r="I1075" s="33" t="e">
        <f>VLOOKUP(B1075,辅助信息!E:I,3,FALSE)</f>
        <v>#N/A</v>
      </c>
      <c r="J1075" s="33" t="e">
        <f>VLOOKUP(B1075,辅助信息!E:I,4,FALSE)</f>
        <v>#N/A</v>
      </c>
      <c r="K1075" s="33" t="e">
        <f>VLOOKUP(J1075,辅助信息!H:I,2,FALSE)</f>
        <v>#N/A</v>
      </c>
      <c r="L1075" s="100" t="e">
        <f>VLOOKUP(B1075,辅助信息!E:J,6,FALSE)</f>
        <v>#N/A</v>
      </c>
      <c r="M1075" s="84">
        <v>45768</v>
      </c>
      <c r="O1075" s="55">
        <f ca="1" t="shared" si="38"/>
        <v>0</v>
      </c>
      <c r="P1075" s="55">
        <f ca="1" t="shared" si="37"/>
        <v>189</v>
      </c>
      <c r="Q1075" s="19" t="e">
        <f>VLOOKUP(B1075,辅助信息!E:M,9,FALSE)</f>
        <v>#N/A</v>
      </c>
      <c r="R1075" s="19" vm="1" t="e">
        <f>_xlfn._xlws.FILTER(辅助信息!D:D,辅助信息!E:E=B1075)</f>
        <v>#VALUE!</v>
      </c>
    </row>
    <row r="1076" hidden="1" spans="2:18">
      <c r="B1076" s="33" t="s">
        <v>64</v>
      </c>
      <c r="C1076" s="63">
        <v>45767</v>
      </c>
      <c r="D1076" s="33" t="e">
        <f>VLOOKUP(B1076,辅助信息!E:K,7,FALSE)</f>
        <v>#N/A</v>
      </c>
      <c r="E1076" s="33" t="str">
        <f>VLOOKUP(F1076,辅助信息!A:B,2,FALSE)</f>
        <v>螺纹钢</v>
      </c>
      <c r="F1076" s="33" t="s">
        <v>32</v>
      </c>
      <c r="G1076" s="29">
        <v>6</v>
      </c>
      <c r="H1076" s="29" t="e">
        <f>_xlfn.XLOOKUP(C1076&amp;F1076&amp;I1076&amp;J1076,'[1]2025年已发货'!$F:$F&amp;'[1]2025年已发货'!$C:$C&amp;'[1]2025年已发货'!$G:$G&amp;'[1]2025年已发货'!$H:$H,'[1]2025年已发货'!$E:$E,"未发货")</f>
        <v>#N/A</v>
      </c>
      <c r="I1076" s="33" t="e">
        <f>VLOOKUP(B1076,辅助信息!E:I,3,FALSE)</f>
        <v>#N/A</v>
      </c>
      <c r="J1076" s="33" t="e">
        <f>VLOOKUP(B1076,辅助信息!E:I,4,FALSE)</f>
        <v>#N/A</v>
      </c>
      <c r="K1076" s="33" t="e">
        <f>VLOOKUP(J1076,辅助信息!H:I,2,FALSE)</f>
        <v>#N/A</v>
      </c>
      <c r="L1076" s="100" t="e">
        <f>VLOOKUP(B1076,辅助信息!E:J,6,FALSE)</f>
        <v>#N/A</v>
      </c>
      <c r="M1076" s="84">
        <v>45768</v>
      </c>
      <c r="O1076" s="55">
        <f ca="1" t="shared" si="38"/>
        <v>0</v>
      </c>
      <c r="P1076" s="55">
        <f ca="1" t="shared" ref="P1076:P1139" si="39">IF(M1076="","",IF(N1076&lt;&gt;"",MAX(N1076-M1076,0),IF(TODAY()&gt;M1076,TODAY()-M1076,0)))</f>
        <v>189</v>
      </c>
      <c r="Q1076" s="19" t="e">
        <f>VLOOKUP(B1076,辅助信息!E:M,9,FALSE)</f>
        <v>#N/A</v>
      </c>
      <c r="R1076" s="19" vm="1" t="e">
        <f>_xlfn._xlws.FILTER(辅助信息!D:D,辅助信息!E:E=B1076)</f>
        <v>#VALUE!</v>
      </c>
    </row>
    <row r="1077" hidden="1" spans="2:18">
      <c r="B1077" s="33" t="s">
        <v>64</v>
      </c>
      <c r="C1077" s="63">
        <v>45767</v>
      </c>
      <c r="D1077" s="33" t="e">
        <f>VLOOKUP(B1077,辅助信息!E:K,7,FALSE)</f>
        <v>#N/A</v>
      </c>
      <c r="E1077" s="33" t="str">
        <f>VLOOKUP(F1077,辅助信息!A:B,2,FALSE)</f>
        <v>螺纹钢</v>
      </c>
      <c r="F1077" s="33" t="s">
        <v>28</v>
      </c>
      <c r="G1077" s="29">
        <v>6</v>
      </c>
      <c r="H1077" s="29" t="e">
        <f>_xlfn.XLOOKUP(C1077&amp;F1077&amp;I1077&amp;J1077,'[1]2025年已发货'!$F:$F&amp;'[1]2025年已发货'!$C:$C&amp;'[1]2025年已发货'!$G:$G&amp;'[1]2025年已发货'!$H:$H,'[1]2025年已发货'!$E:$E,"未发货")</f>
        <v>#N/A</v>
      </c>
      <c r="I1077" s="33" t="e">
        <f>VLOOKUP(B1077,辅助信息!E:I,3,FALSE)</f>
        <v>#N/A</v>
      </c>
      <c r="J1077" s="33" t="e">
        <f>VLOOKUP(B1077,辅助信息!E:I,4,FALSE)</f>
        <v>#N/A</v>
      </c>
      <c r="K1077" s="33" t="e">
        <f>VLOOKUP(J1077,辅助信息!H:I,2,FALSE)</f>
        <v>#N/A</v>
      </c>
      <c r="L1077" s="100" t="e">
        <f>VLOOKUP(B1077,辅助信息!E:J,6,FALSE)</f>
        <v>#N/A</v>
      </c>
      <c r="M1077" s="84">
        <v>45768</v>
      </c>
      <c r="O1077" s="55">
        <f ca="1" t="shared" si="38"/>
        <v>0</v>
      </c>
      <c r="P1077" s="55">
        <f ca="1" t="shared" si="39"/>
        <v>189</v>
      </c>
      <c r="Q1077" s="19" t="e">
        <f>VLOOKUP(B1077,辅助信息!E:M,9,FALSE)</f>
        <v>#N/A</v>
      </c>
      <c r="R1077" s="19" vm="1" t="e">
        <f>_xlfn._xlws.FILTER(辅助信息!D:D,辅助信息!E:E=B1077)</f>
        <v>#VALUE!</v>
      </c>
    </row>
    <row r="1078" hidden="1" spans="2:18">
      <c r="B1078" s="33" t="s">
        <v>64</v>
      </c>
      <c r="C1078" s="63">
        <v>45767</v>
      </c>
      <c r="D1078" s="33" t="e">
        <f>VLOOKUP(B1078,辅助信息!E:K,7,FALSE)</f>
        <v>#N/A</v>
      </c>
      <c r="E1078" s="33" t="str">
        <f>VLOOKUP(F1078,辅助信息!A:B,2,FALSE)</f>
        <v>螺纹钢</v>
      </c>
      <c r="F1078" s="33" t="s">
        <v>65</v>
      </c>
      <c r="G1078" s="29">
        <v>21</v>
      </c>
      <c r="H1078" s="29" t="e">
        <f>_xlfn.XLOOKUP(C1078&amp;F1078&amp;I1078&amp;J1078,'[1]2025年已发货'!$F:$F&amp;'[1]2025年已发货'!$C:$C&amp;'[1]2025年已发货'!$G:$G&amp;'[1]2025年已发货'!$H:$H,'[1]2025年已发货'!$E:$E,"未发货")</f>
        <v>#N/A</v>
      </c>
      <c r="I1078" s="33" t="e">
        <f>VLOOKUP(B1078,辅助信息!E:I,3,FALSE)</f>
        <v>#N/A</v>
      </c>
      <c r="J1078" s="33" t="e">
        <f>VLOOKUP(B1078,辅助信息!E:I,4,FALSE)</f>
        <v>#N/A</v>
      </c>
      <c r="K1078" s="33" t="e">
        <f>VLOOKUP(J1078,辅助信息!H:I,2,FALSE)</f>
        <v>#N/A</v>
      </c>
      <c r="L1078" s="100" t="e">
        <f>VLOOKUP(B1078,辅助信息!E:J,6,FALSE)</f>
        <v>#N/A</v>
      </c>
      <c r="M1078" s="84">
        <v>45768</v>
      </c>
      <c r="O1078" s="55">
        <f ca="1" t="shared" si="38"/>
        <v>0</v>
      </c>
      <c r="P1078" s="55">
        <f ca="1" t="shared" si="39"/>
        <v>189</v>
      </c>
      <c r="Q1078" s="19" t="e">
        <f>VLOOKUP(B1078,辅助信息!E:M,9,FALSE)</f>
        <v>#N/A</v>
      </c>
      <c r="R1078" s="19" vm="1" t="e">
        <f>_xlfn._xlws.FILTER(辅助信息!D:D,辅助信息!E:E=B1078)</f>
        <v>#VALUE!</v>
      </c>
    </row>
    <row r="1079" hidden="1" spans="2:18">
      <c r="B1079" s="33" t="s">
        <v>64</v>
      </c>
      <c r="C1079" s="63">
        <v>45767</v>
      </c>
      <c r="D1079" s="33" t="e">
        <f>VLOOKUP(B1079,辅助信息!E:K,7,FALSE)</f>
        <v>#N/A</v>
      </c>
      <c r="E1079" s="33" t="str">
        <f>VLOOKUP(F1079,辅助信息!A:B,2,FALSE)</f>
        <v>螺纹钢</v>
      </c>
      <c r="F1079" s="33" t="s">
        <v>52</v>
      </c>
      <c r="G1079" s="29">
        <v>27</v>
      </c>
      <c r="H1079" s="29" t="e">
        <f>_xlfn.XLOOKUP(C1079&amp;F1079&amp;I1079&amp;J1079,'[1]2025年已发货'!$F:$F&amp;'[1]2025年已发货'!$C:$C&amp;'[1]2025年已发货'!$G:$G&amp;'[1]2025年已发货'!$H:$H,'[1]2025年已发货'!$E:$E,"未发货")</f>
        <v>#N/A</v>
      </c>
      <c r="I1079" s="33" t="e">
        <f>VLOOKUP(B1079,辅助信息!E:I,3,FALSE)</f>
        <v>#N/A</v>
      </c>
      <c r="J1079" s="33" t="e">
        <f>VLOOKUP(B1079,辅助信息!E:I,4,FALSE)</f>
        <v>#N/A</v>
      </c>
      <c r="K1079" s="33" t="e">
        <f>VLOOKUP(J1079,辅助信息!H:I,2,FALSE)</f>
        <v>#N/A</v>
      </c>
      <c r="L1079" s="100" t="e">
        <f>VLOOKUP(B1079,辅助信息!E:J,6,FALSE)</f>
        <v>#N/A</v>
      </c>
      <c r="M1079" s="84">
        <v>45768</v>
      </c>
      <c r="O1079" s="55">
        <f ca="1" t="shared" si="38"/>
        <v>0</v>
      </c>
      <c r="P1079" s="55">
        <f ca="1" t="shared" si="39"/>
        <v>189</v>
      </c>
      <c r="Q1079" s="19" t="e">
        <f>VLOOKUP(B1079,辅助信息!E:M,9,FALSE)</f>
        <v>#N/A</v>
      </c>
      <c r="R1079" s="19" vm="1" t="e">
        <f>_xlfn._xlws.FILTER(辅助信息!D:D,辅助信息!E:E=B1079)</f>
        <v>#VALUE!</v>
      </c>
    </row>
    <row r="1080" hidden="1" spans="2:18">
      <c r="B1080" s="33" t="s">
        <v>47</v>
      </c>
      <c r="C1080" s="63">
        <v>45767</v>
      </c>
      <c r="D1080" s="33" t="str">
        <f>VLOOKUP(B1080,辅助信息!E:K,7,FALSE)</f>
        <v>JWDDCD2025052800131</v>
      </c>
      <c r="E1080" s="33" t="str">
        <f>VLOOKUP(F1080,辅助信息!A:B,2,FALSE)</f>
        <v>盘螺</v>
      </c>
      <c r="F1080" s="33" t="s">
        <v>49</v>
      </c>
      <c r="G1080" s="29">
        <v>2</v>
      </c>
      <c r="H1080" s="29" t="str">
        <f>_xlfn.XLOOKUP(C1080&amp;F1080&amp;I1080&amp;J1080,'[1]2025年已发货'!$F:$F&amp;'[1]2025年已发货'!$C:$C&amp;'[1]2025年已发货'!$G:$G&amp;'[1]2025年已发货'!$H:$H,'[1]2025年已发货'!$E:$E,"未发货")</f>
        <v>未发货</v>
      </c>
      <c r="I1080" s="33" t="str">
        <f>VLOOKUP(B1080,辅助信息!E:I,3,FALSE)</f>
        <v>（商投建工达州中医药科技园-1工区）达州市通川区达州中医药职业学院犀牛大道北段</v>
      </c>
      <c r="J1080" s="33" t="str">
        <f>VLOOKUP(B1080,辅助信息!E:I,4,FALSE)</f>
        <v>程黄刚</v>
      </c>
      <c r="K1080" s="33">
        <f>VLOOKUP(J1080,辅助信息!H:I,2,FALSE)</f>
        <v>15108211617</v>
      </c>
      <c r="L1080" s="100" t="str">
        <f>VLOOKUP(B1080,辅助信息!E:J,6,FALSE)</f>
        <v>控制炉批号！多了现场不收！,优先安排达钢,提前联系到场规格及数量</v>
      </c>
      <c r="M1080" s="84">
        <v>45769</v>
      </c>
      <c r="O1080" s="55">
        <f ca="1" t="shared" si="38"/>
        <v>0</v>
      </c>
      <c r="P1080" s="55">
        <f ca="1" t="shared" si="39"/>
        <v>188</v>
      </c>
      <c r="Q1080" s="19" t="str">
        <f>VLOOKUP(B1080,辅助信息!E:M,9,FALSE)</f>
        <v>ZTWM-CDGS-XS-2024-0134-商投建工达州中医药科技成果示范园项目</v>
      </c>
      <c r="R1080" s="19" t="str">
        <f>_xlfn._xlws.FILTER(辅助信息!D:D,辅助信息!E:E=B1080)</f>
        <v>商投建工达州中医药科技园</v>
      </c>
    </row>
    <row r="1081" hidden="1" spans="2:18">
      <c r="B1081" s="33" t="s">
        <v>47</v>
      </c>
      <c r="C1081" s="63">
        <v>45767</v>
      </c>
      <c r="D1081" s="33" t="str">
        <f>VLOOKUP(B1081,辅助信息!E:K,7,FALSE)</f>
        <v>JWDDCD2025052800131</v>
      </c>
      <c r="E1081" s="33" t="str">
        <f>VLOOKUP(F1081,辅助信息!A:B,2,FALSE)</f>
        <v>盘螺</v>
      </c>
      <c r="F1081" s="33" t="s">
        <v>40</v>
      </c>
      <c r="G1081" s="29">
        <v>8</v>
      </c>
      <c r="H1081" s="29" t="str">
        <f>_xlfn.XLOOKUP(C1081&amp;F1081&amp;I1081&amp;J1081,'[1]2025年已发货'!$F:$F&amp;'[1]2025年已发货'!$C:$C&amp;'[1]2025年已发货'!$G:$G&amp;'[1]2025年已发货'!$H:$H,'[1]2025年已发货'!$E:$E,"未发货")</f>
        <v>未发货</v>
      </c>
      <c r="I1081" s="33" t="str">
        <f>VLOOKUP(B1081,辅助信息!E:I,3,FALSE)</f>
        <v>（商投建工达州中医药科技园-1工区）达州市通川区达州中医药职业学院犀牛大道北段</v>
      </c>
      <c r="J1081" s="33" t="str">
        <f>VLOOKUP(B1081,辅助信息!E:I,4,FALSE)</f>
        <v>程黄刚</v>
      </c>
      <c r="K1081" s="33">
        <f>VLOOKUP(J1081,辅助信息!H:I,2,FALSE)</f>
        <v>15108211617</v>
      </c>
      <c r="L1081" s="100" t="str">
        <f>VLOOKUP(B1081,辅助信息!E:J,6,FALSE)</f>
        <v>控制炉批号！多了现场不收！,优先安排达钢,提前联系到场规格及数量</v>
      </c>
      <c r="M1081" s="84">
        <v>45769</v>
      </c>
      <c r="O1081" s="55">
        <f ca="1" t="shared" si="38"/>
        <v>0</v>
      </c>
      <c r="P1081" s="55">
        <f ca="1" t="shared" si="39"/>
        <v>188</v>
      </c>
      <c r="Q1081" s="19" t="str">
        <f>VLOOKUP(B1081,辅助信息!E:M,9,FALSE)</f>
        <v>ZTWM-CDGS-XS-2024-0134-商投建工达州中医药科技成果示范园项目</v>
      </c>
      <c r="R1081" s="19" t="str">
        <f>_xlfn._xlws.FILTER(辅助信息!D:D,辅助信息!E:E=B1081)</f>
        <v>商投建工达州中医药科技园</v>
      </c>
    </row>
    <row r="1082" hidden="1" spans="2:18">
      <c r="B1082" s="33" t="s">
        <v>47</v>
      </c>
      <c r="C1082" s="63">
        <v>45767</v>
      </c>
      <c r="D1082" s="33" t="str">
        <f>VLOOKUP(B1082,辅助信息!E:K,7,FALSE)</f>
        <v>JWDDCD2025052800131</v>
      </c>
      <c r="E1082" s="33" t="str">
        <f>VLOOKUP(F1082,辅助信息!A:B,2,FALSE)</f>
        <v>盘螺</v>
      </c>
      <c r="F1082" s="33" t="s">
        <v>41</v>
      </c>
      <c r="G1082" s="29">
        <v>8</v>
      </c>
      <c r="H1082" s="29" t="str">
        <f>_xlfn.XLOOKUP(C1082&amp;F1082&amp;I1082&amp;J1082,'[1]2025年已发货'!$F:$F&amp;'[1]2025年已发货'!$C:$C&amp;'[1]2025年已发货'!$G:$G&amp;'[1]2025年已发货'!$H:$H,'[1]2025年已发货'!$E:$E,"未发货")</f>
        <v>未发货</v>
      </c>
      <c r="I1082" s="33" t="str">
        <f>VLOOKUP(B1082,辅助信息!E:I,3,FALSE)</f>
        <v>（商投建工达州中医药科技园-1工区）达州市通川区达州中医药职业学院犀牛大道北段</v>
      </c>
      <c r="J1082" s="33" t="str">
        <f>VLOOKUP(B1082,辅助信息!E:I,4,FALSE)</f>
        <v>程黄刚</v>
      </c>
      <c r="K1082" s="33">
        <f>VLOOKUP(J1082,辅助信息!H:I,2,FALSE)</f>
        <v>15108211617</v>
      </c>
      <c r="L1082" s="100" t="str">
        <f>VLOOKUP(B1082,辅助信息!E:J,6,FALSE)</f>
        <v>控制炉批号！多了现场不收！,优先安排达钢,提前联系到场规格及数量</v>
      </c>
      <c r="M1082" s="84">
        <v>45769</v>
      </c>
      <c r="O1082" s="55">
        <f ca="1" t="shared" si="38"/>
        <v>0</v>
      </c>
      <c r="P1082" s="55">
        <f ca="1" t="shared" si="39"/>
        <v>188</v>
      </c>
      <c r="Q1082" s="19" t="str">
        <f>VLOOKUP(B1082,辅助信息!E:M,9,FALSE)</f>
        <v>ZTWM-CDGS-XS-2024-0134-商投建工达州中医药科技成果示范园项目</v>
      </c>
      <c r="R1082" s="19" t="str">
        <f>_xlfn._xlws.FILTER(辅助信息!D:D,辅助信息!E:E=B1082)</f>
        <v>商投建工达州中医药科技园</v>
      </c>
    </row>
    <row r="1083" hidden="1" spans="2:18">
      <c r="B1083" s="33" t="s">
        <v>47</v>
      </c>
      <c r="C1083" s="63">
        <v>45767</v>
      </c>
      <c r="D1083" s="33" t="str">
        <f>VLOOKUP(B1083,辅助信息!E:K,7,FALSE)</f>
        <v>JWDDCD2025052800131</v>
      </c>
      <c r="E1083" s="33" t="str">
        <f>VLOOKUP(F1083,辅助信息!A:B,2,FALSE)</f>
        <v>螺纹钢</v>
      </c>
      <c r="F1083" s="33" t="s">
        <v>27</v>
      </c>
      <c r="G1083" s="29">
        <v>6</v>
      </c>
      <c r="H1083" s="29" t="str">
        <f>_xlfn.XLOOKUP(C1083&amp;F1083&amp;I1083&amp;J1083,'[1]2025年已发货'!$F:$F&amp;'[1]2025年已发货'!$C:$C&amp;'[1]2025年已发货'!$G:$G&amp;'[1]2025年已发货'!$H:$H,'[1]2025年已发货'!$E:$E,"未发货")</f>
        <v>未发货</v>
      </c>
      <c r="I1083" s="33" t="str">
        <f>VLOOKUP(B1083,辅助信息!E:I,3,FALSE)</f>
        <v>（商投建工达州中医药科技园-1工区）达州市通川区达州中医药职业学院犀牛大道北段</v>
      </c>
      <c r="J1083" s="33" t="str">
        <f>VLOOKUP(B1083,辅助信息!E:I,4,FALSE)</f>
        <v>程黄刚</v>
      </c>
      <c r="K1083" s="33">
        <f>VLOOKUP(J1083,辅助信息!H:I,2,FALSE)</f>
        <v>15108211617</v>
      </c>
      <c r="L1083" s="100" t="str">
        <f>VLOOKUP(B1083,辅助信息!E:J,6,FALSE)</f>
        <v>控制炉批号！多了现场不收！,优先安排达钢,提前联系到场规格及数量</v>
      </c>
      <c r="M1083" s="84">
        <v>45769</v>
      </c>
      <c r="O1083" s="55">
        <f ca="1" t="shared" si="38"/>
        <v>0</v>
      </c>
      <c r="P1083" s="55">
        <f ca="1" t="shared" si="39"/>
        <v>188</v>
      </c>
      <c r="Q1083" s="19" t="str">
        <f>VLOOKUP(B1083,辅助信息!E:M,9,FALSE)</f>
        <v>ZTWM-CDGS-XS-2024-0134-商投建工达州中医药科技成果示范园项目</v>
      </c>
      <c r="R1083" s="19" t="str">
        <f>_xlfn._xlws.FILTER(辅助信息!D:D,辅助信息!E:E=B1083)</f>
        <v>商投建工达州中医药科技园</v>
      </c>
    </row>
    <row r="1084" hidden="1" spans="2:18">
      <c r="B1084" s="33" t="s">
        <v>47</v>
      </c>
      <c r="C1084" s="63">
        <v>45767</v>
      </c>
      <c r="D1084" s="33" t="str">
        <f>VLOOKUP(B1084,辅助信息!E:K,7,FALSE)</f>
        <v>JWDDCD2025052800131</v>
      </c>
      <c r="E1084" s="33" t="str">
        <f>VLOOKUP(F1084,辅助信息!A:B,2,FALSE)</f>
        <v>螺纹钢</v>
      </c>
      <c r="F1084" s="33" t="s">
        <v>19</v>
      </c>
      <c r="G1084" s="29">
        <v>3</v>
      </c>
      <c r="H1084" s="29" t="str">
        <f>_xlfn.XLOOKUP(C1084&amp;F1084&amp;I1084&amp;J1084,'[1]2025年已发货'!$F:$F&amp;'[1]2025年已发货'!$C:$C&amp;'[1]2025年已发货'!$G:$G&amp;'[1]2025年已发货'!$H:$H,'[1]2025年已发货'!$E:$E,"未发货")</f>
        <v>未发货</v>
      </c>
      <c r="I1084" s="33" t="str">
        <f>VLOOKUP(B1084,辅助信息!E:I,3,FALSE)</f>
        <v>（商投建工达州中医药科技园-1工区）达州市通川区达州中医药职业学院犀牛大道北段</v>
      </c>
      <c r="J1084" s="33" t="str">
        <f>VLOOKUP(B1084,辅助信息!E:I,4,FALSE)</f>
        <v>程黄刚</v>
      </c>
      <c r="K1084" s="33">
        <f>VLOOKUP(J1084,辅助信息!H:I,2,FALSE)</f>
        <v>15108211617</v>
      </c>
      <c r="L1084" s="100" t="str">
        <f>VLOOKUP(B1084,辅助信息!E:J,6,FALSE)</f>
        <v>控制炉批号！多了现场不收！,优先安排达钢,提前联系到场规格及数量</v>
      </c>
      <c r="M1084" s="84">
        <v>45769</v>
      </c>
      <c r="O1084" s="55">
        <f ca="1" t="shared" si="38"/>
        <v>0</v>
      </c>
      <c r="P1084" s="55">
        <f ca="1" t="shared" si="39"/>
        <v>188</v>
      </c>
      <c r="Q1084" s="19" t="str">
        <f>VLOOKUP(B1084,辅助信息!E:M,9,FALSE)</f>
        <v>ZTWM-CDGS-XS-2024-0134-商投建工达州中医药科技成果示范园项目</v>
      </c>
      <c r="R1084" s="19" t="str">
        <f>_xlfn._xlws.FILTER(辅助信息!D:D,辅助信息!E:E=B1084)</f>
        <v>商投建工达州中医药科技园</v>
      </c>
    </row>
    <row r="1085" hidden="1" spans="2:18">
      <c r="B1085" s="33" t="s">
        <v>47</v>
      </c>
      <c r="C1085" s="63">
        <v>45767</v>
      </c>
      <c r="D1085" s="33" t="str">
        <f>VLOOKUP(B1085,辅助信息!E:K,7,FALSE)</f>
        <v>JWDDCD2025052800131</v>
      </c>
      <c r="E1085" s="33" t="str">
        <f>VLOOKUP(F1085,辅助信息!A:B,2,FALSE)</f>
        <v>螺纹钢</v>
      </c>
      <c r="F1085" s="33" t="s">
        <v>32</v>
      </c>
      <c r="G1085" s="29">
        <v>9</v>
      </c>
      <c r="H1085" s="29" t="str">
        <f>_xlfn.XLOOKUP(C1085&amp;F1085&amp;I1085&amp;J1085,'[1]2025年已发货'!$F:$F&amp;'[1]2025年已发货'!$C:$C&amp;'[1]2025年已发货'!$G:$G&amp;'[1]2025年已发货'!$H:$H,'[1]2025年已发货'!$E:$E,"未发货")</f>
        <v>未发货</v>
      </c>
      <c r="I1085" s="33" t="str">
        <f>VLOOKUP(B1085,辅助信息!E:I,3,FALSE)</f>
        <v>（商投建工达州中医药科技园-1工区）达州市通川区达州中医药职业学院犀牛大道北段</v>
      </c>
      <c r="J1085" s="33" t="str">
        <f>VLOOKUP(B1085,辅助信息!E:I,4,FALSE)</f>
        <v>程黄刚</v>
      </c>
      <c r="K1085" s="33">
        <f>VLOOKUP(J1085,辅助信息!H:I,2,FALSE)</f>
        <v>15108211617</v>
      </c>
      <c r="L1085" s="100" t="str">
        <f>VLOOKUP(B1085,辅助信息!E:J,6,FALSE)</f>
        <v>控制炉批号！多了现场不收！,优先安排达钢,提前联系到场规格及数量</v>
      </c>
      <c r="M1085" s="84">
        <v>45769</v>
      </c>
      <c r="O1085" s="55">
        <f ca="1" t="shared" si="38"/>
        <v>0</v>
      </c>
      <c r="P1085" s="55">
        <f ca="1" t="shared" si="39"/>
        <v>188</v>
      </c>
      <c r="Q1085" s="19" t="str">
        <f>VLOOKUP(B1085,辅助信息!E:M,9,FALSE)</f>
        <v>ZTWM-CDGS-XS-2024-0134-商投建工达州中医药科技成果示范园项目</v>
      </c>
      <c r="R1085" s="19" t="str">
        <f>_xlfn._xlws.FILTER(辅助信息!D:D,辅助信息!E:E=B1085)</f>
        <v>商投建工达州中医药科技园</v>
      </c>
    </row>
    <row r="1086" hidden="1" spans="2:18">
      <c r="B1086" s="33" t="s">
        <v>47</v>
      </c>
      <c r="C1086" s="63">
        <v>45767</v>
      </c>
      <c r="D1086" s="33" t="str">
        <f>VLOOKUP(B1086,辅助信息!E:K,7,FALSE)</f>
        <v>JWDDCD2025052800131</v>
      </c>
      <c r="E1086" s="33" t="str">
        <f>VLOOKUP(F1086,辅助信息!A:B,2,FALSE)</f>
        <v>螺纹钢</v>
      </c>
      <c r="F1086" s="33" t="s">
        <v>30</v>
      </c>
      <c r="G1086" s="29">
        <v>6</v>
      </c>
      <c r="H1086" s="29" t="str">
        <f>_xlfn.XLOOKUP(C1086&amp;F1086&amp;I1086&amp;J1086,'[1]2025年已发货'!$F:$F&amp;'[1]2025年已发货'!$C:$C&amp;'[1]2025年已发货'!$G:$G&amp;'[1]2025年已发货'!$H:$H,'[1]2025年已发货'!$E:$E,"未发货")</f>
        <v>未发货</v>
      </c>
      <c r="I1086" s="33" t="str">
        <f>VLOOKUP(B1086,辅助信息!E:I,3,FALSE)</f>
        <v>（商投建工达州中医药科技园-1工区）达州市通川区达州中医药职业学院犀牛大道北段</v>
      </c>
      <c r="J1086" s="33" t="str">
        <f>VLOOKUP(B1086,辅助信息!E:I,4,FALSE)</f>
        <v>程黄刚</v>
      </c>
      <c r="K1086" s="33">
        <f>VLOOKUP(J1086,辅助信息!H:I,2,FALSE)</f>
        <v>15108211617</v>
      </c>
      <c r="L1086" s="100" t="str">
        <f>VLOOKUP(B1086,辅助信息!E:J,6,FALSE)</f>
        <v>控制炉批号！多了现场不收！,优先安排达钢,提前联系到场规格及数量</v>
      </c>
      <c r="M1086" s="84">
        <v>45769</v>
      </c>
      <c r="O1086" s="55">
        <f ca="1" t="shared" si="38"/>
        <v>0</v>
      </c>
      <c r="P1086" s="55">
        <f ca="1" t="shared" si="39"/>
        <v>188</v>
      </c>
      <c r="Q1086" s="19" t="str">
        <f>VLOOKUP(B1086,辅助信息!E:M,9,FALSE)</f>
        <v>ZTWM-CDGS-XS-2024-0134-商投建工达州中医药科技成果示范园项目</v>
      </c>
      <c r="R1086" s="19" t="str">
        <f>_xlfn._xlws.FILTER(辅助信息!D:D,辅助信息!E:E=B1086)</f>
        <v>商投建工达州中医药科技园</v>
      </c>
    </row>
    <row r="1087" hidden="1" spans="2:18">
      <c r="B1087" s="33" t="s">
        <v>47</v>
      </c>
      <c r="C1087" s="63">
        <v>45767</v>
      </c>
      <c r="D1087" s="33" t="str">
        <f>VLOOKUP(B1087,辅助信息!E:K,7,FALSE)</f>
        <v>JWDDCD2025052800131</v>
      </c>
      <c r="E1087" s="33" t="str">
        <f>VLOOKUP(F1087,辅助信息!A:B,2,FALSE)</f>
        <v>螺纹钢</v>
      </c>
      <c r="F1087" s="33" t="s">
        <v>33</v>
      </c>
      <c r="G1087" s="29">
        <v>18</v>
      </c>
      <c r="H1087" s="29" t="str">
        <f>_xlfn.XLOOKUP(C1087&amp;F1087&amp;I1087&amp;J1087,'[1]2025年已发货'!$F:$F&amp;'[1]2025年已发货'!$C:$C&amp;'[1]2025年已发货'!$G:$G&amp;'[1]2025年已发货'!$H:$H,'[1]2025年已发货'!$E:$E,"未发货")</f>
        <v>未发货</v>
      </c>
      <c r="I1087" s="33" t="str">
        <f>VLOOKUP(B1087,辅助信息!E:I,3,FALSE)</f>
        <v>（商投建工达州中医药科技园-1工区）达州市通川区达州中医药职业学院犀牛大道北段</v>
      </c>
      <c r="J1087" s="33" t="str">
        <f>VLOOKUP(B1087,辅助信息!E:I,4,FALSE)</f>
        <v>程黄刚</v>
      </c>
      <c r="K1087" s="33">
        <f>VLOOKUP(J1087,辅助信息!H:I,2,FALSE)</f>
        <v>15108211617</v>
      </c>
      <c r="L1087" s="100" t="str">
        <f>VLOOKUP(B1087,辅助信息!E:J,6,FALSE)</f>
        <v>控制炉批号！多了现场不收！,优先安排达钢,提前联系到场规格及数量</v>
      </c>
      <c r="M1087" s="84">
        <v>45769</v>
      </c>
      <c r="O1087" s="55">
        <f ca="1" t="shared" ref="O1087:O1150" si="40">IF(OR(M1087="",N1087&lt;&gt;""),"",MAX(M1087-TODAY(),0))</f>
        <v>0</v>
      </c>
      <c r="P1087" s="55">
        <f ca="1" t="shared" si="39"/>
        <v>188</v>
      </c>
      <c r="Q1087" s="19" t="str">
        <f>VLOOKUP(B1087,辅助信息!E:M,9,FALSE)</f>
        <v>ZTWM-CDGS-XS-2024-0134-商投建工达州中医药科技成果示范园项目</v>
      </c>
      <c r="R1087" s="19" t="str">
        <f>_xlfn._xlws.FILTER(辅助信息!D:D,辅助信息!E:E=B1087)</f>
        <v>商投建工达州中医药科技园</v>
      </c>
    </row>
    <row r="1088" hidden="1" spans="2:18">
      <c r="B1088" s="33" t="s">
        <v>47</v>
      </c>
      <c r="C1088" s="63">
        <v>45767</v>
      </c>
      <c r="D1088" s="33" t="str">
        <f>VLOOKUP(B1088,辅助信息!E:K,7,FALSE)</f>
        <v>JWDDCD2025052800131</v>
      </c>
      <c r="E1088" s="33" t="str">
        <f>VLOOKUP(F1088,辅助信息!A:B,2,FALSE)</f>
        <v>螺纹钢</v>
      </c>
      <c r="F1088" s="33" t="s">
        <v>28</v>
      </c>
      <c r="G1088" s="29">
        <v>39</v>
      </c>
      <c r="H1088" s="29" t="str">
        <f>_xlfn.XLOOKUP(C1088&amp;F1088&amp;I1088&amp;J1088,'[1]2025年已发货'!$F:$F&amp;'[1]2025年已发货'!$C:$C&amp;'[1]2025年已发货'!$G:$G&amp;'[1]2025年已发货'!$H:$H,'[1]2025年已发货'!$E:$E,"未发货")</f>
        <v>未发货</v>
      </c>
      <c r="I1088" s="33" t="str">
        <f>VLOOKUP(B1088,辅助信息!E:I,3,FALSE)</f>
        <v>（商投建工达州中医药科技园-1工区）达州市通川区达州中医药职业学院犀牛大道北段</v>
      </c>
      <c r="J1088" s="33" t="str">
        <f>VLOOKUP(B1088,辅助信息!E:I,4,FALSE)</f>
        <v>程黄刚</v>
      </c>
      <c r="K1088" s="33">
        <f>VLOOKUP(J1088,辅助信息!H:I,2,FALSE)</f>
        <v>15108211617</v>
      </c>
      <c r="L1088" s="100" t="str">
        <f>VLOOKUP(B1088,辅助信息!E:J,6,FALSE)</f>
        <v>控制炉批号！多了现场不收！,优先安排达钢,提前联系到场规格及数量</v>
      </c>
      <c r="M1088" s="84">
        <v>45769</v>
      </c>
      <c r="O1088" s="55">
        <f ca="1" t="shared" si="40"/>
        <v>0</v>
      </c>
      <c r="P1088" s="55">
        <f ca="1" t="shared" si="39"/>
        <v>188</v>
      </c>
      <c r="Q1088" s="19" t="str">
        <f>VLOOKUP(B1088,辅助信息!E:M,9,FALSE)</f>
        <v>ZTWM-CDGS-XS-2024-0134-商投建工达州中医药科技成果示范园项目</v>
      </c>
      <c r="R1088" s="19" t="str">
        <f>_xlfn._xlws.FILTER(辅助信息!D:D,辅助信息!E:E=B1088)</f>
        <v>商投建工达州中医药科技园</v>
      </c>
    </row>
    <row r="1089" hidden="1" spans="2:18">
      <c r="B1089" s="33" t="s">
        <v>47</v>
      </c>
      <c r="C1089" s="63">
        <v>45767</v>
      </c>
      <c r="D1089" s="33" t="str">
        <f>VLOOKUP(B1089,辅助信息!E:K,7,FALSE)</f>
        <v>JWDDCD2025052800131</v>
      </c>
      <c r="E1089" s="33" t="str">
        <f>VLOOKUP(F1089,辅助信息!A:B,2,FALSE)</f>
        <v>螺纹钢</v>
      </c>
      <c r="F1089" s="33" t="s">
        <v>18</v>
      </c>
      <c r="G1089" s="29">
        <v>18</v>
      </c>
      <c r="H1089" s="29" t="str">
        <f>_xlfn.XLOOKUP(C1089&amp;F1089&amp;I1089&amp;J1089,'[1]2025年已发货'!$F:$F&amp;'[1]2025年已发货'!$C:$C&amp;'[1]2025年已发货'!$G:$G&amp;'[1]2025年已发货'!$H:$H,'[1]2025年已发货'!$E:$E,"未发货")</f>
        <v>未发货</v>
      </c>
      <c r="I1089" s="33" t="str">
        <f>VLOOKUP(B1089,辅助信息!E:I,3,FALSE)</f>
        <v>（商投建工达州中医药科技园-1工区）达州市通川区达州中医药职业学院犀牛大道北段</v>
      </c>
      <c r="J1089" s="33" t="str">
        <f>VLOOKUP(B1089,辅助信息!E:I,4,FALSE)</f>
        <v>程黄刚</v>
      </c>
      <c r="K1089" s="33">
        <f>VLOOKUP(J1089,辅助信息!H:I,2,FALSE)</f>
        <v>15108211617</v>
      </c>
      <c r="L1089" s="100" t="str">
        <f>VLOOKUP(B1089,辅助信息!E:J,6,FALSE)</f>
        <v>控制炉批号！多了现场不收！,优先安排达钢,提前联系到场规格及数量</v>
      </c>
      <c r="M1089" s="84">
        <v>45769</v>
      </c>
      <c r="O1089" s="55">
        <f ca="1" t="shared" si="40"/>
        <v>0</v>
      </c>
      <c r="P1089" s="55">
        <f ca="1" t="shared" si="39"/>
        <v>188</v>
      </c>
      <c r="Q1089" s="19" t="str">
        <f>VLOOKUP(B1089,辅助信息!E:M,9,FALSE)</f>
        <v>ZTWM-CDGS-XS-2024-0134-商投建工达州中医药科技成果示范园项目</v>
      </c>
      <c r="R1089" s="19" t="str">
        <f>_xlfn._xlws.FILTER(辅助信息!D:D,辅助信息!E:E=B1089)</f>
        <v>商投建工达州中医药科技园</v>
      </c>
    </row>
    <row r="1090" hidden="1" spans="2:18">
      <c r="B1090" s="33" t="s">
        <v>81</v>
      </c>
      <c r="C1090" s="63">
        <v>45770</v>
      </c>
      <c r="D1090" s="33" t="str">
        <f>VLOOKUP(B1090,辅助信息!E:K,7,FALSE)</f>
        <v>JWDDCD2025060900080</v>
      </c>
      <c r="E1090" s="33" t="str">
        <f>VLOOKUP(F1090,辅助信息!A:B,2,FALSE)</f>
        <v>高线</v>
      </c>
      <c r="F1090" s="33" t="s">
        <v>53</v>
      </c>
      <c r="G1090" s="29">
        <v>2</v>
      </c>
      <c r="H1090" s="29">
        <f>_xlfn.XLOOKUP(C1090&amp;F1090&amp;I1090&amp;J1090,'[1]2025年已发货'!$F:$F&amp;'[1]2025年已发货'!$C:$C&amp;'[1]2025年已发货'!$G:$G&amp;'[1]2025年已发货'!$H:$H,'[1]2025年已发货'!$E:$E,"未发货")</f>
        <v>2</v>
      </c>
      <c r="I1090" s="33" t="str">
        <f>VLOOKUP(B1090,辅助信息!E:I,3,FALSE)</f>
        <v>（华西简阳西城嘉苑）四川省成都市简阳市简城街道高屋村</v>
      </c>
      <c r="J1090" s="33" t="str">
        <f>VLOOKUP(B1090,辅助信息!E:I,4,FALSE)</f>
        <v>张瀚镭</v>
      </c>
      <c r="K1090" s="33">
        <f>VLOOKUP(J1090,辅助信息!H:I,2,FALSE)</f>
        <v>15884666220</v>
      </c>
      <c r="L1090" s="102" t="str">
        <f>VLOOKUP(B1090,辅助信息!E:J,6,FALSE)</f>
        <v>现场禁止使用氢能源挂车！优先威钢发货,我方卸车,新老国标钢厂不加价可直发，因陕钢多次出现磅差，项目拒绝使用</v>
      </c>
      <c r="M1090" s="84">
        <v>45769</v>
      </c>
      <c r="O1090" s="55">
        <f ca="1" t="shared" si="40"/>
        <v>0</v>
      </c>
      <c r="P1090" s="55">
        <f ca="1" t="shared" si="39"/>
        <v>188</v>
      </c>
      <c r="Q1090" s="22" t="str">
        <f>VLOOKUP(B1090,辅助信息!E:M,9,FALSE)</f>
        <v>ZTWM-CDGS-XS-2024-0030-华西集采-简州大道</v>
      </c>
      <c r="R1090" s="22" t="str">
        <f>_xlfn._xlws.FILTER(辅助信息!D:D,辅助信息!E:E=B1090)</f>
        <v>华西简阳西城嘉苑</v>
      </c>
    </row>
    <row r="1091" hidden="1" spans="2:18">
      <c r="B1091" s="33" t="s">
        <v>81</v>
      </c>
      <c r="C1091" s="63">
        <v>45770</v>
      </c>
      <c r="D1091" s="33" t="str">
        <f>VLOOKUP(B1091,辅助信息!E:K,7,FALSE)</f>
        <v>JWDDCD2025060900080</v>
      </c>
      <c r="E1091" s="33" t="str">
        <f>VLOOKUP(F1091,辅助信息!A:B,2,FALSE)</f>
        <v>盘螺</v>
      </c>
      <c r="F1091" s="33" t="s">
        <v>40</v>
      </c>
      <c r="G1091" s="29">
        <v>5</v>
      </c>
      <c r="H1091" s="29">
        <f>_xlfn.XLOOKUP(C1091&amp;F1091&amp;I1091&amp;J1091,'[1]2025年已发货'!$F:$F&amp;'[1]2025年已发货'!$C:$C&amp;'[1]2025年已发货'!$G:$G&amp;'[1]2025年已发货'!$H:$H,'[1]2025年已发货'!$E:$E,"未发货")</f>
        <v>5</v>
      </c>
      <c r="I1091" s="33" t="str">
        <f>VLOOKUP(B1091,辅助信息!E:I,3,FALSE)</f>
        <v>（华西简阳西城嘉苑）四川省成都市简阳市简城街道高屋村</v>
      </c>
      <c r="J1091" s="33" t="str">
        <f>VLOOKUP(B1091,辅助信息!E:I,4,FALSE)</f>
        <v>张瀚镭</v>
      </c>
      <c r="K1091" s="33">
        <f>VLOOKUP(J1091,辅助信息!H:I,2,FALSE)</f>
        <v>15884666220</v>
      </c>
      <c r="L1091" s="102" t="str">
        <f>VLOOKUP(B1091,辅助信息!E:J,6,FALSE)</f>
        <v>现场禁止使用氢能源挂车！优先威钢发货,我方卸车,新老国标钢厂不加价可直发，因陕钢多次出现磅差，项目拒绝使用</v>
      </c>
      <c r="M1091" s="84">
        <v>45769</v>
      </c>
      <c r="O1091" s="55">
        <f ca="1" t="shared" si="40"/>
        <v>0</v>
      </c>
      <c r="P1091" s="55">
        <f ca="1" t="shared" si="39"/>
        <v>188</v>
      </c>
      <c r="Q1091" s="22" t="str">
        <f>VLOOKUP(B1091,辅助信息!E:M,9,FALSE)</f>
        <v>ZTWM-CDGS-XS-2024-0030-华西集采-简州大道</v>
      </c>
      <c r="R1091" s="22" t="str">
        <f>_xlfn._xlws.FILTER(辅助信息!D:D,辅助信息!E:E=B1091)</f>
        <v>华西简阳西城嘉苑</v>
      </c>
    </row>
    <row r="1092" hidden="1" spans="2:18">
      <c r="B1092" s="33" t="s">
        <v>81</v>
      </c>
      <c r="C1092" s="63">
        <v>45770</v>
      </c>
      <c r="D1092" s="33" t="str">
        <f>VLOOKUP(B1092,辅助信息!E:K,7,FALSE)</f>
        <v>JWDDCD2025060900080</v>
      </c>
      <c r="E1092" s="33" t="str">
        <f>VLOOKUP(F1092,辅助信息!A:B,2,FALSE)</f>
        <v>盘螺</v>
      </c>
      <c r="F1092" s="33" t="s">
        <v>41</v>
      </c>
      <c r="G1092" s="29">
        <v>8</v>
      </c>
      <c r="H1092" s="29">
        <f>_xlfn.XLOOKUP(C1092&amp;F1092&amp;I1092&amp;J1092,'[1]2025年已发货'!$F:$F&amp;'[1]2025年已发货'!$C:$C&amp;'[1]2025年已发货'!$G:$G&amp;'[1]2025年已发货'!$H:$H,'[1]2025年已发货'!$E:$E,"未发货")</f>
        <v>8</v>
      </c>
      <c r="I1092" s="33" t="str">
        <f>VLOOKUP(B1092,辅助信息!E:I,3,FALSE)</f>
        <v>（华西简阳西城嘉苑）四川省成都市简阳市简城街道高屋村</v>
      </c>
      <c r="J1092" s="33" t="str">
        <f>VLOOKUP(B1092,辅助信息!E:I,4,FALSE)</f>
        <v>张瀚镭</v>
      </c>
      <c r="K1092" s="33">
        <f>VLOOKUP(J1092,辅助信息!H:I,2,FALSE)</f>
        <v>15884666220</v>
      </c>
      <c r="L1092" s="102" t="str">
        <f>VLOOKUP(B1092,辅助信息!E:J,6,FALSE)</f>
        <v>现场禁止使用氢能源挂车！优先威钢发货,我方卸车,新老国标钢厂不加价可直发，因陕钢多次出现磅差，项目拒绝使用</v>
      </c>
      <c r="M1092" s="84">
        <v>45769</v>
      </c>
      <c r="O1092" s="55">
        <f ca="1" t="shared" si="40"/>
        <v>0</v>
      </c>
      <c r="P1092" s="55">
        <f ca="1" t="shared" si="39"/>
        <v>188</v>
      </c>
      <c r="Q1092" s="22" t="str">
        <f>VLOOKUP(B1092,辅助信息!E:M,9,FALSE)</f>
        <v>ZTWM-CDGS-XS-2024-0030-华西集采-简州大道</v>
      </c>
      <c r="R1092" s="22" t="str">
        <f>_xlfn._xlws.FILTER(辅助信息!D:D,辅助信息!E:E=B1092)</f>
        <v>华西简阳西城嘉苑</v>
      </c>
    </row>
    <row r="1093" hidden="1" spans="2:18">
      <c r="B1093" s="33" t="s">
        <v>81</v>
      </c>
      <c r="C1093" s="63">
        <v>45770</v>
      </c>
      <c r="D1093" s="33" t="str">
        <f>VLOOKUP(B1093,辅助信息!E:K,7,FALSE)</f>
        <v>JWDDCD2025060900080</v>
      </c>
      <c r="E1093" s="33" t="str">
        <f>VLOOKUP(F1093,辅助信息!A:B,2,FALSE)</f>
        <v>盘螺</v>
      </c>
      <c r="F1093" s="33" t="s">
        <v>26</v>
      </c>
      <c r="G1093" s="29">
        <v>22</v>
      </c>
      <c r="H1093" s="29" t="str">
        <f>_xlfn.XLOOKUP(C1093&amp;F1093&amp;I1093&amp;J1093,'[1]2025年已发货'!$F:$F&amp;'[1]2025年已发货'!$C:$C&amp;'[1]2025年已发货'!$G:$G&amp;'[1]2025年已发货'!$H:$H,'[1]2025年已发货'!$E:$E,"未发货")</f>
        <v>未发货</v>
      </c>
      <c r="I1093" s="33" t="str">
        <f>VLOOKUP(B1093,辅助信息!E:I,3,FALSE)</f>
        <v>（华西简阳西城嘉苑）四川省成都市简阳市简城街道高屋村</v>
      </c>
      <c r="J1093" s="33" t="str">
        <f>VLOOKUP(B1093,辅助信息!E:I,4,FALSE)</f>
        <v>张瀚镭</v>
      </c>
      <c r="K1093" s="33">
        <f>VLOOKUP(J1093,辅助信息!H:I,2,FALSE)</f>
        <v>15884666220</v>
      </c>
      <c r="L1093" s="102" t="str">
        <f>VLOOKUP(B1093,辅助信息!E:J,6,FALSE)</f>
        <v>现场禁止使用氢能源挂车！优先威钢发货,我方卸车,新老国标钢厂不加价可直发，因陕钢多次出现磅差，项目拒绝使用</v>
      </c>
      <c r="M1093" s="84">
        <v>45769</v>
      </c>
      <c r="O1093" s="55">
        <f ca="1" t="shared" si="40"/>
        <v>0</v>
      </c>
      <c r="P1093" s="55">
        <f ca="1" t="shared" si="39"/>
        <v>188</v>
      </c>
      <c r="Q1093" s="22" t="str">
        <f>VLOOKUP(B1093,辅助信息!E:M,9,FALSE)</f>
        <v>ZTWM-CDGS-XS-2024-0030-华西集采-简州大道</v>
      </c>
      <c r="R1093" s="22" t="str">
        <f>_xlfn._xlws.FILTER(辅助信息!D:D,辅助信息!E:E=B1093)</f>
        <v>华西简阳西城嘉苑</v>
      </c>
    </row>
    <row r="1094" hidden="1" spans="2:18">
      <c r="B1094" s="33" t="s">
        <v>81</v>
      </c>
      <c r="C1094" s="63">
        <v>45770</v>
      </c>
      <c r="D1094" s="33" t="str">
        <f>VLOOKUP(B1094,辅助信息!E:K,7,FALSE)</f>
        <v>JWDDCD2025060900080</v>
      </c>
      <c r="E1094" s="33" t="str">
        <f>VLOOKUP(F1094,辅助信息!A:B,2,FALSE)</f>
        <v>螺纹钢</v>
      </c>
      <c r="F1094" s="33" t="s">
        <v>32</v>
      </c>
      <c r="G1094" s="29">
        <v>35</v>
      </c>
      <c r="H1094" s="29">
        <f>_xlfn.XLOOKUP(C1094&amp;F1094&amp;I1094&amp;J1094,'[1]2025年已发货'!$F:$F&amp;'[1]2025年已发货'!$C:$C&amp;'[1]2025年已发货'!$G:$G&amp;'[1]2025年已发货'!$H:$H,'[1]2025年已发货'!$E:$E,"未发货")</f>
        <v>35</v>
      </c>
      <c r="I1094" s="33" t="str">
        <f>VLOOKUP(B1094,辅助信息!E:I,3,FALSE)</f>
        <v>（华西简阳西城嘉苑）四川省成都市简阳市简城街道高屋村</v>
      </c>
      <c r="J1094" s="33" t="str">
        <f>VLOOKUP(B1094,辅助信息!E:I,4,FALSE)</f>
        <v>张瀚镭</v>
      </c>
      <c r="K1094" s="33">
        <f>VLOOKUP(J1094,辅助信息!H:I,2,FALSE)</f>
        <v>15884666220</v>
      </c>
      <c r="L1094" s="102" t="str">
        <f>VLOOKUP(B1094,辅助信息!E:J,6,FALSE)</f>
        <v>现场禁止使用氢能源挂车！优先威钢发货,我方卸车,新老国标钢厂不加价可直发，因陕钢多次出现磅差，项目拒绝使用</v>
      </c>
      <c r="M1094" s="84">
        <v>45769</v>
      </c>
      <c r="O1094" s="55">
        <f ca="1" t="shared" si="40"/>
        <v>0</v>
      </c>
      <c r="P1094" s="55">
        <f ca="1" t="shared" si="39"/>
        <v>188</v>
      </c>
      <c r="Q1094" s="22" t="str">
        <f>VLOOKUP(B1094,辅助信息!E:M,9,FALSE)</f>
        <v>ZTWM-CDGS-XS-2024-0030-华西集采-简州大道</v>
      </c>
      <c r="R1094" s="22" t="str">
        <f>_xlfn._xlws.FILTER(辅助信息!D:D,辅助信息!E:E=B1094)</f>
        <v>华西简阳西城嘉苑</v>
      </c>
    </row>
    <row r="1095" hidden="1" spans="2:18">
      <c r="B1095" s="33" t="s">
        <v>81</v>
      </c>
      <c r="C1095" s="63">
        <v>45770</v>
      </c>
      <c r="D1095" s="33" t="str">
        <f>VLOOKUP(B1095,辅助信息!E:K,7,FALSE)</f>
        <v>JWDDCD2025060900080</v>
      </c>
      <c r="E1095" s="33" t="str">
        <f>VLOOKUP(F1095,辅助信息!A:B,2,FALSE)</f>
        <v>螺纹钢</v>
      </c>
      <c r="F1095" s="33" t="s">
        <v>33</v>
      </c>
      <c r="G1095" s="29">
        <f>120-8</f>
        <v>112</v>
      </c>
      <c r="H1095" s="29">
        <v>92</v>
      </c>
      <c r="I1095" s="33" t="str">
        <f>VLOOKUP(B1095,辅助信息!E:I,3,FALSE)</f>
        <v>（华西简阳西城嘉苑）四川省成都市简阳市简城街道高屋村</v>
      </c>
      <c r="J1095" s="33" t="str">
        <f>VLOOKUP(B1095,辅助信息!E:I,4,FALSE)</f>
        <v>张瀚镭</v>
      </c>
      <c r="K1095" s="33">
        <f>VLOOKUP(J1095,辅助信息!H:I,2,FALSE)</f>
        <v>15884666220</v>
      </c>
      <c r="L1095" s="102" t="str">
        <f>VLOOKUP(B1095,辅助信息!E:J,6,FALSE)</f>
        <v>现场禁止使用氢能源挂车！优先威钢发货,我方卸车,新老国标钢厂不加价可直发，因陕钢多次出现磅差，项目拒绝使用</v>
      </c>
      <c r="M1095" s="84">
        <v>45769</v>
      </c>
      <c r="O1095" s="55">
        <f ca="1" t="shared" si="40"/>
        <v>0</v>
      </c>
      <c r="P1095" s="55">
        <f ca="1" t="shared" si="39"/>
        <v>188</v>
      </c>
      <c r="Q1095" s="22" t="str">
        <f>VLOOKUP(B1095,辅助信息!E:M,9,FALSE)</f>
        <v>ZTWM-CDGS-XS-2024-0030-华西集采-简州大道</v>
      </c>
      <c r="R1095" s="22" t="str">
        <f>_xlfn._xlws.FILTER(辅助信息!D:D,辅助信息!E:E=B1095)</f>
        <v>华西简阳西城嘉苑</v>
      </c>
    </row>
    <row r="1096" hidden="1" spans="2:18">
      <c r="B1096" s="33" t="s">
        <v>64</v>
      </c>
      <c r="C1096" s="63">
        <v>45770</v>
      </c>
      <c r="D1096" s="33" t="e">
        <f>VLOOKUP(B1096,辅助信息!E:K,7,FALSE)</f>
        <v>#N/A</v>
      </c>
      <c r="E1096" s="33" t="str">
        <f>VLOOKUP(F1096,辅助信息!A:B,2,FALSE)</f>
        <v>螺纹钢</v>
      </c>
      <c r="F1096" s="33" t="s">
        <v>65</v>
      </c>
      <c r="G1096" s="29">
        <v>21</v>
      </c>
      <c r="H1096" s="29" t="e">
        <f>_xlfn.XLOOKUP(C1096&amp;F1096&amp;I1096&amp;J1096,'[1]2025年已发货'!$F:$F&amp;'[1]2025年已发货'!$C:$C&amp;'[1]2025年已发货'!$G:$G&amp;'[1]2025年已发货'!$H:$H,'[1]2025年已发货'!$E:$E,"未发货")</f>
        <v>#N/A</v>
      </c>
      <c r="I1096" s="33" t="e">
        <f>VLOOKUP(B1096,辅助信息!E:I,3,FALSE)</f>
        <v>#N/A</v>
      </c>
      <c r="J1096" s="33" t="e">
        <f>VLOOKUP(B1096,辅助信息!E:I,4,FALSE)</f>
        <v>#N/A</v>
      </c>
      <c r="K1096" s="33" t="e">
        <f>VLOOKUP(J1096,辅助信息!H:I,2,FALSE)</f>
        <v>#N/A</v>
      </c>
      <c r="L1096" s="102" t="e">
        <f>VLOOKUP(B1096,辅助信息!E:J,6,FALSE)</f>
        <v>#N/A</v>
      </c>
      <c r="M1096" s="84">
        <v>45768</v>
      </c>
      <c r="O1096" s="55">
        <f ca="1" t="shared" si="40"/>
        <v>0</v>
      </c>
      <c r="P1096" s="55">
        <f ca="1" t="shared" si="39"/>
        <v>189</v>
      </c>
      <c r="Q1096" s="22" t="e">
        <f>VLOOKUP(B1096,辅助信息!E:M,9,FALSE)</f>
        <v>#N/A</v>
      </c>
      <c r="R1096" s="22" vm="1" t="e">
        <f>_xlfn._xlws.FILTER(辅助信息!D:D,辅助信息!E:E=B1096)</f>
        <v>#VALUE!</v>
      </c>
    </row>
    <row r="1097" hidden="1" spans="2:18">
      <c r="B1097" s="33" t="s">
        <v>47</v>
      </c>
      <c r="C1097" s="63">
        <v>45770</v>
      </c>
      <c r="D1097" s="33" t="str">
        <f>VLOOKUP(B1097,辅助信息!E:K,7,FALSE)</f>
        <v>JWDDCD2025052800131</v>
      </c>
      <c r="E1097" s="33" t="str">
        <f>VLOOKUP(F1097,辅助信息!A:B,2,FALSE)</f>
        <v>盘螺</v>
      </c>
      <c r="F1097" s="33" t="s">
        <v>49</v>
      </c>
      <c r="G1097" s="29">
        <v>2</v>
      </c>
      <c r="H1097" s="29">
        <f>_xlfn.XLOOKUP(C1097&amp;F1097&amp;I1097&amp;J1097,'[1]2025年已发货'!$F:$F&amp;'[1]2025年已发货'!$C:$C&amp;'[1]2025年已发货'!$G:$G&amp;'[1]2025年已发货'!$H:$H,'[1]2025年已发货'!$E:$E,"未发货")</f>
        <v>2</v>
      </c>
      <c r="I1097" s="33" t="str">
        <f>VLOOKUP(B1097,辅助信息!E:I,3,FALSE)</f>
        <v>（商投建工达州中医药科技园-1工区）达州市通川区达州中医药职业学院犀牛大道北段</v>
      </c>
      <c r="J1097" s="33" t="str">
        <f>VLOOKUP(B1097,辅助信息!E:I,4,FALSE)</f>
        <v>程黄刚</v>
      </c>
      <c r="K1097" s="33">
        <f>VLOOKUP(J1097,辅助信息!H:I,2,FALSE)</f>
        <v>15108211617</v>
      </c>
      <c r="L1097" s="102" t="str">
        <f>VLOOKUP(B1097,辅助信息!E:J,6,FALSE)</f>
        <v>控制炉批号！多了现场不收！,优先安排达钢,提前联系到场规格及数量</v>
      </c>
      <c r="M1097" s="84">
        <v>45769</v>
      </c>
      <c r="O1097" s="55">
        <f ca="1" t="shared" si="40"/>
        <v>0</v>
      </c>
      <c r="P1097" s="55">
        <f ca="1" t="shared" si="39"/>
        <v>188</v>
      </c>
      <c r="Q1097" s="22" t="str">
        <f>VLOOKUP(B1097,辅助信息!E:M,9,FALSE)</f>
        <v>ZTWM-CDGS-XS-2024-0134-商投建工达州中医药科技成果示范园项目</v>
      </c>
      <c r="R1097" s="22" t="str">
        <f>_xlfn._xlws.FILTER(辅助信息!D:D,辅助信息!E:E=B1097)</f>
        <v>商投建工达州中医药科技园</v>
      </c>
    </row>
    <row r="1098" hidden="1" spans="2:18">
      <c r="B1098" s="33" t="s">
        <v>47</v>
      </c>
      <c r="C1098" s="63">
        <v>45770</v>
      </c>
      <c r="D1098" s="33" t="str">
        <f>VLOOKUP(B1098,辅助信息!E:K,7,FALSE)</f>
        <v>JWDDCD2025052800131</v>
      </c>
      <c r="E1098" s="33" t="str">
        <f>VLOOKUP(F1098,辅助信息!A:B,2,FALSE)</f>
        <v>盘螺</v>
      </c>
      <c r="F1098" s="33" t="s">
        <v>40</v>
      </c>
      <c r="G1098" s="29">
        <v>8</v>
      </c>
      <c r="H1098" s="29">
        <f>_xlfn.XLOOKUP(C1098&amp;F1098&amp;I1098&amp;J1098,'[1]2025年已发货'!$F:$F&amp;'[1]2025年已发货'!$C:$C&amp;'[1]2025年已发货'!$G:$G&amp;'[1]2025年已发货'!$H:$H,'[1]2025年已发货'!$E:$E,"未发货")</f>
        <v>8</v>
      </c>
      <c r="I1098" s="33" t="str">
        <f>VLOOKUP(B1098,辅助信息!E:I,3,FALSE)</f>
        <v>（商投建工达州中医药科技园-1工区）达州市通川区达州中医药职业学院犀牛大道北段</v>
      </c>
      <c r="J1098" s="33" t="str">
        <f>VLOOKUP(B1098,辅助信息!E:I,4,FALSE)</f>
        <v>程黄刚</v>
      </c>
      <c r="K1098" s="33">
        <f>VLOOKUP(J1098,辅助信息!H:I,2,FALSE)</f>
        <v>15108211617</v>
      </c>
      <c r="L1098" s="102" t="str">
        <f>VLOOKUP(B1098,辅助信息!E:J,6,FALSE)</f>
        <v>控制炉批号！多了现场不收！,优先安排达钢,提前联系到场规格及数量</v>
      </c>
      <c r="M1098" s="84">
        <v>45769</v>
      </c>
      <c r="O1098" s="55">
        <f ca="1" t="shared" si="40"/>
        <v>0</v>
      </c>
      <c r="P1098" s="55">
        <f ca="1" t="shared" si="39"/>
        <v>188</v>
      </c>
      <c r="Q1098" s="22" t="str">
        <f>VLOOKUP(B1098,辅助信息!E:M,9,FALSE)</f>
        <v>ZTWM-CDGS-XS-2024-0134-商投建工达州中医药科技成果示范园项目</v>
      </c>
      <c r="R1098" s="22" t="str">
        <f>_xlfn._xlws.FILTER(辅助信息!D:D,辅助信息!E:E=B1098)</f>
        <v>商投建工达州中医药科技园</v>
      </c>
    </row>
    <row r="1099" hidden="1" spans="2:18">
      <c r="B1099" s="33" t="s">
        <v>47</v>
      </c>
      <c r="C1099" s="63">
        <v>45770</v>
      </c>
      <c r="D1099" s="33" t="str">
        <f>VLOOKUP(B1099,辅助信息!E:K,7,FALSE)</f>
        <v>JWDDCD2025052800131</v>
      </c>
      <c r="E1099" s="33" t="str">
        <f>VLOOKUP(F1099,辅助信息!A:B,2,FALSE)</f>
        <v>盘螺</v>
      </c>
      <c r="F1099" s="33" t="s">
        <v>41</v>
      </c>
      <c r="G1099" s="29">
        <v>8</v>
      </c>
      <c r="H1099" s="29">
        <f>_xlfn.XLOOKUP(C1099&amp;F1099&amp;I1099&amp;J1099,'[1]2025年已发货'!$F:$F&amp;'[1]2025年已发货'!$C:$C&amp;'[1]2025年已发货'!$G:$G&amp;'[1]2025年已发货'!$H:$H,'[1]2025年已发货'!$E:$E,"未发货")</f>
        <v>8</v>
      </c>
      <c r="I1099" s="33" t="str">
        <f>VLOOKUP(B1099,辅助信息!E:I,3,FALSE)</f>
        <v>（商投建工达州中医药科技园-1工区）达州市通川区达州中医药职业学院犀牛大道北段</v>
      </c>
      <c r="J1099" s="33" t="str">
        <f>VLOOKUP(B1099,辅助信息!E:I,4,FALSE)</f>
        <v>程黄刚</v>
      </c>
      <c r="K1099" s="33">
        <f>VLOOKUP(J1099,辅助信息!H:I,2,FALSE)</f>
        <v>15108211617</v>
      </c>
      <c r="L1099" s="102" t="str">
        <f>VLOOKUP(B1099,辅助信息!E:J,6,FALSE)</f>
        <v>控制炉批号！多了现场不收！,优先安排达钢,提前联系到场规格及数量</v>
      </c>
      <c r="M1099" s="84">
        <v>45769</v>
      </c>
      <c r="O1099" s="55">
        <f ca="1" t="shared" si="40"/>
        <v>0</v>
      </c>
      <c r="P1099" s="55">
        <f ca="1" t="shared" si="39"/>
        <v>188</v>
      </c>
      <c r="Q1099" s="22" t="str">
        <f>VLOOKUP(B1099,辅助信息!E:M,9,FALSE)</f>
        <v>ZTWM-CDGS-XS-2024-0134-商投建工达州中医药科技成果示范园项目</v>
      </c>
      <c r="R1099" s="22" t="str">
        <f>_xlfn._xlws.FILTER(辅助信息!D:D,辅助信息!E:E=B1099)</f>
        <v>商投建工达州中医药科技园</v>
      </c>
    </row>
    <row r="1100" hidden="1" spans="2:18">
      <c r="B1100" s="33" t="s">
        <v>47</v>
      </c>
      <c r="C1100" s="63">
        <v>45770</v>
      </c>
      <c r="D1100" s="33" t="str">
        <f>VLOOKUP(B1100,辅助信息!E:K,7,FALSE)</f>
        <v>JWDDCD2025052800131</v>
      </c>
      <c r="E1100" s="33" t="str">
        <f>VLOOKUP(F1100,辅助信息!A:B,2,FALSE)</f>
        <v>螺纹钢</v>
      </c>
      <c r="F1100" s="33" t="s">
        <v>19</v>
      </c>
      <c r="G1100" s="29">
        <v>3</v>
      </c>
      <c r="H1100" s="29">
        <f>_xlfn.XLOOKUP(C1100&amp;F1100&amp;I1100&amp;J1100,'[1]2025年已发货'!$F:$F&amp;'[1]2025年已发货'!$C:$C&amp;'[1]2025年已发货'!$G:$G&amp;'[1]2025年已发货'!$H:$H,'[1]2025年已发货'!$E:$E,"未发货")</f>
        <v>3</v>
      </c>
      <c r="I1100" s="33" t="str">
        <f>VLOOKUP(B1100,辅助信息!E:I,3,FALSE)</f>
        <v>（商投建工达州中医药科技园-1工区）达州市通川区达州中医药职业学院犀牛大道北段</v>
      </c>
      <c r="J1100" s="33" t="str">
        <f>VLOOKUP(B1100,辅助信息!E:I,4,FALSE)</f>
        <v>程黄刚</v>
      </c>
      <c r="K1100" s="33">
        <f>VLOOKUP(J1100,辅助信息!H:I,2,FALSE)</f>
        <v>15108211617</v>
      </c>
      <c r="L1100" s="102" t="str">
        <f>VLOOKUP(B1100,辅助信息!E:J,6,FALSE)</f>
        <v>控制炉批号！多了现场不收！,优先安排达钢,提前联系到场规格及数量</v>
      </c>
      <c r="M1100" s="84">
        <v>45769</v>
      </c>
      <c r="O1100" s="55">
        <f ca="1" t="shared" si="40"/>
        <v>0</v>
      </c>
      <c r="P1100" s="55">
        <f ca="1" t="shared" si="39"/>
        <v>188</v>
      </c>
      <c r="Q1100" s="22" t="str">
        <f>VLOOKUP(B1100,辅助信息!E:M,9,FALSE)</f>
        <v>ZTWM-CDGS-XS-2024-0134-商投建工达州中医药科技成果示范园项目</v>
      </c>
      <c r="R1100" s="22" t="str">
        <f>_xlfn._xlws.FILTER(辅助信息!D:D,辅助信息!E:E=B1100)</f>
        <v>商投建工达州中医药科技园</v>
      </c>
    </row>
    <row r="1101" hidden="1" spans="2:18">
      <c r="B1101" s="33" t="s">
        <v>47</v>
      </c>
      <c r="C1101" s="63">
        <v>45770</v>
      </c>
      <c r="D1101" s="33" t="str">
        <f>VLOOKUP(B1101,辅助信息!E:K,7,FALSE)</f>
        <v>JWDDCD2025052800131</v>
      </c>
      <c r="E1101" s="33" t="str">
        <f>VLOOKUP(F1101,辅助信息!A:B,2,FALSE)</f>
        <v>螺纹钢</v>
      </c>
      <c r="F1101" s="33" t="s">
        <v>30</v>
      </c>
      <c r="G1101" s="29">
        <v>6</v>
      </c>
      <c r="H1101" s="29">
        <f>_xlfn.XLOOKUP(C1101&amp;F1101&amp;I1101&amp;J1101,'[1]2025年已发货'!$F:$F&amp;'[1]2025年已发货'!$C:$C&amp;'[1]2025年已发货'!$G:$G&amp;'[1]2025年已发货'!$H:$H,'[1]2025年已发货'!$E:$E,"未发货")</f>
        <v>7</v>
      </c>
      <c r="I1101" s="33" t="str">
        <f>VLOOKUP(B1101,辅助信息!E:I,3,FALSE)</f>
        <v>（商投建工达州中医药科技园-1工区）达州市通川区达州中医药职业学院犀牛大道北段</v>
      </c>
      <c r="J1101" s="33" t="str">
        <f>VLOOKUP(B1101,辅助信息!E:I,4,FALSE)</f>
        <v>程黄刚</v>
      </c>
      <c r="K1101" s="33">
        <f>VLOOKUP(J1101,辅助信息!H:I,2,FALSE)</f>
        <v>15108211617</v>
      </c>
      <c r="L1101" s="102" t="str">
        <f>VLOOKUP(B1101,辅助信息!E:J,6,FALSE)</f>
        <v>控制炉批号！多了现场不收！,优先安排达钢,提前联系到场规格及数量</v>
      </c>
      <c r="M1101" s="84">
        <v>45769</v>
      </c>
      <c r="O1101" s="55">
        <f ca="1" t="shared" si="40"/>
        <v>0</v>
      </c>
      <c r="P1101" s="55">
        <f ca="1" t="shared" si="39"/>
        <v>188</v>
      </c>
      <c r="Q1101" s="22" t="str">
        <f>VLOOKUP(B1101,辅助信息!E:M,9,FALSE)</f>
        <v>ZTWM-CDGS-XS-2024-0134-商投建工达州中医药科技成果示范园项目</v>
      </c>
      <c r="R1101" s="22" t="str">
        <f>_xlfn._xlws.FILTER(辅助信息!D:D,辅助信息!E:E=B1101)</f>
        <v>商投建工达州中医药科技园</v>
      </c>
    </row>
    <row r="1102" hidden="1" spans="2:18">
      <c r="B1102" s="33" t="s">
        <v>47</v>
      </c>
      <c r="C1102" s="63">
        <v>45770</v>
      </c>
      <c r="D1102" s="33" t="str">
        <f>VLOOKUP(B1102,辅助信息!E:K,7,FALSE)</f>
        <v>JWDDCD2025052800131</v>
      </c>
      <c r="E1102" s="33" t="str">
        <f>VLOOKUP(F1102,辅助信息!A:B,2,FALSE)</f>
        <v>螺纹钢</v>
      </c>
      <c r="F1102" s="33" t="s">
        <v>28</v>
      </c>
      <c r="G1102" s="29">
        <v>19</v>
      </c>
      <c r="H1102" s="29">
        <f>_xlfn.XLOOKUP(C1102&amp;F1102&amp;I1102&amp;J1102,'[1]2025年已发货'!$F:$F&amp;'[1]2025年已发货'!$C:$C&amp;'[1]2025年已发货'!$G:$G&amp;'[1]2025年已发货'!$H:$H,'[1]2025年已发货'!$E:$E,"未发货")</f>
        <v>8</v>
      </c>
      <c r="I1102" s="33" t="str">
        <f>VLOOKUP(B1102,辅助信息!E:I,3,FALSE)</f>
        <v>（商投建工达州中医药科技园-1工区）达州市通川区达州中医药职业学院犀牛大道北段</v>
      </c>
      <c r="J1102" s="33" t="str">
        <f>VLOOKUP(B1102,辅助信息!E:I,4,FALSE)</f>
        <v>程黄刚</v>
      </c>
      <c r="K1102" s="33">
        <f>VLOOKUP(J1102,辅助信息!H:I,2,FALSE)</f>
        <v>15108211617</v>
      </c>
      <c r="L1102" s="102" t="str">
        <f>VLOOKUP(B1102,辅助信息!E:J,6,FALSE)</f>
        <v>控制炉批号！多了现场不收！,优先安排达钢,提前联系到场规格及数量</v>
      </c>
      <c r="M1102" s="84">
        <v>45769</v>
      </c>
      <c r="O1102" s="55">
        <f ca="1" t="shared" si="40"/>
        <v>0</v>
      </c>
      <c r="P1102" s="55">
        <f ca="1" t="shared" si="39"/>
        <v>188</v>
      </c>
      <c r="Q1102" s="22" t="str">
        <f>VLOOKUP(B1102,辅助信息!E:M,9,FALSE)</f>
        <v>ZTWM-CDGS-XS-2024-0134-商投建工达州中医药科技成果示范园项目</v>
      </c>
      <c r="R1102" s="22" t="str">
        <f>_xlfn._xlws.FILTER(辅助信息!D:D,辅助信息!E:E=B1102)</f>
        <v>商投建工达州中医药科技园</v>
      </c>
    </row>
    <row r="1103" hidden="1" spans="2:18">
      <c r="B1103" s="33" t="s">
        <v>75</v>
      </c>
      <c r="C1103" s="63">
        <v>45770</v>
      </c>
      <c r="D1103" s="33" t="e">
        <f>VLOOKUP(B1103,辅助信息!E:K,7,FALSE)</f>
        <v>#N/A</v>
      </c>
      <c r="E1103" s="33" t="str">
        <f>VLOOKUP(F1103,辅助信息!A:B,2,FALSE)</f>
        <v>高线</v>
      </c>
      <c r="F1103" s="33" t="s">
        <v>53</v>
      </c>
      <c r="G1103" s="29">
        <v>8</v>
      </c>
      <c r="H1103" s="29" t="e">
        <f>_xlfn.XLOOKUP(C1103&amp;F1103&amp;I1103&amp;J1103,'[1]2025年已发货'!$F:$F&amp;'[1]2025年已发货'!$C:$C&amp;'[1]2025年已发货'!$G:$G&amp;'[1]2025年已发货'!$H:$H,'[1]2025年已发货'!$E:$E,"未发货")</f>
        <v>#N/A</v>
      </c>
      <c r="I1103" s="33" t="e">
        <f>VLOOKUP(B1103,辅助信息!E:I,3,FALSE)</f>
        <v>#N/A</v>
      </c>
      <c r="J1103" s="33" t="e">
        <f>VLOOKUP(B1103,辅助信息!E:I,4,FALSE)</f>
        <v>#N/A</v>
      </c>
      <c r="K1103" s="33" t="e">
        <f>VLOOKUP(J1103,辅助信息!H:I,2,FALSE)</f>
        <v>#N/A</v>
      </c>
      <c r="L1103" s="102" t="e">
        <f>VLOOKUP(B1103,辅助信息!E:J,6,FALSE)</f>
        <v>#N/A</v>
      </c>
      <c r="M1103" s="84">
        <v>45772</v>
      </c>
      <c r="O1103" s="55">
        <f ca="1" t="shared" si="40"/>
        <v>0</v>
      </c>
      <c r="P1103" s="55">
        <f ca="1" t="shared" si="39"/>
        <v>185</v>
      </c>
      <c r="Q1103" s="22" t="e">
        <f>VLOOKUP(B1103,辅助信息!E:M,9,FALSE)</f>
        <v>#N/A</v>
      </c>
      <c r="R1103" s="22" vm="1" t="e">
        <f>_xlfn._xlws.FILTER(辅助信息!D:D,辅助信息!E:E=B1103)</f>
        <v>#VALUE!</v>
      </c>
    </row>
    <row r="1104" hidden="1" spans="2:18">
      <c r="B1104" s="33" t="s">
        <v>75</v>
      </c>
      <c r="C1104" s="63">
        <v>45770</v>
      </c>
      <c r="D1104" s="33" t="e">
        <f>VLOOKUP(B1104,辅助信息!E:K,7,FALSE)</f>
        <v>#N/A</v>
      </c>
      <c r="E1104" s="33" t="str">
        <f>VLOOKUP(F1104,辅助信息!A:B,2,FALSE)</f>
        <v>螺纹钢</v>
      </c>
      <c r="F1104" s="33" t="s">
        <v>27</v>
      </c>
      <c r="G1104" s="29">
        <v>9</v>
      </c>
      <c r="H1104" s="29" t="e">
        <f>_xlfn.XLOOKUP(C1104&amp;F1104&amp;I1104&amp;J1104,'[1]2025年已发货'!$F:$F&amp;'[1]2025年已发货'!$C:$C&amp;'[1]2025年已发货'!$G:$G&amp;'[1]2025年已发货'!$H:$H,'[1]2025年已发货'!$E:$E,"未发货")</f>
        <v>#N/A</v>
      </c>
      <c r="I1104" s="33" t="e">
        <f>VLOOKUP(B1104,辅助信息!E:I,3,FALSE)</f>
        <v>#N/A</v>
      </c>
      <c r="J1104" s="33" t="e">
        <f>VLOOKUP(B1104,辅助信息!E:I,4,FALSE)</f>
        <v>#N/A</v>
      </c>
      <c r="K1104" s="33" t="e">
        <f>VLOOKUP(J1104,辅助信息!H:I,2,FALSE)</f>
        <v>#N/A</v>
      </c>
      <c r="L1104" s="102" t="e">
        <f>VLOOKUP(B1104,辅助信息!E:J,6,FALSE)</f>
        <v>#N/A</v>
      </c>
      <c r="M1104" s="84">
        <v>45772</v>
      </c>
      <c r="O1104" s="55">
        <f ca="1" t="shared" si="40"/>
        <v>0</v>
      </c>
      <c r="P1104" s="55">
        <f ca="1" t="shared" si="39"/>
        <v>185</v>
      </c>
      <c r="Q1104" s="22" t="e">
        <f>VLOOKUP(B1104,辅助信息!E:M,9,FALSE)</f>
        <v>#N/A</v>
      </c>
      <c r="R1104" s="22" vm="1" t="e">
        <f>_xlfn._xlws.FILTER(辅助信息!D:D,辅助信息!E:E=B1104)</f>
        <v>#VALUE!</v>
      </c>
    </row>
    <row r="1105" hidden="1" spans="2:18">
      <c r="B1105" s="33" t="s">
        <v>75</v>
      </c>
      <c r="C1105" s="63">
        <v>45770</v>
      </c>
      <c r="D1105" s="33" t="e">
        <f>VLOOKUP(B1105,辅助信息!E:K,7,FALSE)</f>
        <v>#N/A</v>
      </c>
      <c r="E1105" s="33" t="str">
        <f>VLOOKUP(F1105,辅助信息!A:B,2,FALSE)</f>
        <v>螺纹钢</v>
      </c>
      <c r="F1105" s="33" t="s">
        <v>19</v>
      </c>
      <c r="G1105" s="29">
        <v>10</v>
      </c>
      <c r="H1105" s="29" t="e">
        <f>_xlfn.XLOOKUP(C1105&amp;F1105&amp;I1105&amp;J1105,'[1]2025年已发货'!$F:$F&amp;'[1]2025年已发货'!$C:$C&amp;'[1]2025年已发货'!$G:$G&amp;'[1]2025年已发货'!$H:$H,'[1]2025年已发货'!$E:$E,"未发货")</f>
        <v>#N/A</v>
      </c>
      <c r="I1105" s="33" t="e">
        <f>VLOOKUP(B1105,辅助信息!E:I,3,FALSE)</f>
        <v>#N/A</v>
      </c>
      <c r="J1105" s="33" t="e">
        <f>VLOOKUP(B1105,辅助信息!E:I,4,FALSE)</f>
        <v>#N/A</v>
      </c>
      <c r="K1105" s="33" t="e">
        <f>VLOOKUP(J1105,辅助信息!H:I,2,FALSE)</f>
        <v>#N/A</v>
      </c>
      <c r="L1105" s="102" t="e">
        <f>VLOOKUP(B1105,辅助信息!E:J,6,FALSE)</f>
        <v>#N/A</v>
      </c>
      <c r="M1105" s="84">
        <v>45772</v>
      </c>
      <c r="O1105" s="55">
        <f ca="1" t="shared" si="40"/>
        <v>0</v>
      </c>
      <c r="P1105" s="55">
        <f ca="1" t="shared" si="39"/>
        <v>185</v>
      </c>
      <c r="Q1105" s="22" t="e">
        <f>VLOOKUP(B1105,辅助信息!E:M,9,FALSE)</f>
        <v>#N/A</v>
      </c>
      <c r="R1105" s="22" vm="1" t="e">
        <f>_xlfn._xlws.FILTER(辅助信息!D:D,辅助信息!E:E=B1105)</f>
        <v>#VALUE!</v>
      </c>
    </row>
    <row r="1106" hidden="1" spans="2:18">
      <c r="B1106" s="33" t="s">
        <v>75</v>
      </c>
      <c r="C1106" s="63">
        <v>45770</v>
      </c>
      <c r="D1106" s="33" t="e">
        <f>VLOOKUP(B1106,辅助信息!E:K,7,FALSE)</f>
        <v>#N/A</v>
      </c>
      <c r="E1106" s="33" t="str">
        <f>VLOOKUP(F1106,辅助信息!A:B,2,FALSE)</f>
        <v>螺纹钢</v>
      </c>
      <c r="F1106" s="33" t="s">
        <v>32</v>
      </c>
      <c r="G1106" s="29">
        <v>3</v>
      </c>
      <c r="H1106" s="29" t="e">
        <f>_xlfn.XLOOKUP(C1106&amp;F1106&amp;I1106&amp;J1106,'[1]2025年已发货'!$F:$F&amp;'[1]2025年已发货'!$C:$C&amp;'[1]2025年已发货'!$G:$G&amp;'[1]2025年已发货'!$H:$H,'[1]2025年已发货'!$E:$E,"未发货")</f>
        <v>#N/A</v>
      </c>
      <c r="I1106" s="33" t="e">
        <f>VLOOKUP(B1106,辅助信息!E:I,3,FALSE)</f>
        <v>#N/A</v>
      </c>
      <c r="J1106" s="33" t="e">
        <f>VLOOKUP(B1106,辅助信息!E:I,4,FALSE)</f>
        <v>#N/A</v>
      </c>
      <c r="K1106" s="33" t="e">
        <f>VLOOKUP(J1106,辅助信息!H:I,2,FALSE)</f>
        <v>#N/A</v>
      </c>
      <c r="L1106" s="102" t="e">
        <f>VLOOKUP(B1106,辅助信息!E:J,6,FALSE)</f>
        <v>#N/A</v>
      </c>
      <c r="M1106" s="84">
        <v>45772</v>
      </c>
      <c r="O1106" s="55">
        <f ca="1" t="shared" si="40"/>
        <v>0</v>
      </c>
      <c r="P1106" s="55">
        <f ca="1" t="shared" si="39"/>
        <v>185</v>
      </c>
      <c r="Q1106" s="22" t="e">
        <f>VLOOKUP(B1106,辅助信息!E:M,9,FALSE)</f>
        <v>#N/A</v>
      </c>
      <c r="R1106" s="22" vm="1" t="e">
        <f>_xlfn._xlws.FILTER(辅助信息!D:D,辅助信息!E:E=B1106)</f>
        <v>#VALUE!</v>
      </c>
    </row>
    <row r="1107" hidden="1" spans="2:18">
      <c r="B1107" s="33" t="s">
        <v>75</v>
      </c>
      <c r="C1107" s="63">
        <v>45770</v>
      </c>
      <c r="D1107" s="33" t="e">
        <f>VLOOKUP(B1107,辅助信息!E:K,7,FALSE)</f>
        <v>#N/A</v>
      </c>
      <c r="E1107" s="33" t="str">
        <f>VLOOKUP(F1107,辅助信息!A:B,2,FALSE)</f>
        <v>螺纹钢</v>
      </c>
      <c r="F1107" s="33" t="s">
        <v>30</v>
      </c>
      <c r="G1107" s="29">
        <v>6</v>
      </c>
      <c r="H1107" s="29" t="e">
        <f>_xlfn.XLOOKUP(C1107&amp;F1107&amp;I1107&amp;J1107,'[1]2025年已发货'!$F:$F&amp;'[1]2025年已发货'!$C:$C&amp;'[1]2025年已发货'!$G:$G&amp;'[1]2025年已发货'!$H:$H,'[1]2025年已发货'!$E:$E,"未发货")</f>
        <v>#N/A</v>
      </c>
      <c r="I1107" s="33" t="e">
        <f>VLOOKUP(B1107,辅助信息!E:I,3,FALSE)</f>
        <v>#N/A</v>
      </c>
      <c r="J1107" s="33" t="e">
        <f>VLOOKUP(B1107,辅助信息!E:I,4,FALSE)</f>
        <v>#N/A</v>
      </c>
      <c r="K1107" s="33" t="e">
        <f>VLOOKUP(J1107,辅助信息!H:I,2,FALSE)</f>
        <v>#N/A</v>
      </c>
      <c r="L1107" s="102" t="e">
        <f>VLOOKUP(B1107,辅助信息!E:J,6,FALSE)</f>
        <v>#N/A</v>
      </c>
      <c r="M1107" s="84">
        <v>45772</v>
      </c>
      <c r="O1107" s="55">
        <f ca="1" t="shared" si="40"/>
        <v>0</v>
      </c>
      <c r="P1107" s="55">
        <f ca="1" t="shared" si="39"/>
        <v>185</v>
      </c>
      <c r="Q1107" s="22" t="e">
        <f>VLOOKUP(B1107,辅助信息!E:M,9,FALSE)</f>
        <v>#N/A</v>
      </c>
      <c r="R1107" s="22" vm="1" t="e">
        <f>_xlfn._xlws.FILTER(辅助信息!D:D,辅助信息!E:E=B1107)</f>
        <v>#VALUE!</v>
      </c>
    </row>
    <row r="1108" hidden="1" spans="2:18">
      <c r="B1108" s="33" t="s">
        <v>127</v>
      </c>
      <c r="C1108" s="63">
        <v>45770</v>
      </c>
      <c r="D1108" s="33" t="str">
        <f>VLOOKUP(B1108,辅助信息!E:K,7,FALSE)</f>
        <v>JWDDCD2025051000019</v>
      </c>
      <c r="E1108" s="33" t="str">
        <f>VLOOKUP(F1108,辅助信息!A:B,2,FALSE)</f>
        <v>盘螺</v>
      </c>
      <c r="F1108" s="33" t="s">
        <v>49</v>
      </c>
      <c r="G1108" s="29">
        <v>20</v>
      </c>
      <c r="H1108" s="29" t="str">
        <f>_xlfn.XLOOKUP(C1108&amp;F1108&amp;I1108&amp;J1108,'[1]2025年已发货'!$F:$F&amp;'[1]2025年已发货'!$C:$C&amp;'[1]2025年已发货'!$G:$G&amp;'[1]2025年已发货'!$H:$H,'[1]2025年已发货'!$E:$E,"未发货")</f>
        <v>未发货</v>
      </c>
      <c r="I1108" s="33" t="str">
        <f>VLOOKUP(B1108,辅助信息!E:I,3,FALSE)</f>
        <v>(五冶钢构医学科学产业园建设项目房建三部-管网总坪)四川省南充市顺庆区搬罾街道学府大道二段</v>
      </c>
      <c r="J1108" s="33" t="str">
        <f>VLOOKUP(B1108,辅助信息!E:I,4,FALSE)</f>
        <v>郑林</v>
      </c>
      <c r="K1108" s="33">
        <f>VLOOKUP(J1108,辅助信息!H:I,2,FALSE)</f>
        <v>18349955455</v>
      </c>
      <c r="L1108" s="102" t="str">
        <f>VLOOKUP(B1108,辅助信息!E:J,6,FALSE)</f>
        <v>送货单：送货单位：南充思临新材料科技有限公司,收货单位：五冶集团川北(南充)建设有限公司,项目名称：南充医学科学产业园,送货车型13米,装货前联系收货人核实到场规格</v>
      </c>
      <c r="M1108" s="84">
        <v>45769</v>
      </c>
      <c r="O1108" s="55">
        <f ca="1" t="shared" si="40"/>
        <v>0</v>
      </c>
      <c r="P1108" s="55">
        <f ca="1" t="shared" si="39"/>
        <v>188</v>
      </c>
      <c r="Q1108" s="22" t="str">
        <f>VLOOKUP(B1108,辅助信息!E:M,9,FALSE)</f>
        <v>ZTWM-CDGS-XS-2024-0248-五冶钢构-南充市医学院项目</v>
      </c>
      <c r="R1108" s="22" t="str">
        <f>_xlfn._xlws.FILTER(辅助信息!D:D,辅助信息!E:E=B1108)</f>
        <v>五冶钢构南充医学科学产业园建设项目</v>
      </c>
    </row>
    <row r="1109" hidden="1" spans="2:18">
      <c r="B1109" s="33" t="s">
        <v>127</v>
      </c>
      <c r="C1109" s="63">
        <v>45770</v>
      </c>
      <c r="D1109" s="33" t="str">
        <f>VLOOKUP(B1109,辅助信息!E:K,7,FALSE)</f>
        <v>JWDDCD2025051000019</v>
      </c>
      <c r="E1109" s="33" t="str">
        <f>VLOOKUP(F1109,辅助信息!A:B,2,FALSE)</f>
        <v>盘螺</v>
      </c>
      <c r="F1109" s="33" t="s">
        <v>40</v>
      </c>
      <c r="G1109" s="29">
        <v>2</v>
      </c>
      <c r="H1109" s="29" t="str">
        <f>_xlfn.XLOOKUP(C1109&amp;F1109&amp;I1109&amp;J1109,'[1]2025年已发货'!$F:$F&amp;'[1]2025年已发货'!$C:$C&amp;'[1]2025年已发货'!$G:$G&amp;'[1]2025年已发货'!$H:$H,'[1]2025年已发货'!$E:$E,"未发货")</f>
        <v>未发货</v>
      </c>
      <c r="I1109" s="33" t="str">
        <f>VLOOKUP(B1109,辅助信息!E:I,3,FALSE)</f>
        <v>(五冶钢构医学科学产业园建设项目房建三部-管网总坪)四川省南充市顺庆区搬罾街道学府大道二段</v>
      </c>
      <c r="J1109" s="33" t="str">
        <f>VLOOKUP(B1109,辅助信息!E:I,4,FALSE)</f>
        <v>郑林</v>
      </c>
      <c r="K1109" s="33">
        <f>VLOOKUP(J1109,辅助信息!H:I,2,FALSE)</f>
        <v>18349955455</v>
      </c>
      <c r="L1109" s="102" t="str">
        <f>VLOOKUP(B1109,辅助信息!E:J,6,FALSE)</f>
        <v>送货单：送货单位：南充思临新材料科技有限公司,收货单位：五冶集团川北(南充)建设有限公司,项目名称：南充医学科学产业园,送货车型13米,装货前联系收货人核实到场规格</v>
      </c>
      <c r="M1109" s="84">
        <v>45769</v>
      </c>
      <c r="O1109" s="55">
        <f ca="1" t="shared" si="40"/>
        <v>0</v>
      </c>
      <c r="P1109" s="55">
        <f ca="1" t="shared" si="39"/>
        <v>188</v>
      </c>
      <c r="Q1109" s="22" t="str">
        <f>VLOOKUP(B1109,辅助信息!E:M,9,FALSE)</f>
        <v>ZTWM-CDGS-XS-2024-0248-五冶钢构-南充市医学院项目</v>
      </c>
      <c r="R1109" s="22" t="str">
        <f>_xlfn._xlws.FILTER(辅助信息!D:D,辅助信息!E:E=B1109)</f>
        <v>五冶钢构南充医学科学产业园建设项目</v>
      </c>
    </row>
    <row r="1110" hidden="1" spans="2:18">
      <c r="B1110" s="33" t="s">
        <v>127</v>
      </c>
      <c r="C1110" s="63">
        <v>45770</v>
      </c>
      <c r="D1110" s="33" t="str">
        <f>VLOOKUP(B1110,辅助信息!E:K,7,FALSE)</f>
        <v>JWDDCD2025051000019</v>
      </c>
      <c r="E1110" s="33" t="str">
        <f>VLOOKUP(F1110,辅助信息!A:B,2,FALSE)</f>
        <v>盘螺</v>
      </c>
      <c r="F1110" s="33" t="s">
        <v>41</v>
      </c>
      <c r="G1110" s="29">
        <v>3</v>
      </c>
      <c r="H1110" s="29" t="str">
        <f>_xlfn.XLOOKUP(C1110&amp;F1110&amp;I1110&amp;J1110,'[1]2025年已发货'!$F:$F&amp;'[1]2025年已发货'!$C:$C&amp;'[1]2025年已发货'!$G:$G&amp;'[1]2025年已发货'!$H:$H,'[1]2025年已发货'!$E:$E,"未发货")</f>
        <v>未发货</v>
      </c>
      <c r="I1110" s="33" t="str">
        <f>VLOOKUP(B1110,辅助信息!E:I,3,FALSE)</f>
        <v>(五冶钢构医学科学产业园建设项目房建三部-管网总坪)四川省南充市顺庆区搬罾街道学府大道二段</v>
      </c>
      <c r="J1110" s="33" t="str">
        <f>VLOOKUP(B1110,辅助信息!E:I,4,FALSE)</f>
        <v>郑林</v>
      </c>
      <c r="K1110" s="33">
        <f>VLOOKUP(J1110,辅助信息!H:I,2,FALSE)</f>
        <v>18349955455</v>
      </c>
      <c r="L1110" s="102" t="str">
        <f>VLOOKUP(B1110,辅助信息!E:J,6,FALSE)</f>
        <v>送货单：送货单位：南充思临新材料科技有限公司,收货单位：五冶集团川北(南充)建设有限公司,项目名称：南充医学科学产业园,送货车型13米,装货前联系收货人核实到场规格</v>
      </c>
      <c r="M1110" s="84">
        <v>45769</v>
      </c>
      <c r="O1110" s="55">
        <f ca="1" t="shared" si="40"/>
        <v>0</v>
      </c>
      <c r="P1110" s="55">
        <f ca="1" t="shared" si="39"/>
        <v>188</v>
      </c>
      <c r="Q1110" s="22" t="str">
        <f>VLOOKUP(B1110,辅助信息!E:M,9,FALSE)</f>
        <v>ZTWM-CDGS-XS-2024-0248-五冶钢构-南充市医学院项目</v>
      </c>
      <c r="R1110" s="22" t="str">
        <f>_xlfn._xlws.FILTER(辅助信息!D:D,辅助信息!E:E=B1110)</f>
        <v>五冶钢构南充医学科学产业园建设项目</v>
      </c>
    </row>
    <row r="1111" hidden="1" spans="2:18">
      <c r="B1111" s="33" t="s">
        <v>127</v>
      </c>
      <c r="C1111" s="63">
        <v>45770</v>
      </c>
      <c r="D1111" s="33" t="str">
        <f>VLOOKUP(B1111,辅助信息!E:K,7,FALSE)</f>
        <v>JWDDCD2025051000019</v>
      </c>
      <c r="E1111" s="33" t="str">
        <f>VLOOKUP(F1111,辅助信息!A:B,2,FALSE)</f>
        <v>螺纹钢</v>
      </c>
      <c r="F1111" s="33" t="s">
        <v>27</v>
      </c>
      <c r="G1111" s="29">
        <v>10</v>
      </c>
      <c r="H1111" s="29" t="str">
        <f>_xlfn.XLOOKUP(C1111&amp;F1111&amp;I1111&amp;J1111,'[1]2025年已发货'!$F:$F&amp;'[1]2025年已发货'!$C:$C&amp;'[1]2025年已发货'!$G:$G&amp;'[1]2025年已发货'!$H:$H,'[1]2025年已发货'!$E:$E,"未发货")</f>
        <v>未发货</v>
      </c>
      <c r="I1111" s="33" t="str">
        <f>VLOOKUP(B1111,辅助信息!E:I,3,FALSE)</f>
        <v>(五冶钢构医学科学产业园建设项目房建三部-管网总坪)四川省南充市顺庆区搬罾街道学府大道二段</v>
      </c>
      <c r="J1111" s="33" t="str">
        <f>VLOOKUP(B1111,辅助信息!E:I,4,FALSE)</f>
        <v>郑林</v>
      </c>
      <c r="K1111" s="33">
        <f>VLOOKUP(J1111,辅助信息!H:I,2,FALSE)</f>
        <v>18349955455</v>
      </c>
      <c r="L1111" s="102" t="str">
        <f>VLOOKUP(B1111,辅助信息!E:J,6,FALSE)</f>
        <v>送货单：送货单位：南充思临新材料科技有限公司,收货单位：五冶集团川北(南充)建设有限公司,项目名称：南充医学科学产业园,送货车型13米,装货前联系收货人核实到场规格</v>
      </c>
      <c r="M1111" s="84">
        <v>45769</v>
      </c>
      <c r="O1111" s="55">
        <f ca="1" t="shared" si="40"/>
        <v>0</v>
      </c>
      <c r="P1111" s="55">
        <f ca="1" t="shared" si="39"/>
        <v>188</v>
      </c>
      <c r="Q1111" s="22" t="str">
        <f>VLOOKUP(B1111,辅助信息!E:M,9,FALSE)</f>
        <v>ZTWM-CDGS-XS-2024-0248-五冶钢构-南充市医学院项目</v>
      </c>
      <c r="R1111" s="22" t="str">
        <f>_xlfn._xlws.FILTER(辅助信息!D:D,辅助信息!E:E=B1111)</f>
        <v>五冶钢构南充医学科学产业园建设项目</v>
      </c>
    </row>
    <row r="1112" hidden="1" spans="2:18">
      <c r="B1112" s="33" t="s">
        <v>104</v>
      </c>
      <c r="C1112" s="63">
        <v>45770</v>
      </c>
      <c r="D1112" s="33" t="str">
        <f>VLOOKUP(B1112,辅助信息!E:K,7,FALSE)</f>
        <v>JWDDCD2024101600090</v>
      </c>
      <c r="E1112" s="33" t="str">
        <f>VLOOKUP(F1112,辅助信息!A:B,2,FALSE)</f>
        <v>盘螺</v>
      </c>
      <c r="F1112" s="33" t="s">
        <v>40</v>
      </c>
      <c r="G1112" s="29">
        <v>2.5</v>
      </c>
      <c r="H1112" s="29" t="str">
        <f>_xlfn.XLOOKUP(C1112&amp;F1112&amp;I1112&amp;J1112,'[1]2025年已发货'!$F:$F&amp;'[1]2025年已发货'!$C:$C&amp;'[1]2025年已发货'!$G:$G&amp;'[1]2025年已发货'!$H:$H,'[1]2025年已发货'!$E:$E,"未发货")</f>
        <v>未发货</v>
      </c>
      <c r="I1112" s="33" t="str">
        <f>VLOOKUP(B1112,辅助信息!E:I,3,FALSE)</f>
        <v>（达州市公共卫生医疗中心项目-二标-78号楼）达州市通川区西外复兴镇公共卫生临床医疗中心项目</v>
      </c>
      <c r="J1112" s="33" t="str">
        <f>VLOOKUP(B1112,辅助信息!E:I,4,FALSE)</f>
        <v>黄永林</v>
      </c>
      <c r="K1112" s="33">
        <f>VLOOKUP(J1112,辅助信息!H:I,2,FALSE)</f>
        <v>15982487227</v>
      </c>
      <c r="L1112" s="102" t="str">
        <f>VLOOKUP(B1112,辅助信息!E:J,6,FALSE)</f>
        <v>提前联系到场规格,一天到场车辆不低于2车</v>
      </c>
      <c r="M1112" s="84">
        <v>45769</v>
      </c>
      <c r="O1112" s="55">
        <f ca="1" t="shared" si="40"/>
        <v>0</v>
      </c>
      <c r="P1112" s="55">
        <f ca="1" t="shared" si="39"/>
        <v>188</v>
      </c>
      <c r="Q1112" s="22" t="str">
        <f>VLOOKUP(B1112,辅助信息!E:M,9,FALSE)</f>
        <v>ZTWM-CDGS-XS-2024-0205-五冶钢构-达州市通川区西外复兴镇及临近片区建设项目</v>
      </c>
      <c r="R1112" s="22" t="str">
        <f>_xlfn._xlws.FILTER(辅助信息!D:D,辅助信息!E:E=B1112)</f>
        <v>五冶钢构达州市公共卫生临床医疗中心项目</v>
      </c>
    </row>
    <row r="1113" hidden="1" spans="2:18">
      <c r="B1113" s="33" t="s">
        <v>104</v>
      </c>
      <c r="C1113" s="63">
        <v>45770</v>
      </c>
      <c r="D1113" s="33" t="str">
        <f>VLOOKUP(B1113,辅助信息!E:K,7,FALSE)</f>
        <v>JWDDCD2024101600090</v>
      </c>
      <c r="E1113" s="33" t="str">
        <f>VLOOKUP(F1113,辅助信息!A:B,2,FALSE)</f>
        <v>盘螺</v>
      </c>
      <c r="F1113" s="33" t="s">
        <v>41</v>
      </c>
      <c r="G1113" s="29">
        <v>2.5</v>
      </c>
      <c r="H1113" s="29" t="str">
        <f>_xlfn.XLOOKUP(C1113&amp;F1113&amp;I1113&amp;J1113,'[1]2025年已发货'!$F:$F&amp;'[1]2025年已发货'!$C:$C&amp;'[1]2025年已发货'!$G:$G&amp;'[1]2025年已发货'!$H:$H,'[1]2025年已发货'!$E:$E,"未发货")</f>
        <v>未发货</v>
      </c>
      <c r="I1113" s="33" t="str">
        <f>VLOOKUP(B1113,辅助信息!E:I,3,FALSE)</f>
        <v>（达州市公共卫生医疗中心项目-二标-78号楼）达州市通川区西外复兴镇公共卫生临床医疗中心项目</v>
      </c>
      <c r="J1113" s="33" t="str">
        <f>VLOOKUP(B1113,辅助信息!E:I,4,FALSE)</f>
        <v>黄永林</v>
      </c>
      <c r="K1113" s="33">
        <f>VLOOKUP(J1113,辅助信息!H:I,2,FALSE)</f>
        <v>15982487227</v>
      </c>
      <c r="L1113" s="102" t="str">
        <f>VLOOKUP(B1113,辅助信息!E:J,6,FALSE)</f>
        <v>提前联系到场规格,一天到场车辆不低于2车</v>
      </c>
      <c r="M1113" s="84">
        <v>45769</v>
      </c>
      <c r="O1113" s="55">
        <f ca="1" t="shared" si="40"/>
        <v>0</v>
      </c>
      <c r="P1113" s="55">
        <f ca="1" t="shared" si="39"/>
        <v>188</v>
      </c>
      <c r="Q1113" s="22" t="str">
        <f>VLOOKUP(B1113,辅助信息!E:M,9,FALSE)</f>
        <v>ZTWM-CDGS-XS-2024-0205-五冶钢构-达州市通川区西外复兴镇及临近片区建设项目</v>
      </c>
      <c r="R1113" s="22" t="str">
        <f>_xlfn._xlws.FILTER(辅助信息!D:D,辅助信息!E:E=B1113)</f>
        <v>五冶钢构达州市公共卫生临床医疗中心项目</v>
      </c>
    </row>
    <row r="1114" hidden="1" spans="2:18">
      <c r="B1114" s="33" t="s">
        <v>104</v>
      </c>
      <c r="C1114" s="63">
        <v>45770</v>
      </c>
      <c r="D1114" s="33" t="str">
        <f>VLOOKUP(B1114,辅助信息!E:K,7,FALSE)</f>
        <v>JWDDCD2024101600090</v>
      </c>
      <c r="E1114" s="33" t="str">
        <f>VLOOKUP(F1114,辅助信息!A:B,2,FALSE)</f>
        <v>螺纹钢</v>
      </c>
      <c r="F1114" s="33" t="s">
        <v>27</v>
      </c>
      <c r="G1114" s="29">
        <v>24</v>
      </c>
      <c r="H1114" s="29" t="str">
        <f>_xlfn.XLOOKUP(C1114&amp;F1114&amp;I1114&amp;J1114,'[1]2025年已发货'!$F:$F&amp;'[1]2025年已发货'!$C:$C&amp;'[1]2025年已发货'!$G:$G&amp;'[1]2025年已发货'!$H:$H,'[1]2025年已发货'!$E:$E,"未发货")</f>
        <v>未发货</v>
      </c>
      <c r="I1114" s="33" t="str">
        <f>VLOOKUP(B1114,辅助信息!E:I,3,FALSE)</f>
        <v>（达州市公共卫生医疗中心项目-二标-78号楼）达州市通川区西外复兴镇公共卫生临床医疗中心项目</v>
      </c>
      <c r="J1114" s="33" t="str">
        <f>VLOOKUP(B1114,辅助信息!E:I,4,FALSE)</f>
        <v>黄永林</v>
      </c>
      <c r="K1114" s="33">
        <f>VLOOKUP(J1114,辅助信息!H:I,2,FALSE)</f>
        <v>15982487227</v>
      </c>
      <c r="L1114" s="102" t="str">
        <f>VLOOKUP(B1114,辅助信息!E:J,6,FALSE)</f>
        <v>提前联系到场规格,一天到场车辆不低于2车</v>
      </c>
      <c r="M1114" s="84">
        <v>45769</v>
      </c>
      <c r="O1114" s="55">
        <f ca="1" t="shared" si="40"/>
        <v>0</v>
      </c>
      <c r="P1114" s="55">
        <f ca="1" t="shared" si="39"/>
        <v>188</v>
      </c>
      <c r="Q1114" s="22" t="str">
        <f>VLOOKUP(B1114,辅助信息!E:M,9,FALSE)</f>
        <v>ZTWM-CDGS-XS-2024-0205-五冶钢构-达州市通川区西外复兴镇及临近片区建设项目</v>
      </c>
      <c r="R1114" s="22" t="str">
        <f>_xlfn._xlws.FILTER(辅助信息!D:D,辅助信息!E:E=B1114)</f>
        <v>五冶钢构达州市公共卫生临床医疗中心项目</v>
      </c>
    </row>
    <row r="1115" hidden="1" spans="2:18">
      <c r="B1115" s="33" t="s">
        <v>104</v>
      </c>
      <c r="C1115" s="63">
        <v>45770</v>
      </c>
      <c r="D1115" s="33" t="str">
        <f>VLOOKUP(B1115,辅助信息!E:K,7,FALSE)</f>
        <v>JWDDCD2024101600090</v>
      </c>
      <c r="E1115" s="33" t="str">
        <f>VLOOKUP(F1115,辅助信息!A:B,2,FALSE)</f>
        <v>螺纹钢</v>
      </c>
      <c r="F1115" s="33" t="s">
        <v>19</v>
      </c>
      <c r="G1115" s="29">
        <v>6</v>
      </c>
      <c r="H1115" s="29" t="str">
        <f>_xlfn.XLOOKUP(C1115&amp;F1115&amp;I1115&amp;J1115,'[1]2025年已发货'!$F:$F&amp;'[1]2025年已发货'!$C:$C&amp;'[1]2025年已发货'!$G:$G&amp;'[1]2025年已发货'!$H:$H,'[1]2025年已发货'!$E:$E,"未发货")</f>
        <v>未发货</v>
      </c>
      <c r="I1115" s="33" t="str">
        <f>VLOOKUP(B1115,辅助信息!E:I,3,FALSE)</f>
        <v>（达州市公共卫生医疗中心项目-二标-78号楼）达州市通川区西外复兴镇公共卫生临床医疗中心项目</v>
      </c>
      <c r="J1115" s="33" t="str">
        <f>VLOOKUP(B1115,辅助信息!E:I,4,FALSE)</f>
        <v>黄永林</v>
      </c>
      <c r="K1115" s="33">
        <f>VLOOKUP(J1115,辅助信息!H:I,2,FALSE)</f>
        <v>15982487227</v>
      </c>
      <c r="L1115" s="102" t="str">
        <f>VLOOKUP(B1115,辅助信息!E:J,6,FALSE)</f>
        <v>提前联系到场规格,一天到场车辆不低于2车</v>
      </c>
      <c r="M1115" s="84">
        <v>45769</v>
      </c>
      <c r="O1115" s="55">
        <f ca="1" t="shared" si="40"/>
        <v>0</v>
      </c>
      <c r="P1115" s="55">
        <f ca="1" t="shared" si="39"/>
        <v>188</v>
      </c>
      <c r="Q1115" s="22" t="str">
        <f>VLOOKUP(B1115,辅助信息!E:M,9,FALSE)</f>
        <v>ZTWM-CDGS-XS-2024-0205-五冶钢构-达州市通川区西外复兴镇及临近片区建设项目</v>
      </c>
      <c r="R1115" s="22" t="str">
        <f>_xlfn._xlws.FILTER(辅助信息!D:D,辅助信息!E:E=B1115)</f>
        <v>五冶钢构达州市公共卫生临床医疗中心项目</v>
      </c>
    </row>
    <row r="1116" hidden="1" spans="1:18">
      <c r="A1116" s="55">
        <f t="shared" ref="A1116:A1122" si="41">G1116-H1116</f>
        <v>0</v>
      </c>
      <c r="B1116" s="33" t="s">
        <v>129</v>
      </c>
      <c r="C1116" s="63">
        <v>45770</v>
      </c>
      <c r="D1116" s="33" t="e">
        <f>VLOOKUP(B1116,辅助信息!E:K,7,FALSE)</f>
        <v>#N/A</v>
      </c>
      <c r="E1116" s="33" t="str">
        <f>VLOOKUP(F1116,辅助信息!A:B,2,FALSE)</f>
        <v>螺纹钢</v>
      </c>
      <c r="F1116" s="33" t="s">
        <v>32</v>
      </c>
      <c r="G1116" s="29">
        <v>35</v>
      </c>
      <c r="H1116" s="29">
        <v>35</v>
      </c>
      <c r="I1116" s="33" t="e">
        <f>VLOOKUP(B1116,辅助信息!E:I,3,FALSE)</f>
        <v>#N/A</v>
      </c>
      <c r="J1116" s="33" t="e">
        <f>VLOOKUP(B1116,辅助信息!E:I,4,FALSE)</f>
        <v>#N/A</v>
      </c>
      <c r="K1116" s="33" t="e">
        <f>VLOOKUP(J1116,辅助信息!H:I,2,FALSE)</f>
        <v>#N/A</v>
      </c>
      <c r="L1116" s="102" t="e">
        <f>VLOOKUP(B1116,辅助信息!E:J,6,FALSE)</f>
        <v>#N/A</v>
      </c>
      <c r="M1116" s="84">
        <v>45769</v>
      </c>
      <c r="O1116" s="55">
        <f ca="1" t="shared" si="40"/>
        <v>0</v>
      </c>
      <c r="P1116" s="55">
        <f ca="1" t="shared" si="39"/>
        <v>188</v>
      </c>
      <c r="Q1116" s="22" t="e">
        <f>VLOOKUP(B1116,辅助信息!E:M,9,FALSE)</f>
        <v>#N/A</v>
      </c>
      <c r="R1116" s="22" vm="1" t="e">
        <f>_xlfn._xlws.FILTER(辅助信息!D:D,辅助信息!E:E=B1116)</f>
        <v>#VALUE!</v>
      </c>
    </row>
    <row r="1117" hidden="1" spans="1:18">
      <c r="A1117" s="55">
        <f t="shared" si="41"/>
        <v>0</v>
      </c>
      <c r="B1117" s="33" t="s">
        <v>129</v>
      </c>
      <c r="C1117" s="63">
        <v>45770</v>
      </c>
      <c r="D1117" s="33" t="e">
        <f>VLOOKUP(B1117,辅助信息!E:K,7,FALSE)</f>
        <v>#N/A</v>
      </c>
      <c r="E1117" s="33" t="str">
        <f>VLOOKUP(F1117,辅助信息!A:B,2,FALSE)</f>
        <v>螺纹钢</v>
      </c>
      <c r="F1117" s="33" t="s">
        <v>90</v>
      </c>
      <c r="G1117" s="29">
        <v>70</v>
      </c>
      <c r="H1117" s="29">
        <v>70</v>
      </c>
      <c r="I1117" s="33" t="e">
        <f>VLOOKUP(B1117,辅助信息!E:I,3,FALSE)</f>
        <v>#N/A</v>
      </c>
      <c r="J1117" s="33" t="e">
        <f>VLOOKUP(B1117,辅助信息!E:I,4,FALSE)</f>
        <v>#N/A</v>
      </c>
      <c r="K1117" s="33" t="e">
        <f>VLOOKUP(J1117,辅助信息!H:I,2,FALSE)</f>
        <v>#N/A</v>
      </c>
      <c r="L1117" s="102" t="e">
        <f>VLOOKUP(B1117,辅助信息!E:J,6,FALSE)</f>
        <v>#N/A</v>
      </c>
      <c r="M1117" s="84">
        <v>45769</v>
      </c>
      <c r="O1117" s="55">
        <f ca="1" t="shared" si="40"/>
        <v>0</v>
      </c>
      <c r="P1117" s="55">
        <f ca="1" t="shared" si="39"/>
        <v>188</v>
      </c>
      <c r="Q1117" s="22" t="e">
        <f>VLOOKUP(B1117,辅助信息!E:M,9,FALSE)</f>
        <v>#N/A</v>
      </c>
      <c r="R1117" s="22" vm="1" t="e">
        <f>_xlfn._xlws.FILTER(辅助信息!D:D,辅助信息!E:E=B1117)</f>
        <v>#VALUE!</v>
      </c>
    </row>
    <row r="1118" hidden="1" spans="1:18">
      <c r="A1118" s="55">
        <f t="shared" si="41"/>
        <v>0</v>
      </c>
      <c r="B1118" s="33" t="s">
        <v>129</v>
      </c>
      <c r="C1118" s="63">
        <v>45770</v>
      </c>
      <c r="D1118" s="33" t="e">
        <f>VLOOKUP(B1118,辅助信息!E:K,7,FALSE)</f>
        <v>#N/A</v>
      </c>
      <c r="E1118" s="33" t="str">
        <f>VLOOKUP(F1118,辅助信息!A:B,2,FALSE)</f>
        <v>螺纹钢</v>
      </c>
      <c r="F1118" s="33" t="s">
        <v>130</v>
      </c>
      <c r="G1118" s="29">
        <v>35</v>
      </c>
      <c r="H1118" s="29">
        <v>35</v>
      </c>
      <c r="I1118" s="33" t="e">
        <f>VLOOKUP(B1118,辅助信息!E:I,3,FALSE)</f>
        <v>#N/A</v>
      </c>
      <c r="J1118" s="33" t="e">
        <f>VLOOKUP(B1118,辅助信息!E:I,4,FALSE)</f>
        <v>#N/A</v>
      </c>
      <c r="K1118" s="33" t="e">
        <f>VLOOKUP(J1118,辅助信息!H:I,2,FALSE)</f>
        <v>#N/A</v>
      </c>
      <c r="L1118" s="102" t="e">
        <f>VLOOKUP(B1118,辅助信息!E:J,6,FALSE)</f>
        <v>#N/A</v>
      </c>
      <c r="M1118" s="84">
        <v>45769</v>
      </c>
      <c r="O1118" s="55">
        <f ca="1" t="shared" si="40"/>
        <v>0</v>
      </c>
      <c r="P1118" s="55">
        <f ca="1" t="shared" si="39"/>
        <v>188</v>
      </c>
      <c r="Q1118" s="22" t="e">
        <f>VLOOKUP(B1118,辅助信息!E:M,9,FALSE)</f>
        <v>#N/A</v>
      </c>
      <c r="R1118" s="22" vm="1" t="e">
        <f>_xlfn._xlws.FILTER(辅助信息!D:D,辅助信息!E:E=B1118)</f>
        <v>#VALUE!</v>
      </c>
    </row>
    <row r="1119" hidden="1" spans="1:18">
      <c r="A1119" s="55">
        <f t="shared" si="41"/>
        <v>0</v>
      </c>
      <c r="B1119" s="33" t="s">
        <v>131</v>
      </c>
      <c r="C1119" s="63">
        <v>45770</v>
      </c>
      <c r="D1119" s="33" t="str">
        <f>VLOOKUP(B1119,辅助信息!E:K,7,FALSE)</f>
        <v>JWDDCD2025050800080</v>
      </c>
      <c r="E1119" s="33" t="str">
        <f>VLOOKUP(F1119,辅助信息!A:B,2,FALSE)</f>
        <v>螺纹钢</v>
      </c>
      <c r="F1119" s="33" t="s">
        <v>130</v>
      </c>
      <c r="G1119" s="29">
        <v>105</v>
      </c>
      <c r="H1119" s="29">
        <f>_xlfn.XLOOKUP(C1119&amp;F1119&amp;I1119&amp;J1119,'[1]2025年已发货'!$F:$F&amp;'[1]2025年已发货'!$C:$C&amp;'[1]2025年已发货'!$G:$G&amp;'[1]2025年已发货'!$H:$H,'[1]2025年已发货'!$E:$E,"未发货")</f>
        <v>105</v>
      </c>
      <c r="I1119" s="33" t="str">
        <f>VLOOKUP(B1119,辅助信息!E:I,3,FALSE)</f>
        <v>(宜宾兴港三江新区长江工业园建设项目-11#厂房)宜宾市翠屏区宜宾汽车零部件配套产业基地(纬五路南)</v>
      </c>
      <c r="J1119" s="33" t="str">
        <f>VLOOKUP(B1119,辅助信息!E:I,4,FALSE)</f>
        <v>严石林</v>
      </c>
      <c r="K1119" s="33">
        <f>VLOOKUP(J1119,辅助信息!H:I,2,FALSE)</f>
        <v>15924731822</v>
      </c>
      <c r="L1119" s="102" t="str">
        <f>VLOOKUP(B1119,辅助信息!E:J,6,FALSE)</f>
        <v>装货前联系收货人核实到场规格，货物最下面用方木垫下方便卸货</v>
      </c>
      <c r="M1119" s="84">
        <v>45769</v>
      </c>
      <c r="O1119" s="55">
        <f ca="1" t="shared" si="40"/>
        <v>0</v>
      </c>
      <c r="P1119" s="55">
        <f ca="1" t="shared" si="39"/>
        <v>188</v>
      </c>
      <c r="Q1119" s="22" t="str">
        <f>VLOOKUP(B1119,辅助信息!E:M,9,FALSE)</f>
        <v>ZTWM-CDGS-XS-2025-0059-宜宾兴港建材-宜宾冷链项目</v>
      </c>
      <c r="R1119" s="22" t="str">
        <f>_xlfn._xlws.FILTER(辅助信息!D:D,辅助信息!E:E=B1119)</f>
        <v>宜宾兴港三江新区长江工业园建设项目</v>
      </c>
    </row>
    <row r="1120" hidden="1" spans="1:18">
      <c r="A1120" s="55">
        <f t="shared" si="41"/>
        <v>0</v>
      </c>
      <c r="B1120" s="33" t="s">
        <v>132</v>
      </c>
      <c r="C1120" s="63">
        <v>45770</v>
      </c>
      <c r="D1120" s="33" t="str">
        <f>VLOOKUP(B1120,辅助信息!E:K,7,FALSE)</f>
        <v>JWDDCD2025050800080</v>
      </c>
      <c r="E1120" s="33" t="str">
        <f>VLOOKUP(F1120,辅助信息!A:B,2,FALSE)</f>
        <v>螺纹钢</v>
      </c>
      <c r="F1120" s="33" t="s">
        <v>76</v>
      </c>
      <c r="G1120" s="29">
        <v>12</v>
      </c>
      <c r="H1120" s="29">
        <f>_xlfn.XLOOKUP(C1120&amp;F1120&amp;I1120&amp;J1120,'[1]2025年已发货'!$F:$F&amp;'[1]2025年已发货'!$C:$C&amp;'[1]2025年已发货'!$G:$G&amp;'[1]2025年已发货'!$H:$H,'[1]2025年已发货'!$E:$E,"未发货")</f>
        <v>12</v>
      </c>
      <c r="I1120" s="33" t="str">
        <f>VLOOKUP(B1120,辅助信息!E:I,3,FALSE)</f>
        <v>(宜宾兴港三江新区长江工业园建设项目-9#厂房)宜宾市翠屏区宜宾汽车零部件配套产业基地(纬五路南)</v>
      </c>
      <c r="J1120" s="33" t="str">
        <f>VLOOKUP(B1120,辅助信息!E:I,4,FALSE)</f>
        <v>严石林</v>
      </c>
      <c r="K1120" s="33">
        <f>VLOOKUP(J1120,辅助信息!H:I,2,FALSE)</f>
        <v>15924731822</v>
      </c>
      <c r="L1120" s="102" t="str">
        <f>VLOOKUP(B1120,辅助信息!E:J,6,FALSE)</f>
        <v>装货前联系收货人核实到场规格，货物最下面用方木垫下方便卸货</v>
      </c>
      <c r="M1120" s="84">
        <v>45769</v>
      </c>
      <c r="O1120" s="55">
        <f ca="1" t="shared" si="40"/>
        <v>0</v>
      </c>
      <c r="P1120" s="55">
        <f ca="1" t="shared" si="39"/>
        <v>188</v>
      </c>
      <c r="Q1120" s="22" t="str">
        <f>VLOOKUP(B1120,辅助信息!E:M,9,FALSE)</f>
        <v>ZTWM-CDGS-XS-2025-0059-宜宾兴港建材-宜宾冷链项目</v>
      </c>
      <c r="R1120" s="22" t="str">
        <f>_xlfn._xlws.FILTER(辅助信息!D:D,辅助信息!E:E=B1120)</f>
        <v>宜宾兴港三江新区长江工业园建设项目</v>
      </c>
    </row>
    <row r="1121" hidden="1" spans="1:18">
      <c r="A1121" s="55">
        <f t="shared" si="41"/>
        <v>0</v>
      </c>
      <c r="B1121" s="33" t="s">
        <v>132</v>
      </c>
      <c r="C1121" s="63">
        <v>45770</v>
      </c>
      <c r="D1121" s="33" t="str">
        <f>VLOOKUP(B1121,辅助信息!E:K,7,FALSE)</f>
        <v>JWDDCD2025050800080</v>
      </c>
      <c r="E1121" s="33" t="str">
        <f>VLOOKUP(F1121,辅助信息!A:B,2,FALSE)</f>
        <v>螺纹钢</v>
      </c>
      <c r="F1121" s="33" t="s">
        <v>133</v>
      </c>
      <c r="G1121" s="29">
        <v>75</v>
      </c>
      <c r="H1121" s="29">
        <f>_xlfn.XLOOKUP(C1121&amp;F1121&amp;I1121&amp;J1121,'[1]2025年已发货'!$F:$F&amp;'[1]2025年已发货'!$C:$C&amp;'[1]2025年已发货'!$G:$G&amp;'[1]2025年已发货'!$H:$H,'[1]2025年已发货'!$E:$E,"未发货")</f>
        <v>75</v>
      </c>
      <c r="I1121" s="33" t="str">
        <f>VLOOKUP(B1121,辅助信息!E:I,3,FALSE)</f>
        <v>(宜宾兴港三江新区长江工业园建设项目-9#厂房)宜宾市翠屏区宜宾汽车零部件配套产业基地(纬五路南)</v>
      </c>
      <c r="J1121" s="33" t="str">
        <f>VLOOKUP(B1121,辅助信息!E:I,4,FALSE)</f>
        <v>严石林</v>
      </c>
      <c r="K1121" s="33">
        <f>VLOOKUP(J1121,辅助信息!H:I,2,FALSE)</f>
        <v>15924731822</v>
      </c>
      <c r="L1121" s="102" t="str">
        <f>VLOOKUP(B1121,辅助信息!E:J,6,FALSE)</f>
        <v>装货前联系收货人核实到场规格，货物最下面用方木垫下方便卸货</v>
      </c>
      <c r="M1121" s="84">
        <v>45769</v>
      </c>
      <c r="O1121" s="55">
        <f ca="1" t="shared" si="40"/>
        <v>0</v>
      </c>
      <c r="P1121" s="55">
        <f ca="1" t="shared" si="39"/>
        <v>188</v>
      </c>
      <c r="Q1121" s="22" t="str">
        <f>VLOOKUP(B1121,辅助信息!E:M,9,FALSE)</f>
        <v>ZTWM-CDGS-XS-2025-0059-宜宾兴港建材-宜宾冷链项目</v>
      </c>
      <c r="R1121" s="22" t="str">
        <f>_xlfn._xlws.FILTER(辅助信息!D:D,辅助信息!E:E=B1121)</f>
        <v>宜宾兴港三江新区长江工业园建设项目</v>
      </c>
    </row>
    <row r="1122" hidden="1" spans="1:18">
      <c r="A1122" s="55">
        <f t="shared" si="41"/>
        <v>0</v>
      </c>
      <c r="B1122" s="33" t="s">
        <v>132</v>
      </c>
      <c r="C1122" s="63">
        <v>45770</v>
      </c>
      <c r="D1122" s="33" t="str">
        <f>VLOOKUP(B1122,辅助信息!E:K,7,FALSE)</f>
        <v>JWDDCD2025050800080</v>
      </c>
      <c r="E1122" s="33" t="str">
        <f>VLOOKUP(F1122,辅助信息!A:B,2,FALSE)</f>
        <v>螺纹钢</v>
      </c>
      <c r="F1122" s="33" t="s">
        <v>91</v>
      </c>
      <c r="G1122" s="29">
        <v>18</v>
      </c>
      <c r="H1122" s="29">
        <f>_xlfn.XLOOKUP(C1122&amp;F1122&amp;I1122&amp;J1122,'[1]2025年已发货'!$F:$F&amp;'[1]2025年已发货'!$C:$C&amp;'[1]2025年已发货'!$G:$G&amp;'[1]2025年已发货'!$H:$H,'[1]2025年已发货'!$E:$E,"未发货")</f>
        <v>18</v>
      </c>
      <c r="I1122" s="33" t="str">
        <f>VLOOKUP(B1122,辅助信息!E:I,3,FALSE)</f>
        <v>(宜宾兴港三江新区长江工业园建设项目-9#厂房)宜宾市翠屏区宜宾汽车零部件配套产业基地(纬五路南)</v>
      </c>
      <c r="J1122" s="33" t="str">
        <f>VLOOKUP(B1122,辅助信息!E:I,4,FALSE)</f>
        <v>严石林</v>
      </c>
      <c r="K1122" s="33">
        <f>VLOOKUP(J1122,辅助信息!H:I,2,FALSE)</f>
        <v>15924731822</v>
      </c>
      <c r="L1122" s="102" t="str">
        <f>VLOOKUP(B1122,辅助信息!E:J,6,FALSE)</f>
        <v>装货前联系收货人核实到场规格，货物最下面用方木垫下方便卸货</v>
      </c>
      <c r="M1122" s="84">
        <v>45769</v>
      </c>
      <c r="O1122" s="55">
        <f ca="1" t="shared" si="40"/>
        <v>0</v>
      </c>
      <c r="P1122" s="55">
        <f ca="1" t="shared" si="39"/>
        <v>188</v>
      </c>
      <c r="Q1122" s="22" t="str">
        <f>VLOOKUP(B1122,辅助信息!E:M,9,FALSE)</f>
        <v>ZTWM-CDGS-XS-2025-0059-宜宾兴港建材-宜宾冷链项目</v>
      </c>
      <c r="R1122" s="22" t="str">
        <f>_xlfn._xlws.FILTER(辅助信息!D:D,辅助信息!E:E=B1122)</f>
        <v>宜宾兴港三江新区长江工业园建设项目</v>
      </c>
    </row>
    <row r="1123" hidden="1" spans="2:18">
      <c r="B1123" s="33" t="s">
        <v>31</v>
      </c>
      <c r="C1123" s="63">
        <v>45770</v>
      </c>
      <c r="D1123" s="33" t="str">
        <f>VLOOKUP(B1123,辅助信息!E:K,7,FALSE)</f>
        <v>JWDDCD2024121000136</v>
      </c>
      <c r="E1123" s="33" t="str">
        <f>VLOOKUP(F1123,辅助信息!A:B,2,FALSE)</f>
        <v>盘螺</v>
      </c>
      <c r="F1123" s="33" t="s">
        <v>40</v>
      </c>
      <c r="G1123" s="29">
        <v>24</v>
      </c>
      <c r="H1123" s="29">
        <f>_xlfn.XLOOKUP(C1123&amp;F1123&amp;I1123&amp;J1123,'[1]2025年已发货'!$F:$F&amp;'[1]2025年已发货'!$C:$C&amp;'[1]2025年已发货'!$G:$G&amp;'[1]2025年已发货'!$H:$H,'[1]2025年已发货'!$E:$E,"未发货")</f>
        <v>24</v>
      </c>
      <c r="I1123" s="33" t="str">
        <f>VLOOKUP(B1123,辅助信息!E:I,3,FALSE)</f>
        <v>（四川商建-射洪城乡一体化项目）遂宁市射洪市忠新幼儿园北侧约220米新溪小区</v>
      </c>
      <c r="J1123" s="33" t="str">
        <f>VLOOKUP(B1123,辅助信息!E:I,4,FALSE)</f>
        <v>柏子刚</v>
      </c>
      <c r="K1123" s="33">
        <f>VLOOKUP(J1123,辅助信息!H:I,2,FALSE)</f>
        <v>15692885305</v>
      </c>
      <c r="L1123" s="102" t="str">
        <f>VLOOKUP(B1123,辅助信息!E:J,6,FALSE)</f>
        <v>提前联系到场规格及数量</v>
      </c>
      <c r="M1123" s="84">
        <v>45769</v>
      </c>
      <c r="O1123" s="55">
        <f ca="1" t="shared" si="40"/>
        <v>0</v>
      </c>
      <c r="P1123" s="55">
        <f ca="1" t="shared" si="39"/>
        <v>188</v>
      </c>
      <c r="Q1123" s="22" t="str">
        <f>VLOOKUP(B1123,辅助信息!E:M,9,FALSE)</f>
        <v>ZTWM-CDGS-XS-2024-0179-四川商投-射洪城乡一体化建设项目</v>
      </c>
      <c r="R1123" s="22" t="str">
        <f>_xlfn._xlws.FILTER(辅助信息!D:D,辅助信息!E:E=B1123)</f>
        <v>四川商建
射洪城乡一体化项目</v>
      </c>
    </row>
    <row r="1124" hidden="1" spans="2:18">
      <c r="B1124" s="33" t="s">
        <v>31</v>
      </c>
      <c r="C1124" s="63">
        <v>45770</v>
      </c>
      <c r="D1124" s="33" t="str">
        <f>VLOOKUP(B1124,辅助信息!E:K,7,FALSE)</f>
        <v>JWDDCD2024121000136</v>
      </c>
      <c r="E1124" s="33" t="str">
        <f>VLOOKUP(F1124,辅助信息!A:B,2,FALSE)</f>
        <v>盘螺</v>
      </c>
      <c r="F1124" s="33" t="s">
        <v>41</v>
      </c>
      <c r="G1124" s="29">
        <v>9</v>
      </c>
      <c r="H1124" s="29">
        <f>_xlfn.XLOOKUP(C1124&amp;F1124&amp;I1124&amp;J1124,'[1]2025年已发货'!$F:$F&amp;'[1]2025年已发货'!$C:$C&amp;'[1]2025年已发货'!$G:$G&amp;'[1]2025年已发货'!$H:$H,'[1]2025年已发货'!$E:$E,"未发货")</f>
        <v>8</v>
      </c>
      <c r="I1124" s="33" t="str">
        <f>VLOOKUP(B1124,辅助信息!E:I,3,FALSE)</f>
        <v>（四川商建-射洪城乡一体化项目）遂宁市射洪市忠新幼儿园北侧约220米新溪小区</v>
      </c>
      <c r="J1124" s="33" t="str">
        <f>VLOOKUP(B1124,辅助信息!E:I,4,FALSE)</f>
        <v>柏子刚</v>
      </c>
      <c r="K1124" s="33">
        <f>VLOOKUP(J1124,辅助信息!H:I,2,FALSE)</f>
        <v>15692885305</v>
      </c>
      <c r="L1124" s="102" t="str">
        <f>VLOOKUP(B1124,辅助信息!E:J,6,FALSE)</f>
        <v>提前联系到场规格及数量</v>
      </c>
      <c r="M1124" s="84">
        <v>45769</v>
      </c>
      <c r="O1124" s="55">
        <f ca="1" t="shared" si="40"/>
        <v>0</v>
      </c>
      <c r="P1124" s="55">
        <f ca="1" t="shared" si="39"/>
        <v>188</v>
      </c>
      <c r="Q1124" s="22" t="str">
        <f>VLOOKUP(B1124,辅助信息!E:M,9,FALSE)</f>
        <v>ZTWM-CDGS-XS-2024-0179-四川商投-射洪城乡一体化建设项目</v>
      </c>
      <c r="R1124" s="22" t="str">
        <f>_xlfn._xlws.FILTER(辅助信息!D:D,辅助信息!E:E=B1124)</f>
        <v>四川商建
射洪城乡一体化项目</v>
      </c>
    </row>
    <row r="1125" hidden="1" spans="2:18">
      <c r="B1125" s="33" t="s">
        <v>31</v>
      </c>
      <c r="C1125" s="63">
        <v>45770</v>
      </c>
      <c r="D1125" s="33" t="str">
        <f>VLOOKUP(B1125,辅助信息!E:K,7,FALSE)</f>
        <v>JWDDCD2024121000136</v>
      </c>
      <c r="E1125" s="33" t="str">
        <f>VLOOKUP(F1125,辅助信息!A:B,2,FALSE)</f>
        <v>螺纹钢</v>
      </c>
      <c r="F1125" s="33" t="s">
        <v>32</v>
      </c>
      <c r="G1125" s="29">
        <v>70</v>
      </c>
      <c r="H1125" s="29">
        <f>_xlfn.XLOOKUP(C1125&amp;F1125&amp;I1125&amp;J1125,'[1]2025年已发货'!$F:$F&amp;'[1]2025年已发货'!$C:$C&amp;'[1]2025年已发货'!$G:$G&amp;'[1]2025年已发货'!$H:$H,'[1]2025年已发货'!$E:$E,"未发货")</f>
        <v>70</v>
      </c>
      <c r="I1125" s="33" t="str">
        <f>VLOOKUP(B1125,辅助信息!E:I,3,FALSE)</f>
        <v>（四川商建-射洪城乡一体化项目）遂宁市射洪市忠新幼儿园北侧约220米新溪小区</v>
      </c>
      <c r="J1125" s="33" t="str">
        <f>VLOOKUP(B1125,辅助信息!E:I,4,FALSE)</f>
        <v>柏子刚</v>
      </c>
      <c r="K1125" s="33">
        <f>VLOOKUP(J1125,辅助信息!H:I,2,FALSE)</f>
        <v>15692885305</v>
      </c>
      <c r="L1125" s="102" t="str">
        <f>VLOOKUP(B1125,辅助信息!E:J,6,FALSE)</f>
        <v>提前联系到场规格及数量</v>
      </c>
      <c r="M1125" s="84">
        <v>45769</v>
      </c>
      <c r="O1125" s="55">
        <f ca="1" t="shared" si="40"/>
        <v>0</v>
      </c>
      <c r="P1125" s="55">
        <f ca="1" t="shared" si="39"/>
        <v>188</v>
      </c>
      <c r="Q1125" s="22" t="str">
        <f>VLOOKUP(B1125,辅助信息!E:M,9,FALSE)</f>
        <v>ZTWM-CDGS-XS-2024-0179-四川商投-射洪城乡一体化建设项目</v>
      </c>
      <c r="R1125" s="22" t="str">
        <f>_xlfn._xlws.FILTER(辅助信息!D:D,辅助信息!E:E=B1125)</f>
        <v>四川商建
射洪城乡一体化项目</v>
      </c>
    </row>
    <row r="1126" hidden="1" spans="2:18">
      <c r="B1126" s="33" t="s">
        <v>31</v>
      </c>
      <c r="C1126" s="63">
        <v>45770</v>
      </c>
      <c r="D1126" s="33" t="str">
        <f>VLOOKUP(B1126,辅助信息!E:K,7,FALSE)</f>
        <v>JWDDCD2024121000136</v>
      </c>
      <c r="E1126" s="33" t="str">
        <f>VLOOKUP(F1126,辅助信息!A:B,2,FALSE)</f>
        <v>螺纹钢</v>
      </c>
      <c r="F1126" s="33" t="s">
        <v>30</v>
      </c>
      <c r="G1126" s="29">
        <v>9</v>
      </c>
      <c r="H1126" s="29">
        <f>_xlfn.XLOOKUP(C1126&amp;F1126&amp;I1126&amp;J1126,'[1]2025年已发货'!$F:$F&amp;'[1]2025年已发货'!$C:$C&amp;'[1]2025年已发货'!$G:$G&amp;'[1]2025年已发货'!$H:$H,'[1]2025年已发货'!$E:$E,"未发货")</f>
        <v>10</v>
      </c>
      <c r="I1126" s="33" t="str">
        <f>VLOOKUP(B1126,辅助信息!E:I,3,FALSE)</f>
        <v>（四川商建-射洪城乡一体化项目）遂宁市射洪市忠新幼儿园北侧约220米新溪小区</v>
      </c>
      <c r="J1126" s="33" t="str">
        <f>VLOOKUP(B1126,辅助信息!E:I,4,FALSE)</f>
        <v>柏子刚</v>
      </c>
      <c r="K1126" s="33">
        <f>VLOOKUP(J1126,辅助信息!H:I,2,FALSE)</f>
        <v>15692885305</v>
      </c>
      <c r="L1126" s="102" t="str">
        <f>VLOOKUP(B1126,辅助信息!E:J,6,FALSE)</f>
        <v>提前联系到场规格及数量</v>
      </c>
      <c r="M1126" s="84">
        <v>45769</v>
      </c>
      <c r="O1126" s="55">
        <f ca="1" t="shared" si="40"/>
        <v>0</v>
      </c>
      <c r="P1126" s="55">
        <f ca="1" t="shared" si="39"/>
        <v>188</v>
      </c>
      <c r="Q1126" s="22" t="str">
        <f>VLOOKUP(B1126,辅助信息!E:M,9,FALSE)</f>
        <v>ZTWM-CDGS-XS-2024-0179-四川商投-射洪城乡一体化建设项目</v>
      </c>
      <c r="R1126" s="22" t="str">
        <f>_xlfn._xlws.FILTER(辅助信息!D:D,辅助信息!E:E=B1126)</f>
        <v>四川商建
射洪城乡一体化项目</v>
      </c>
    </row>
    <row r="1127" hidden="1" spans="2:18">
      <c r="B1127" s="33" t="s">
        <v>31</v>
      </c>
      <c r="C1127" s="63">
        <v>45770</v>
      </c>
      <c r="D1127" s="33" t="str">
        <f>VLOOKUP(B1127,辅助信息!E:K,7,FALSE)</f>
        <v>JWDDCD2024121000136</v>
      </c>
      <c r="E1127" s="33" t="str">
        <f>VLOOKUP(F1127,辅助信息!A:B,2,FALSE)</f>
        <v>螺纹钢</v>
      </c>
      <c r="F1127" s="33" t="s">
        <v>28</v>
      </c>
      <c r="G1127" s="29">
        <v>48</v>
      </c>
      <c r="H1127" s="29">
        <f>_xlfn.XLOOKUP(C1127&amp;F1127&amp;I1127&amp;J1127,'[1]2025年已发货'!$F:$F&amp;'[1]2025年已发货'!$C:$C&amp;'[1]2025年已发货'!$G:$G&amp;'[1]2025年已发货'!$H:$H,'[1]2025年已发货'!$E:$E,"未发货")</f>
        <v>24</v>
      </c>
      <c r="I1127" s="33" t="str">
        <f>VLOOKUP(B1127,辅助信息!E:I,3,FALSE)</f>
        <v>（四川商建-射洪城乡一体化项目）遂宁市射洪市忠新幼儿园北侧约220米新溪小区</v>
      </c>
      <c r="J1127" s="33" t="str">
        <f>VLOOKUP(B1127,辅助信息!E:I,4,FALSE)</f>
        <v>柏子刚</v>
      </c>
      <c r="K1127" s="33">
        <f>VLOOKUP(J1127,辅助信息!H:I,2,FALSE)</f>
        <v>15692885305</v>
      </c>
      <c r="L1127" s="102" t="str">
        <f>VLOOKUP(B1127,辅助信息!E:J,6,FALSE)</f>
        <v>提前联系到场规格及数量</v>
      </c>
      <c r="M1127" s="84">
        <v>45769</v>
      </c>
      <c r="O1127" s="55">
        <f ca="1" t="shared" si="40"/>
        <v>0</v>
      </c>
      <c r="P1127" s="55">
        <f ca="1" t="shared" si="39"/>
        <v>188</v>
      </c>
      <c r="Q1127" s="22" t="str">
        <f>VLOOKUP(B1127,辅助信息!E:M,9,FALSE)</f>
        <v>ZTWM-CDGS-XS-2024-0179-四川商投-射洪城乡一体化建设项目</v>
      </c>
      <c r="R1127" s="22" t="str">
        <f>_xlfn._xlws.FILTER(辅助信息!D:D,辅助信息!E:E=B1127)</f>
        <v>四川商建
射洪城乡一体化项目</v>
      </c>
    </row>
    <row r="1128" hidden="1" spans="1:18">
      <c r="A1128" s="50" t="s">
        <v>134</v>
      </c>
      <c r="B1128" s="33" t="s">
        <v>69</v>
      </c>
      <c r="C1128" s="63">
        <v>45770</v>
      </c>
      <c r="D1128" s="33" t="str">
        <f>VLOOKUP(B1128,辅助信息!E:K,7,FALSE)</f>
        <v>JWDDCD2025052800131</v>
      </c>
      <c r="E1128" s="33" t="str">
        <f>VLOOKUP(F1128,辅助信息!A:B,2,FALSE)</f>
        <v>螺纹钢</v>
      </c>
      <c r="F1128" s="33" t="s">
        <v>45</v>
      </c>
      <c r="G1128" s="29">
        <v>3</v>
      </c>
      <c r="H1128" s="29" t="str">
        <f>_xlfn.XLOOKUP(C1128&amp;F1128&amp;I1128&amp;J1128,'[1]2025年已发货'!$F:$F&amp;'[1]2025年已发货'!$C:$C&amp;'[1]2025年已发货'!$G:$G&amp;'[1]2025年已发货'!$H:$H,'[1]2025年已发货'!$E:$E,"未发货")</f>
        <v>未发货</v>
      </c>
      <c r="I1128" s="33" t="str">
        <f>VLOOKUP(B1128,辅助信息!E:I,3,FALSE)</f>
        <v>（商投建工达州中医药科技园-4工区-2号楼）达州市通川区达州中医药职业学院犀牛大道北段</v>
      </c>
      <c r="J1128" s="33" t="str">
        <f>VLOOKUP(B1128,辅助信息!E:I,4,FALSE)</f>
        <v>张扬</v>
      </c>
      <c r="K1128" s="33">
        <f>VLOOKUP(J1128,辅助信息!H:I,2,FALSE)</f>
        <v>18381904567</v>
      </c>
      <c r="L1128" s="102" t="str">
        <f>VLOOKUP(B1128,辅助信息!E:J,6,FALSE)</f>
        <v>控制炉批号！多了现场不收！,优先安排达钢,提前联系到场规格及数量</v>
      </c>
      <c r="M1128" s="84">
        <v>45763</v>
      </c>
      <c r="O1128" s="55">
        <f ca="1" t="shared" si="40"/>
        <v>0</v>
      </c>
      <c r="P1128" s="55">
        <f ca="1" t="shared" si="39"/>
        <v>194</v>
      </c>
      <c r="Q1128" s="22" t="str">
        <f>VLOOKUP(B1128,辅助信息!E:M,9,FALSE)</f>
        <v>ZTWM-CDGS-XS-2024-0134-商投建工达州中医药科技成果示范园项目</v>
      </c>
      <c r="R1128" s="22" t="str">
        <f>_xlfn._xlws.FILTER(辅助信息!D:D,辅助信息!E:E=B1128)</f>
        <v>商投建工达州中医药科技园</v>
      </c>
    </row>
    <row r="1129" hidden="1" spans="2:18">
      <c r="B1129" s="33" t="s">
        <v>69</v>
      </c>
      <c r="C1129" s="63">
        <v>45770</v>
      </c>
      <c r="D1129" s="33" t="str">
        <f>VLOOKUP(B1129,辅助信息!E:K,7,FALSE)</f>
        <v>JWDDCD2025052800131</v>
      </c>
      <c r="E1129" s="33" t="str">
        <f>VLOOKUP(F1129,辅助信息!A:B,2,FALSE)</f>
        <v>螺纹钢</v>
      </c>
      <c r="F1129" s="33" t="s">
        <v>21</v>
      </c>
      <c r="G1129" s="29">
        <v>12</v>
      </c>
      <c r="H1129" s="29" t="str">
        <f>_xlfn.XLOOKUP(C1129&amp;F1129&amp;I1129&amp;J1129,'[1]2025年已发货'!$F:$F&amp;'[1]2025年已发货'!$C:$C&amp;'[1]2025年已发货'!$G:$G&amp;'[1]2025年已发货'!$H:$H,'[1]2025年已发货'!$E:$E,"未发货")</f>
        <v>未发货</v>
      </c>
      <c r="I1129" s="33" t="str">
        <f>VLOOKUP(B1129,辅助信息!E:I,3,FALSE)</f>
        <v>（商投建工达州中医药科技园-4工区-2号楼）达州市通川区达州中医药职业学院犀牛大道北段</v>
      </c>
      <c r="J1129" s="33" t="str">
        <f>VLOOKUP(B1129,辅助信息!E:I,4,FALSE)</f>
        <v>张扬</v>
      </c>
      <c r="K1129" s="33">
        <f>VLOOKUP(J1129,辅助信息!H:I,2,FALSE)</f>
        <v>18381904567</v>
      </c>
      <c r="L1129" s="102" t="str">
        <f>VLOOKUP(B1129,辅助信息!E:J,6,FALSE)</f>
        <v>控制炉批号！多了现场不收！,优先安排达钢,提前联系到场规格及数量</v>
      </c>
      <c r="M1129" s="84">
        <v>45763</v>
      </c>
      <c r="O1129" s="55">
        <f ca="1" t="shared" si="40"/>
        <v>0</v>
      </c>
      <c r="P1129" s="55">
        <f ca="1" t="shared" si="39"/>
        <v>194</v>
      </c>
      <c r="Q1129" s="22" t="str">
        <f>VLOOKUP(B1129,辅助信息!E:M,9,FALSE)</f>
        <v>ZTWM-CDGS-XS-2024-0134-商投建工达州中医药科技成果示范园项目</v>
      </c>
      <c r="R1129" s="22" t="str">
        <f>_xlfn._xlws.FILTER(辅助信息!D:D,辅助信息!E:E=B1129)</f>
        <v>商投建工达州中医药科技园</v>
      </c>
    </row>
    <row r="1130" hidden="1" spans="2:18">
      <c r="B1130" s="33" t="s">
        <v>69</v>
      </c>
      <c r="C1130" s="63">
        <v>45770</v>
      </c>
      <c r="D1130" s="33" t="str">
        <f>VLOOKUP(B1130,辅助信息!E:K,7,FALSE)</f>
        <v>JWDDCD2025052800131</v>
      </c>
      <c r="E1130" s="33" t="str">
        <f>VLOOKUP(F1130,辅助信息!A:B,2,FALSE)</f>
        <v>螺纹钢</v>
      </c>
      <c r="F1130" s="33" t="s">
        <v>58</v>
      </c>
      <c r="G1130" s="29">
        <v>9</v>
      </c>
      <c r="H1130" s="29" t="str">
        <f>_xlfn.XLOOKUP(C1130&amp;F1130&amp;I1130&amp;J1130,'[1]2025年已发货'!$F:$F&amp;'[1]2025年已发货'!$C:$C&amp;'[1]2025年已发货'!$G:$G&amp;'[1]2025年已发货'!$H:$H,'[1]2025年已发货'!$E:$E,"未发货")</f>
        <v>未发货</v>
      </c>
      <c r="I1130" s="33" t="str">
        <f>VLOOKUP(B1130,辅助信息!E:I,3,FALSE)</f>
        <v>（商投建工达州中医药科技园-4工区-2号楼）达州市通川区达州中医药职业学院犀牛大道北段</v>
      </c>
      <c r="J1130" s="33" t="str">
        <f>VLOOKUP(B1130,辅助信息!E:I,4,FALSE)</f>
        <v>张扬</v>
      </c>
      <c r="K1130" s="33">
        <f>VLOOKUP(J1130,辅助信息!H:I,2,FALSE)</f>
        <v>18381904567</v>
      </c>
      <c r="L1130" s="102" t="str">
        <f>VLOOKUP(B1130,辅助信息!E:J,6,FALSE)</f>
        <v>控制炉批号！多了现场不收！,优先安排达钢,提前联系到场规格及数量</v>
      </c>
      <c r="M1130" s="84">
        <v>45763</v>
      </c>
      <c r="O1130" s="55">
        <f ca="1" t="shared" si="40"/>
        <v>0</v>
      </c>
      <c r="P1130" s="55">
        <f ca="1" t="shared" si="39"/>
        <v>194</v>
      </c>
      <c r="Q1130" s="22" t="str">
        <f>VLOOKUP(B1130,辅助信息!E:M,9,FALSE)</f>
        <v>ZTWM-CDGS-XS-2024-0134-商投建工达州中医药科技成果示范园项目</v>
      </c>
      <c r="R1130" s="22" t="str">
        <f>_xlfn._xlws.FILTER(辅助信息!D:D,辅助信息!E:E=B1130)</f>
        <v>商投建工达州中医药科技园</v>
      </c>
    </row>
    <row r="1131" hidden="1" spans="2:18">
      <c r="B1131" s="33" t="s">
        <v>69</v>
      </c>
      <c r="C1131" s="63">
        <v>45770</v>
      </c>
      <c r="D1131" s="33" t="str">
        <f>VLOOKUP(B1131,辅助信息!E:K,7,FALSE)</f>
        <v>JWDDCD2025052800131</v>
      </c>
      <c r="E1131" s="33" t="str">
        <f>VLOOKUP(F1131,辅助信息!A:B,2,FALSE)</f>
        <v>螺纹钢</v>
      </c>
      <c r="F1131" s="33" t="s">
        <v>46</v>
      </c>
      <c r="G1131" s="29">
        <v>9</v>
      </c>
      <c r="H1131" s="29" t="str">
        <f>_xlfn.XLOOKUP(C1131&amp;F1131&amp;I1131&amp;J1131,'[1]2025年已发货'!$F:$F&amp;'[1]2025年已发货'!$C:$C&amp;'[1]2025年已发货'!$G:$G&amp;'[1]2025年已发货'!$H:$H,'[1]2025年已发货'!$E:$E,"未发货")</f>
        <v>未发货</v>
      </c>
      <c r="I1131" s="33" t="str">
        <f>VLOOKUP(B1131,辅助信息!E:I,3,FALSE)</f>
        <v>（商投建工达州中医药科技园-4工区-2号楼）达州市通川区达州中医药职业学院犀牛大道北段</v>
      </c>
      <c r="J1131" s="33" t="str">
        <f>VLOOKUP(B1131,辅助信息!E:I,4,FALSE)</f>
        <v>张扬</v>
      </c>
      <c r="K1131" s="33">
        <f>VLOOKUP(J1131,辅助信息!H:I,2,FALSE)</f>
        <v>18381904567</v>
      </c>
      <c r="L1131" s="102" t="str">
        <f>VLOOKUP(B1131,辅助信息!E:J,6,FALSE)</f>
        <v>控制炉批号！多了现场不收！,优先安排达钢,提前联系到场规格及数量</v>
      </c>
      <c r="M1131" s="84">
        <v>45763</v>
      </c>
      <c r="O1131" s="55">
        <f ca="1" t="shared" si="40"/>
        <v>0</v>
      </c>
      <c r="P1131" s="55">
        <f ca="1" t="shared" si="39"/>
        <v>194</v>
      </c>
      <c r="Q1131" s="22" t="str">
        <f>VLOOKUP(B1131,辅助信息!E:M,9,FALSE)</f>
        <v>ZTWM-CDGS-XS-2024-0134-商投建工达州中医药科技成果示范园项目</v>
      </c>
      <c r="R1131" s="22" t="str">
        <f>_xlfn._xlws.FILTER(辅助信息!D:D,辅助信息!E:E=B1131)</f>
        <v>商投建工达州中医药科技园</v>
      </c>
    </row>
    <row r="1132" hidden="1" spans="2:18">
      <c r="B1132" s="33" t="s">
        <v>56</v>
      </c>
      <c r="C1132" s="63">
        <v>45770</v>
      </c>
      <c r="D1132" s="33" t="str">
        <f>VLOOKUP(B1132,辅助信息!E:K,7,FALSE)</f>
        <v>JWDDCD2025052800131</v>
      </c>
      <c r="E1132" s="33" t="str">
        <f>VLOOKUP(F1132,辅助信息!A:B,2,FALSE)</f>
        <v>螺纹钢</v>
      </c>
      <c r="F1132" s="33" t="s">
        <v>46</v>
      </c>
      <c r="G1132" s="29">
        <v>21</v>
      </c>
      <c r="H1132" s="29" t="str">
        <f>_xlfn.XLOOKUP(C1132&amp;F1132&amp;I1132&amp;J1132,'[1]2025年已发货'!$F:$F&amp;'[1]2025年已发货'!$C:$C&amp;'[1]2025年已发货'!$G:$G&amp;'[1]2025年已发货'!$H:$H,'[1]2025年已发货'!$E:$E,"未发货")</f>
        <v>未发货</v>
      </c>
      <c r="I1132" s="33" t="str">
        <f>VLOOKUP(B1132,辅助信息!E:I,3,FALSE)</f>
        <v>（商投建工达州中医药科技园-4工区-7号楼）达州市通川区达州中医药职业学院犀牛大道北段</v>
      </c>
      <c r="J1132" s="33" t="str">
        <f>VLOOKUP(B1132,辅助信息!E:I,4,FALSE)</f>
        <v>张扬</v>
      </c>
      <c r="K1132" s="33">
        <f>VLOOKUP(J1132,辅助信息!H:I,2,FALSE)</f>
        <v>18381904567</v>
      </c>
      <c r="L1132" s="102" t="str">
        <f>VLOOKUP(B1132,辅助信息!E:J,6,FALSE)</f>
        <v>控制炉批号！多了现场不收！,优先安排达钢,提前联系到场规格及数量</v>
      </c>
      <c r="M1132" s="84">
        <v>45772</v>
      </c>
      <c r="O1132" s="55">
        <f ca="1" t="shared" si="40"/>
        <v>0</v>
      </c>
      <c r="P1132" s="55">
        <f ca="1" t="shared" si="39"/>
        <v>185</v>
      </c>
      <c r="Q1132" s="22" t="str">
        <f>VLOOKUP(B1132,辅助信息!E:M,9,FALSE)</f>
        <v>ZTWM-CDGS-XS-2024-0134-商投建工达州中医药科技成果示范园项目</v>
      </c>
      <c r="R1132" s="22" t="str">
        <f>_xlfn._xlws.FILTER(辅助信息!D:D,辅助信息!E:E=B1132)</f>
        <v>商投建工达州中医药科技园</v>
      </c>
    </row>
    <row r="1133" hidden="1" spans="2:18">
      <c r="B1133" s="33" t="s">
        <v>56</v>
      </c>
      <c r="C1133" s="63">
        <v>45770</v>
      </c>
      <c r="D1133" s="33" t="str">
        <f>VLOOKUP(B1133,辅助信息!E:K,7,FALSE)</f>
        <v>JWDDCD2025052800131</v>
      </c>
      <c r="E1133" s="33" t="str">
        <f>VLOOKUP(F1133,辅助信息!A:B,2,FALSE)</f>
        <v>螺纹钢</v>
      </c>
      <c r="F1133" s="33" t="s">
        <v>22</v>
      </c>
      <c r="G1133" s="29">
        <v>30</v>
      </c>
      <c r="H1133" s="29" t="str">
        <f>_xlfn.XLOOKUP(C1133&amp;F1133&amp;I1133&amp;J1133,'[1]2025年已发货'!$F:$F&amp;'[1]2025年已发货'!$C:$C&amp;'[1]2025年已发货'!$G:$G&amp;'[1]2025年已发货'!$H:$H,'[1]2025年已发货'!$E:$E,"未发货")</f>
        <v>未发货</v>
      </c>
      <c r="I1133" s="33" t="str">
        <f>VLOOKUP(B1133,辅助信息!E:I,3,FALSE)</f>
        <v>（商投建工达州中医药科技园-4工区-7号楼）达州市通川区达州中医药职业学院犀牛大道北段</v>
      </c>
      <c r="J1133" s="33" t="str">
        <f>VLOOKUP(B1133,辅助信息!E:I,4,FALSE)</f>
        <v>张扬</v>
      </c>
      <c r="K1133" s="33">
        <f>VLOOKUP(J1133,辅助信息!H:I,2,FALSE)</f>
        <v>18381904567</v>
      </c>
      <c r="L1133" s="102" t="str">
        <f>VLOOKUP(B1133,辅助信息!E:J,6,FALSE)</f>
        <v>控制炉批号！多了现场不收！,优先安排达钢,提前联系到场规格及数量</v>
      </c>
      <c r="M1133" s="84">
        <v>45772</v>
      </c>
      <c r="O1133" s="55">
        <f ca="1" t="shared" si="40"/>
        <v>0</v>
      </c>
      <c r="P1133" s="55">
        <f ca="1" t="shared" si="39"/>
        <v>185</v>
      </c>
      <c r="Q1133" s="22" t="str">
        <f>VLOOKUP(B1133,辅助信息!E:M,9,FALSE)</f>
        <v>ZTWM-CDGS-XS-2024-0134-商投建工达州中医药科技成果示范园项目</v>
      </c>
      <c r="R1133" s="22" t="str">
        <f>_xlfn._xlws.FILTER(辅助信息!D:D,辅助信息!E:E=B1133)</f>
        <v>商投建工达州中医药科技园</v>
      </c>
    </row>
    <row r="1134" hidden="1" spans="2:18">
      <c r="B1134" s="33" t="s">
        <v>87</v>
      </c>
      <c r="C1134" s="63">
        <v>45770</v>
      </c>
      <c r="D1134" s="33" t="e">
        <f>VLOOKUP(B1134,辅助信息!E:K,7,FALSE)</f>
        <v>#N/A</v>
      </c>
      <c r="E1134" s="33" t="str">
        <f>VLOOKUP(F1134,辅助信息!A:B,2,FALSE)</f>
        <v>盘螺</v>
      </c>
      <c r="F1134" s="33" t="s">
        <v>26</v>
      </c>
      <c r="G1134" s="29">
        <v>4</v>
      </c>
      <c r="H1134" s="29" t="e">
        <f>_xlfn.XLOOKUP(C1134&amp;F1134&amp;I1134&amp;J1134,'[1]2025年已发货'!$F:$F&amp;'[1]2025年已发货'!$C:$C&amp;'[1]2025年已发货'!$G:$G&amp;'[1]2025年已发货'!$H:$H,'[1]2025年已发货'!$E:$E,"未发货")</f>
        <v>#N/A</v>
      </c>
      <c r="I1134" s="33" t="e">
        <f>VLOOKUP(B1134,辅助信息!E:I,3,FALSE)</f>
        <v>#N/A</v>
      </c>
      <c r="J1134" s="33" t="e">
        <f>VLOOKUP(B1134,辅助信息!E:I,4,FALSE)</f>
        <v>#N/A</v>
      </c>
      <c r="K1134" s="33" t="e">
        <f>VLOOKUP(J1134,辅助信息!H:I,2,FALSE)</f>
        <v>#N/A</v>
      </c>
      <c r="L1134" s="102" t="e">
        <f>VLOOKUP(B1134,辅助信息!E:J,6,FALSE)</f>
        <v>#N/A</v>
      </c>
      <c r="M1134" s="84">
        <v>45772</v>
      </c>
      <c r="O1134" s="55">
        <f ca="1" t="shared" si="40"/>
        <v>0</v>
      </c>
      <c r="P1134" s="55">
        <f ca="1" t="shared" si="39"/>
        <v>185</v>
      </c>
      <c r="Q1134" s="22" t="e">
        <f>VLOOKUP(B1134,辅助信息!E:M,9,FALSE)</f>
        <v>#N/A</v>
      </c>
      <c r="R1134" s="22" vm="1" t="e">
        <f>_xlfn._xlws.FILTER(辅助信息!D:D,辅助信息!E:E=B1134)</f>
        <v>#VALUE!</v>
      </c>
    </row>
    <row r="1135" hidden="1" spans="2:18">
      <c r="B1135" s="33" t="s">
        <v>87</v>
      </c>
      <c r="C1135" s="63">
        <v>45770</v>
      </c>
      <c r="D1135" s="33" t="e">
        <f>VLOOKUP(B1135,辅助信息!E:K,7,FALSE)</f>
        <v>#N/A</v>
      </c>
      <c r="E1135" s="33" t="str">
        <f>VLOOKUP(F1135,辅助信息!A:B,2,FALSE)</f>
        <v>螺纹钢</v>
      </c>
      <c r="F1135" s="33" t="s">
        <v>27</v>
      </c>
      <c r="G1135" s="29">
        <v>12</v>
      </c>
      <c r="H1135" s="29" t="e">
        <f>_xlfn.XLOOKUP(C1135&amp;F1135&amp;I1135&amp;J1135,'[1]2025年已发货'!$F:$F&amp;'[1]2025年已发货'!$C:$C&amp;'[1]2025年已发货'!$G:$G&amp;'[1]2025年已发货'!$H:$H,'[1]2025年已发货'!$E:$E,"未发货")</f>
        <v>#N/A</v>
      </c>
      <c r="I1135" s="33" t="e">
        <f>VLOOKUP(B1135,辅助信息!E:I,3,FALSE)</f>
        <v>#N/A</v>
      </c>
      <c r="J1135" s="33" t="e">
        <f>VLOOKUP(B1135,辅助信息!E:I,4,FALSE)</f>
        <v>#N/A</v>
      </c>
      <c r="K1135" s="33" t="e">
        <f>VLOOKUP(J1135,辅助信息!H:I,2,FALSE)</f>
        <v>#N/A</v>
      </c>
      <c r="L1135" s="102" t="e">
        <f>VLOOKUP(B1135,辅助信息!E:J,6,FALSE)</f>
        <v>#N/A</v>
      </c>
      <c r="M1135" s="84">
        <v>45772</v>
      </c>
      <c r="O1135" s="55">
        <f ca="1" t="shared" si="40"/>
        <v>0</v>
      </c>
      <c r="P1135" s="55">
        <f ca="1" t="shared" si="39"/>
        <v>185</v>
      </c>
      <c r="Q1135" s="22" t="e">
        <f>VLOOKUP(B1135,辅助信息!E:M,9,FALSE)</f>
        <v>#N/A</v>
      </c>
      <c r="R1135" s="22" vm="1" t="e">
        <f>_xlfn._xlws.FILTER(辅助信息!D:D,辅助信息!E:E=B1135)</f>
        <v>#VALUE!</v>
      </c>
    </row>
    <row r="1136" hidden="1" spans="2:18">
      <c r="B1136" s="33" t="s">
        <v>87</v>
      </c>
      <c r="C1136" s="63">
        <v>45770</v>
      </c>
      <c r="D1136" s="33" t="e">
        <f>VLOOKUP(B1136,辅助信息!E:K,7,FALSE)</f>
        <v>#N/A</v>
      </c>
      <c r="E1136" s="33" t="str">
        <f>VLOOKUP(F1136,辅助信息!A:B,2,FALSE)</f>
        <v>螺纹钢</v>
      </c>
      <c r="F1136" s="33" t="s">
        <v>19</v>
      </c>
      <c r="G1136" s="29">
        <v>10</v>
      </c>
      <c r="H1136" s="29" t="e">
        <f>_xlfn.XLOOKUP(C1136&amp;F1136&amp;I1136&amp;J1136,'[1]2025年已发货'!$F:$F&amp;'[1]2025年已发货'!$C:$C&amp;'[1]2025年已发货'!$G:$G&amp;'[1]2025年已发货'!$H:$H,'[1]2025年已发货'!$E:$E,"未发货")</f>
        <v>#N/A</v>
      </c>
      <c r="I1136" s="33" t="e">
        <f>VLOOKUP(B1136,辅助信息!E:I,3,FALSE)</f>
        <v>#N/A</v>
      </c>
      <c r="J1136" s="33" t="e">
        <f>VLOOKUP(B1136,辅助信息!E:I,4,FALSE)</f>
        <v>#N/A</v>
      </c>
      <c r="K1136" s="33" t="e">
        <f>VLOOKUP(J1136,辅助信息!H:I,2,FALSE)</f>
        <v>#N/A</v>
      </c>
      <c r="L1136" s="102" t="e">
        <f>VLOOKUP(B1136,辅助信息!E:J,6,FALSE)</f>
        <v>#N/A</v>
      </c>
      <c r="M1136" s="84">
        <v>45772</v>
      </c>
      <c r="O1136" s="55">
        <f ca="1" t="shared" si="40"/>
        <v>0</v>
      </c>
      <c r="P1136" s="55">
        <f ca="1" t="shared" si="39"/>
        <v>185</v>
      </c>
      <c r="Q1136" s="22" t="e">
        <f>VLOOKUP(B1136,辅助信息!E:M,9,FALSE)</f>
        <v>#N/A</v>
      </c>
      <c r="R1136" s="22" vm="1" t="e">
        <f>_xlfn._xlws.FILTER(辅助信息!D:D,辅助信息!E:E=B1136)</f>
        <v>#VALUE!</v>
      </c>
    </row>
    <row r="1137" hidden="1" spans="2:18">
      <c r="B1137" s="33" t="s">
        <v>87</v>
      </c>
      <c r="C1137" s="63">
        <v>45770</v>
      </c>
      <c r="D1137" s="33" t="e">
        <f>VLOOKUP(B1137,辅助信息!E:K,7,FALSE)</f>
        <v>#N/A</v>
      </c>
      <c r="E1137" s="33" t="str">
        <f>VLOOKUP(F1137,辅助信息!A:B,2,FALSE)</f>
        <v>螺纹钢</v>
      </c>
      <c r="F1137" s="33" t="s">
        <v>18</v>
      </c>
      <c r="G1137" s="29">
        <v>25</v>
      </c>
      <c r="H1137" s="29" t="e">
        <f>_xlfn.XLOOKUP(C1137&amp;F1137&amp;I1137&amp;J1137,'[1]2025年已发货'!$F:$F&amp;'[1]2025年已发货'!$C:$C&amp;'[1]2025年已发货'!$G:$G&amp;'[1]2025年已发货'!$H:$H,'[1]2025年已发货'!$E:$E,"未发货")</f>
        <v>#N/A</v>
      </c>
      <c r="I1137" s="33" t="e">
        <f>VLOOKUP(B1137,辅助信息!E:I,3,FALSE)</f>
        <v>#N/A</v>
      </c>
      <c r="J1137" s="33" t="e">
        <f>VLOOKUP(B1137,辅助信息!E:I,4,FALSE)</f>
        <v>#N/A</v>
      </c>
      <c r="K1137" s="33" t="e">
        <f>VLOOKUP(J1137,辅助信息!H:I,2,FALSE)</f>
        <v>#N/A</v>
      </c>
      <c r="L1137" s="102" t="e">
        <f>VLOOKUP(B1137,辅助信息!E:J,6,FALSE)</f>
        <v>#N/A</v>
      </c>
      <c r="M1137" s="84">
        <v>45772</v>
      </c>
      <c r="O1137" s="55">
        <f ca="1" t="shared" si="40"/>
        <v>0</v>
      </c>
      <c r="P1137" s="55">
        <f ca="1" t="shared" si="39"/>
        <v>185</v>
      </c>
      <c r="Q1137" s="22" t="e">
        <f>VLOOKUP(B1137,辅助信息!E:M,9,FALSE)</f>
        <v>#N/A</v>
      </c>
      <c r="R1137" s="22" vm="1" t="e">
        <f>_xlfn._xlws.FILTER(辅助信息!D:D,辅助信息!E:E=B1137)</f>
        <v>#VALUE!</v>
      </c>
    </row>
    <row r="1138" hidden="1" spans="1:18">
      <c r="A1138" s="55"/>
      <c r="B1138" s="33" t="s">
        <v>81</v>
      </c>
      <c r="C1138" s="63">
        <v>45771</v>
      </c>
      <c r="D1138" s="33" t="str">
        <f>VLOOKUP(B1138,辅助信息!E:K,7,FALSE)</f>
        <v>JWDDCD2025060900080</v>
      </c>
      <c r="E1138" s="33" t="str">
        <f>VLOOKUP(F1138,辅助信息!A:B,2,FALSE)</f>
        <v>盘螺</v>
      </c>
      <c r="F1138" s="33" t="s">
        <v>26</v>
      </c>
      <c r="G1138" s="29">
        <v>22</v>
      </c>
      <c r="H1138" s="29" t="str">
        <f>_xlfn.XLOOKUP(C1138&amp;F1138&amp;I1138&amp;J1138,'[1]2025年已发货'!$F:$F&amp;'[1]2025年已发货'!$C:$C&amp;'[1]2025年已发货'!$G:$G&amp;'[1]2025年已发货'!$H:$H,'[1]2025年已发货'!$E:$E,"未发货")</f>
        <v>未发货</v>
      </c>
      <c r="I1138" s="33" t="str">
        <f>VLOOKUP(B1138,辅助信息!E:I,3,FALSE)</f>
        <v>（华西简阳西城嘉苑）四川省成都市简阳市简城街道高屋村</v>
      </c>
      <c r="J1138" s="33" t="str">
        <f>VLOOKUP(B1138,辅助信息!E:I,4,FALSE)</f>
        <v>张瀚镭</v>
      </c>
      <c r="K1138" s="33">
        <f>VLOOKUP(J1138,辅助信息!H:I,2,FALSE)</f>
        <v>15884666220</v>
      </c>
      <c r="L1138" s="32" t="str">
        <f>VLOOKUP(B1138,辅助信息!E:J,6,FALSE)</f>
        <v>现场禁止使用氢能源挂车！优先威钢发货,我方卸车,新老国标钢厂不加价可直发，因陕钢多次出现磅差，项目拒绝使用</v>
      </c>
      <c r="M1138" s="84">
        <v>45769</v>
      </c>
      <c r="O1138" s="55">
        <f ca="1" t="shared" si="40"/>
        <v>0</v>
      </c>
      <c r="P1138" s="55">
        <f ca="1" t="shared" si="39"/>
        <v>188</v>
      </c>
      <c r="Q1138" s="22" t="str">
        <f>VLOOKUP(B1138,辅助信息!E:M,9,FALSE)</f>
        <v>ZTWM-CDGS-XS-2024-0030-华西集采-简州大道</v>
      </c>
      <c r="R1138" s="22" t="str">
        <f>_xlfn._xlws.FILTER(辅助信息!D:D,辅助信息!E:E=B1138)</f>
        <v>华西简阳西城嘉苑</v>
      </c>
    </row>
    <row r="1139" hidden="1" spans="1:18">
      <c r="A1139" s="55"/>
      <c r="B1139" s="33" t="s">
        <v>81</v>
      </c>
      <c r="C1139" s="63">
        <v>45771</v>
      </c>
      <c r="D1139" s="33" t="str">
        <f>VLOOKUP(B1139,辅助信息!E:K,7,FALSE)</f>
        <v>JWDDCD2025060900080</v>
      </c>
      <c r="E1139" s="33" t="str">
        <f>VLOOKUP(F1139,辅助信息!A:B,2,FALSE)</f>
        <v>螺纹钢</v>
      </c>
      <c r="F1139" s="33" t="s">
        <v>33</v>
      </c>
      <c r="G1139" s="29">
        <f>120-8-92</f>
        <v>20</v>
      </c>
      <c r="H1139" s="29" t="str">
        <f>_xlfn.XLOOKUP(C1139&amp;F1139&amp;I1139&amp;J1139,'[1]2025年已发货'!$F:$F&amp;'[1]2025年已发货'!$C:$C&amp;'[1]2025年已发货'!$G:$G&amp;'[1]2025年已发货'!$H:$H,'[1]2025年已发货'!$E:$E,"未发货")</f>
        <v>未发货</v>
      </c>
      <c r="I1139" s="33" t="str">
        <f>VLOOKUP(B1139,辅助信息!E:I,3,FALSE)</f>
        <v>（华西简阳西城嘉苑）四川省成都市简阳市简城街道高屋村</v>
      </c>
      <c r="J1139" s="33" t="str">
        <f>VLOOKUP(B1139,辅助信息!E:I,4,FALSE)</f>
        <v>张瀚镭</v>
      </c>
      <c r="K1139" s="33">
        <f>VLOOKUP(J1139,辅助信息!H:I,2,FALSE)</f>
        <v>15884666220</v>
      </c>
      <c r="L1139" s="32" t="str">
        <f>VLOOKUP(B1139,辅助信息!E:J,6,FALSE)</f>
        <v>现场禁止使用氢能源挂车！优先威钢发货,我方卸车,新老国标钢厂不加价可直发，因陕钢多次出现磅差，项目拒绝使用</v>
      </c>
      <c r="M1139" s="84">
        <v>45769</v>
      </c>
      <c r="O1139" s="55">
        <f ca="1" t="shared" si="40"/>
        <v>0</v>
      </c>
      <c r="P1139" s="55">
        <f ca="1" t="shared" si="39"/>
        <v>188</v>
      </c>
      <c r="Q1139" s="22" t="str">
        <f>VLOOKUP(B1139,辅助信息!E:M,9,FALSE)</f>
        <v>ZTWM-CDGS-XS-2024-0030-华西集采-简州大道</v>
      </c>
      <c r="R1139" s="22" t="str">
        <f>_xlfn._xlws.FILTER(辅助信息!D:D,辅助信息!E:E=B1139)</f>
        <v>华西简阳西城嘉苑</v>
      </c>
    </row>
    <row r="1140" hidden="1" spans="1:18">
      <c r="A1140" s="55"/>
      <c r="B1140" s="33" t="s">
        <v>64</v>
      </c>
      <c r="C1140" s="63">
        <v>45774</v>
      </c>
      <c r="D1140" s="33" t="e">
        <f>VLOOKUP(B1140,辅助信息!E:K,7,FALSE)</f>
        <v>#N/A</v>
      </c>
      <c r="E1140" s="33" t="str">
        <f>VLOOKUP(F1140,辅助信息!A:B,2,FALSE)</f>
        <v>螺纹钢</v>
      </c>
      <c r="F1140" s="33" t="s">
        <v>65</v>
      </c>
      <c r="G1140" s="29">
        <v>27</v>
      </c>
      <c r="H1140" s="29" t="e">
        <f>_xlfn.XLOOKUP(C1140&amp;F1140&amp;I1140&amp;J1140,'[1]2025年已发货'!$F:$F&amp;'[1]2025年已发货'!$C:$C&amp;'[1]2025年已发货'!$G:$G&amp;'[1]2025年已发货'!$H:$H,'[1]2025年已发货'!$E:$E,"未发货")</f>
        <v>#N/A</v>
      </c>
      <c r="I1140" s="33" t="e">
        <f>VLOOKUP(B1140,辅助信息!E:I,3,FALSE)</f>
        <v>#N/A</v>
      </c>
      <c r="J1140" s="33" t="e">
        <f>VLOOKUP(B1140,辅助信息!E:I,4,FALSE)</f>
        <v>#N/A</v>
      </c>
      <c r="K1140" s="33" t="e">
        <f>VLOOKUP(J1140,辅助信息!H:I,2,FALSE)</f>
        <v>#N/A</v>
      </c>
      <c r="L1140" s="32" t="e">
        <f>VLOOKUP(B1140,辅助信息!E:J,6,FALSE)</f>
        <v>#N/A</v>
      </c>
      <c r="M1140" s="84">
        <v>45768</v>
      </c>
      <c r="O1140" s="55">
        <f ca="1" t="shared" si="40"/>
        <v>0</v>
      </c>
      <c r="P1140" s="55">
        <f ca="1" t="shared" ref="P1140:P1159" si="42">IF(M1140="","",IF(N1140&lt;&gt;"",MAX(N1140-M1140,0),IF(TODAY()&gt;M1140,TODAY()-M1140,0)))</f>
        <v>189</v>
      </c>
      <c r="Q1140" s="22" t="e">
        <f>VLOOKUP(B1140,辅助信息!E:M,9,FALSE)</f>
        <v>#N/A</v>
      </c>
      <c r="R1140" s="22" vm="1" t="e">
        <f>_xlfn._xlws.FILTER(辅助信息!D:D,辅助信息!E:E=B1140)</f>
        <v>#VALUE!</v>
      </c>
    </row>
    <row r="1141" hidden="1" spans="1:18">
      <c r="A1141" s="55"/>
      <c r="B1141" s="33" t="s">
        <v>75</v>
      </c>
      <c r="C1141" s="63">
        <v>45774</v>
      </c>
      <c r="D1141" s="33" t="e">
        <f>VLOOKUP(B1141,辅助信息!E:K,7,FALSE)</f>
        <v>#N/A</v>
      </c>
      <c r="E1141" s="33" t="str">
        <f>VLOOKUP(F1141,辅助信息!A:B,2,FALSE)</f>
        <v>高线</v>
      </c>
      <c r="F1141" s="33" t="s">
        <v>53</v>
      </c>
      <c r="G1141" s="29">
        <v>8</v>
      </c>
      <c r="H1141" s="29" t="e">
        <f>_xlfn.XLOOKUP(C1141&amp;F1141&amp;I1141&amp;J1141,'[1]2025年已发货'!$F:$F&amp;'[1]2025年已发货'!$C:$C&amp;'[1]2025年已发货'!$G:$G&amp;'[1]2025年已发货'!$H:$H,'[1]2025年已发货'!$E:$E,"未发货")</f>
        <v>#N/A</v>
      </c>
      <c r="I1141" s="33" t="e">
        <f>VLOOKUP(B1141,辅助信息!E:I,3,FALSE)</f>
        <v>#N/A</v>
      </c>
      <c r="J1141" s="33" t="e">
        <f>VLOOKUP(B1141,辅助信息!E:I,4,FALSE)</f>
        <v>#N/A</v>
      </c>
      <c r="K1141" s="33" t="e">
        <f>VLOOKUP(J1141,辅助信息!H:I,2,FALSE)</f>
        <v>#N/A</v>
      </c>
      <c r="L1141" s="32" t="e">
        <f>VLOOKUP(B1141,辅助信息!E:J,6,FALSE)</f>
        <v>#N/A</v>
      </c>
      <c r="M1141" s="84">
        <v>45772</v>
      </c>
      <c r="O1141" s="55">
        <f ca="1" t="shared" si="40"/>
        <v>0</v>
      </c>
      <c r="P1141" s="55">
        <f ca="1" t="shared" si="42"/>
        <v>185</v>
      </c>
      <c r="Q1141" s="22" t="e">
        <f>VLOOKUP(B1141,辅助信息!E:M,9,FALSE)</f>
        <v>#N/A</v>
      </c>
      <c r="R1141" s="22" vm="1" t="e">
        <f>_xlfn._xlws.FILTER(辅助信息!D:D,辅助信息!E:E=B1141)</f>
        <v>#VALUE!</v>
      </c>
    </row>
    <row r="1142" hidden="1" spans="1:18">
      <c r="A1142" s="55"/>
      <c r="B1142" s="33" t="s">
        <v>75</v>
      </c>
      <c r="C1142" s="63">
        <v>45774</v>
      </c>
      <c r="D1142" s="33" t="e">
        <f>VLOOKUP(B1142,辅助信息!E:K,7,FALSE)</f>
        <v>#N/A</v>
      </c>
      <c r="E1142" s="33" t="str">
        <f>VLOOKUP(F1142,辅助信息!A:B,2,FALSE)</f>
        <v>螺纹钢</v>
      </c>
      <c r="F1142" s="33" t="s">
        <v>27</v>
      </c>
      <c r="G1142" s="29">
        <v>9</v>
      </c>
      <c r="H1142" s="29" t="e">
        <f>_xlfn.XLOOKUP(C1142&amp;F1142&amp;I1142&amp;J1142,'[1]2025年已发货'!$F:$F&amp;'[1]2025年已发货'!$C:$C&amp;'[1]2025年已发货'!$G:$G&amp;'[1]2025年已发货'!$H:$H,'[1]2025年已发货'!$E:$E,"未发货")</f>
        <v>#N/A</v>
      </c>
      <c r="I1142" s="33" t="e">
        <f>VLOOKUP(B1142,辅助信息!E:I,3,FALSE)</f>
        <v>#N/A</v>
      </c>
      <c r="J1142" s="33" t="e">
        <f>VLOOKUP(B1142,辅助信息!E:I,4,FALSE)</f>
        <v>#N/A</v>
      </c>
      <c r="K1142" s="33" t="e">
        <f>VLOOKUP(J1142,辅助信息!H:I,2,FALSE)</f>
        <v>#N/A</v>
      </c>
      <c r="L1142" s="32" t="e">
        <f>VLOOKUP(B1142,辅助信息!E:J,6,FALSE)</f>
        <v>#N/A</v>
      </c>
      <c r="M1142" s="84">
        <v>45772</v>
      </c>
      <c r="O1142" s="55">
        <f ca="1" t="shared" si="40"/>
        <v>0</v>
      </c>
      <c r="P1142" s="55">
        <f ca="1" t="shared" si="42"/>
        <v>185</v>
      </c>
      <c r="Q1142" s="22" t="e">
        <f>VLOOKUP(B1142,辅助信息!E:M,9,FALSE)</f>
        <v>#N/A</v>
      </c>
      <c r="R1142" s="22" vm="1" t="e">
        <f>_xlfn._xlws.FILTER(辅助信息!D:D,辅助信息!E:E=B1142)</f>
        <v>#VALUE!</v>
      </c>
    </row>
    <row r="1143" hidden="1" spans="1:18">
      <c r="A1143" s="55"/>
      <c r="B1143" s="33" t="s">
        <v>75</v>
      </c>
      <c r="C1143" s="63">
        <v>45774</v>
      </c>
      <c r="D1143" s="33" t="e">
        <f>VLOOKUP(B1143,辅助信息!E:K,7,FALSE)</f>
        <v>#N/A</v>
      </c>
      <c r="E1143" s="33" t="str">
        <f>VLOOKUP(F1143,辅助信息!A:B,2,FALSE)</f>
        <v>螺纹钢</v>
      </c>
      <c r="F1143" s="33" t="s">
        <v>19</v>
      </c>
      <c r="G1143" s="29">
        <v>10</v>
      </c>
      <c r="H1143" s="29" t="e">
        <f>_xlfn.XLOOKUP(C1143&amp;F1143&amp;I1143&amp;J1143,'[1]2025年已发货'!$F:$F&amp;'[1]2025年已发货'!$C:$C&amp;'[1]2025年已发货'!$G:$G&amp;'[1]2025年已发货'!$H:$H,'[1]2025年已发货'!$E:$E,"未发货")</f>
        <v>#N/A</v>
      </c>
      <c r="I1143" s="33" t="e">
        <f>VLOOKUP(B1143,辅助信息!E:I,3,FALSE)</f>
        <v>#N/A</v>
      </c>
      <c r="J1143" s="33" t="e">
        <f>VLOOKUP(B1143,辅助信息!E:I,4,FALSE)</f>
        <v>#N/A</v>
      </c>
      <c r="K1143" s="33" t="e">
        <f>VLOOKUP(J1143,辅助信息!H:I,2,FALSE)</f>
        <v>#N/A</v>
      </c>
      <c r="L1143" s="32" t="e">
        <f>VLOOKUP(B1143,辅助信息!E:J,6,FALSE)</f>
        <v>#N/A</v>
      </c>
      <c r="M1143" s="84">
        <v>45772</v>
      </c>
      <c r="O1143" s="55">
        <f ca="1" t="shared" si="40"/>
        <v>0</v>
      </c>
      <c r="P1143" s="55">
        <f ca="1" t="shared" si="42"/>
        <v>185</v>
      </c>
      <c r="Q1143" s="22" t="e">
        <f>VLOOKUP(B1143,辅助信息!E:M,9,FALSE)</f>
        <v>#N/A</v>
      </c>
      <c r="R1143" s="22" vm="1" t="e">
        <f>_xlfn._xlws.FILTER(辅助信息!D:D,辅助信息!E:E=B1143)</f>
        <v>#VALUE!</v>
      </c>
    </row>
    <row r="1144" hidden="1" spans="1:18">
      <c r="A1144" s="55"/>
      <c r="B1144" s="33" t="s">
        <v>75</v>
      </c>
      <c r="C1144" s="63">
        <v>45774</v>
      </c>
      <c r="D1144" s="33" t="e">
        <f>VLOOKUP(B1144,辅助信息!E:K,7,FALSE)</f>
        <v>#N/A</v>
      </c>
      <c r="E1144" s="33" t="str">
        <f>VLOOKUP(F1144,辅助信息!A:B,2,FALSE)</f>
        <v>螺纹钢</v>
      </c>
      <c r="F1144" s="33" t="s">
        <v>32</v>
      </c>
      <c r="G1144" s="29">
        <v>3</v>
      </c>
      <c r="H1144" s="29" t="e">
        <f>_xlfn.XLOOKUP(C1144&amp;F1144&amp;I1144&amp;J1144,'[1]2025年已发货'!$F:$F&amp;'[1]2025年已发货'!$C:$C&amp;'[1]2025年已发货'!$G:$G&amp;'[1]2025年已发货'!$H:$H,'[1]2025年已发货'!$E:$E,"未发货")</f>
        <v>#N/A</v>
      </c>
      <c r="I1144" s="33" t="e">
        <f>VLOOKUP(B1144,辅助信息!E:I,3,FALSE)</f>
        <v>#N/A</v>
      </c>
      <c r="J1144" s="33" t="e">
        <f>VLOOKUP(B1144,辅助信息!E:I,4,FALSE)</f>
        <v>#N/A</v>
      </c>
      <c r="K1144" s="33" t="e">
        <f>VLOOKUP(J1144,辅助信息!H:I,2,FALSE)</f>
        <v>#N/A</v>
      </c>
      <c r="L1144" s="32" t="e">
        <f>VLOOKUP(B1144,辅助信息!E:J,6,FALSE)</f>
        <v>#N/A</v>
      </c>
      <c r="M1144" s="84">
        <v>45772</v>
      </c>
      <c r="O1144" s="55">
        <f ca="1" t="shared" si="40"/>
        <v>0</v>
      </c>
      <c r="P1144" s="55">
        <f ca="1" t="shared" si="42"/>
        <v>185</v>
      </c>
      <c r="Q1144" s="22" t="e">
        <f>VLOOKUP(B1144,辅助信息!E:M,9,FALSE)</f>
        <v>#N/A</v>
      </c>
      <c r="R1144" s="22" vm="1" t="e">
        <f>_xlfn._xlws.FILTER(辅助信息!D:D,辅助信息!E:E=B1144)</f>
        <v>#VALUE!</v>
      </c>
    </row>
    <row r="1145" hidden="1" spans="1:18">
      <c r="A1145" s="55"/>
      <c r="B1145" s="33" t="s">
        <v>75</v>
      </c>
      <c r="C1145" s="63">
        <v>45774</v>
      </c>
      <c r="D1145" s="33" t="e">
        <f>VLOOKUP(B1145,辅助信息!E:K,7,FALSE)</f>
        <v>#N/A</v>
      </c>
      <c r="E1145" s="33" t="str">
        <f>VLOOKUP(F1145,辅助信息!A:B,2,FALSE)</f>
        <v>螺纹钢</v>
      </c>
      <c r="F1145" s="33" t="s">
        <v>30</v>
      </c>
      <c r="G1145" s="29">
        <v>6</v>
      </c>
      <c r="H1145" s="29" t="e">
        <f>_xlfn.XLOOKUP(C1145&amp;F1145&amp;I1145&amp;J1145,'[1]2025年已发货'!$F:$F&amp;'[1]2025年已发货'!$C:$C&amp;'[1]2025年已发货'!$G:$G&amp;'[1]2025年已发货'!$H:$H,'[1]2025年已发货'!$E:$E,"未发货")</f>
        <v>#N/A</v>
      </c>
      <c r="I1145" s="33" t="e">
        <f>VLOOKUP(B1145,辅助信息!E:I,3,FALSE)</f>
        <v>#N/A</v>
      </c>
      <c r="J1145" s="33" t="e">
        <f>VLOOKUP(B1145,辅助信息!E:I,4,FALSE)</f>
        <v>#N/A</v>
      </c>
      <c r="K1145" s="33" t="e">
        <f>VLOOKUP(J1145,辅助信息!H:I,2,FALSE)</f>
        <v>#N/A</v>
      </c>
      <c r="L1145" s="32" t="e">
        <f>VLOOKUP(B1145,辅助信息!E:J,6,FALSE)</f>
        <v>#N/A</v>
      </c>
      <c r="M1145" s="84">
        <v>45772</v>
      </c>
      <c r="O1145" s="55">
        <f ca="1" t="shared" si="40"/>
        <v>0</v>
      </c>
      <c r="P1145" s="55">
        <f ca="1" t="shared" si="42"/>
        <v>185</v>
      </c>
      <c r="Q1145" s="22" t="e">
        <f>VLOOKUP(B1145,辅助信息!E:M,9,FALSE)</f>
        <v>#N/A</v>
      </c>
      <c r="R1145" s="22" vm="1" t="e">
        <f>_xlfn._xlws.FILTER(辅助信息!D:D,辅助信息!E:E=B1145)</f>
        <v>#VALUE!</v>
      </c>
    </row>
    <row r="1146" hidden="1" spans="1:18">
      <c r="A1146" s="101"/>
      <c r="B1146" s="60" t="s">
        <v>127</v>
      </c>
      <c r="C1146" s="61">
        <v>45771</v>
      </c>
      <c r="D1146" s="33" t="str">
        <f>VLOOKUP(B1146,辅助信息!E:K,7,FALSE)</f>
        <v>JWDDCD2025051000019</v>
      </c>
      <c r="E1146" s="33" t="str">
        <f>VLOOKUP(F1146,辅助信息!A:B,2,FALSE)</f>
        <v>盘螺</v>
      </c>
      <c r="F1146" s="33" t="s">
        <v>49</v>
      </c>
      <c r="G1146" s="29">
        <v>20</v>
      </c>
      <c r="H1146" s="29">
        <f>_xlfn.XLOOKUP(C1146&amp;F1146&amp;I1146&amp;J1146,'[1]2025年已发货'!$F:$F&amp;'[1]2025年已发货'!$C:$C&amp;'[1]2025年已发货'!$G:$G&amp;'[1]2025年已发货'!$H:$H,'[1]2025年已发货'!$E:$E,"未发货")</f>
        <v>20</v>
      </c>
      <c r="I1146" s="33" t="str">
        <f>VLOOKUP(B1146,辅助信息!E:I,3,FALSE)</f>
        <v>(五冶钢构医学科学产业园建设项目房建三部-管网总坪)四川省南充市顺庆区搬罾街道学府大道二段</v>
      </c>
      <c r="J1146" s="33" t="str">
        <f>VLOOKUP(B1146,辅助信息!E:I,4,FALSE)</f>
        <v>郑林</v>
      </c>
      <c r="K1146" s="33">
        <f>VLOOKUP(J1146,辅助信息!H:I,2,FALSE)</f>
        <v>18349955455</v>
      </c>
      <c r="L1146" s="32" t="str">
        <f>VLOOKUP(B1146,辅助信息!E:J,6,FALSE)</f>
        <v>送货单：送货单位：南充思临新材料科技有限公司,收货单位：五冶集团川北(南充)建设有限公司,项目名称：南充医学科学产业园,送货车型13米,装货前联系收货人核实到场规格</v>
      </c>
      <c r="M1146" s="84">
        <v>45766</v>
      </c>
      <c r="O1146" s="55">
        <f ca="1" t="shared" si="40"/>
        <v>0</v>
      </c>
      <c r="P1146" s="55">
        <f ca="1" t="shared" si="42"/>
        <v>191</v>
      </c>
      <c r="Q1146" s="22" t="str">
        <f>VLOOKUP(B1146,辅助信息!E:M,9,FALSE)</f>
        <v>ZTWM-CDGS-XS-2024-0248-五冶钢构-南充市医学院项目</v>
      </c>
      <c r="R1146" s="22" t="str">
        <f>_xlfn._xlws.FILTER(辅助信息!D:D,辅助信息!E:E=B1146)</f>
        <v>五冶钢构南充医学科学产业园建设项目</v>
      </c>
    </row>
    <row r="1147" hidden="1" spans="1:18">
      <c r="A1147" s="101"/>
      <c r="B1147" s="33" t="s">
        <v>127</v>
      </c>
      <c r="C1147" s="63">
        <v>45771</v>
      </c>
      <c r="D1147" s="33" t="str">
        <f>VLOOKUP(B1147,辅助信息!E:K,7,FALSE)</f>
        <v>JWDDCD2025051000019</v>
      </c>
      <c r="E1147" s="33" t="str">
        <f>VLOOKUP(F1147,辅助信息!A:B,2,FALSE)</f>
        <v>盘螺</v>
      </c>
      <c r="F1147" s="33" t="s">
        <v>40</v>
      </c>
      <c r="G1147" s="29">
        <v>2</v>
      </c>
      <c r="H1147" s="29">
        <f>_xlfn.XLOOKUP(C1147&amp;F1147&amp;I1147&amp;J1147,'[1]2025年已发货'!$F:$F&amp;'[1]2025年已发货'!$C:$C&amp;'[1]2025年已发货'!$G:$G&amp;'[1]2025年已发货'!$H:$H,'[1]2025年已发货'!$E:$E,"未发货")</f>
        <v>2</v>
      </c>
      <c r="I1147" s="33" t="str">
        <f>VLOOKUP(B1147,辅助信息!E:I,3,FALSE)</f>
        <v>(五冶钢构医学科学产业园建设项目房建三部-管网总坪)四川省南充市顺庆区搬罾街道学府大道二段</v>
      </c>
      <c r="J1147" s="33" t="str">
        <f>VLOOKUP(B1147,辅助信息!E:I,4,FALSE)</f>
        <v>郑林</v>
      </c>
      <c r="K1147" s="33">
        <f>VLOOKUP(J1147,辅助信息!H:I,2,FALSE)</f>
        <v>18349955455</v>
      </c>
      <c r="L1147" s="32" t="str">
        <f>VLOOKUP(B1147,辅助信息!E:J,6,FALSE)</f>
        <v>送货单：送货单位：南充思临新材料科技有限公司,收货单位：五冶集团川北(南充)建设有限公司,项目名称：南充医学科学产业园,送货车型13米,装货前联系收货人核实到场规格</v>
      </c>
      <c r="M1147" s="84">
        <v>45766</v>
      </c>
      <c r="O1147" s="55">
        <f ca="1" t="shared" si="40"/>
        <v>0</v>
      </c>
      <c r="P1147" s="55">
        <f ca="1" t="shared" si="42"/>
        <v>191</v>
      </c>
      <c r="Q1147" s="22" t="str">
        <f>VLOOKUP(B1147,辅助信息!E:M,9,FALSE)</f>
        <v>ZTWM-CDGS-XS-2024-0248-五冶钢构-南充市医学院项目</v>
      </c>
      <c r="R1147" s="22" t="str">
        <f>_xlfn._xlws.FILTER(辅助信息!D:D,辅助信息!E:E=B1147)</f>
        <v>五冶钢构南充医学科学产业园建设项目</v>
      </c>
    </row>
    <row r="1148" hidden="1" spans="1:18">
      <c r="A1148" s="101"/>
      <c r="B1148" s="33" t="s">
        <v>127</v>
      </c>
      <c r="C1148" s="63">
        <v>45771</v>
      </c>
      <c r="D1148" s="33" t="str">
        <f>VLOOKUP(B1148,辅助信息!E:K,7,FALSE)</f>
        <v>JWDDCD2025051000019</v>
      </c>
      <c r="E1148" s="33" t="str">
        <f>VLOOKUP(F1148,辅助信息!A:B,2,FALSE)</f>
        <v>盘螺</v>
      </c>
      <c r="F1148" s="33" t="s">
        <v>41</v>
      </c>
      <c r="G1148" s="29">
        <v>3</v>
      </c>
      <c r="H1148" s="29">
        <f>_xlfn.XLOOKUP(C1148&amp;F1148&amp;I1148&amp;J1148,'[1]2025年已发货'!$F:$F&amp;'[1]2025年已发货'!$C:$C&amp;'[1]2025年已发货'!$G:$G&amp;'[1]2025年已发货'!$H:$H,'[1]2025年已发货'!$E:$E,"未发货")</f>
        <v>3</v>
      </c>
      <c r="I1148" s="33" t="str">
        <f>VLOOKUP(B1148,辅助信息!E:I,3,FALSE)</f>
        <v>(五冶钢构医学科学产业园建设项目房建三部-管网总坪)四川省南充市顺庆区搬罾街道学府大道二段</v>
      </c>
      <c r="J1148" s="33" t="str">
        <f>VLOOKUP(B1148,辅助信息!E:I,4,FALSE)</f>
        <v>郑林</v>
      </c>
      <c r="K1148" s="33">
        <f>VLOOKUP(J1148,辅助信息!H:I,2,FALSE)</f>
        <v>18349955455</v>
      </c>
      <c r="L1148" s="32" t="str">
        <f>VLOOKUP(B1148,辅助信息!E:J,6,FALSE)</f>
        <v>送货单：送货单位：南充思临新材料科技有限公司,收货单位：五冶集团川北(南充)建设有限公司,项目名称：南充医学科学产业园,送货车型13米,装货前联系收货人核实到场规格</v>
      </c>
      <c r="M1148" s="84">
        <v>45766</v>
      </c>
      <c r="O1148" s="55">
        <f ca="1" t="shared" si="40"/>
        <v>0</v>
      </c>
      <c r="P1148" s="55">
        <f ca="1" t="shared" si="42"/>
        <v>191</v>
      </c>
      <c r="Q1148" s="22" t="str">
        <f>VLOOKUP(B1148,辅助信息!E:M,9,FALSE)</f>
        <v>ZTWM-CDGS-XS-2024-0248-五冶钢构-南充市医学院项目</v>
      </c>
      <c r="R1148" s="22" t="str">
        <f>_xlfn._xlws.FILTER(辅助信息!D:D,辅助信息!E:E=B1148)</f>
        <v>五冶钢构南充医学科学产业园建设项目</v>
      </c>
    </row>
    <row r="1149" hidden="1" spans="1:18">
      <c r="A1149" s="101"/>
      <c r="B1149" s="33" t="s">
        <v>127</v>
      </c>
      <c r="C1149" s="63">
        <v>45771</v>
      </c>
      <c r="D1149" s="33" t="str">
        <f>VLOOKUP(B1149,辅助信息!E:K,7,FALSE)</f>
        <v>JWDDCD2025051000019</v>
      </c>
      <c r="E1149" s="33" t="str">
        <f>VLOOKUP(F1149,辅助信息!A:B,2,FALSE)</f>
        <v>螺纹钢</v>
      </c>
      <c r="F1149" s="33" t="s">
        <v>27</v>
      </c>
      <c r="G1149" s="29">
        <v>10</v>
      </c>
      <c r="H1149" s="29">
        <f>_xlfn.XLOOKUP(C1149&amp;F1149&amp;I1149&amp;J1149,'[1]2025年已发货'!$F:$F&amp;'[1]2025年已发货'!$C:$C&amp;'[1]2025年已发货'!$G:$G&amp;'[1]2025年已发货'!$H:$H,'[1]2025年已发货'!$E:$E,"未发货")</f>
        <v>10</v>
      </c>
      <c r="I1149" s="33" t="str">
        <f>VLOOKUP(B1149,辅助信息!E:I,3,FALSE)</f>
        <v>(五冶钢构医学科学产业园建设项目房建三部-管网总坪)四川省南充市顺庆区搬罾街道学府大道二段</v>
      </c>
      <c r="J1149" s="33" t="str">
        <f>VLOOKUP(B1149,辅助信息!E:I,4,FALSE)</f>
        <v>郑林</v>
      </c>
      <c r="K1149" s="33">
        <f>VLOOKUP(J1149,辅助信息!H:I,2,FALSE)</f>
        <v>18349955455</v>
      </c>
      <c r="L1149" s="32" t="str">
        <f>VLOOKUP(B1149,辅助信息!E:J,6,FALSE)</f>
        <v>送货单：送货单位：南充思临新材料科技有限公司,收货单位：五冶集团川北(南充)建设有限公司,项目名称：南充医学科学产业园,送货车型13米,装货前联系收货人核实到场规格</v>
      </c>
      <c r="M1149" s="84">
        <v>45766</v>
      </c>
      <c r="O1149" s="55">
        <f ca="1" t="shared" si="40"/>
        <v>0</v>
      </c>
      <c r="P1149" s="55">
        <f ca="1" t="shared" si="42"/>
        <v>191</v>
      </c>
      <c r="Q1149" s="22" t="str">
        <f>VLOOKUP(B1149,辅助信息!E:M,9,FALSE)</f>
        <v>ZTWM-CDGS-XS-2024-0248-五冶钢构-南充市医学院项目</v>
      </c>
      <c r="R1149" s="22" t="str">
        <f>_xlfn._xlws.FILTER(辅助信息!D:D,辅助信息!E:E=B1149)</f>
        <v>五冶钢构南充医学科学产业园建设项目</v>
      </c>
    </row>
    <row r="1150" hidden="1" spans="1:18">
      <c r="A1150" s="101"/>
      <c r="B1150" s="33" t="s">
        <v>104</v>
      </c>
      <c r="C1150" s="63">
        <v>45771</v>
      </c>
      <c r="D1150" s="33" t="str">
        <f>VLOOKUP(B1150,辅助信息!E:K,7,FALSE)</f>
        <v>JWDDCD2024101600090</v>
      </c>
      <c r="E1150" s="33" t="str">
        <f>VLOOKUP(F1150,辅助信息!A:B,2,FALSE)</f>
        <v>盘螺</v>
      </c>
      <c r="F1150" s="33" t="s">
        <v>40</v>
      </c>
      <c r="G1150" s="29">
        <v>2.5</v>
      </c>
      <c r="H1150" s="29">
        <f>_xlfn.XLOOKUP(C1150&amp;F1150&amp;I1150&amp;J1150,'[1]2025年已发货'!$F:$F&amp;'[1]2025年已发货'!$C:$C&amp;'[1]2025年已发货'!$G:$G&amp;'[1]2025年已发货'!$H:$H,'[1]2025年已发货'!$E:$E,"未发货")</f>
        <v>2.5</v>
      </c>
      <c r="I1150" s="33" t="str">
        <f>VLOOKUP(B1150,辅助信息!E:I,3,FALSE)</f>
        <v>（达州市公共卫生医疗中心项目-二标-78号楼）达州市通川区西外复兴镇公共卫生临床医疗中心项目</v>
      </c>
      <c r="J1150" s="33" t="str">
        <f>VLOOKUP(B1150,辅助信息!E:I,4,FALSE)</f>
        <v>黄永林</v>
      </c>
      <c r="K1150" s="33">
        <f>VLOOKUP(J1150,辅助信息!H:I,2,FALSE)</f>
        <v>15982487227</v>
      </c>
      <c r="L1150" s="32" t="str">
        <f>VLOOKUP(B1150,辅助信息!E:J,6,FALSE)</f>
        <v>提前联系到场规格,一天到场车辆不低于2车</v>
      </c>
      <c r="M1150" s="84">
        <v>45769</v>
      </c>
      <c r="O1150" s="55">
        <f ca="1" t="shared" si="40"/>
        <v>0</v>
      </c>
      <c r="P1150" s="55">
        <f ca="1" t="shared" si="42"/>
        <v>188</v>
      </c>
      <c r="Q1150" s="22" t="str">
        <f>VLOOKUP(B1150,辅助信息!E:M,9,FALSE)</f>
        <v>ZTWM-CDGS-XS-2024-0205-五冶钢构-达州市通川区西外复兴镇及临近片区建设项目</v>
      </c>
      <c r="R1150" s="22" t="str">
        <f>_xlfn._xlws.FILTER(辅助信息!D:D,辅助信息!E:E=B1150)</f>
        <v>五冶钢构达州市公共卫生临床医疗中心项目</v>
      </c>
    </row>
    <row r="1151" hidden="1" spans="1:18">
      <c r="A1151" s="101"/>
      <c r="B1151" s="33" t="s">
        <v>104</v>
      </c>
      <c r="C1151" s="63">
        <v>45771</v>
      </c>
      <c r="D1151" s="33" t="str">
        <f>VLOOKUP(B1151,辅助信息!E:K,7,FALSE)</f>
        <v>JWDDCD2024101600090</v>
      </c>
      <c r="E1151" s="33" t="str">
        <f>VLOOKUP(F1151,辅助信息!A:B,2,FALSE)</f>
        <v>盘螺</v>
      </c>
      <c r="F1151" s="33" t="s">
        <v>41</v>
      </c>
      <c r="G1151" s="29">
        <v>2.5</v>
      </c>
      <c r="H1151" s="29">
        <f>_xlfn.XLOOKUP(C1151&amp;F1151&amp;I1151&amp;J1151,'[1]2025年已发货'!$F:$F&amp;'[1]2025年已发货'!$C:$C&amp;'[1]2025年已发货'!$G:$G&amp;'[1]2025年已发货'!$H:$H,'[1]2025年已发货'!$E:$E,"未发货")</f>
        <v>2.5</v>
      </c>
      <c r="I1151" s="33" t="str">
        <f>VLOOKUP(B1151,辅助信息!E:I,3,FALSE)</f>
        <v>（达州市公共卫生医疗中心项目-二标-78号楼）达州市通川区西外复兴镇公共卫生临床医疗中心项目</v>
      </c>
      <c r="J1151" s="33" t="str">
        <f>VLOOKUP(B1151,辅助信息!E:I,4,FALSE)</f>
        <v>黄永林</v>
      </c>
      <c r="K1151" s="33">
        <f>VLOOKUP(J1151,辅助信息!H:I,2,FALSE)</f>
        <v>15982487227</v>
      </c>
      <c r="L1151" s="32" t="str">
        <f>VLOOKUP(B1151,辅助信息!E:J,6,FALSE)</f>
        <v>提前联系到场规格,一天到场车辆不低于2车</v>
      </c>
      <c r="M1151" s="84">
        <v>45769</v>
      </c>
      <c r="O1151" s="55">
        <f ca="1" t="shared" ref="O1151:O1162" si="43">IF(OR(M1151="",N1151&lt;&gt;""),"",MAX(M1151-TODAY(),0))</f>
        <v>0</v>
      </c>
      <c r="P1151" s="55">
        <f ca="1" t="shared" si="42"/>
        <v>188</v>
      </c>
      <c r="Q1151" s="22" t="str">
        <f>VLOOKUP(B1151,辅助信息!E:M,9,FALSE)</f>
        <v>ZTWM-CDGS-XS-2024-0205-五冶钢构-达州市通川区西外复兴镇及临近片区建设项目</v>
      </c>
      <c r="R1151" s="22" t="str">
        <f>_xlfn._xlws.FILTER(辅助信息!D:D,辅助信息!E:E=B1151)</f>
        <v>五冶钢构达州市公共卫生临床医疗中心项目</v>
      </c>
    </row>
    <row r="1152" hidden="1" spans="1:18">
      <c r="A1152" s="101"/>
      <c r="B1152" s="33" t="s">
        <v>104</v>
      </c>
      <c r="C1152" s="63">
        <v>45771</v>
      </c>
      <c r="D1152" s="33" t="str">
        <f>VLOOKUP(B1152,辅助信息!E:K,7,FALSE)</f>
        <v>JWDDCD2024101600090</v>
      </c>
      <c r="E1152" s="33" t="str">
        <f>VLOOKUP(F1152,辅助信息!A:B,2,FALSE)</f>
        <v>螺纹钢</v>
      </c>
      <c r="F1152" s="33" t="s">
        <v>27</v>
      </c>
      <c r="G1152" s="29">
        <v>24</v>
      </c>
      <c r="H1152" s="29">
        <f>_xlfn.XLOOKUP(C1152&amp;F1152&amp;I1152&amp;J1152,'[1]2025年已发货'!$F:$F&amp;'[1]2025年已发货'!$C:$C&amp;'[1]2025年已发货'!$G:$G&amp;'[1]2025年已发货'!$H:$H,'[1]2025年已发货'!$E:$E,"未发货")</f>
        <v>24</v>
      </c>
      <c r="I1152" s="33" t="str">
        <f>VLOOKUP(B1152,辅助信息!E:I,3,FALSE)</f>
        <v>（达州市公共卫生医疗中心项目-二标-78号楼）达州市通川区西外复兴镇公共卫生临床医疗中心项目</v>
      </c>
      <c r="J1152" s="33" t="str">
        <f>VLOOKUP(B1152,辅助信息!E:I,4,FALSE)</f>
        <v>黄永林</v>
      </c>
      <c r="K1152" s="33">
        <f>VLOOKUP(J1152,辅助信息!H:I,2,FALSE)</f>
        <v>15982487227</v>
      </c>
      <c r="L1152" s="32" t="str">
        <f>VLOOKUP(B1152,辅助信息!E:J,6,FALSE)</f>
        <v>提前联系到场规格,一天到场车辆不低于2车</v>
      </c>
      <c r="M1152" s="84">
        <v>45769</v>
      </c>
      <c r="O1152" s="55">
        <f ca="1" t="shared" si="43"/>
        <v>0</v>
      </c>
      <c r="P1152" s="55">
        <f ca="1" t="shared" si="42"/>
        <v>188</v>
      </c>
      <c r="Q1152" s="22" t="str">
        <f>VLOOKUP(B1152,辅助信息!E:M,9,FALSE)</f>
        <v>ZTWM-CDGS-XS-2024-0205-五冶钢构-达州市通川区西外复兴镇及临近片区建设项目</v>
      </c>
      <c r="R1152" s="22" t="str">
        <f>_xlfn._xlws.FILTER(辅助信息!D:D,辅助信息!E:E=B1152)</f>
        <v>五冶钢构达州市公共卫生临床医疗中心项目</v>
      </c>
    </row>
    <row r="1153" hidden="1" spans="1:18">
      <c r="A1153" s="101"/>
      <c r="B1153" s="33" t="s">
        <v>104</v>
      </c>
      <c r="C1153" s="63">
        <v>45771</v>
      </c>
      <c r="D1153" s="33" t="str">
        <f>VLOOKUP(B1153,辅助信息!E:K,7,FALSE)</f>
        <v>JWDDCD2024101600090</v>
      </c>
      <c r="E1153" s="33" t="str">
        <f>VLOOKUP(F1153,辅助信息!A:B,2,FALSE)</f>
        <v>螺纹钢</v>
      </c>
      <c r="F1153" s="33" t="s">
        <v>19</v>
      </c>
      <c r="G1153" s="29">
        <v>6</v>
      </c>
      <c r="H1153" s="29">
        <f>_xlfn.XLOOKUP(C1153&amp;F1153&amp;I1153&amp;J1153,'[1]2025年已发货'!$F:$F&amp;'[1]2025年已发货'!$C:$C&amp;'[1]2025年已发货'!$G:$G&amp;'[1]2025年已发货'!$H:$H,'[1]2025年已发货'!$E:$E,"未发货")</f>
        <v>6</v>
      </c>
      <c r="I1153" s="33" t="str">
        <f>VLOOKUP(B1153,辅助信息!E:I,3,FALSE)</f>
        <v>（达州市公共卫生医疗中心项目-二标-78号楼）达州市通川区西外复兴镇公共卫生临床医疗中心项目</v>
      </c>
      <c r="J1153" s="33" t="str">
        <f>VLOOKUP(B1153,辅助信息!E:I,4,FALSE)</f>
        <v>黄永林</v>
      </c>
      <c r="K1153" s="33">
        <f>VLOOKUP(J1153,辅助信息!H:I,2,FALSE)</f>
        <v>15982487227</v>
      </c>
      <c r="L1153" s="32" t="str">
        <f>VLOOKUP(B1153,辅助信息!E:J,6,FALSE)</f>
        <v>提前联系到场规格,一天到场车辆不低于2车</v>
      </c>
      <c r="M1153" s="84">
        <v>45769</v>
      </c>
      <c r="O1153" s="55">
        <f ca="1" t="shared" si="43"/>
        <v>0</v>
      </c>
      <c r="P1153" s="55">
        <f ca="1" t="shared" si="42"/>
        <v>188</v>
      </c>
      <c r="Q1153" s="22" t="str">
        <f>VLOOKUP(B1153,辅助信息!E:M,9,FALSE)</f>
        <v>ZTWM-CDGS-XS-2024-0205-五冶钢构-达州市通川区西外复兴镇及临近片区建设项目</v>
      </c>
      <c r="R1153" s="22" t="str">
        <f>_xlfn._xlws.FILTER(辅助信息!D:D,辅助信息!E:E=B1153)</f>
        <v>五冶钢构达州市公共卫生临床医疗中心项目</v>
      </c>
    </row>
    <row r="1154" hidden="1" spans="1:18">
      <c r="A1154" s="101"/>
      <c r="B1154" s="33" t="s">
        <v>69</v>
      </c>
      <c r="C1154" s="63">
        <v>45771</v>
      </c>
      <c r="D1154" s="33" t="str">
        <f>VLOOKUP(B1154,辅助信息!E:K,7,FALSE)</f>
        <v>JWDDCD2025052800131</v>
      </c>
      <c r="E1154" s="33" t="str">
        <f>VLOOKUP(F1154,辅助信息!A:B,2,FALSE)</f>
        <v>螺纹钢</v>
      </c>
      <c r="F1154" s="33" t="s">
        <v>45</v>
      </c>
      <c r="G1154" s="29">
        <v>3</v>
      </c>
      <c r="H1154" s="29" t="str">
        <f>_xlfn.XLOOKUP(C1154&amp;F1154&amp;I1154&amp;J1154,'[1]2025年已发货'!$F:$F&amp;'[1]2025年已发货'!$C:$C&amp;'[1]2025年已发货'!$G:$G&amp;'[1]2025年已发货'!$H:$H,'[1]2025年已发货'!$E:$E,"未发货")</f>
        <v>未发货</v>
      </c>
      <c r="I1154" s="33" t="str">
        <f>VLOOKUP(B1154,辅助信息!E:I,3,FALSE)</f>
        <v>（商投建工达州中医药科技园-4工区-2号楼）达州市通川区达州中医药职业学院犀牛大道北段</v>
      </c>
      <c r="J1154" s="33" t="str">
        <f>VLOOKUP(B1154,辅助信息!E:I,4,FALSE)</f>
        <v>张扬</v>
      </c>
      <c r="K1154" s="33">
        <f>VLOOKUP(J1154,辅助信息!H:I,2,FALSE)</f>
        <v>18381904567</v>
      </c>
      <c r="L1154" s="32" t="str">
        <f>VLOOKUP(B1154,辅助信息!E:J,6,FALSE)</f>
        <v>控制炉批号！多了现场不收！,优先安排达钢,提前联系到场规格及数量</v>
      </c>
      <c r="M1154" s="84">
        <v>45763</v>
      </c>
      <c r="O1154" s="55">
        <f ca="1" t="shared" si="43"/>
        <v>0</v>
      </c>
      <c r="P1154" s="55">
        <f ca="1" t="shared" si="42"/>
        <v>194</v>
      </c>
      <c r="Q1154" s="22" t="str">
        <f>VLOOKUP(B1154,辅助信息!E:M,9,FALSE)</f>
        <v>ZTWM-CDGS-XS-2024-0134-商投建工达州中医药科技成果示范园项目</v>
      </c>
      <c r="R1154" s="22" t="str">
        <f>_xlfn._xlws.FILTER(辅助信息!D:D,辅助信息!E:E=B1154)</f>
        <v>商投建工达州中医药科技园</v>
      </c>
    </row>
    <row r="1155" hidden="1" spans="1:18">
      <c r="A1155" s="101"/>
      <c r="B1155" s="33" t="s">
        <v>69</v>
      </c>
      <c r="C1155" s="63">
        <v>45771</v>
      </c>
      <c r="D1155" s="33" t="str">
        <f>VLOOKUP(B1155,辅助信息!E:K,7,FALSE)</f>
        <v>JWDDCD2025052800131</v>
      </c>
      <c r="E1155" s="33" t="str">
        <f>VLOOKUP(F1155,辅助信息!A:B,2,FALSE)</f>
        <v>螺纹钢</v>
      </c>
      <c r="F1155" s="33" t="s">
        <v>21</v>
      </c>
      <c r="G1155" s="29">
        <v>12</v>
      </c>
      <c r="H1155" s="29" t="str">
        <f>_xlfn.XLOOKUP(C1155&amp;F1155&amp;I1155&amp;J1155,'[1]2025年已发货'!$F:$F&amp;'[1]2025年已发货'!$C:$C&amp;'[1]2025年已发货'!$G:$G&amp;'[1]2025年已发货'!$H:$H,'[1]2025年已发货'!$E:$E,"未发货")</f>
        <v>未发货</v>
      </c>
      <c r="I1155" s="33" t="str">
        <f>VLOOKUP(B1155,辅助信息!E:I,3,FALSE)</f>
        <v>（商投建工达州中医药科技园-4工区-2号楼）达州市通川区达州中医药职业学院犀牛大道北段</v>
      </c>
      <c r="J1155" s="33" t="str">
        <f>VLOOKUP(B1155,辅助信息!E:I,4,FALSE)</f>
        <v>张扬</v>
      </c>
      <c r="K1155" s="33">
        <f>VLOOKUP(J1155,辅助信息!H:I,2,FALSE)</f>
        <v>18381904567</v>
      </c>
      <c r="L1155" s="32" t="str">
        <f>VLOOKUP(B1155,辅助信息!E:J,6,FALSE)</f>
        <v>控制炉批号！多了现场不收！,优先安排达钢,提前联系到场规格及数量</v>
      </c>
      <c r="M1155" s="84">
        <v>45763</v>
      </c>
      <c r="O1155" s="55">
        <f ca="1" t="shared" si="43"/>
        <v>0</v>
      </c>
      <c r="P1155" s="55">
        <f ca="1" t="shared" si="42"/>
        <v>194</v>
      </c>
      <c r="Q1155" s="22" t="str">
        <f>VLOOKUP(B1155,辅助信息!E:M,9,FALSE)</f>
        <v>ZTWM-CDGS-XS-2024-0134-商投建工达州中医药科技成果示范园项目</v>
      </c>
      <c r="R1155" s="22" t="str">
        <f>_xlfn._xlws.FILTER(辅助信息!D:D,辅助信息!E:E=B1155)</f>
        <v>商投建工达州中医药科技园</v>
      </c>
    </row>
    <row r="1156" hidden="1" spans="1:18">
      <c r="A1156" s="101"/>
      <c r="B1156" s="33" t="s">
        <v>69</v>
      </c>
      <c r="C1156" s="63">
        <v>45771</v>
      </c>
      <c r="D1156" s="33" t="str">
        <f>VLOOKUP(B1156,辅助信息!E:K,7,FALSE)</f>
        <v>JWDDCD2025052800131</v>
      </c>
      <c r="E1156" s="33" t="str">
        <f>VLOOKUP(F1156,辅助信息!A:B,2,FALSE)</f>
        <v>螺纹钢</v>
      </c>
      <c r="F1156" s="33" t="s">
        <v>58</v>
      </c>
      <c r="G1156" s="29">
        <v>9</v>
      </c>
      <c r="H1156" s="29" t="str">
        <f>_xlfn.XLOOKUP(C1156&amp;F1156&amp;I1156&amp;J1156,'[1]2025年已发货'!$F:$F&amp;'[1]2025年已发货'!$C:$C&amp;'[1]2025年已发货'!$G:$G&amp;'[1]2025年已发货'!$H:$H,'[1]2025年已发货'!$E:$E,"未发货")</f>
        <v>未发货</v>
      </c>
      <c r="I1156" s="33" t="str">
        <f>VLOOKUP(B1156,辅助信息!E:I,3,FALSE)</f>
        <v>（商投建工达州中医药科技园-4工区-2号楼）达州市通川区达州中医药职业学院犀牛大道北段</v>
      </c>
      <c r="J1156" s="33" t="str">
        <f>VLOOKUP(B1156,辅助信息!E:I,4,FALSE)</f>
        <v>张扬</v>
      </c>
      <c r="K1156" s="33">
        <f>VLOOKUP(J1156,辅助信息!H:I,2,FALSE)</f>
        <v>18381904567</v>
      </c>
      <c r="L1156" s="32" t="str">
        <f>VLOOKUP(B1156,辅助信息!E:J,6,FALSE)</f>
        <v>控制炉批号！多了现场不收！,优先安排达钢,提前联系到场规格及数量</v>
      </c>
      <c r="M1156" s="84">
        <v>45763</v>
      </c>
      <c r="O1156" s="55">
        <f ca="1" t="shared" si="43"/>
        <v>0</v>
      </c>
      <c r="P1156" s="55">
        <f ca="1" t="shared" si="42"/>
        <v>194</v>
      </c>
      <c r="Q1156" s="22" t="str">
        <f>VLOOKUP(B1156,辅助信息!E:M,9,FALSE)</f>
        <v>ZTWM-CDGS-XS-2024-0134-商投建工达州中医药科技成果示范园项目</v>
      </c>
      <c r="R1156" s="22" t="str">
        <f>_xlfn._xlws.FILTER(辅助信息!D:D,辅助信息!E:E=B1156)</f>
        <v>商投建工达州中医药科技园</v>
      </c>
    </row>
    <row r="1157" hidden="1" spans="1:18">
      <c r="A1157" s="101"/>
      <c r="B1157" s="33" t="s">
        <v>69</v>
      </c>
      <c r="C1157" s="63">
        <v>45771</v>
      </c>
      <c r="D1157" s="33" t="str">
        <f>VLOOKUP(B1157,辅助信息!E:K,7,FALSE)</f>
        <v>JWDDCD2025052800131</v>
      </c>
      <c r="E1157" s="33" t="str">
        <f>VLOOKUP(F1157,辅助信息!A:B,2,FALSE)</f>
        <v>螺纹钢</v>
      </c>
      <c r="F1157" s="33" t="s">
        <v>46</v>
      </c>
      <c r="G1157" s="29">
        <v>9</v>
      </c>
      <c r="H1157" s="29" t="str">
        <f>_xlfn.XLOOKUP(C1157&amp;F1157&amp;I1157&amp;J1157,'[1]2025年已发货'!$F:$F&amp;'[1]2025年已发货'!$C:$C&amp;'[1]2025年已发货'!$G:$G&amp;'[1]2025年已发货'!$H:$H,'[1]2025年已发货'!$E:$E,"未发货")</f>
        <v>未发货</v>
      </c>
      <c r="I1157" s="33" t="str">
        <f>VLOOKUP(B1157,辅助信息!E:I,3,FALSE)</f>
        <v>（商投建工达州中医药科技园-4工区-2号楼）达州市通川区达州中医药职业学院犀牛大道北段</v>
      </c>
      <c r="J1157" s="33" t="str">
        <f>VLOOKUP(B1157,辅助信息!E:I,4,FALSE)</f>
        <v>张扬</v>
      </c>
      <c r="K1157" s="33">
        <f>VLOOKUP(J1157,辅助信息!H:I,2,FALSE)</f>
        <v>18381904567</v>
      </c>
      <c r="L1157" s="32" t="str">
        <f>VLOOKUP(B1157,辅助信息!E:J,6,FALSE)</f>
        <v>控制炉批号！多了现场不收！,优先安排达钢,提前联系到场规格及数量</v>
      </c>
      <c r="M1157" s="84">
        <v>45763</v>
      </c>
      <c r="O1157" s="55">
        <f ca="1" t="shared" si="43"/>
        <v>0</v>
      </c>
      <c r="P1157" s="55">
        <f ca="1" t="shared" si="42"/>
        <v>194</v>
      </c>
      <c r="Q1157" s="22" t="str">
        <f>VLOOKUP(B1157,辅助信息!E:M,9,FALSE)</f>
        <v>ZTWM-CDGS-XS-2024-0134-商投建工达州中医药科技成果示范园项目</v>
      </c>
      <c r="R1157" s="22" t="str">
        <f>_xlfn._xlws.FILTER(辅助信息!D:D,辅助信息!E:E=B1157)</f>
        <v>商投建工达州中医药科技园</v>
      </c>
    </row>
    <row r="1158" hidden="1" spans="1:18">
      <c r="A1158" s="101"/>
      <c r="B1158" s="33" t="s">
        <v>56</v>
      </c>
      <c r="C1158" s="63">
        <v>45771</v>
      </c>
      <c r="D1158" s="33" t="str">
        <f>VLOOKUP(B1158,辅助信息!E:K,7,FALSE)</f>
        <v>JWDDCD2025052800131</v>
      </c>
      <c r="E1158" s="33" t="str">
        <f>VLOOKUP(F1158,辅助信息!A:B,2,FALSE)</f>
        <v>螺纹钢</v>
      </c>
      <c r="F1158" s="33" t="s">
        <v>46</v>
      </c>
      <c r="G1158" s="29">
        <v>21</v>
      </c>
      <c r="H1158" s="29" t="str">
        <f>_xlfn.XLOOKUP(C1158&amp;F1158&amp;I1158&amp;J1158,'[1]2025年已发货'!$F:$F&amp;'[1]2025年已发货'!$C:$C&amp;'[1]2025年已发货'!$G:$G&amp;'[1]2025年已发货'!$H:$H,'[1]2025年已发货'!$E:$E,"未发货")</f>
        <v>未发货</v>
      </c>
      <c r="I1158" s="33" t="str">
        <f>VLOOKUP(B1158,辅助信息!E:I,3,FALSE)</f>
        <v>（商投建工达州中医药科技园-4工区-7号楼）达州市通川区达州中医药职业学院犀牛大道北段</v>
      </c>
      <c r="J1158" s="33" t="str">
        <f>VLOOKUP(B1158,辅助信息!E:I,4,FALSE)</f>
        <v>张扬</v>
      </c>
      <c r="K1158" s="33">
        <f>VLOOKUP(J1158,辅助信息!H:I,2,FALSE)</f>
        <v>18381904567</v>
      </c>
      <c r="L1158" s="32" t="str">
        <f>VLOOKUP(B1158,辅助信息!E:J,6,FALSE)</f>
        <v>控制炉批号！多了现场不收！,优先安排达钢,提前联系到场规格及数量</v>
      </c>
      <c r="M1158" s="84">
        <v>45768</v>
      </c>
      <c r="O1158" s="55">
        <f ca="1" t="shared" si="43"/>
        <v>0</v>
      </c>
      <c r="P1158" s="55">
        <f ca="1" t="shared" si="42"/>
        <v>189</v>
      </c>
      <c r="Q1158" s="22" t="str">
        <f>VLOOKUP(B1158,辅助信息!E:M,9,FALSE)</f>
        <v>ZTWM-CDGS-XS-2024-0134-商投建工达州中医药科技成果示范园项目</v>
      </c>
      <c r="R1158" s="22" t="str">
        <f>_xlfn._xlws.FILTER(辅助信息!D:D,辅助信息!E:E=B1158)</f>
        <v>商投建工达州中医药科技园</v>
      </c>
    </row>
    <row r="1159" hidden="1" spans="1:18">
      <c r="A1159" s="101"/>
      <c r="B1159" s="76" t="s">
        <v>56</v>
      </c>
      <c r="C1159" s="77">
        <v>45771</v>
      </c>
      <c r="D1159" s="33" t="str">
        <f>VLOOKUP(B1159,辅助信息!E:K,7,FALSE)</f>
        <v>JWDDCD2025052800131</v>
      </c>
      <c r="E1159" s="33" t="str">
        <f>VLOOKUP(F1159,辅助信息!A:B,2,FALSE)</f>
        <v>螺纹钢</v>
      </c>
      <c r="F1159" s="33" t="s">
        <v>22</v>
      </c>
      <c r="G1159" s="29">
        <v>30</v>
      </c>
      <c r="H1159" s="29" t="str">
        <f>_xlfn.XLOOKUP(C1159&amp;F1159&amp;I1159&amp;J1159,'[1]2025年已发货'!$F:$F&amp;'[1]2025年已发货'!$C:$C&amp;'[1]2025年已发货'!$G:$G&amp;'[1]2025年已发货'!$H:$H,'[1]2025年已发货'!$E:$E,"未发货")</f>
        <v>未发货</v>
      </c>
      <c r="I1159" s="33" t="str">
        <f>VLOOKUP(B1159,辅助信息!E:I,3,FALSE)</f>
        <v>（商投建工达州中医药科技园-4工区-7号楼）达州市通川区达州中医药职业学院犀牛大道北段</v>
      </c>
      <c r="J1159" s="33" t="str">
        <f>VLOOKUP(B1159,辅助信息!E:I,4,FALSE)</f>
        <v>张扬</v>
      </c>
      <c r="K1159" s="33">
        <f>VLOOKUP(J1159,辅助信息!H:I,2,FALSE)</f>
        <v>18381904567</v>
      </c>
      <c r="L1159" s="32" t="str">
        <f>VLOOKUP(B1159,辅助信息!E:J,6,FALSE)</f>
        <v>控制炉批号！多了现场不收！,优先安排达钢,提前联系到场规格及数量</v>
      </c>
      <c r="M1159" s="84">
        <v>45768</v>
      </c>
      <c r="O1159" s="55">
        <f ca="1" t="shared" si="43"/>
        <v>0</v>
      </c>
      <c r="P1159" s="55">
        <f ca="1" t="shared" si="42"/>
        <v>189</v>
      </c>
      <c r="Q1159" s="22" t="str">
        <f>VLOOKUP(B1159,辅助信息!E:M,9,FALSE)</f>
        <v>ZTWM-CDGS-XS-2024-0134-商投建工达州中医药科技成果示范园项目</v>
      </c>
      <c r="R1159" s="22" t="str">
        <f>_xlfn._xlws.FILTER(辅助信息!D:D,辅助信息!E:E=B1159)</f>
        <v>商投建工达州中医药科技园</v>
      </c>
    </row>
    <row r="1160" hidden="1" spans="1:18">
      <c r="A1160" s="55"/>
      <c r="B1160" s="33" t="s">
        <v>87</v>
      </c>
      <c r="C1160" s="63">
        <v>45774</v>
      </c>
      <c r="D1160" s="33" t="e">
        <f>VLOOKUP(B1160,辅助信息!E:K,7,FALSE)</f>
        <v>#N/A</v>
      </c>
      <c r="E1160" s="33" t="str">
        <f>VLOOKUP(F1160,辅助信息!A:B,2,FALSE)</f>
        <v>螺纹钢</v>
      </c>
      <c r="F1160" s="33" t="s">
        <v>27</v>
      </c>
      <c r="G1160" s="29">
        <f>12+6</f>
        <v>18</v>
      </c>
      <c r="H1160" s="29" t="e">
        <f>_xlfn.XLOOKUP(C1160&amp;F1160&amp;I1160&amp;J1160,'[1]2025年已发货'!$F:$F&amp;'[1]2025年已发货'!$C:$C&amp;'[1]2025年已发货'!$G:$G&amp;'[1]2025年已发货'!$H:$H,'[1]2025年已发货'!$E:$E,"未发货")</f>
        <v>#N/A</v>
      </c>
      <c r="I1160" s="33" t="e">
        <f>VLOOKUP(B1160,辅助信息!E:I,3,FALSE)</f>
        <v>#N/A</v>
      </c>
      <c r="J1160" s="33" t="e">
        <f>VLOOKUP(B1160,辅助信息!E:I,4,FALSE)</f>
        <v>#N/A</v>
      </c>
      <c r="K1160" s="33" t="e">
        <f>VLOOKUP(J1160,辅助信息!H:I,2,FALSE)</f>
        <v>#N/A</v>
      </c>
      <c r="L1160" s="32" t="e">
        <f>VLOOKUP(B1160,辅助信息!E:J,6,FALSE)</f>
        <v>#N/A</v>
      </c>
      <c r="M1160" s="84">
        <v>45772</v>
      </c>
      <c r="O1160" s="55">
        <f ca="1" t="shared" si="43"/>
        <v>0</v>
      </c>
      <c r="P1160" s="55">
        <f ca="1" t="shared" ref="P1160:P1208" si="44">IF(M1160="","",IF(N1160&lt;&gt;"",MAX(N1160-M1160,0),IF(TODAY()&gt;M1160,TODAY()-M1160,0)))</f>
        <v>185</v>
      </c>
      <c r="Q1160" s="22" t="e">
        <f>VLOOKUP(B1160,辅助信息!E:M,9,FALSE)</f>
        <v>#N/A</v>
      </c>
      <c r="R1160" s="22" vm="1" t="e">
        <f>_xlfn._xlws.FILTER(辅助信息!D:D,辅助信息!E:E=B1160)</f>
        <v>#VALUE!</v>
      </c>
    </row>
    <row r="1161" hidden="1" spans="1:18">
      <c r="A1161" s="55"/>
      <c r="B1161" s="33" t="s">
        <v>87</v>
      </c>
      <c r="C1161" s="63">
        <v>45774</v>
      </c>
      <c r="D1161" s="33" t="e">
        <f>VLOOKUP(B1161,辅助信息!E:K,7,FALSE)</f>
        <v>#N/A</v>
      </c>
      <c r="E1161" s="33" t="str">
        <f>VLOOKUP(F1161,辅助信息!A:B,2,FALSE)</f>
        <v>螺纹钢</v>
      </c>
      <c r="F1161" s="33" t="s">
        <v>19</v>
      </c>
      <c r="G1161" s="29">
        <f>10+6</f>
        <v>16</v>
      </c>
      <c r="H1161" s="29" t="e">
        <f>_xlfn.XLOOKUP(C1161&amp;F1161&amp;I1161&amp;J1161,'[1]2025年已发货'!$F:$F&amp;'[1]2025年已发货'!$C:$C&amp;'[1]2025年已发货'!$G:$G&amp;'[1]2025年已发货'!$H:$H,'[1]2025年已发货'!$E:$E,"未发货")</f>
        <v>#N/A</v>
      </c>
      <c r="I1161" s="33" t="e">
        <f>VLOOKUP(B1161,辅助信息!E:I,3,FALSE)</f>
        <v>#N/A</v>
      </c>
      <c r="J1161" s="33" t="e">
        <f>VLOOKUP(B1161,辅助信息!E:I,4,FALSE)</f>
        <v>#N/A</v>
      </c>
      <c r="K1161" s="33" t="e">
        <f>VLOOKUP(J1161,辅助信息!H:I,2,FALSE)</f>
        <v>#N/A</v>
      </c>
      <c r="L1161" s="32" t="e">
        <f>VLOOKUP(B1161,辅助信息!E:J,6,FALSE)</f>
        <v>#N/A</v>
      </c>
      <c r="M1161" s="84">
        <v>45772</v>
      </c>
      <c r="O1161" s="55">
        <f ca="1" t="shared" si="43"/>
        <v>0</v>
      </c>
      <c r="P1161" s="55">
        <f ca="1" t="shared" si="44"/>
        <v>185</v>
      </c>
      <c r="Q1161" s="22" t="e">
        <f>VLOOKUP(B1161,辅助信息!E:M,9,FALSE)</f>
        <v>#N/A</v>
      </c>
      <c r="R1161" s="22" vm="1" t="e">
        <f>_xlfn._xlws.FILTER(辅助信息!D:D,辅助信息!E:E=B1161)</f>
        <v>#VALUE!</v>
      </c>
    </row>
    <row r="1162" hidden="1" spans="1:18">
      <c r="A1162" s="55"/>
      <c r="B1162" s="33" t="s">
        <v>87</v>
      </c>
      <c r="C1162" s="63">
        <v>45774</v>
      </c>
      <c r="D1162" s="33" t="e">
        <f>VLOOKUP(B1162,辅助信息!E:K,7,FALSE)</f>
        <v>#N/A</v>
      </c>
      <c r="E1162" s="33" t="str">
        <f>VLOOKUP(F1162,辅助信息!A:B,2,FALSE)</f>
        <v>螺纹钢</v>
      </c>
      <c r="F1162" s="33" t="s">
        <v>18</v>
      </c>
      <c r="G1162" s="29">
        <v>6</v>
      </c>
      <c r="H1162" s="29" t="e">
        <f>_xlfn.XLOOKUP(C1162&amp;F1162&amp;I1162&amp;J1162,'[1]2025年已发货'!$F:$F&amp;'[1]2025年已发货'!$C:$C&amp;'[1]2025年已发货'!$G:$G&amp;'[1]2025年已发货'!$H:$H,'[1]2025年已发货'!$E:$E,"未发货")</f>
        <v>#N/A</v>
      </c>
      <c r="I1162" s="33" t="e">
        <f>VLOOKUP(B1162,辅助信息!E:I,3,FALSE)</f>
        <v>#N/A</v>
      </c>
      <c r="J1162" s="33" t="e">
        <f>VLOOKUP(B1162,辅助信息!E:I,4,FALSE)</f>
        <v>#N/A</v>
      </c>
      <c r="K1162" s="33" t="e">
        <f>VLOOKUP(J1162,辅助信息!H:I,2,FALSE)</f>
        <v>#N/A</v>
      </c>
      <c r="L1162" s="32" t="e">
        <f>VLOOKUP(B1162,辅助信息!E:J,6,FALSE)</f>
        <v>#N/A</v>
      </c>
      <c r="M1162" s="84">
        <v>45772</v>
      </c>
      <c r="O1162" s="55">
        <f ca="1" t="shared" si="43"/>
        <v>0</v>
      </c>
      <c r="P1162" s="55">
        <f ca="1" t="shared" si="44"/>
        <v>185</v>
      </c>
      <c r="Q1162" s="22" t="e">
        <f>VLOOKUP(B1162,辅助信息!E:M,9,FALSE)</f>
        <v>#N/A</v>
      </c>
      <c r="R1162" s="22" vm="1" t="e">
        <f>_xlfn._xlws.FILTER(辅助信息!D:D,辅助信息!E:E=B1162)</f>
        <v>#VALUE!</v>
      </c>
    </row>
    <row r="1163" hidden="1" spans="2:18">
      <c r="B1163" s="33" t="s">
        <v>68</v>
      </c>
      <c r="C1163" s="63">
        <v>45771</v>
      </c>
      <c r="D1163" s="33" t="str">
        <f>VLOOKUP(B1163,辅助信息!E:K,7,FALSE)</f>
        <v>JWDDCD2025052800131</v>
      </c>
      <c r="E1163" s="33" t="str">
        <f>VLOOKUP(F1163,辅助信息!A:B,2,FALSE)</f>
        <v>高线</v>
      </c>
      <c r="F1163" s="33" t="s">
        <v>51</v>
      </c>
      <c r="G1163" s="29">
        <v>3</v>
      </c>
      <c r="H1163" s="29" t="str">
        <f>_xlfn.XLOOKUP(C1163&amp;F1163&amp;I1163&amp;J1163,'[1]2025年已发货'!$F:$F&amp;'[1]2025年已发货'!$C:$C&amp;'[1]2025年已发货'!$G:$G&amp;'[1]2025年已发货'!$H:$H,'[1]2025年已发货'!$E:$E,"未发货")</f>
        <v>未发货</v>
      </c>
      <c r="I1163" s="33" t="str">
        <f>VLOOKUP(B1163,辅助信息!E:I,3,FALSE)</f>
        <v>（商投建工达州中医药科技园-2工区-景观桥）达州市通川区达州中医药职业学院犀牛大道北段</v>
      </c>
      <c r="J1163" s="33" t="str">
        <f>VLOOKUP(B1163,辅助信息!E:I,4,FALSE)</f>
        <v>李波</v>
      </c>
      <c r="K1163" s="33">
        <f>VLOOKUP(J1163,辅助信息!H:I,2,FALSE)</f>
        <v>18381899787</v>
      </c>
      <c r="L1163" s="32" t="str">
        <f>VLOOKUP(B1163,辅助信息!E:J,6,FALSE)</f>
        <v>控制炉批号！多了现场不收！,优先安排达钢,提前联系到场规格及数量</v>
      </c>
      <c r="M1163" s="84">
        <v>45772</v>
      </c>
      <c r="O1163" s="55">
        <f ca="1" t="shared" ref="O1163:O1193" si="45">IF(OR(M1163="",N1163&lt;&gt;""),"",MAX(M1163-TODAY(),0))</f>
        <v>0</v>
      </c>
      <c r="P1163" s="55">
        <f ca="1" t="shared" si="44"/>
        <v>185</v>
      </c>
      <c r="Q1163" s="22" t="str">
        <f>VLOOKUP(B1163,辅助信息!E:M,9,FALSE)</f>
        <v>ZTWM-CDGS-XS-2024-0134-商投建工达州中医药科技成果示范园项目</v>
      </c>
      <c r="R1163" s="22" t="str">
        <f>_xlfn._xlws.FILTER(辅助信息!D:D,辅助信息!E:E=B1163)</f>
        <v>商投建工达州中医药科技园</v>
      </c>
    </row>
    <row r="1164" hidden="1" spans="2:18">
      <c r="B1164" s="33" t="s">
        <v>68</v>
      </c>
      <c r="C1164" s="63">
        <v>45771</v>
      </c>
      <c r="D1164" s="33" t="str">
        <f>VLOOKUP(B1164,辅助信息!E:K,7,FALSE)</f>
        <v>JWDDCD2025052800131</v>
      </c>
      <c r="E1164" s="33" t="str">
        <f>VLOOKUP(F1164,辅助信息!A:B,2,FALSE)</f>
        <v>盘螺</v>
      </c>
      <c r="F1164" s="33" t="s">
        <v>41</v>
      </c>
      <c r="G1164" s="29">
        <v>3</v>
      </c>
      <c r="H1164" s="29" t="str">
        <f>_xlfn.XLOOKUP(C1164&amp;F1164&amp;I1164&amp;J1164,'[1]2025年已发货'!$F:$F&amp;'[1]2025年已发货'!$C:$C&amp;'[1]2025年已发货'!$G:$G&amp;'[1]2025年已发货'!$H:$H,'[1]2025年已发货'!$E:$E,"未发货")</f>
        <v>未发货</v>
      </c>
      <c r="I1164" s="33" t="str">
        <f>VLOOKUP(B1164,辅助信息!E:I,3,FALSE)</f>
        <v>（商投建工达州中医药科技园-2工区-景观桥）达州市通川区达州中医药职业学院犀牛大道北段</v>
      </c>
      <c r="J1164" s="33" t="str">
        <f>VLOOKUP(B1164,辅助信息!E:I,4,FALSE)</f>
        <v>李波</v>
      </c>
      <c r="K1164" s="33">
        <f>VLOOKUP(J1164,辅助信息!H:I,2,FALSE)</f>
        <v>18381899787</v>
      </c>
      <c r="L1164" s="32" t="str">
        <f>VLOOKUP(B1164,辅助信息!E:J,6,FALSE)</f>
        <v>控制炉批号！多了现场不收！,优先安排达钢,提前联系到场规格及数量</v>
      </c>
      <c r="M1164" s="84">
        <v>45772</v>
      </c>
      <c r="O1164" s="55">
        <f ca="1" t="shared" si="45"/>
        <v>0</v>
      </c>
      <c r="P1164" s="55">
        <f ca="1" t="shared" si="44"/>
        <v>185</v>
      </c>
      <c r="Q1164" s="22" t="str">
        <f>VLOOKUP(B1164,辅助信息!E:M,9,FALSE)</f>
        <v>ZTWM-CDGS-XS-2024-0134-商投建工达州中医药科技成果示范园项目</v>
      </c>
      <c r="R1164" s="22" t="str">
        <f>_xlfn._xlws.FILTER(辅助信息!D:D,辅助信息!E:E=B1164)</f>
        <v>商投建工达州中医药科技园</v>
      </c>
    </row>
    <row r="1165" hidden="1" spans="2:18">
      <c r="B1165" s="33" t="s">
        <v>68</v>
      </c>
      <c r="C1165" s="63">
        <v>45771</v>
      </c>
      <c r="D1165" s="33" t="str">
        <f>VLOOKUP(B1165,辅助信息!E:K,7,FALSE)</f>
        <v>JWDDCD2025052800131</v>
      </c>
      <c r="E1165" s="33" t="str">
        <f>VLOOKUP(F1165,辅助信息!A:B,2,FALSE)</f>
        <v>螺纹钢</v>
      </c>
      <c r="F1165" s="33" t="s">
        <v>27</v>
      </c>
      <c r="G1165" s="29">
        <v>24</v>
      </c>
      <c r="H1165" s="29">
        <f>_xlfn.XLOOKUP(C1165&amp;F1165&amp;I1165&amp;J1165,'[1]2025年已发货'!$F:$F&amp;'[1]2025年已发货'!$C:$C&amp;'[1]2025年已发货'!$G:$G&amp;'[1]2025年已发货'!$H:$H,'[1]2025年已发货'!$E:$E,"未发货")</f>
        <v>24</v>
      </c>
      <c r="I1165" s="33" t="str">
        <f>VLOOKUP(B1165,辅助信息!E:I,3,FALSE)</f>
        <v>（商投建工达州中医药科技园-2工区-景观桥）达州市通川区达州中医药职业学院犀牛大道北段</v>
      </c>
      <c r="J1165" s="33" t="str">
        <f>VLOOKUP(B1165,辅助信息!E:I,4,FALSE)</f>
        <v>李波</v>
      </c>
      <c r="K1165" s="33">
        <f>VLOOKUP(J1165,辅助信息!H:I,2,FALSE)</f>
        <v>18381899787</v>
      </c>
      <c r="L1165" s="32" t="str">
        <f>VLOOKUP(B1165,辅助信息!E:J,6,FALSE)</f>
        <v>控制炉批号！多了现场不收！,优先安排达钢,提前联系到场规格及数量</v>
      </c>
      <c r="M1165" s="84">
        <v>45772</v>
      </c>
      <c r="O1165" s="55">
        <f ca="1" t="shared" si="45"/>
        <v>0</v>
      </c>
      <c r="P1165" s="55">
        <f ca="1" t="shared" si="44"/>
        <v>185</v>
      </c>
      <c r="Q1165" s="22" t="str">
        <f>VLOOKUP(B1165,辅助信息!E:M,9,FALSE)</f>
        <v>ZTWM-CDGS-XS-2024-0134-商投建工达州中医药科技成果示范园项目</v>
      </c>
      <c r="R1165" s="22" t="str">
        <f>_xlfn._xlws.FILTER(辅助信息!D:D,辅助信息!E:E=B1165)</f>
        <v>商投建工达州中医药科技园</v>
      </c>
    </row>
    <row r="1166" hidden="1" spans="2:18">
      <c r="B1166" s="33" t="s">
        <v>68</v>
      </c>
      <c r="C1166" s="63">
        <v>45771</v>
      </c>
      <c r="D1166" s="33" t="str">
        <f>VLOOKUP(B1166,辅助信息!E:K,7,FALSE)</f>
        <v>JWDDCD2025052800131</v>
      </c>
      <c r="E1166" s="33" t="str">
        <f>VLOOKUP(F1166,辅助信息!A:B,2,FALSE)</f>
        <v>螺纹钢</v>
      </c>
      <c r="F1166" s="33" t="s">
        <v>32</v>
      </c>
      <c r="G1166" s="29">
        <v>17</v>
      </c>
      <c r="H1166" s="29" t="str">
        <f>_xlfn.XLOOKUP(C1166&amp;F1166&amp;I1166&amp;J1166,'[1]2025年已发货'!$F:$F&amp;'[1]2025年已发货'!$C:$C&amp;'[1]2025年已发货'!$G:$G&amp;'[1]2025年已发货'!$H:$H,'[1]2025年已发货'!$E:$E,"未发货")</f>
        <v>未发货</v>
      </c>
      <c r="I1166" s="33" t="str">
        <f>VLOOKUP(B1166,辅助信息!E:I,3,FALSE)</f>
        <v>（商投建工达州中医药科技园-2工区-景观桥）达州市通川区达州中医药职业学院犀牛大道北段</v>
      </c>
      <c r="J1166" s="33" t="str">
        <f>VLOOKUP(B1166,辅助信息!E:I,4,FALSE)</f>
        <v>李波</v>
      </c>
      <c r="K1166" s="33">
        <f>VLOOKUP(J1166,辅助信息!H:I,2,FALSE)</f>
        <v>18381899787</v>
      </c>
      <c r="L1166" s="32" t="str">
        <f>VLOOKUP(B1166,辅助信息!E:J,6,FALSE)</f>
        <v>控制炉批号！多了现场不收！,优先安排达钢,提前联系到场规格及数量</v>
      </c>
      <c r="M1166" s="84">
        <v>45772</v>
      </c>
      <c r="O1166" s="55">
        <f ca="1" t="shared" si="45"/>
        <v>0</v>
      </c>
      <c r="P1166" s="55">
        <f ca="1" t="shared" si="44"/>
        <v>185</v>
      </c>
      <c r="Q1166" s="22" t="str">
        <f>VLOOKUP(B1166,辅助信息!E:M,9,FALSE)</f>
        <v>ZTWM-CDGS-XS-2024-0134-商投建工达州中医药科技成果示范园项目</v>
      </c>
      <c r="R1166" s="22" t="str">
        <f>_xlfn._xlws.FILTER(辅助信息!D:D,辅助信息!E:E=B1166)</f>
        <v>商投建工达州中医药科技园</v>
      </c>
    </row>
    <row r="1167" hidden="1" spans="2:18">
      <c r="B1167" s="33" t="s">
        <v>68</v>
      </c>
      <c r="C1167" s="63">
        <v>45771</v>
      </c>
      <c r="D1167" s="33" t="str">
        <f>VLOOKUP(B1167,辅助信息!E:K,7,FALSE)</f>
        <v>JWDDCD2025052800131</v>
      </c>
      <c r="E1167" s="33" t="str">
        <f>VLOOKUP(F1167,辅助信息!A:B,2,FALSE)</f>
        <v>螺纹钢</v>
      </c>
      <c r="F1167" s="33" t="s">
        <v>33</v>
      </c>
      <c r="G1167" s="29">
        <v>21</v>
      </c>
      <c r="H1167" s="29">
        <f>_xlfn.XLOOKUP(C1167&amp;F1167&amp;I1167&amp;J1167,'[1]2025年已发货'!$F:$F&amp;'[1]2025年已发货'!$C:$C&amp;'[1]2025年已发货'!$G:$G&amp;'[1]2025年已发货'!$H:$H,'[1]2025年已发货'!$E:$E,"未发货")</f>
        <v>21</v>
      </c>
      <c r="I1167" s="33" t="str">
        <f>VLOOKUP(B1167,辅助信息!E:I,3,FALSE)</f>
        <v>（商投建工达州中医药科技园-2工区-景观桥）达州市通川区达州中医药职业学院犀牛大道北段</v>
      </c>
      <c r="J1167" s="33" t="str">
        <f>VLOOKUP(B1167,辅助信息!E:I,4,FALSE)</f>
        <v>李波</v>
      </c>
      <c r="K1167" s="33">
        <f>VLOOKUP(J1167,辅助信息!H:I,2,FALSE)</f>
        <v>18381899787</v>
      </c>
      <c r="L1167" s="32" t="str">
        <f>VLOOKUP(B1167,辅助信息!E:J,6,FALSE)</f>
        <v>控制炉批号！多了现场不收！,优先安排达钢,提前联系到场规格及数量</v>
      </c>
      <c r="M1167" s="84">
        <v>45772</v>
      </c>
      <c r="O1167" s="55">
        <f ca="1" t="shared" si="45"/>
        <v>0</v>
      </c>
      <c r="P1167" s="55">
        <f ca="1" t="shared" si="44"/>
        <v>185</v>
      </c>
      <c r="Q1167" s="22" t="str">
        <f>VLOOKUP(B1167,辅助信息!E:M,9,FALSE)</f>
        <v>ZTWM-CDGS-XS-2024-0134-商投建工达州中医药科技成果示范园项目</v>
      </c>
      <c r="R1167" s="22" t="str">
        <f>_xlfn._xlws.FILTER(辅助信息!D:D,辅助信息!E:E=B1167)</f>
        <v>商投建工达州中医药科技园</v>
      </c>
    </row>
    <row r="1168" hidden="1" spans="2:18">
      <c r="B1168" s="33" t="s">
        <v>68</v>
      </c>
      <c r="C1168" s="63">
        <v>45771</v>
      </c>
      <c r="D1168" s="33" t="str">
        <f>VLOOKUP(B1168,辅助信息!E:K,7,FALSE)</f>
        <v>JWDDCD2025052800131</v>
      </c>
      <c r="E1168" s="33" t="str">
        <f>VLOOKUP(F1168,辅助信息!A:B,2,FALSE)</f>
        <v>螺纹钢</v>
      </c>
      <c r="F1168" s="33" t="s">
        <v>18</v>
      </c>
      <c r="G1168" s="29">
        <v>12</v>
      </c>
      <c r="H1168" s="29" t="str">
        <f>_xlfn.XLOOKUP(C1168&amp;F1168&amp;I1168&amp;J1168,'[1]2025年已发货'!$F:$F&amp;'[1]2025年已发货'!$C:$C&amp;'[1]2025年已发货'!$G:$G&amp;'[1]2025年已发货'!$H:$H,'[1]2025年已发货'!$E:$E,"未发货")</f>
        <v>未发货</v>
      </c>
      <c r="I1168" s="33" t="str">
        <f>VLOOKUP(B1168,辅助信息!E:I,3,FALSE)</f>
        <v>（商投建工达州中医药科技园-2工区-景观桥）达州市通川区达州中医药职业学院犀牛大道北段</v>
      </c>
      <c r="J1168" s="33" t="str">
        <f>VLOOKUP(B1168,辅助信息!E:I,4,FALSE)</f>
        <v>李波</v>
      </c>
      <c r="K1168" s="33">
        <f>VLOOKUP(J1168,辅助信息!H:I,2,FALSE)</f>
        <v>18381899787</v>
      </c>
      <c r="L1168" s="32" t="str">
        <f>VLOOKUP(B1168,辅助信息!E:J,6,FALSE)</f>
        <v>控制炉批号！多了现场不收！,优先安排达钢,提前联系到场规格及数量</v>
      </c>
      <c r="M1168" s="84">
        <v>45772</v>
      </c>
      <c r="O1168" s="55">
        <f ca="1" t="shared" si="45"/>
        <v>0</v>
      </c>
      <c r="P1168" s="55">
        <f ca="1" t="shared" si="44"/>
        <v>185</v>
      </c>
      <c r="Q1168" s="22" t="str">
        <f>VLOOKUP(B1168,辅助信息!E:M,9,FALSE)</f>
        <v>ZTWM-CDGS-XS-2024-0134-商投建工达州中医药科技成果示范园项目</v>
      </c>
      <c r="R1168" s="22" t="str">
        <f>_xlfn._xlws.FILTER(辅助信息!D:D,辅助信息!E:E=B1168)</f>
        <v>商投建工达州中医药科技园</v>
      </c>
    </row>
    <row r="1169" hidden="1" spans="2:18">
      <c r="B1169" s="33" t="s">
        <v>68</v>
      </c>
      <c r="C1169" s="63">
        <v>45771</v>
      </c>
      <c r="D1169" s="33" t="str">
        <f>VLOOKUP(B1169,辅助信息!E:K,7,FALSE)</f>
        <v>JWDDCD2025052800131</v>
      </c>
      <c r="E1169" s="33" t="str">
        <f>VLOOKUP(F1169,辅助信息!A:B,2,FALSE)</f>
        <v>螺纹钢</v>
      </c>
      <c r="F1169" s="33" t="s">
        <v>52</v>
      </c>
      <c r="G1169" s="29">
        <v>80</v>
      </c>
      <c r="H1169" s="29">
        <f>_xlfn.XLOOKUP(C1169&amp;F1169&amp;I1169&amp;J1169,'[1]2025年已发货'!$F:$F&amp;'[1]2025年已发货'!$C:$C&amp;'[1]2025年已发货'!$G:$G&amp;'[1]2025年已发货'!$H:$H,'[1]2025年已发货'!$E:$E,"未发货")</f>
        <v>65</v>
      </c>
      <c r="I1169" s="33" t="str">
        <f>VLOOKUP(B1169,辅助信息!E:I,3,FALSE)</f>
        <v>（商投建工达州中医药科技园-2工区-景观桥）达州市通川区达州中医药职业学院犀牛大道北段</v>
      </c>
      <c r="J1169" s="33" t="str">
        <f>VLOOKUP(B1169,辅助信息!E:I,4,FALSE)</f>
        <v>李波</v>
      </c>
      <c r="K1169" s="33">
        <f>VLOOKUP(J1169,辅助信息!H:I,2,FALSE)</f>
        <v>18381899787</v>
      </c>
      <c r="L1169" s="32" t="str">
        <f>VLOOKUP(B1169,辅助信息!E:J,6,FALSE)</f>
        <v>控制炉批号！多了现场不收！,优先安排达钢,提前联系到场规格及数量</v>
      </c>
      <c r="M1169" s="84">
        <v>45772</v>
      </c>
      <c r="O1169" s="55">
        <f ca="1" t="shared" si="45"/>
        <v>0</v>
      </c>
      <c r="P1169" s="55">
        <f ca="1" t="shared" si="44"/>
        <v>185</v>
      </c>
      <c r="Q1169" s="22" t="str">
        <f>VLOOKUP(B1169,辅助信息!E:M,9,FALSE)</f>
        <v>ZTWM-CDGS-XS-2024-0134-商投建工达州中医药科技成果示范园项目</v>
      </c>
      <c r="R1169" s="22" t="str">
        <f>_xlfn._xlws.FILTER(辅助信息!D:D,辅助信息!E:E=B1169)</f>
        <v>商投建工达州中医药科技园</v>
      </c>
    </row>
    <row r="1170" hidden="1" spans="1:18">
      <c r="A1170" s="55" t="e">
        <f t="shared" ref="A1170:A1202" si="46">G1170-H1170</f>
        <v>#VALUE!</v>
      </c>
      <c r="B1170" s="33" t="s">
        <v>135</v>
      </c>
      <c r="C1170" s="63">
        <v>45771</v>
      </c>
      <c r="D1170" s="33" t="str">
        <f>VLOOKUP(B1170,辅助信息!E:K,7,FALSE)</f>
        <v>JWDDCD2025050800080</v>
      </c>
      <c r="E1170" s="33" t="str">
        <f>VLOOKUP(F1170,辅助信息!A:B,2,FALSE)</f>
        <v>盘螺</v>
      </c>
      <c r="F1170" s="33" t="s">
        <v>49</v>
      </c>
      <c r="G1170" s="29">
        <v>10</v>
      </c>
      <c r="H1170" s="29" t="str">
        <f>_xlfn.XLOOKUP(C1170&amp;F1170&amp;I1170&amp;J1170,'[1]2025年已发货'!$F:$F&amp;'[1]2025年已发货'!$C:$C&amp;'[1]2025年已发货'!$G:$G&amp;'[1]2025年已发货'!$H:$H,'[1]2025年已发货'!$E:$E,"未发货")</f>
        <v>未发货</v>
      </c>
      <c r="I1170" s="33" t="str">
        <f>VLOOKUP(B1170,辅助信息!E:I,3,FALSE)</f>
        <v>(宜宾兴港三江新区长江工业园建设项目-M2-2#厂房)宜宾市翠屏区宜宾汽车零部件配套产业基地(纬五路南)</v>
      </c>
      <c r="J1170" s="33" t="str">
        <f>VLOOKUP(B1170,辅助信息!E:I,4,FALSE)</f>
        <v>李国享</v>
      </c>
      <c r="K1170" s="33">
        <f>VLOOKUP(J1170,辅助信息!H:I,2,FALSE)</f>
        <v>17713876279</v>
      </c>
      <c r="L1170" s="32" t="str">
        <f>VLOOKUP(B1170,辅助信息!E:J,6,FALSE)</f>
        <v>装货前联系收货人核实到场规格，货物最下面用方木垫下方便卸货</v>
      </c>
      <c r="M1170" s="84">
        <v>45773</v>
      </c>
      <c r="O1170" s="55">
        <f ca="1" t="shared" si="45"/>
        <v>0</v>
      </c>
      <c r="P1170" s="55">
        <f ca="1" t="shared" si="44"/>
        <v>184</v>
      </c>
      <c r="Q1170" s="22" t="str">
        <f>VLOOKUP(B1170,辅助信息!E:M,9,FALSE)</f>
        <v>ZTWM-CDGS-XS-2025-0059-宜宾兴港建材-宜宾冷链项目</v>
      </c>
      <c r="R1170" s="22" t="str">
        <f>_xlfn._xlws.FILTER(辅助信息!D:D,辅助信息!E:E=B1170)</f>
        <v>宜宾兴港三江新区长江工业园建设项目</v>
      </c>
    </row>
    <row r="1171" hidden="1" spans="1:18">
      <c r="A1171" s="55" t="e">
        <f t="shared" si="46"/>
        <v>#VALUE!</v>
      </c>
      <c r="B1171" s="33" t="s">
        <v>135</v>
      </c>
      <c r="C1171" s="63">
        <v>45771</v>
      </c>
      <c r="D1171" s="33" t="str">
        <f>VLOOKUP(B1171,辅助信息!E:K,7,FALSE)</f>
        <v>JWDDCD2025050800080</v>
      </c>
      <c r="E1171" s="33" t="str">
        <f>VLOOKUP(F1171,辅助信息!A:B,2,FALSE)</f>
        <v>盘螺</v>
      </c>
      <c r="F1171" s="33" t="s">
        <v>40</v>
      </c>
      <c r="G1171" s="29">
        <v>20</v>
      </c>
      <c r="H1171" s="29" t="str">
        <f>_xlfn.XLOOKUP(C1171&amp;F1171&amp;I1171&amp;J1171,'[1]2025年已发货'!$F:$F&amp;'[1]2025年已发货'!$C:$C&amp;'[1]2025年已发货'!$G:$G&amp;'[1]2025年已发货'!$H:$H,'[1]2025年已发货'!$E:$E,"未发货")</f>
        <v>未发货</v>
      </c>
      <c r="I1171" s="33" t="str">
        <f>VLOOKUP(B1171,辅助信息!E:I,3,FALSE)</f>
        <v>(宜宾兴港三江新区长江工业园建设项目-M2-2#厂房)宜宾市翠屏区宜宾汽车零部件配套产业基地(纬五路南)</v>
      </c>
      <c r="J1171" s="33" t="str">
        <f>VLOOKUP(B1171,辅助信息!E:I,4,FALSE)</f>
        <v>李国享</v>
      </c>
      <c r="K1171" s="33">
        <f>VLOOKUP(J1171,辅助信息!H:I,2,FALSE)</f>
        <v>17713876279</v>
      </c>
      <c r="L1171" s="32" t="str">
        <f>VLOOKUP(B1171,辅助信息!E:J,6,FALSE)</f>
        <v>装货前联系收货人核实到场规格，货物最下面用方木垫下方便卸货</v>
      </c>
      <c r="M1171" s="84">
        <v>45773</v>
      </c>
      <c r="O1171" s="55">
        <f ca="1" t="shared" si="45"/>
        <v>0</v>
      </c>
      <c r="P1171" s="55">
        <f ca="1" t="shared" si="44"/>
        <v>184</v>
      </c>
      <c r="Q1171" s="22" t="str">
        <f>VLOOKUP(B1171,辅助信息!E:M,9,FALSE)</f>
        <v>ZTWM-CDGS-XS-2025-0059-宜宾兴港建材-宜宾冷链项目</v>
      </c>
      <c r="R1171" s="22" t="str">
        <f>_xlfn._xlws.FILTER(辅助信息!D:D,辅助信息!E:E=B1171)</f>
        <v>宜宾兴港三江新区长江工业园建设项目</v>
      </c>
    </row>
    <row r="1172" hidden="1" spans="1:18">
      <c r="A1172" s="55" t="e">
        <f t="shared" si="46"/>
        <v>#VALUE!</v>
      </c>
      <c r="B1172" s="33" t="s">
        <v>135</v>
      </c>
      <c r="C1172" s="63">
        <v>45771</v>
      </c>
      <c r="D1172" s="33" t="str">
        <f>VLOOKUP(B1172,辅助信息!E:K,7,FALSE)</f>
        <v>JWDDCD2025050800080</v>
      </c>
      <c r="E1172" s="33" t="str">
        <f>VLOOKUP(F1172,辅助信息!A:B,2,FALSE)</f>
        <v>盘螺</v>
      </c>
      <c r="F1172" s="33" t="s">
        <v>41</v>
      </c>
      <c r="G1172" s="29">
        <v>30</v>
      </c>
      <c r="H1172" s="29" t="str">
        <f>_xlfn.XLOOKUP(C1172&amp;F1172&amp;I1172&amp;J1172,'[1]2025年已发货'!$F:$F&amp;'[1]2025年已发货'!$C:$C&amp;'[1]2025年已发货'!$G:$G&amp;'[1]2025年已发货'!$H:$H,'[1]2025年已发货'!$E:$E,"未发货")</f>
        <v>未发货</v>
      </c>
      <c r="I1172" s="33" t="str">
        <f>VLOOKUP(B1172,辅助信息!E:I,3,FALSE)</f>
        <v>(宜宾兴港三江新区长江工业园建设项目-M2-2#厂房)宜宾市翠屏区宜宾汽车零部件配套产业基地(纬五路南)</v>
      </c>
      <c r="J1172" s="33" t="str">
        <f>VLOOKUP(B1172,辅助信息!E:I,4,FALSE)</f>
        <v>李国享</v>
      </c>
      <c r="K1172" s="33">
        <f>VLOOKUP(J1172,辅助信息!H:I,2,FALSE)</f>
        <v>17713876279</v>
      </c>
      <c r="L1172" s="32" t="str">
        <f>VLOOKUP(B1172,辅助信息!E:J,6,FALSE)</f>
        <v>装货前联系收货人核实到场规格，货物最下面用方木垫下方便卸货</v>
      </c>
      <c r="M1172" s="84">
        <v>45773</v>
      </c>
      <c r="O1172" s="55">
        <f ca="1" t="shared" si="45"/>
        <v>0</v>
      </c>
      <c r="P1172" s="55">
        <f ca="1" t="shared" si="44"/>
        <v>184</v>
      </c>
      <c r="Q1172" s="22" t="str">
        <f>VLOOKUP(B1172,辅助信息!E:M,9,FALSE)</f>
        <v>ZTWM-CDGS-XS-2025-0059-宜宾兴港建材-宜宾冷链项目</v>
      </c>
      <c r="R1172" s="22" t="str">
        <f>_xlfn._xlws.FILTER(辅助信息!D:D,辅助信息!E:E=B1172)</f>
        <v>宜宾兴港三江新区长江工业园建设项目</v>
      </c>
    </row>
    <row r="1173" hidden="1" spans="1:18">
      <c r="A1173" s="55" t="e">
        <f t="shared" si="46"/>
        <v>#VALUE!</v>
      </c>
      <c r="B1173" s="33" t="s">
        <v>135</v>
      </c>
      <c r="C1173" s="63">
        <v>45771</v>
      </c>
      <c r="D1173" s="33" t="str">
        <f>VLOOKUP(B1173,辅助信息!E:K,7,FALSE)</f>
        <v>JWDDCD2025050800080</v>
      </c>
      <c r="E1173" s="33" t="str">
        <f>VLOOKUP(F1173,辅助信息!A:B,2,FALSE)</f>
        <v>螺纹钢</v>
      </c>
      <c r="F1173" s="33" t="s">
        <v>27</v>
      </c>
      <c r="G1173" s="29">
        <v>60</v>
      </c>
      <c r="H1173" s="29" t="str">
        <f>_xlfn.XLOOKUP(C1173&amp;F1173&amp;I1173&amp;J1173,'[1]2025年已发货'!$F:$F&amp;'[1]2025年已发货'!$C:$C&amp;'[1]2025年已发货'!$G:$G&amp;'[1]2025年已发货'!$H:$H,'[1]2025年已发货'!$E:$E,"未发货")</f>
        <v>未发货</v>
      </c>
      <c r="I1173" s="33" t="str">
        <f>VLOOKUP(B1173,辅助信息!E:I,3,FALSE)</f>
        <v>(宜宾兴港三江新区长江工业园建设项目-M2-2#厂房)宜宾市翠屏区宜宾汽车零部件配套产业基地(纬五路南)</v>
      </c>
      <c r="J1173" s="33" t="str">
        <f>VLOOKUP(B1173,辅助信息!E:I,4,FALSE)</f>
        <v>李国享</v>
      </c>
      <c r="K1173" s="33">
        <f>VLOOKUP(J1173,辅助信息!H:I,2,FALSE)</f>
        <v>17713876279</v>
      </c>
      <c r="L1173" s="32" t="str">
        <f>VLOOKUP(B1173,辅助信息!E:J,6,FALSE)</f>
        <v>装货前联系收货人核实到场规格，货物最下面用方木垫下方便卸货</v>
      </c>
      <c r="M1173" s="84">
        <v>45773</v>
      </c>
      <c r="O1173" s="55">
        <f ca="1" t="shared" si="45"/>
        <v>0</v>
      </c>
      <c r="P1173" s="55">
        <f ca="1" t="shared" si="44"/>
        <v>184</v>
      </c>
      <c r="Q1173" s="22" t="str">
        <f>VLOOKUP(B1173,辅助信息!E:M,9,FALSE)</f>
        <v>ZTWM-CDGS-XS-2025-0059-宜宾兴港建材-宜宾冷链项目</v>
      </c>
      <c r="R1173" s="22" t="str">
        <f>_xlfn._xlws.FILTER(辅助信息!D:D,辅助信息!E:E=B1173)</f>
        <v>宜宾兴港三江新区长江工业园建设项目</v>
      </c>
    </row>
    <row r="1174" hidden="1" spans="1:18">
      <c r="A1174" s="55" t="e">
        <f t="shared" si="46"/>
        <v>#VALUE!</v>
      </c>
      <c r="B1174" s="33" t="s">
        <v>135</v>
      </c>
      <c r="C1174" s="63">
        <v>45771</v>
      </c>
      <c r="D1174" s="33" t="str">
        <f>VLOOKUP(B1174,辅助信息!E:K,7,FALSE)</f>
        <v>JWDDCD2025050800080</v>
      </c>
      <c r="E1174" s="33" t="str">
        <f>VLOOKUP(F1174,辅助信息!A:B,2,FALSE)</f>
        <v>螺纹钢</v>
      </c>
      <c r="F1174" s="33" t="s">
        <v>19</v>
      </c>
      <c r="G1174" s="29">
        <v>20</v>
      </c>
      <c r="H1174" s="29" t="str">
        <f>_xlfn.XLOOKUP(C1174&amp;F1174&amp;I1174&amp;J1174,'[1]2025年已发货'!$F:$F&amp;'[1]2025年已发货'!$C:$C&amp;'[1]2025年已发货'!$G:$G&amp;'[1]2025年已发货'!$H:$H,'[1]2025年已发货'!$E:$E,"未发货")</f>
        <v>未发货</v>
      </c>
      <c r="I1174" s="33" t="str">
        <f>VLOOKUP(B1174,辅助信息!E:I,3,FALSE)</f>
        <v>(宜宾兴港三江新区长江工业园建设项目-M2-2#厂房)宜宾市翠屏区宜宾汽车零部件配套产业基地(纬五路南)</v>
      </c>
      <c r="J1174" s="33" t="str">
        <f>VLOOKUP(B1174,辅助信息!E:I,4,FALSE)</f>
        <v>李国享</v>
      </c>
      <c r="K1174" s="33">
        <f>VLOOKUP(J1174,辅助信息!H:I,2,FALSE)</f>
        <v>17713876279</v>
      </c>
      <c r="L1174" s="32" t="str">
        <f>VLOOKUP(B1174,辅助信息!E:J,6,FALSE)</f>
        <v>装货前联系收货人核实到场规格，货物最下面用方木垫下方便卸货</v>
      </c>
      <c r="M1174" s="84">
        <v>45773</v>
      </c>
      <c r="O1174" s="55">
        <f ca="1" t="shared" si="45"/>
        <v>0</v>
      </c>
      <c r="P1174" s="55">
        <f ca="1" t="shared" si="44"/>
        <v>184</v>
      </c>
      <c r="Q1174" s="22" t="str">
        <f>VLOOKUP(B1174,辅助信息!E:M,9,FALSE)</f>
        <v>ZTWM-CDGS-XS-2025-0059-宜宾兴港建材-宜宾冷链项目</v>
      </c>
      <c r="R1174" s="22" t="str">
        <f>_xlfn._xlws.FILTER(辅助信息!D:D,辅助信息!E:E=B1174)</f>
        <v>宜宾兴港三江新区长江工业园建设项目</v>
      </c>
    </row>
    <row r="1175" hidden="1" spans="1:18">
      <c r="A1175" s="55" t="e">
        <f t="shared" si="46"/>
        <v>#VALUE!</v>
      </c>
      <c r="B1175" s="33" t="s">
        <v>135</v>
      </c>
      <c r="C1175" s="63">
        <v>45771</v>
      </c>
      <c r="D1175" s="33" t="str">
        <f>VLOOKUP(B1175,辅助信息!E:K,7,FALSE)</f>
        <v>JWDDCD2025050800080</v>
      </c>
      <c r="E1175" s="33" t="str">
        <f>VLOOKUP(F1175,辅助信息!A:B,2,FALSE)</f>
        <v>螺纹钢</v>
      </c>
      <c r="F1175" s="33" t="s">
        <v>32</v>
      </c>
      <c r="G1175" s="29">
        <v>20</v>
      </c>
      <c r="H1175" s="29" t="str">
        <f>_xlfn.XLOOKUP(C1175&amp;F1175&amp;I1175&amp;J1175,'[1]2025年已发货'!$F:$F&amp;'[1]2025年已发货'!$C:$C&amp;'[1]2025年已发货'!$G:$G&amp;'[1]2025年已发货'!$H:$H,'[1]2025年已发货'!$E:$E,"未发货")</f>
        <v>未发货</v>
      </c>
      <c r="I1175" s="33" t="str">
        <f>VLOOKUP(B1175,辅助信息!E:I,3,FALSE)</f>
        <v>(宜宾兴港三江新区长江工业园建设项目-M2-2#厂房)宜宾市翠屏区宜宾汽车零部件配套产业基地(纬五路南)</v>
      </c>
      <c r="J1175" s="33" t="str">
        <f>VLOOKUP(B1175,辅助信息!E:I,4,FALSE)</f>
        <v>李国享</v>
      </c>
      <c r="K1175" s="33">
        <f>VLOOKUP(J1175,辅助信息!H:I,2,FALSE)</f>
        <v>17713876279</v>
      </c>
      <c r="L1175" s="32" t="str">
        <f>VLOOKUP(B1175,辅助信息!E:J,6,FALSE)</f>
        <v>装货前联系收货人核实到场规格，货物最下面用方木垫下方便卸货</v>
      </c>
      <c r="M1175" s="84">
        <v>45773</v>
      </c>
      <c r="O1175" s="55">
        <f ca="1" t="shared" si="45"/>
        <v>0</v>
      </c>
      <c r="P1175" s="55">
        <f ca="1" t="shared" si="44"/>
        <v>184</v>
      </c>
      <c r="Q1175" s="22" t="str">
        <f>VLOOKUP(B1175,辅助信息!E:M,9,FALSE)</f>
        <v>ZTWM-CDGS-XS-2025-0059-宜宾兴港建材-宜宾冷链项目</v>
      </c>
      <c r="R1175" s="22" t="str">
        <f>_xlfn._xlws.FILTER(辅助信息!D:D,辅助信息!E:E=B1175)</f>
        <v>宜宾兴港三江新区长江工业园建设项目</v>
      </c>
    </row>
    <row r="1176" hidden="1" spans="1:18">
      <c r="A1176" s="55" t="e">
        <f t="shared" si="46"/>
        <v>#VALUE!</v>
      </c>
      <c r="B1176" s="33" t="s">
        <v>135</v>
      </c>
      <c r="C1176" s="63">
        <v>45771</v>
      </c>
      <c r="D1176" s="33" t="str">
        <f>VLOOKUP(B1176,辅助信息!E:K,7,FALSE)</f>
        <v>JWDDCD2025050800080</v>
      </c>
      <c r="E1176" s="33" t="str">
        <f>VLOOKUP(F1176,辅助信息!A:B,2,FALSE)</f>
        <v>螺纹钢</v>
      </c>
      <c r="F1176" s="33" t="s">
        <v>30</v>
      </c>
      <c r="G1176" s="29">
        <v>100</v>
      </c>
      <c r="H1176" s="29" t="str">
        <f>_xlfn.XLOOKUP(C1176&amp;F1176&amp;I1176&amp;J1176,'[1]2025年已发货'!$F:$F&amp;'[1]2025年已发货'!$C:$C&amp;'[1]2025年已发货'!$G:$G&amp;'[1]2025年已发货'!$H:$H,'[1]2025年已发货'!$E:$E,"未发货")</f>
        <v>未发货</v>
      </c>
      <c r="I1176" s="33" t="str">
        <f>VLOOKUP(B1176,辅助信息!E:I,3,FALSE)</f>
        <v>(宜宾兴港三江新区长江工业园建设项目-M2-2#厂房)宜宾市翠屏区宜宾汽车零部件配套产业基地(纬五路南)</v>
      </c>
      <c r="J1176" s="33" t="str">
        <f>VLOOKUP(B1176,辅助信息!E:I,4,FALSE)</f>
        <v>李国享</v>
      </c>
      <c r="K1176" s="33">
        <f>VLOOKUP(J1176,辅助信息!H:I,2,FALSE)</f>
        <v>17713876279</v>
      </c>
      <c r="L1176" s="32" t="str">
        <f>VLOOKUP(B1176,辅助信息!E:J,6,FALSE)</f>
        <v>装货前联系收货人核实到场规格，货物最下面用方木垫下方便卸货</v>
      </c>
      <c r="M1176" s="84">
        <v>45773</v>
      </c>
      <c r="O1176" s="55">
        <f ca="1" t="shared" si="45"/>
        <v>0</v>
      </c>
      <c r="P1176" s="55">
        <f ca="1" t="shared" si="44"/>
        <v>184</v>
      </c>
      <c r="Q1176" s="22" t="str">
        <f>VLOOKUP(B1176,辅助信息!E:M,9,FALSE)</f>
        <v>ZTWM-CDGS-XS-2025-0059-宜宾兴港建材-宜宾冷链项目</v>
      </c>
      <c r="R1176" s="22" t="str">
        <f>_xlfn._xlws.FILTER(辅助信息!D:D,辅助信息!E:E=B1176)</f>
        <v>宜宾兴港三江新区长江工业园建设项目</v>
      </c>
    </row>
    <row r="1177" hidden="1" spans="1:18">
      <c r="A1177" s="55" t="e">
        <f t="shared" si="46"/>
        <v>#VALUE!</v>
      </c>
      <c r="B1177" s="33" t="s">
        <v>135</v>
      </c>
      <c r="C1177" s="63">
        <v>45771</v>
      </c>
      <c r="D1177" s="33" t="str">
        <f>VLOOKUP(B1177,辅助信息!E:K,7,FALSE)</f>
        <v>JWDDCD2025050800080</v>
      </c>
      <c r="E1177" s="33" t="str">
        <f>VLOOKUP(F1177,辅助信息!A:B,2,FALSE)</f>
        <v>螺纹钢</v>
      </c>
      <c r="F1177" s="33" t="s">
        <v>33</v>
      </c>
      <c r="G1177" s="29">
        <v>20</v>
      </c>
      <c r="H1177" s="29" t="str">
        <f>_xlfn.XLOOKUP(C1177&amp;F1177&amp;I1177&amp;J1177,'[1]2025年已发货'!$F:$F&amp;'[1]2025年已发货'!$C:$C&amp;'[1]2025年已发货'!$G:$G&amp;'[1]2025年已发货'!$H:$H,'[1]2025年已发货'!$E:$E,"未发货")</f>
        <v>未发货</v>
      </c>
      <c r="I1177" s="33" t="str">
        <f>VLOOKUP(B1177,辅助信息!E:I,3,FALSE)</f>
        <v>(宜宾兴港三江新区长江工业园建设项目-M2-2#厂房)宜宾市翠屏区宜宾汽车零部件配套产业基地(纬五路南)</v>
      </c>
      <c r="J1177" s="33" t="str">
        <f>VLOOKUP(B1177,辅助信息!E:I,4,FALSE)</f>
        <v>李国享</v>
      </c>
      <c r="K1177" s="33">
        <f>VLOOKUP(J1177,辅助信息!H:I,2,FALSE)</f>
        <v>17713876279</v>
      </c>
      <c r="L1177" s="32" t="str">
        <f>VLOOKUP(B1177,辅助信息!E:J,6,FALSE)</f>
        <v>装货前联系收货人核实到场规格，货物最下面用方木垫下方便卸货</v>
      </c>
      <c r="M1177" s="84">
        <v>45773</v>
      </c>
      <c r="O1177" s="55">
        <f ca="1" t="shared" si="45"/>
        <v>0</v>
      </c>
      <c r="P1177" s="55">
        <f ca="1" t="shared" si="44"/>
        <v>184</v>
      </c>
      <c r="Q1177" s="22" t="str">
        <f>VLOOKUP(B1177,辅助信息!E:M,9,FALSE)</f>
        <v>ZTWM-CDGS-XS-2025-0059-宜宾兴港建材-宜宾冷链项目</v>
      </c>
      <c r="R1177" s="22" t="str">
        <f>_xlfn._xlws.FILTER(辅助信息!D:D,辅助信息!E:E=B1177)</f>
        <v>宜宾兴港三江新区长江工业园建设项目</v>
      </c>
    </row>
    <row r="1178" hidden="1" spans="1:18">
      <c r="A1178" s="55" t="e">
        <f t="shared" si="46"/>
        <v>#VALUE!</v>
      </c>
      <c r="B1178" s="33" t="s">
        <v>135</v>
      </c>
      <c r="C1178" s="63">
        <v>45771</v>
      </c>
      <c r="D1178" s="33" t="str">
        <f>VLOOKUP(B1178,辅助信息!E:K,7,FALSE)</f>
        <v>JWDDCD2025050800080</v>
      </c>
      <c r="E1178" s="33" t="str">
        <f>VLOOKUP(F1178,辅助信息!A:B,2,FALSE)</f>
        <v>螺纹钢</v>
      </c>
      <c r="F1178" s="33" t="s">
        <v>28</v>
      </c>
      <c r="G1178" s="29">
        <v>20</v>
      </c>
      <c r="H1178" s="29" t="str">
        <f>_xlfn.XLOOKUP(C1178&amp;F1178&amp;I1178&amp;J1178,'[1]2025年已发货'!$F:$F&amp;'[1]2025年已发货'!$C:$C&amp;'[1]2025年已发货'!$G:$G&amp;'[1]2025年已发货'!$H:$H,'[1]2025年已发货'!$E:$E,"未发货")</f>
        <v>未发货</v>
      </c>
      <c r="I1178" s="33" t="str">
        <f>VLOOKUP(B1178,辅助信息!E:I,3,FALSE)</f>
        <v>(宜宾兴港三江新区长江工业园建设项目-M2-2#厂房)宜宾市翠屏区宜宾汽车零部件配套产业基地(纬五路南)</v>
      </c>
      <c r="J1178" s="33" t="str">
        <f>VLOOKUP(B1178,辅助信息!E:I,4,FALSE)</f>
        <v>李国享</v>
      </c>
      <c r="K1178" s="33">
        <f>VLOOKUP(J1178,辅助信息!H:I,2,FALSE)</f>
        <v>17713876279</v>
      </c>
      <c r="L1178" s="32" t="str">
        <f>VLOOKUP(B1178,辅助信息!E:J,6,FALSE)</f>
        <v>装货前联系收货人核实到场规格，货物最下面用方木垫下方便卸货</v>
      </c>
      <c r="M1178" s="84">
        <v>45773</v>
      </c>
      <c r="O1178" s="55">
        <f ca="1" t="shared" si="45"/>
        <v>0</v>
      </c>
      <c r="P1178" s="55">
        <f ca="1" t="shared" si="44"/>
        <v>184</v>
      </c>
      <c r="Q1178" s="22" t="str">
        <f>VLOOKUP(B1178,辅助信息!E:M,9,FALSE)</f>
        <v>ZTWM-CDGS-XS-2025-0059-宜宾兴港建材-宜宾冷链项目</v>
      </c>
      <c r="R1178" s="22" t="str">
        <f>_xlfn._xlws.FILTER(辅助信息!D:D,辅助信息!E:E=B1178)</f>
        <v>宜宾兴港三江新区长江工业园建设项目</v>
      </c>
    </row>
    <row r="1179" hidden="1" spans="1:18">
      <c r="A1179" s="55" t="e">
        <f t="shared" si="46"/>
        <v>#VALUE!</v>
      </c>
      <c r="B1179" s="33" t="s">
        <v>135</v>
      </c>
      <c r="C1179" s="63">
        <v>45771</v>
      </c>
      <c r="D1179" s="33" t="str">
        <f>VLOOKUP(B1179,辅助信息!E:K,7,FALSE)</f>
        <v>JWDDCD2025050800080</v>
      </c>
      <c r="E1179" s="33" t="str">
        <f>VLOOKUP(F1179,辅助信息!A:B,2,FALSE)</f>
        <v>螺纹钢</v>
      </c>
      <c r="F1179" s="33" t="s">
        <v>18</v>
      </c>
      <c r="G1179" s="29">
        <v>10</v>
      </c>
      <c r="H1179" s="29" t="str">
        <f>_xlfn.XLOOKUP(C1179&amp;F1179&amp;I1179&amp;J1179,'[1]2025年已发货'!$F:$F&amp;'[1]2025年已发货'!$C:$C&amp;'[1]2025年已发货'!$G:$G&amp;'[1]2025年已发货'!$H:$H,'[1]2025年已发货'!$E:$E,"未发货")</f>
        <v>未发货</v>
      </c>
      <c r="I1179" s="33" t="str">
        <f>VLOOKUP(B1179,辅助信息!E:I,3,FALSE)</f>
        <v>(宜宾兴港三江新区长江工业园建设项目-M2-2#厂房)宜宾市翠屏区宜宾汽车零部件配套产业基地(纬五路南)</v>
      </c>
      <c r="J1179" s="33" t="str">
        <f>VLOOKUP(B1179,辅助信息!E:I,4,FALSE)</f>
        <v>李国享</v>
      </c>
      <c r="K1179" s="33">
        <f>VLOOKUP(J1179,辅助信息!H:I,2,FALSE)</f>
        <v>17713876279</v>
      </c>
      <c r="L1179" s="32" t="str">
        <f>VLOOKUP(B1179,辅助信息!E:J,6,FALSE)</f>
        <v>装货前联系收货人核实到场规格，货物最下面用方木垫下方便卸货</v>
      </c>
      <c r="M1179" s="84">
        <v>45773</v>
      </c>
      <c r="O1179" s="55">
        <f ca="1" t="shared" si="45"/>
        <v>0</v>
      </c>
      <c r="P1179" s="55">
        <f ca="1" t="shared" si="44"/>
        <v>184</v>
      </c>
      <c r="Q1179" s="22" t="str">
        <f>VLOOKUP(B1179,辅助信息!E:M,9,FALSE)</f>
        <v>ZTWM-CDGS-XS-2025-0059-宜宾兴港建材-宜宾冷链项目</v>
      </c>
      <c r="R1179" s="22" t="str">
        <f>_xlfn._xlws.FILTER(辅助信息!D:D,辅助信息!E:E=B1179)</f>
        <v>宜宾兴港三江新区长江工业园建设项目</v>
      </c>
    </row>
    <row r="1180" hidden="1" spans="1:18">
      <c r="A1180" s="55" t="e">
        <f t="shared" si="46"/>
        <v>#VALUE!</v>
      </c>
      <c r="B1180" s="33" t="s">
        <v>136</v>
      </c>
      <c r="C1180" s="63">
        <v>45771</v>
      </c>
      <c r="D1180" s="33" t="str">
        <f>VLOOKUP(B1180,辅助信息!E:K,7,FALSE)</f>
        <v>JWDDCD2025050800080</v>
      </c>
      <c r="E1180" s="33" t="str">
        <f>VLOOKUP(F1180,辅助信息!A:B,2,FALSE)</f>
        <v>盘螺</v>
      </c>
      <c r="F1180" s="33" t="s">
        <v>41</v>
      </c>
      <c r="G1180" s="29">
        <v>35</v>
      </c>
      <c r="H1180" s="29" t="str">
        <f>_xlfn.XLOOKUP(C1180&amp;F1180&amp;I1180&amp;J1180,'[1]2025年已发货'!$F:$F&amp;'[1]2025年已发货'!$C:$C&amp;'[1]2025年已发货'!$G:$G&amp;'[1]2025年已发货'!$H:$H,'[1]2025年已发货'!$E:$E,"未发货")</f>
        <v>未发货</v>
      </c>
      <c r="I1180" s="33" t="str">
        <f>VLOOKUP(B1180,辅助信息!E:I,3,FALSE)</f>
        <v>(宜宾兴港三江新区长江工业园建设项目-M2-00-04桩)宜宾市翠屏区宜宾汽车零部件配套产业基地(纬五路南)</v>
      </c>
      <c r="J1180" s="33" t="str">
        <f>VLOOKUP(B1180,辅助信息!E:I,4,FALSE)</f>
        <v>李国享</v>
      </c>
      <c r="K1180" s="33">
        <f>VLOOKUP(J1180,辅助信息!H:I,2,FALSE)</f>
        <v>17713876279</v>
      </c>
      <c r="L1180" s="32" t="str">
        <f>VLOOKUP(B1180,辅助信息!E:J,6,FALSE)</f>
        <v>装货前联系收货人核实到场规格，货物最下面用方木垫下方便卸货</v>
      </c>
      <c r="M1180" s="84">
        <v>45773</v>
      </c>
      <c r="O1180" s="55">
        <f ca="1" t="shared" si="45"/>
        <v>0</v>
      </c>
      <c r="P1180" s="55">
        <f ca="1" t="shared" si="44"/>
        <v>184</v>
      </c>
      <c r="Q1180" s="22" t="str">
        <f>VLOOKUP(B1180,辅助信息!E:M,9,FALSE)</f>
        <v>ZTWM-CDGS-XS-2025-0059-宜宾兴港建材-宜宾冷链项目</v>
      </c>
      <c r="R1180" s="22" t="str">
        <f>_xlfn._xlws.FILTER(辅助信息!D:D,辅助信息!E:E=B1180)</f>
        <v>宜宾兴港三江新区长江工业园建设项目</v>
      </c>
    </row>
    <row r="1181" hidden="1" spans="1:18">
      <c r="A1181" s="55" t="e">
        <f t="shared" si="46"/>
        <v>#VALUE!</v>
      </c>
      <c r="B1181" s="33" t="s">
        <v>136</v>
      </c>
      <c r="C1181" s="63">
        <v>45771</v>
      </c>
      <c r="D1181" s="33" t="str">
        <f>VLOOKUP(B1181,辅助信息!E:K,7,FALSE)</f>
        <v>JWDDCD2025050800080</v>
      </c>
      <c r="E1181" s="33" t="str">
        <f>VLOOKUP(F1181,辅助信息!A:B,2,FALSE)</f>
        <v>螺纹钢</v>
      </c>
      <c r="F1181" s="33" t="s">
        <v>32</v>
      </c>
      <c r="G1181" s="29">
        <v>35</v>
      </c>
      <c r="H1181" s="29" t="str">
        <f>_xlfn.XLOOKUP(C1181&amp;F1181&amp;I1181&amp;J1181,'[1]2025年已发货'!$F:$F&amp;'[1]2025年已发货'!$C:$C&amp;'[1]2025年已发货'!$G:$G&amp;'[1]2025年已发货'!$H:$H,'[1]2025年已发货'!$E:$E,"未发货")</f>
        <v>未发货</v>
      </c>
      <c r="I1181" s="33" t="str">
        <f>VLOOKUP(B1181,辅助信息!E:I,3,FALSE)</f>
        <v>(宜宾兴港三江新区长江工业园建设项目-M2-00-04桩)宜宾市翠屏区宜宾汽车零部件配套产业基地(纬五路南)</v>
      </c>
      <c r="J1181" s="33" t="str">
        <f>VLOOKUP(B1181,辅助信息!E:I,4,FALSE)</f>
        <v>李国享</v>
      </c>
      <c r="K1181" s="33">
        <f>VLOOKUP(J1181,辅助信息!H:I,2,FALSE)</f>
        <v>17713876279</v>
      </c>
      <c r="L1181" s="32" t="str">
        <f>VLOOKUP(B1181,辅助信息!E:J,6,FALSE)</f>
        <v>装货前联系收货人核实到场规格，货物最下面用方木垫下方便卸货</v>
      </c>
      <c r="M1181" s="84">
        <v>45773</v>
      </c>
      <c r="O1181" s="55">
        <f ca="1" t="shared" si="45"/>
        <v>0</v>
      </c>
      <c r="P1181" s="55">
        <f ca="1" t="shared" si="44"/>
        <v>184</v>
      </c>
      <c r="Q1181" s="22" t="str">
        <f>VLOOKUP(B1181,辅助信息!E:M,9,FALSE)</f>
        <v>ZTWM-CDGS-XS-2025-0059-宜宾兴港建材-宜宾冷链项目</v>
      </c>
      <c r="R1181" s="22" t="str">
        <f>_xlfn._xlws.FILTER(辅助信息!D:D,辅助信息!E:E=B1181)</f>
        <v>宜宾兴港三江新区长江工业园建设项目</v>
      </c>
    </row>
    <row r="1182" hidden="1" spans="1:18">
      <c r="A1182" s="55" t="e">
        <f t="shared" si="46"/>
        <v>#VALUE!</v>
      </c>
      <c r="B1182" s="33" t="s">
        <v>136</v>
      </c>
      <c r="C1182" s="63">
        <v>45771</v>
      </c>
      <c r="D1182" s="33" t="str">
        <f>VLOOKUP(B1182,辅助信息!E:K,7,FALSE)</f>
        <v>JWDDCD2025050800080</v>
      </c>
      <c r="E1182" s="33" t="str">
        <f>VLOOKUP(F1182,辅助信息!A:B,2,FALSE)</f>
        <v>螺纹钢</v>
      </c>
      <c r="F1182" s="33" t="s">
        <v>30</v>
      </c>
      <c r="G1182" s="29">
        <v>35</v>
      </c>
      <c r="H1182" s="29" t="str">
        <f>_xlfn.XLOOKUP(C1182&amp;F1182&amp;I1182&amp;J1182,'[1]2025年已发货'!$F:$F&amp;'[1]2025年已发货'!$C:$C&amp;'[1]2025年已发货'!$G:$G&amp;'[1]2025年已发货'!$H:$H,'[1]2025年已发货'!$E:$E,"未发货")</f>
        <v>未发货</v>
      </c>
      <c r="I1182" s="33" t="str">
        <f>VLOOKUP(B1182,辅助信息!E:I,3,FALSE)</f>
        <v>(宜宾兴港三江新区长江工业园建设项目-M2-00-04桩)宜宾市翠屏区宜宾汽车零部件配套产业基地(纬五路南)</v>
      </c>
      <c r="J1182" s="33" t="str">
        <f>VLOOKUP(B1182,辅助信息!E:I,4,FALSE)</f>
        <v>李国享</v>
      </c>
      <c r="K1182" s="33">
        <f>VLOOKUP(J1182,辅助信息!H:I,2,FALSE)</f>
        <v>17713876279</v>
      </c>
      <c r="L1182" s="32" t="str">
        <f>VLOOKUP(B1182,辅助信息!E:J,6,FALSE)</f>
        <v>装货前联系收货人核实到场规格，货物最下面用方木垫下方便卸货</v>
      </c>
      <c r="M1182" s="84">
        <v>45773</v>
      </c>
      <c r="O1182" s="55">
        <f ca="1" t="shared" si="45"/>
        <v>0</v>
      </c>
      <c r="P1182" s="55">
        <f ca="1" t="shared" si="44"/>
        <v>184</v>
      </c>
      <c r="Q1182" s="22" t="str">
        <f>VLOOKUP(B1182,辅助信息!E:M,9,FALSE)</f>
        <v>ZTWM-CDGS-XS-2025-0059-宜宾兴港建材-宜宾冷链项目</v>
      </c>
      <c r="R1182" s="22" t="str">
        <f>_xlfn._xlws.FILTER(辅助信息!D:D,辅助信息!E:E=B1182)</f>
        <v>宜宾兴港三江新区长江工业园建设项目</v>
      </c>
    </row>
    <row r="1183" hidden="1" spans="1:18">
      <c r="A1183" s="55" t="e">
        <f t="shared" si="46"/>
        <v>#VALUE!</v>
      </c>
      <c r="B1183" s="33" t="s">
        <v>136</v>
      </c>
      <c r="C1183" s="63">
        <v>45771</v>
      </c>
      <c r="D1183" s="33" t="str">
        <f>VLOOKUP(B1183,辅助信息!E:K,7,FALSE)</f>
        <v>JWDDCD2025050800080</v>
      </c>
      <c r="E1183" s="33" t="str">
        <f>VLOOKUP(F1183,辅助信息!A:B,2,FALSE)</f>
        <v>螺纹钢</v>
      </c>
      <c r="F1183" s="33" t="s">
        <v>90</v>
      </c>
      <c r="G1183" s="29">
        <v>175</v>
      </c>
      <c r="H1183" s="29" t="str">
        <f>_xlfn.XLOOKUP(C1183&amp;F1183&amp;I1183&amp;J1183,'[1]2025年已发货'!$F:$F&amp;'[1]2025年已发货'!$C:$C&amp;'[1]2025年已发货'!$G:$G&amp;'[1]2025年已发货'!$H:$H,'[1]2025年已发货'!$E:$E,"未发货")</f>
        <v>未发货</v>
      </c>
      <c r="I1183" s="33" t="str">
        <f>VLOOKUP(B1183,辅助信息!E:I,3,FALSE)</f>
        <v>(宜宾兴港三江新区长江工业园建设项目-M2-00-04桩)宜宾市翠屏区宜宾汽车零部件配套产业基地(纬五路南)</v>
      </c>
      <c r="J1183" s="33" t="str">
        <f>VLOOKUP(B1183,辅助信息!E:I,4,FALSE)</f>
        <v>李国享</v>
      </c>
      <c r="K1183" s="33">
        <f>VLOOKUP(J1183,辅助信息!H:I,2,FALSE)</f>
        <v>17713876279</v>
      </c>
      <c r="L1183" s="32" t="str">
        <f>VLOOKUP(B1183,辅助信息!E:J,6,FALSE)</f>
        <v>装货前联系收货人核实到场规格，货物最下面用方木垫下方便卸货</v>
      </c>
      <c r="M1183" s="84">
        <v>45773</v>
      </c>
      <c r="O1183" s="55">
        <f ca="1" t="shared" si="45"/>
        <v>0</v>
      </c>
      <c r="P1183" s="55">
        <f ca="1" t="shared" si="44"/>
        <v>184</v>
      </c>
      <c r="Q1183" s="22" t="str">
        <f>VLOOKUP(B1183,辅助信息!E:M,9,FALSE)</f>
        <v>ZTWM-CDGS-XS-2025-0059-宜宾兴港建材-宜宾冷链项目</v>
      </c>
      <c r="R1183" s="22" t="str">
        <f>_xlfn._xlws.FILTER(辅助信息!D:D,辅助信息!E:E=B1183)</f>
        <v>宜宾兴港三江新区长江工业园建设项目</v>
      </c>
    </row>
    <row r="1184" hidden="1" spans="1:18">
      <c r="A1184" s="55" t="e">
        <f t="shared" si="46"/>
        <v>#VALUE!</v>
      </c>
      <c r="B1184" s="33" t="s">
        <v>136</v>
      </c>
      <c r="C1184" s="63">
        <v>45771</v>
      </c>
      <c r="D1184" s="33" t="str">
        <f>VLOOKUP(B1184,辅助信息!E:K,7,FALSE)</f>
        <v>JWDDCD2025050800080</v>
      </c>
      <c r="E1184" s="33" t="str">
        <f>VLOOKUP(F1184,辅助信息!A:B,2,FALSE)</f>
        <v>螺纹钢</v>
      </c>
      <c r="F1184" s="33" t="s">
        <v>130</v>
      </c>
      <c r="G1184" s="29">
        <v>35</v>
      </c>
      <c r="H1184" s="29" t="str">
        <f>_xlfn.XLOOKUP(C1184&amp;F1184&amp;I1184&amp;J1184,'[1]2025年已发货'!$F:$F&amp;'[1]2025年已发货'!$C:$C&amp;'[1]2025年已发货'!$G:$G&amp;'[1]2025年已发货'!$H:$H,'[1]2025年已发货'!$E:$E,"未发货")</f>
        <v>未发货</v>
      </c>
      <c r="I1184" s="33" t="str">
        <f>VLOOKUP(B1184,辅助信息!E:I,3,FALSE)</f>
        <v>(宜宾兴港三江新区长江工业园建设项目-M2-00-04桩)宜宾市翠屏区宜宾汽车零部件配套产业基地(纬五路南)</v>
      </c>
      <c r="J1184" s="33" t="str">
        <f>VLOOKUP(B1184,辅助信息!E:I,4,FALSE)</f>
        <v>李国享</v>
      </c>
      <c r="K1184" s="33">
        <f>VLOOKUP(J1184,辅助信息!H:I,2,FALSE)</f>
        <v>17713876279</v>
      </c>
      <c r="L1184" s="32" t="str">
        <f>VLOOKUP(B1184,辅助信息!E:J,6,FALSE)</f>
        <v>装货前联系收货人核实到场规格，货物最下面用方木垫下方便卸货</v>
      </c>
      <c r="M1184" s="84">
        <v>45773</v>
      </c>
      <c r="O1184" s="55">
        <f ca="1" t="shared" si="45"/>
        <v>0</v>
      </c>
      <c r="P1184" s="55">
        <f ca="1" t="shared" si="44"/>
        <v>184</v>
      </c>
      <c r="Q1184" s="22" t="str">
        <f>VLOOKUP(B1184,辅助信息!E:M,9,FALSE)</f>
        <v>ZTWM-CDGS-XS-2025-0059-宜宾兴港建材-宜宾冷链项目</v>
      </c>
      <c r="R1184" s="22" t="str">
        <f>_xlfn._xlws.FILTER(辅助信息!D:D,辅助信息!E:E=B1184)</f>
        <v>宜宾兴港三江新区长江工业园建设项目</v>
      </c>
    </row>
    <row r="1185" hidden="1" spans="1:18">
      <c r="A1185" s="55" t="e">
        <f t="shared" si="46"/>
        <v>#VALUE!</v>
      </c>
      <c r="B1185" s="33" t="s">
        <v>137</v>
      </c>
      <c r="C1185" s="63">
        <v>45771</v>
      </c>
      <c r="D1185" s="33" t="str">
        <f>VLOOKUP(B1185,辅助信息!E:K,7,FALSE)</f>
        <v>JWDDCD2025050800080</v>
      </c>
      <c r="E1185" s="33" t="str">
        <f>VLOOKUP(F1185,辅助信息!A:B,2,FALSE)</f>
        <v>盘螺</v>
      </c>
      <c r="F1185" s="33" t="s">
        <v>40</v>
      </c>
      <c r="G1185" s="29">
        <v>10</v>
      </c>
      <c r="H1185" s="29" t="str">
        <f>_xlfn.XLOOKUP(C1185&amp;F1185&amp;I1185&amp;J1185,'[1]2025年已发货'!$F:$F&amp;'[1]2025年已发货'!$C:$C&amp;'[1]2025年已发货'!$G:$G&amp;'[1]2025年已发货'!$H:$H,'[1]2025年已发货'!$E:$E,"未发货")</f>
        <v>未发货</v>
      </c>
      <c r="I1185" s="33" t="str">
        <f>VLOOKUP(B1185,辅助信息!E:I,3,FALSE)</f>
        <v>(宜宾兴港三江新区长江工业园建设项目-M2-6#厂房)宜宾市翠屏区宜宾汽车零部件配套产业基地(纬五路南)</v>
      </c>
      <c r="J1185" s="33" t="str">
        <f>VLOOKUP(B1185,辅助信息!E:I,4,FALSE)</f>
        <v>李国享</v>
      </c>
      <c r="K1185" s="33">
        <f>VLOOKUP(J1185,辅助信息!H:I,2,FALSE)</f>
        <v>17713876279</v>
      </c>
      <c r="L1185" s="32" t="str">
        <f>VLOOKUP(B1185,辅助信息!E:J,6,FALSE)</f>
        <v>装货前联系收货人核实到场规格，货物最下面用方木垫下方便卸货</v>
      </c>
      <c r="M1185" s="84">
        <v>45773</v>
      </c>
      <c r="O1185" s="55">
        <f ca="1" t="shared" si="45"/>
        <v>0</v>
      </c>
      <c r="P1185" s="55">
        <f ca="1" t="shared" si="44"/>
        <v>184</v>
      </c>
      <c r="Q1185" s="22" t="str">
        <f>VLOOKUP(B1185,辅助信息!E:M,9,FALSE)</f>
        <v>ZTWM-CDGS-XS-2025-0059-宜宾兴港建材-宜宾冷链项目</v>
      </c>
      <c r="R1185" s="22" t="str">
        <f>_xlfn._xlws.FILTER(辅助信息!D:D,辅助信息!E:E=B1185)</f>
        <v>宜宾兴港三江新区长江工业园建设项目</v>
      </c>
    </row>
    <row r="1186" hidden="1" spans="1:18">
      <c r="A1186" s="55" t="e">
        <f t="shared" si="46"/>
        <v>#VALUE!</v>
      </c>
      <c r="B1186" s="33" t="s">
        <v>137</v>
      </c>
      <c r="C1186" s="63">
        <v>45771</v>
      </c>
      <c r="D1186" s="33" t="str">
        <f>VLOOKUP(B1186,辅助信息!E:K,7,FALSE)</f>
        <v>JWDDCD2025050800080</v>
      </c>
      <c r="E1186" s="33" t="str">
        <f>VLOOKUP(F1186,辅助信息!A:B,2,FALSE)</f>
        <v>盘螺</v>
      </c>
      <c r="F1186" s="33" t="s">
        <v>41</v>
      </c>
      <c r="G1186" s="29">
        <v>30</v>
      </c>
      <c r="H1186" s="29" t="str">
        <f>_xlfn.XLOOKUP(C1186&amp;F1186&amp;I1186&amp;J1186,'[1]2025年已发货'!$F:$F&amp;'[1]2025年已发货'!$C:$C&amp;'[1]2025年已发货'!$G:$G&amp;'[1]2025年已发货'!$H:$H,'[1]2025年已发货'!$E:$E,"未发货")</f>
        <v>未发货</v>
      </c>
      <c r="I1186" s="33" t="str">
        <f>VLOOKUP(B1186,辅助信息!E:I,3,FALSE)</f>
        <v>(宜宾兴港三江新区长江工业园建设项目-M2-6#厂房)宜宾市翠屏区宜宾汽车零部件配套产业基地(纬五路南)</v>
      </c>
      <c r="J1186" s="33" t="str">
        <f>VLOOKUP(B1186,辅助信息!E:I,4,FALSE)</f>
        <v>李国享</v>
      </c>
      <c r="K1186" s="33">
        <f>VLOOKUP(J1186,辅助信息!H:I,2,FALSE)</f>
        <v>17713876279</v>
      </c>
      <c r="L1186" s="32" t="str">
        <f>VLOOKUP(B1186,辅助信息!E:J,6,FALSE)</f>
        <v>装货前联系收货人核实到场规格，货物最下面用方木垫下方便卸货</v>
      </c>
      <c r="M1186" s="84">
        <v>45773</v>
      </c>
      <c r="O1186" s="55">
        <f ca="1" t="shared" si="45"/>
        <v>0</v>
      </c>
      <c r="P1186" s="55">
        <f ca="1" t="shared" si="44"/>
        <v>184</v>
      </c>
      <c r="Q1186" s="22" t="str">
        <f>VLOOKUP(B1186,辅助信息!E:M,9,FALSE)</f>
        <v>ZTWM-CDGS-XS-2025-0059-宜宾兴港建材-宜宾冷链项目</v>
      </c>
      <c r="R1186" s="22" t="str">
        <f>_xlfn._xlws.FILTER(辅助信息!D:D,辅助信息!E:E=B1186)</f>
        <v>宜宾兴港三江新区长江工业园建设项目</v>
      </c>
    </row>
    <row r="1187" hidden="1" spans="1:18">
      <c r="A1187" s="55" t="e">
        <f t="shared" si="46"/>
        <v>#VALUE!</v>
      </c>
      <c r="B1187" s="33" t="s">
        <v>137</v>
      </c>
      <c r="C1187" s="63">
        <v>45771</v>
      </c>
      <c r="D1187" s="33" t="str">
        <f>VLOOKUP(B1187,辅助信息!E:K,7,FALSE)</f>
        <v>JWDDCD2025050800080</v>
      </c>
      <c r="E1187" s="33" t="str">
        <f>VLOOKUP(F1187,辅助信息!A:B,2,FALSE)</f>
        <v>螺纹钢</v>
      </c>
      <c r="F1187" s="33" t="s">
        <v>27</v>
      </c>
      <c r="G1187" s="29">
        <v>10</v>
      </c>
      <c r="H1187" s="29" t="str">
        <f>_xlfn.XLOOKUP(C1187&amp;F1187&amp;I1187&amp;J1187,'[1]2025年已发货'!$F:$F&amp;'[1]2025年已发货'!$C:$C&amp;'[1]2025年已发货'!$G:$G&amp;'[1]2025年已发货'!$H:$H,'[1]2025年已发货'!$E:$E,"未发货")</f>
        <v>未发货</v>
      </c>
      <c r="I1187" s="33" t="str">
        <f>VLOOKUP(B1187,辅助信息!E:I,3,FALSE)</f>
        <v>(宜宾兴港三江新区长江工业园建设项目-M2-6#厂房)宜宾市翠屏区宜宾汽车零部件配套产业基地(纬五路南)</v>
      </c>
      <c r="J1187" s="33" t="str">
        <f>VLOOKUP(B1187,辅助信息!E:I,4,FALSE)</f>
        <v>李国享</v>
      </c>
      <c r="K1187" s="33">
        <f>VLOOKUP(J1187,辅助信息!H:I,2,FALSE)</f>
        <v>17713876279</v>
      </c>
      <c r="L1187" s="32" t="str">
        <f>VLOOKUP(B1187,辅助信息!E:J,6,FALSE)</f>
        <v>装货前联系收货人核实到场规格，货物最下面用方木垫下方便卸货</v>
      </c>
      <c r="M1187" s="84">
        <v>45773</v>
      </c>
      <c r="O1187" s="55">
        <f ca="1" t="shared" si="45"/>
        <v>0</v>
      </c>
      <c r="P1187" s="55">
        <f ca="1" t="shared" si="44"/>
        <v>184</v>
      </c>
      <c r="Q1187" s="22" t="str">
        <f>VLOOKUP(B1187,辅助信息!E:M,9,FALSE)</f>
        <v>ZTWM-CDGS-XS-2025-0059-宜宾兴港建材-宜宾冷链项目</v>
      </c>
      <c r="R1187" s="22" t="str">
        <f>_xlfn._xlws.FILTER(辅助信息!D:D,辅助信息!E:E=B1187)</f>
        <v>宜宾兴港三江新区长江工业园建设项目</v>
      </c>
    </row>
    <row r="1188" hidden="1" spans="1:18">
      <c r="A1188" s="55" t="e">
        <f t="shared" si="46"/>
        <v>#VALUE!</v>
      </c>
      <c r="B1188" s="33" t="s">
        <v>137</v>
      </c>
      <c r="C1188" s="63">
        <v>45771</v>
      </c>
      <c r="D1188" s="33" t="str">
        <f>VLOOKUP(B1188,辅助信息!E:K,7,FALSE)</f>
        <v>JWDDCD2025050800080</v>
      </c>
      <c r="E1188" s="33" t="str">
        <f>VLOOKUP(F1188,辅助信息!A:B,2,FALSE)</f>
        <v>螺纹钢</v>
      </c>
      <c r="F1188" s="33" t="s">
        <v>32</v>
      </c>
      <c r="G1188" s="29">
        <v>6</v>
      </c>
      <c r="H1188" s="29" t="str">
        <f>_xlfn.XLOOKUP(C1188&amp;F1188&amp;I1188&amp;J1188,'[1]2025年已发货'!$F:$F&amp;'[1]2025年已发货'!$C:$C&amp;'[1]2025年已发货'!$G:$G&amp;'[1]2025年已发货'!$H:$H,'[1]2025年已发货'!$E:$E,"未发货")</f>
        <v>未发货</v>
      </c>
      <c r="I1188" s="33" t="str">
        <f>VLOOKUP(B1188,辅助信息!E:I,3,FALSE)</f>
        <v>(宜宾兴港三江新区长江工业园建设项目-M2-6#厂房)宜宾市翠屏区宜宾汽车零部件配套产业基地(纬五路南)</v>
      </c>
      <c r="J1188" s="33" t="str">
        <f>VLOOKUP(B1188,辅助信息!E:I,4,FALSE)</f>
        <v>李国享</v>
      </c>
      <c r="K1188" s="33">
        <f>VLOOKUP(J1188,辅助信息!H:I,2,FALSE)</f>
        <v>17713876279</v>
      </c>
      <c r="L1188" s="32" t="str">
        <f>VLOOKUP(B1188,辅助信息!E:J,6,FALSE)</f>
        <v>装货前联系收货人核实到场规格，货物最下面用方木垫下方便卸货</v>
      </c>
      <c r="M1188" s="84">
        <v>45773</v>
      </c>
      <c r="O1188" s="55">
        <f ca="1" t="shared" si="45"/>
        <v>0</v>
      </c>
      <c r="P1188" s="55">
        <f ca="1" t="shared" si="44"/>
        <v>184</v>
      </c>
      <c r="Q1188" s="22" t="str">
        <f>VLOOKUP(B1188,辅助信息!E:M,9,FALSE)</f>
        <v>ZTWM-CDGS-XS-2025-0059-宜宾兴港建材-宜宾冷链项目</v>
      </c>
      <c r="R1188" s="22" t="str">
        <f>_xlfn._xlws.FILTER(辅助信息!D:D,辅助信息!E:E=B1188)</f>
        <v>宜宾兴港三江新区长江工业园建设项目</v>
      </c>
    </row>
    <row r="1189" hidden="1" spans="1:18">
      <c r="A1189" s="55" t="e">
        <f t="shared" si="46"/>
        <v>#VALUE!</v>
      </c>
      <c r="B1189" s="33" t="s">
        <v>137</v>
      </c>
      <c r="C1189" s="63">
        <v>45771</v>
      </c>
      <c r="D1189" s="33" t="str">
        <f>VLOOKUP(B1189,辅助信息!E:K,7,FALSE)</f>
        <v>JWDDCD2025050800080</v>
      </c>
      <c r="E1189" s="33" t="str">
        <f>VLOOKUP(F1189,辅助信息!A:B,2,FALSE)</f>
        <v>螺纹钢</v>
      </c>
      <c r="F1189" s="33" t="s">
        <v>33</v>
      </c>
      <c r="G1189" s="29">
        <v>20</v>
      </c>
      <c r="H1189" s="29" t="str">
        <f>_xlfn.XLOOKUP(C1189&amp;F1189&amp;I1189&amp;J1189,'[1]2025年已发货'!$F:$F&amp;'[1]2025年已发货'!$C:$C&amp;'[1]2025年已发货'!$G:$G&amp;'[1]2025年已发货'!$H:$H,'[1]2025年已发货'!$E:$E,"未发货")</f>
        <v>未发货</v>
      </c>
      <c r="I1189" s="33" t="str">
        <f>VLOOKUP(B1189,辅助信息!E:I,3,FALSE)</f>
        <v>(宜宾兴港三江新区长江工业园建设项目-M2-6#厂房)宜宾市翠屏区宜宾汽车零部件配套产业基地(纬五路南)</v>
      </c>
      <c r="J1189" s="33" t="str">
        <f>VLOOKUP(B1189,辅助信息!E:I,4,FALSE)</f>
        <v>李国享</v>
      </c>
      <c r="K1189" s="33">
        <f>VLOOKUP(J1189,辅助信息!H:I,2,FALSE)</f>
        <v>17713876279</v>
      </c>
      <c r="L1189" s="32" t="str">
        <f>VLOOKUP(B1189,辅助信息!E:J,6,FALSE)</f>
        <v>装货前联系收货人核实到场规格，货物最下面用方木垫下方便卸货</v>
      </c>
      <c r="M1189" s="84">
        <v>45773</v>
      </c>
      <c r="O1189" s="55">
        <f ca="1" t="shared" si="45"/>
        <v>0</v>
      </c>
      <c r="P1189" s="55">
        <f ca="1" t="shared" si="44"/>
        <v>184</v>
      </c>
      <c r="Q1189" s="22" t="str">
        <f>VLOOKUP(B1189,辅助信息!E:M,9,FALSE)</f>
        <v>ZTWM-CDGS-XS-2025-0059-宜宾兴港建材-宜宾冷链项目</v>
      </c>
      <c r="R1189" s="22" t="str">
        <f>_xlfn._xlws.FILTER(辅助信息!D:D,辅助信息!E:E=B1189)</f>
        <v>宜宾兴港三江新区长江工业园建设项目</v>
      </c>
    </row>
    <row r="1190" hidden="1" spans="1:18">
      <c r="A1190" s="55" t="e">
        <f t="shared" si="46"/>
        <v>#VALUE!</v>
      </c>
      <c r="B1190" s="33" t="s">
        <v>137</v>
      </c>
      <c r="C1190" s="63">
        <v>45771</v>
      </c>
      <c r="D1190" s="33" t="str">
        <f>VLOOKUP(B1190,辅助信息!E:K,7,FALSE)</f>
        <v>JWDDCD2025050800080</v>
      </c>
      <c r="E1190" s="33" t="str">
        <f>VLOOKUP(F1190,辅助信息!A:B,2,FALSE)</f>
        <v>螺纹钢</v>
      </c>
      <c r="F1190" s="33" t="s">
        <v>28</v>
      </c>
      <c r="G1190" s="29">
        <v>5</v>
      </c>
      <c r="H1190" s="29" t="str">
        <f>_xlfn.XLOOKUP(C1190&amp;F1190&amp;I1190&amp;J1190,'[1]2025年已发货'!$F:$F&amp;'[1]2025年已发货'!$C:$C&amp;'[1]2025年已发货'!$G:$G&amp;'[1]2025年已发货'!$H:$H,'[1]2025年已发货'!$E:$E,"未发货")</f>
        <v>未发货</v>
      </c>
      <c r="I1190" s="33" t="str">
        <f>VLOOKUP(B1190,辅助信息!E:I,3,FALSE)</f>
        <v>(宜宾兴港三江新区长江工业园建设项目-M2-6#厂房)宜宾市翠屏区宜宾汽车零部件配套产业基地(纬五路南)</v>
      </c>
      <c r="J1190" s="33" t="str">
        <f>VLOOKUP(B1190,辅助信息!E:I,4,FALSE)</f>
        <v>李国享</v>
      </c>
      <c r="K1190" s="33">
        <f>VLOOKUP(J1190,辅助信息!H:I,2,FALSE)</f>
        <v>17713876279</v>
      </c>
      <c r="L1190" s="32" t="str">
        <f>VLOOKUP(B1190,辅助信息!E:J,6,FALSE)</f>
        <v>装货前联系收货人核实到场规格，货物最下面用方木垫下方便卸货</v>
      </c>
      <c r="M1190" s="84">
        <v>45773</v>
      </c>
      <c r="O1190" s="55">
        <f ca="1" t="shared" si="45"/>
        <v>0</v>
      </c>
      <c r="P1190" s="55">
        <f ca="1" t="shared" si="44"/>
        <v>184</v>
      </c>
      <c r="Q1190" s="22" t="str">
        <f>VLOOKUP(B1190,辅助信息!E:M,9,FALSE)</f>
        <v>ZTWM-CDGS-XS-2025-0059-宜宾兴港建材-宜宾冷链项目</v>
      </c>
      <c r="R1190" s="22" t="str">
        <f>_xlfn._xlws.FILTER(辅助信息!D:D,辅助信息!E:E=B1190)</f>
        <v>宜宾兴港三江新区长江工业园建设项目</v>
      </c>
    </row>
    <row r="1191" hidden="1" spans="1:18">
      <c r="A1191" s="55" t="e">
        <f t="shared" si="46"/>
        <v>#VALUE!</v>
      </c>
      <c r="B1191" s="33" t="s">
        <v>137</v>
      </c>
      <c r="C1191" s="63">
        <v>45771</v>
      </c>
      <c r="D1191" s="33" t="str">
        <f>VLOOKUP(B1191,辅助信息!E:K,7,FALSE)</f>
        <v>JWDDCD2025050800080</v>
      </c>
      <c r="E1191" s="33" t="str">
        <f>VLOOKUP(F1191,辅助信息!A:B,2,FALSE)</f>
        <v>螺纹钢</v>
      </c>
      <c r="F1191" s="33" t="s">
        <v>18</v>
      </c>
      <c r="G1191" s="29">
        <v>6</v>
      </c>
      <c r="H1191" s="29" t="str">
        <f>_xlfn.XLOOKUP(C1191&amp;F1191&amp;I1191&amp;J1191,'[1]2025年已发货'!$F:$F&amp;'[1]2025年已发货'!$C:$C&amp;'[1]2025年已发货'!$G:$G&amp;'[1]2025年已发货'!$H:$H,'[1]2025年已发货'!$E:$E,"未发货")</f>
        <v>未发货</v>
      </c>
      <c r="I1191" s="33" t="str">
        <f>VLOOKUP(B1191,辅助信息!E:I,3,FALSE)</f>
        <v>(宜宾兴港三江新区长江工业园建设项目-M2-6#厂房)宜宾市翠屏区宜宾汽车零部件配套产业基地(纬五路南)</v>
      </c>
      <c r="J1191" s="33" t="str">
        <f>VLOOKUP(B1191,辅助信息!E:I,4,FALSE)</f>
        <v>李国享</v>
      </c>
      <c r="K1191" s="33">
        <f>VLOOKUP(J1191,辅助信息!H:I,2,FALSE)</f>
        <v>17713876279</v>
      </c>
      <c r="L1191" s="32" t="str">
        <f>VLOOKUP(B1191,辅助信息!E:J,6,FALSE)</f>
        <v>装货前联系收货人核实到场规格，货物最下面用方木垫下方便卸货</v>
      </c>
      <c r="M1191" s="84">
        <v>45773</v>
      </c>
      <c r="O1191" s="55">
        <f ca="1" t="shared" si="45"/>
        <v>0</v>
      </c>
      <c r="P1191" s="55">
        <f ca="1" t="shared" si="44"/>
        <v>184</v>
      </c>
      <c r="Q1191" s="22" t="str">
        <f>VLOOKUP(B1191,辅助信息!E:M,9,FALSE)</f>
        <v>ZTWM-CDGS-XS-2025-0059-宜宾兴港建材-宜宾冷链项目</v>
      </c>
      <c r="R1191" s="22" t="str">
        <f>_xlfn._xlws.FILTER(辅助信息!D:D,辅助信息!E:E=B1191)</f>
        <v>宜宾兴港三江新区长江工业园建设项目</v>
      </c>
    </row>
    <row r="1192" hidden="1" spans="1:18">
      <c r="A1192" s="55" t="e">
        <f t="shared" si="46"/>
        <v>#VALUE!</v>
      </c>
      <c r="B1192" s="33" t="s">
        <v>137</v>
      </c>
      <c r="C1192" s="63">
        <v>45771</v>
      </c>
      <c r="D1192" s="33" t="str">
        <f>VLOOKUP(B1192,辅助信息!E:K,7,FALSE)</f>
        <v>JWDDCD2025050800080</v>
      </c>
      <c r="E1192" s="33" t="str">
        <f>VLOOKUP(F1192,辅助信息!A:B,2,FALSE)</f>
        <v>螺纹钢</v>
      </c>
      <c r="F1192" s="33" t="s">
        <v>138</v>
      </c>
      <c r="G1192" s="29">
        <v>80</v>
      </c>
      <c r="H1192" s="29" t="str">
        <f>_xlfn.XLOOKUP(C1192&amp;F1192&amp;I1192&amp;J1192,'[1]2025年已发货'!$F:$F&amp;'[1]2025年已发货'!$C:$C&amp;'[1]2025年已发货'!$G:$G&amp;'[1]2025年已发货'!$H:$H,'[1]2025年已发货'!$E:$E,"未发货")</f>
        <v>未发货</v>
      </c>
      <c r="I1192" s="33" t="str">
        <f>VLOOKUP(B1192,辅助信息!E:I,3,FALSE)</f>
        <v>(宜宾兴港三江新区长江工业园建设项目-M2-6#厂房)宜宾市翠屏区宜宾汽车零部件配套产业基地(纬五路南)</v>
      </c>
      <c r="J1192" s="33" t="str">
        <f>VLOOKUP(B1192,辅助信息!E:I,4,FALSE)</f>
        <v>李国享</v>
      </c>
      <c r="K1192" s="33">
        <f>VLOOKUP(J1192,辅助信息!H:I,2,FALSE)</f>
        <v>17713876279</v>
      </c>
      <c r="L1192" s="32" t="str">
        <f>VLOOKUP(B1192,辅助信息!E:J,6,FALSE)</f>
        <v>装货前联系收货人核实到场规格，货物最下面用方木垫下方便卸货</v>
      </c>
      <c r="M1192" s="84">
        <v>45773</v>
      </c>
      <c r="O1192" s="55">
        <f ca="1" t="shared" si="45"/>
        <v>0</v>
      </c>
      <c r="P1192" s="55">
        <f ca="1" t="shared" si="44"/>
        <v>184</v>
      </c>
      <c r="Q1192" s="22" t="str">
        <f>VLOOKUP(B1192,辅助信息!E:M,9,FALSE)</f>
        <v>ZTWM-CDGS-XS-2025-0059-宜宾兴港建材-宜宾冷链项目</v>
      </c>
      <c r="R1192" s="22" t="str">
        <f>_xlfn._xlws.FILTER(辅助信息!D:D,辅助信息!E:E=B1192)</f>
        <v>宜宾兴港三江新区长江工业园建设项目</v>
      </c>
    </row>
    <row r="1193" hidden="1" spans="1:18">
      <c r="A1193" s="55" t="e">
        <f t="shared" si="46"/>
        <v>#VALUE!</v>
      </c>
      <c r="B1193" s="33" t="s">
        <v>137</v>
      </c>
      <c r="C1193" s="63">
        <v>45771</v>
      </c>
      <c r="D1193" s="33" t="str">
        <f>VLOOKUP(B1193,辅助信息!E:K,7,FALSE)</f>
        <v>JWDDCD2025050800080</v>
      </c>
      <c r="E1193" s="33" t="str">
        <f>VLOOKUP(F1193,辅助信息!A:B,2,FALSE)</f>
        <v>螺纹钢</v>
      </c>
      <c r="F1193" s="33" t="s">
        <v>133</v>
      </c>
      <c r="G1193" s="29">
        <v>20</v>
      </c>
      <c r="H1193" s="29" t="str">
        <f>_xlfn.XLOOKUP(C1193&amp;F1193&amp;I1193&amp;J1193,'[1]2025年已发货'!$F:$F&amp;'[1]2025年已发货'!$C:$C&amp;'[1]2025年已发货'!$G:$G&amp;'[1]2025年已发货'!$H:$H,'[1]2025年已发货'!$E:$E,"未发货")</f>
        <v>未发货</v>
      </c>
      <c r="I1193" s="33" t="str">
        <f>VLOOKUP(B1193,辅助信息!E:I,3,FALSE)</f>
        <v>(宜宾兴港三江新区长江工业园建设项目-M2-6#厂房)宜宾市翠屏区宜宾汽车零部件配套产业基地(纬五路南)</v>
      </c>
      <c r="J1193" s="33" t="str">
        <f>VLOOKUP(B1193,辅助信息!E:I,4,FALSE)</f>
        <v>李国享</v>
      </c>
      <c r="K1193" s="33">
        <f>VLOOKUP(J1193,辅助信息!H:I,2,FALSE)</f>
        <v>17713876279</v>
      </c>
      <c r="L1193" s="32" t="str">
        <f>VLOOKUP(B1193,辅助信息!E:J,6,FALSE)</f>
        <v>装货前联系收货人核实到场规格，货物最下面用方木垫下方便卸货</v>
      </c>
      <c r="M1193" s="84">
        <v>45773</v>
      </c>
      <c r="O1193" s="55">
        <f ca="1" t="shared" si="45"/>
        <v>0</v>
      </c>
      <c r="P1193" s="55">
        <f ca="1" t="shared" si="44"/>
        <v>184</v>
      </c>
      <c r="Q1193" s="22" t="str">
        <f>VLOOKUP(B1193,辅助信息!E:M,9,FALSE)</f>
        <v>ZTWM-CDGS-XS-2025-0059-宜宾兴港建材-宜宾冷链项目</v>
      </c>
      <c r="R1193" s="22" t="str">
        <f>_xlfn._xlws.FILTER(辅助信息!D:D,辅助信息!E:E=B1193)</f>
        <v>宜宾兴港三江新区长江工业园建设项目</v>
      </c>
    </row>
    <row r="1194" hidden="1" spans="1:18">
      <c r="A1194" s="55" t="e">
        <f t="shared" si="46"/>
        <v>#VALUE!</v>
      </c>
      <c r="B1194" s="33" t="s">
        <v>139</v>
      </c>
      <c r="C1194" s="63">
        <v>45771</v>
      </c>
      <c r="D1194" s="33" t="str">
        <f>VLOOKUP(B1194,辅助信息!E:K,7,FALSE)</f>
        <v>JWDDCD2025050800080</v>
      </c>
      <c r="E1194" s="33" t="str">
        <f>VLOOKUP(F1194,辅助信息!A:B,2,FALSE)</f>
        <v>盘螺</v>
      </c>
      <c r="F1194" s="33" t="s">
        <v>40</v>
      </c>
      <c r="G1194" s="29">
        <v>6</v>
      </c>
      <c r="H1194" s="29" t="str">
        <f>_xlfn.XLOOKUP(C1194&amp;F1194&amp;I1194&amp;J1194,'[1]2025年已发货'!$F:$F&amp;'[1]2025年已发货'!$C:$C&amp;'[1]2025年已发货'!$G:$G&amp;'[1]2025年已发货'!$H:$H,'[1]2025年已发货'!$E:$E,"未发货")</f>
        <v>未发货</v>
      </c>
      <c r="I1194" s="33" t="str">
        <f>VLOOKUP(B1194,辅助信息!E:I,3,FALSE)</f>
        <v>(宜宾兴港三江新区长江工业园建设项目-M2-7#厂房)宜宾市翠屏区宜宾汽车零部件配套产业基地(纬五路南)</v>
      </c>
      <c r="J1194" s="33" t="str">
        <f>VLOOKUP(B1194,辅助信息!E:I,4,FALSE)</f>
        <v>李国享</v>
      </c>
      <c r="K1194" s="33">
        <f>VLOOKUP(J1194,辅助信息!H:I,2,FALSE)</f>
        <v>17713876279</v>
      </c>
      <c r="L1194" s="32" t="str">
        <f>VLOOKUP(B1194,辅助信息!E:J,6,FALSE)</f>
        <v>装货前联系收货人核实到场规格，货物最下面用方木垫下方便卸货</v>
      </c>
      <c r="M1194" s="84">
        <v>45773</v>
      </c>
      <c r="O1194" s="55">
        <f ca="1" t="shared" ref="O1194:O1203" si="47">IF(OR(M1194="",N1194&lt;&gt;""),"",MAX(M1194-TODAY(),0))</f>
        <v>0</v>
      </c>
      <c r="P1194" s="55">
        <f ca="1" t="shared" si="44"/>
        <v>184</v>
      </c>
      <c r="Q1194" s="22" t="str">
        <f>VLOOKUP(B1194,辅助信息!E:M,9,FALSE)</f>
        <v>ZTWM-CDGS-XS-2025-0059-宜宾兴港建材-宜宾冷链项目</v>
      </c>
      <c r="R1194" s="22" t="str">
        <f>_xlfn._xlws.FILTER(辅助信息!D:D,辅助信息!E:E=B1194)</f>
        <v>宜宾兴港三江新区长江工业园建设项目</v>
      </c>
    </row>
    <row r="1195" hidden="1" spans="1:18">
      <c r="A1195" s="55" t="e">
        <f t="shared" si="46"/>
        <v>#VALUE!</v>
      </c>
      <c r="B1195" s="33" t="s">
        <v>139</v>
      </c>
      <c r="C1195" s="63">
        <v>45771</v>
      </c>
      <c r="D1195" s="33" t="str">
        <f>VLOOKUP(B1195,辅助信息!E:K,7,FALSE)</f>
        <v>JWDDCD2025050800080</v>
      </c>
      <c r="E1195" s="33" t="str">
        <f>VLOOKUP(F1195,辅助信息!A:B,2,FALSE)</f>
        <v>盘螺</v>
      </c>
      <c r="F1195" s="33" t="s">
        <v>41</v>
      </c>
      <c r="G1195" s="29">
        <v>40</v>
      </c>
      <c r="H1195" s="29" t="str">
        <f>_xlfn.XLOOKUP(C1195&amp;F1195&amp;I1195&amp;J1195,'[1]2025年已发货'!$F:$F&amp;'[1]2025年已发货'!$C:$C&amp;'[1]2025年已发货'!$G:$G&amp;'[1]2025年已发货'!$H:$H,'[1]2025年已发货'!$E:$E,"未发货")</f>
        <v>未发货</v>
      </c>
      <c r="I1195" s="33" t="str">
        <f>VLOOKUP(B1195,辅助信息!E:I,3,FALSE)</f>
        <v>(宜宾兴港三江新区长江工业园建设项目-M2-7#厂房)宜宾市翠屏区宜宾汽车零部件配套产业基地(纬五路南)</v>
      </c>
      <c r="J1195" s="33" t="str">
        <f>VLOOKUP(B1195,辅助信息!E:I,4,FALSE)</f>
        <v>李国享</v>
      </c>
      <c r="K1195" s="33">
        <f>VLOOKUP(J1195,辅助信息!H:I,2,FALSE)</f>
        <v>17713876279</v>
      </c>
      <c r="L1195" s="32" t="str">
        <f>VLOOKUP(B1195,辅助信息!E:J,6,FALSE)</f>
        <v>装货前联系收货人核实到场规格，货物最下面用方木垫下方便卸货</v>
      </c>
      <c r="M1195" s="84">
        <v>45773</v>
      </c>
      <c r="O1195" s="55">
        <f ca="1" t="shared" si="47"/>
        <v>0</v>
      </c>
      <c r="P1195" s="55">
        <f ca="1" t="shared" si="44"/>
        <v>184</v>
      </c>
      <c r="Q1195" s="22" t="str">
        <f>VLOOKUP(B1195,辅助信息!E:M,9,FALSE)</f>
        <v>ZTWM-CDGS-XS-2025-0059-宜宾兴港建材-宜宾冷链项目</v>
      </c>
      <c r="R1195" s="22" t="str">
        <f>_xlfn._xlws.FILTER(辅助信息!D:D,辅助信息!E:E=B1195)</f>
        <v>宜宾兴港三江新区长江工业园建设项目</v>
      </c>
    </row>
    <row r="1196" hidden="1" spans="1:18">
      <c r="A1196" s="55" t="e">
        <f t="shared" si="46"/>
        <v>#VALUE!</v>
      </c>
      <c r="B1196" s="33" t="s">
        <v>139</v>
      </c>
      <c r="C1196" s="63">
        <v>45771</v>
      </c>
      <c r="D1196" s="33" t="str">
        <f>VLOOKUP(B1196,辅助信息!E:K,7,FALSE)</f>
        <v>JWDDCD2025050800080</v>
      </c>
      <c r="E1196" s="33" t="str">
        <f>VLOOKUP(F1196,辅助信息!A:B,2,FALSE)</f>
        <v>螺纹钢</v>
      </c>
      <c r="F1196" s="33" t="s">
        <v>27</v>
      </c>
      <c r="G1196" s="29">
        <v>10</v>
      </c>
      <c r="H1196" s="29" t="str">
        <f>_xlfn.XLOOKUP(C1196&amp;F1196&amp;I1196&amp;J1196,'[1]2025年已发货'!$F:$F&amp;'[1]2025年已发货'!$C:$C&amp;'[1]2025年已发货'!$G:$G&amp;'[1]2025年已发货'!$H:$H,'[1]2025年已发货'!$E:$E,"未发货")</f>
        <v>未发货</v>
      </c>
      <c r="I1196" s="33" t="str">
        <f>VLOOKUP(B1196,辅助信息!E:I,3,FALSE)</f>
        <v>(宜宾兴港三江新区长江工业园建设项目-M2-7#厂房)宜宾市翠屏区宜宾汽车零部件配套产业基地(纬五路南)</v>
      </c>
      <c r="J1196" s="33" t="str">
        <f>VLOOKUP(B1196,辅助信息!E:I,4,FALSE)</f>
        <v>李国享</v>
      </c>
      <c r="K1196" s="33">
        <f>VLOOKUP(J1196,辅助信息!H:I,2,FALSE)</f>
        <v>17713876279</v>
      </c>
      <c r="L1196" s="32" t="str">
        <f>VLOOKUP(B1196,辅助信息!E:J,6,FALSE)</f>
        <v>装货前联系收货人核实到场规格，货物最下面用方木垫下方便卸货</v>
      </c>
      <c r="M1196" s="84">
        <v>45773</v>
      </c>
      <c r="O1196" s="55">
        <f ca="1" t="shared" si="47"/>
        <v>0</v>
      </c>
      <c r="P1196" s="55">
        <f ca="1" t="shared" si="44"/>
        <v>184</v>
      </c>
      <c r="Q1196" s="22" t="str">
        <f>VLOOKUP(B1196,辅助信息!E:M,9,FALSE)</f>
        <v>ZTWM-CDGS-XS-2025-0059-宜宾兴港建材-宜宾冷链项目</v>
      </c>
      <c r="R1196" s="22" t="str">
        <f>_xlfn._xlws.FILTER(辅助信息!D:D,辅助信息!E:E=B1196)</f>
        <v>宜宾兴港三江新区长江工业园建设项目</v>
      </c>
    </row>
    <row r="1197" hidden="1" spans="1:18">
      <c r="A1197" s="55" t="e">
        <f t="shared" si="46"/>
        <v>#VALUE!</v>
      </c>
      <c r="B1197" s="33" t="s">
        <v>139</v>
      </c>
      <c r="C1197" s="63">
        <v>45771</v>
      </c>
      <c r="D1197" s="33" t="str">
        <f>VLOOKUP(B1197,辅助信息!E:K,7,FALSE)</f>
        <v>JWDDCD2025050800080</v>
      </c>
      <c r="E1197" s="33" t="str">
        <f>VLOOKUP(F1197,辅助信息!A:B,2,FALSE)</f>
        <v>螺纹钢</v>
      </c>
      <c r="F1197" s="33" t="s">
        <v>32</v>
      </c>
      <c r="G1197" s="29">
        <v>6</v>
      </c>
      <c r="H1197" s="29" t="str">
        <f>_xlfn.XLOOKUP(C1197&amp;F1197&amp;I1197&amp;J1197,'[1]2025年已发货'!$F:$F&amp;'[1]2025年已发货'!$C:$C&amp;'[1]2025年已发货'!$G:$G&amp;'[1]2025年已发货'!$H:$H,'[1]2025年已发货'!$E:$E,"未发货")</f>
        <v>未发货</v>
      </c>
      <c r="I1197" s="33" t="str">
        <f>VLOOKUP(B1197,辅助信息!E:I,3,FALSE)</f>
        <v>(宜宾兴港三江新区长江工业园建设项目-M2-7#厂房)宜宾市翠屏区宜宾汽车零部件配套产业基地(纬五路南)</v>
      </c>
      <c r="J1197" s="33" t="str">
        <f>VLOOKUP(B1197,辅助信息!E:I,4,FALSE)</f>
        <v>李国享</v>
      </c>
      <c r="K1197" s="33">
        <f>VLOOKUP(J1197,辅助信息!H:I,2,FALSE)</f>
        <v>17713876279</v>
      </c>
      <c r="L1197" s="32" t="str">
        <f>VLOOKUP(B1197,辅助信息!E:J,6,FALSE)</f>
        <v>装货前联系收货人核实到场规格，货物最下面用方木垫下方便卸货</v>
      </c>
      <c r="M1197" s="84">
        <v>45773</v>
      </c>
      <c r="O1197" s="55">
        <f ca="1" t="shared" si="47"/>
        <v>0</v>
      </c>
      <c r="P1197" s="55">
        <f ca="1" t="shared" si="44"/>
        <v>184</v>
      </c>
      <c r="Q1197" s="22" t="str">
        <f>VLOOKUP(B1197,辅助信息!E:M,9,FALSE)</f>
        <v>ZTWM-CDGS-XS-2025-0059-宜宾兴港建材-宜宾冷链项目</v>
      </c>
      <c r="R1197" s="22" t="str">
        <f>_xlfn._xlws.FILTER(辅助信息!D:D,辅助信息!E:E=B1197)</f>
        <v>宜宾兴港三江新区长江工业园建设项目</v>
      </c>
    </row>
    <row r="1198" hidden="1" spans="1:18">
      <c r="A1198" s="55" t="e">
        <f t="shared" si="46"/>
        <v>#VALUE!</v>
      </c>
      <c r="B1198" s="33" t="s">
        <v>139</v>
      </c>
      <c r="C1198" s="63">
        <v>45771</v>
      </c>
      <c r="D1198" s="33" t="str">
        <f>VLOOKUP(B1198,辅助信息!E:K,7,FALSE)</f>
        <v>JWDDCD2025050800080</v>
      </c>
      <c r="E1198" s="33" t="str">
        <f>VLOOKUP(F1198,辅助信息!A:B,2,FALSE)</f>
        <v>螺纹钢</v>
      </c>
      <c r="F1198" s="33" t="s">
        <v>33</v>
      </c>
      <c r="G1198" s="29">
        <v>17</v>
      </c>
      <c r="H1198" s="29" t="str">
        <f>_xlfn.XLOOKUP(C1198&amp;F1198&amp;I1198&amp;J1198,'[1]2025年已发货'!$F:$F&amp;'[1]2025年已发货'!$C:$C&amp;'[1]2025年已发货'!$G:$G&amp;'[1]2025年已发货'!$H:$H,'[1]2025年已发货'!$E:$E,"未发货")</f>
        <v>未发货</v>
      </c>
      <c r="I1198" s="33" t="str">
        <f>VLOOKUP(B1198,辅助信息!E:I,3,FALSE)</f>
        <v>(宜宾兴港三江新区长江工业园建设项目-M2-7#厂房)宜宾市翠屏区宜宾汽车零部件配套产业基地(纬五路南)</v>
      </c>
      <c r="J1198" s="33" t="str">
        <f>VLOOKUP(B1198,辅助信息!E:I,4,FALSE)</f>
        <v>李国享</v>
      </c>
      <c r="K1198" s="33">
        <f>VLOOKUP(J1198,辅助信息!H:I,2,FALSE)</f>
        <v>17713876279</v>
      </c>
      <c r="L1198" s="32" t="str">
        <f>VLOOKUP(B1198,辅助信息!E:J,6,FALSE)</f>
        <v>装货前联系收货人核实到场规格，货物最下面用方木垫下方便卸货</v>
      </c>
      <c r="M1198" s="84">
        <v>45773</v>
      </c>
      <c r="O1198" s="55">
        <f ca="1" t="shared" si="47"/>
        <v>0</v>
      </c>
      <c r="P1198" s="55">
        <f ca="1" t="shared" si="44"/>
        <v>184</v>
      </c>
      <c r="Q1198" s="22" t="str">
        <f>VLOOKUP(B1198,辅助信息!E:M,9,FALSE)</f>
        <v>ZTWM-CDGS-XS-2025-0059-宜宾兴港建材-宜宾冷链项目</v>
      </c>
      <c r="R1198" s="22" t="str">
        <f>_xlfn._xlws.FILTER(辅助信息!D:D,辅助信息!E:E=B1198)</f>
        <v>宜宾兴港三江新区长江工业园建设项目</v>
      </c>
    </row>
    <row r="1199" hidden="1" spans="1:18">
      <c r="A1199" s="55" t="e">
        <f t="shared" si="46"/>
        <v>#VALUE!</v>
      </c>
      <c r="B1199" s="33" t="s">
        <v>139</v>
      </c>
      <c r="C1199" s="63">
        <v>45771</v>
      </c>
      <c r="D1199" s="33" t="str">
        <f>VLOOKUP(B1199,辅助信息!E:K,7,FALSE)</f>
        <v>JWDDCD2025050800080</v>
      </c>
      <c r="E1199" s="33" t="str">
        <f>VLOOKUP(F1199,辅助信息!A:B,2,FALSE)</f>
        <v>螺纹钢</v>
      </c>
      <c r="F1199" s="33" t="s">
        <v>28</v>
      </c>
      <c r="G1199" s="29">
        <v>20</v>
      </c>
      <c r="H1199" s="29" t="str">
        <f>_xlfn.XLOOKUP(C1199&amp;F1199&amp;I1199&amp;J1199,'[1]2025年已发货'!$F:$F&amp;'[1]2025年已发货'!$C:$C&amp;'[1]2025年已发货'!$G:$G&amp;'[1]2025年已发货'!$H:$H,'[1]2025年已发货'!$E:$E,"未发货")</f>
        <v>未发货</v>
      </c>
      <c r="I1199" s="33" t="str">
        <f>VLOOKUP(B1199,辅助信息!E:I,3,FALSE)</f>
        <v>(宜宾兴港三江新区长江工业园建设项目-M2-7#厂房)宜宾市翠屏区宜宾汽车零部件配套产业基地(纬五路南)</v>
      </c>
      <c r="J1199" s="33" t="str">
        <f>VLOOKUP(B1199,辅助信息!E:I,4,FALSE)</f>
        <v>李国享</v>
      </c>
      <c r="K1199" s="33">
        <f>VLOOKUP(J1199,辅助信息!H:I,2,FALSE)</f>
        <v>17713876279</v>
      </c>
      <c r="L1199" s="32" t="str">
        <f>VLOOKUP(B1199,辅助信息!E:J,6,FALSE)</f>
        <v>装货前联系收货人核实到场规格，货物最下面用方木垫下方便卸货</v>
      </c>
      <c r="M1199" s="84">
        <v>45773</v>
      </c>
      <c r="O1199" s="55">
        <f ca="1" t="shared" si="47"/>
        <v>0</v>
      </c>
      <c r="P1199" s="55">
        <f ca="1" t="shared" si="44"/>
        <v>184</v>
      </c>
      <c r="Q1199" s="22" t="str">
        <f>VLOOKUP(B1199,辅助信息!E:M,9,FALSE)</f>
        <v>ZTWM-CDGS-XS-2025-0059-宜宾兴港建材-宜宾冷链项目</v>
      </c>
      <c r="R1199" s="22" t="str">
        <f>_xlfn._xlws.FILTER(辅助信息!D:D,辅助信息!E:E=B1199)</f>
        <v>宜宾兴港三江新区长江工业园建设项目</v>
      </c>
    </row>
    <row r="1200" hidden="1" spans="1:18">
      <c r="A1200" s="55" t="e">
        <f t="shared" si="46"/>
        <v>#VALUE!</v>
      </c>
      <c r="B1200" s="33" t="s">
        <v>139</v>
      </c>
      <c r="C1200" s="63">
        <v>45771</v>
      </c>
      <c r="D1200" s="33" t="str">
        <f>VLOOKUP(B1200,辅助信息!E:K,7,FALSE)</f>
        <v>JWDDCD2025050800080</v>
      </c>
      <c r="E1200" s="33" t="str">
        <f>VLOOKUP(F1200,辅助信息!A:B,2,FALSE)</f>
        <v>螺纹钢</v>
      </c>
      <c r="F1200" s="33" t="s">
        <v>18</v>
      </c>
      <c r="G1200" s="29">
        <v>6</v>
      </c>
      <c r="H1200" s="29" t="str">
        <f>_xlfn.XLOOKUP(C1200&amp;F1200&amp;I1200&amp;J1200,'[1]2025年已发货'!$F:$F&amp;'[1]2025年已发货'!$C:$C&amp;'[1]2025年已发货'!$G:$G&amp;'[1]2025年已发货'!$H:$H,'[1]2025年已发货'!$E:$E,"未发货")</f>
        <v>未发货</v>
      </c>
      <c r="I1200" s="33" t="str">
        <f>VLOOKUP(B1200,辅助信息!E:I,3,FALSE)</f>
        <v>(宜宾兴港三江新区长江工业园建设项目-M2-7#厂房)宜宾市翠屏区宜宾汽车零部件配套产业基地(纬五路南)</v>
      </c>
      <c r="J1200" s="33" t="str">
        <f>VLOOKUP(B1200,辅助信息!E:I,4,FALSE)</f>
        <v>李国享</v>
      </c>
      <c r="K1200" s="33">
        <f>VLOOKUP(J1200,辅助信息!H:I,2,FALSE)</f>
        <v>17713876279</v>
      </c>
      <c r="L1200" s="32" t="str">
        <f>VLOOKUP(B1200,辅助信息!E:J,6,FALSE)</f>
        <v>装货前联系收货人核实到场规格，货物最下面用方木垫下方便卸货</v>
      </c>
      <c r="M1200" s="84">
        <v>45773</v>
      </c>
      <c r="O1200" s="55">
        <f ca="1" t="shared" si="47"/>
        <v>0</v>
      </c>
      <c r="P1200" s="55">
        <f ca="1" t="shared" si="44"/>
        <v>184</v>
      </c>
      <c r="Q1200" s="22" t="str">
        <f>VLOOKUP(B1200,辅助信息!E:M,9,FALSE)</f>
        <v>ZTWM-CDGS-XS-2025-0059-宜宾兴港建材-宜宾冷链项目</v>
      </c>
      <c r="R1200" s="22" t="str">
        <f>_xlfn._xlws.FILTER(辅助信息!D:D,辅助信息!E:E=B1200)</f>
        <v>宜宾兴港三江新区长江工业园建设项目</v>
      </c>
    </row>
    <row r="1201" hidden="1" spans="1:18">
      <c r="A1201" s="55" t="e">
        <f t="shared" si="46"/>
        <v>#VALUE!</v>
      </c>
      <c r="B1201" s="33" t="s">
        <v>139</v>
      </c>
      <c r="C1201" s="63">
        <v>45771</v>
      </c>
      <c r="D1201" s="33" t="str">
        <f>VLOOKUP(B1201,辅助信息!E:K,7,FALSE)</f>
        <v>JWDDCD2025050800080</v>
      </c>
      <c r="E1201" s="33" t="str">
        <f>VLOOKUP(F1201,辅助信息!A:B,2,FALSE)</f>
        <v>螺纹钢</v>
      </c>
      <c r="F1201" s="33" t="s">
        <v>76</v>
      </c>
      <c r="G1201" s="29">
        <v>22</v>
      </c>
      <c r="H1201" s="29" t="str">
        <f>_xlfn.XLOOKUP(C1201&amp;F1201&amp;I1201&amp;J1201,'[1]2025年已发货'!$F:$F&amp;'[1]2025年已发货'!$C:$C&amp;'[1]2025年已发货'!$G:$G&amp;'[1]2025年已发货'!$H:$H,'[1]2025年已发货'!$E:$E,"未发货")</f>
        <v>未发货</v>
      </c>
      <c r="I1201" s="33" t="str">
        <f>VLOOKUP(B1201,辅助信息!E:I,3,FALSE)</f>
        <v>(宜宾兴港三江新区长江工业园建设项目-M2-7#厂房)宜宾市翠屏区宜宾汽车零部件配套产业基地(纬五路南)</v>
      </c>
      <c r="J1201" s="33" t="str">
        <f>VLOOKUP(B1201,辅助信息!E:I,4,FALSE)</f>
        <v>李国享</v>
      </c>
      <c r="K1201" s="33">
        <f>VLOOKUP(J1201,辅助信息!H:I,2,FALSE)</f>
        <v>17713876279</v>
      </c>
      <c r="L1201" s="32" t="str">
        <f>VLOOKUP(B1201,辅助信息!E:J,6,FALSE)</f>
        <v>装货前联系收货人核实到场规格，货物最下面用方木垫下方便卸货</v>
      </c>
      <c r="M1201" s="84">
        <v>45773</v>
      </c>
      <c r="O1201" s="55">
        <f ca="1" t="shared" si="47"/>
        <v>0</v>
      </c>
      <c r="P1201" s="55">
        <f ca="1" t="shared" si="44"/>
        <v>184</v>
      </c>
      <c r="Q1201" s="22" t="str">
        <f>VLOOKUP(B1201,辅助信息!E:M,9,FALSE)</f>
        <v>ZTWM-CDGS-XS-2025-0059-宜宾兴港建材-宜宾冷链项目</v>
      </c>
      <c r="R1201" s="22" t="str">
        <f>_xlfn._xlws.FILTER(辅助信息!D:D,辅助信息!E:E=B1201)</f>
        <v>宜宾兴港三江新区长江工业园建设项目</v>
      </c>
    </row>
    <row r="1202" hidden="1" spans="1:18">
      <c r="A1202" s="55" t="e">
        <f t="shared" si="46"/>
        <v>#VALUE!</v>
      </c>
      <c r="B1202" s="33" t="s">
        <v>139</v>
      </c>
      <c r="C1202" s="63">
        <v>45771</v>
      </c>
      <c r="D1202" s="33" t="str">
        <f>VLOOKUP(B1202,辅助信息!E:K,7,FALSE)</f>
        <v>JWDDCD2025050800080</v>
      </c>
      <c r="E1202" s="33" t="str">
        <f>VLOOKUP(F1202,辅助信息!A:B,2,FALSE)</f>
        <v>螺纹钢</v>
      </c>
      <c r="F1202" s="33" t="s">
        <v>133</v>
      </c>
      <c r="G1202" s="29">
        <v>90</v>
      </c>
      <c r="H1202" s="29" t="str">
        <f>_xlfn.XLOOKUP(C1202&amp;F1202&amp;I1202&amp;J1202,'[1]2025年已发货'!$F:$F&amp;'[1]2025年已发货'!$C:$C&amp;'[1]2025年已发货'!$G:$G&amp;'[1]2025年已发货'!$H:$H,'[1]2025年已发货'!$E:$E,"未发货")</f>
        <v>未发货</v>
      </c>
      <c r="I1202" s="33" t="str">
        <f>VLOOKUP(B1202,辅助信息!E:I,3,FALSE)</f>
        <v>(宜宾兴港三江新区长江工业园建设项目-M2-7#厂房)宜宾市翠屏区宜宾汽车零部件配套产业基地(纬五路南)</v>
      </c>
      <c r="J1202" s="33" t="str">
        <f>VLOOKUP(B1202,辅助信息!E:I,4,FALSE)</f>
        <v>李国享</v>
      </c>
      <c r="K1202" s="33">
        <f>VLOOKUP(J1202,辅助信息!H:I,2,FALSE)</f>
        <v>17713876279</v>
      </c>
      <c r="L1202" s="32" t="str">
        <f>VLOOKUP(B1202,辅助信息!E:J,6,FALSE)</f>
        <v>装货前联系收货人核实到场规格，货物最下面用方木垫下方便卸货</v>
      </c>
      <c r="M1202" s="84">
        <v>45773</v>
      </c>
      <c r="O1202" s="55">
        <f ca="1" t="shared" si="47"/>
        <v>0</v>
      </c>
      <c r="P1202" s="55">
        <f ca="1" t="shared" si="44"/>
        <v>184</v>
      </c>
      <c r="Q1202" s="22" t="str">
        <f>VLOOKUP(B1202,辅助信息!E:M,9,FALSE)</f>
        <v>ZTWM-CDGS-XS-2025-0059-宜宾兴港建材-宜宾冷链项目</v>
      </c>
      <c r="R1202" s="22" t="str">
        <f>_xlfn._xlws.FILTER(辅助信息!D:D,辅助信息!E:E=B1202)</f>
        <v>宜宾兴港三江新区长江工业园建设项目</v>
      </c>
    </row>
    <row r="1203" hidden="1" spans="2:18">
      <c r="B1203" s="33" t="s">
        <v>99</v>
      </c>
      <c r="C1203" s="63">
        <v>45771</v>
      </c>
      <c r="D1203" s="33" t="e">
        <f>VLOOKUP(B1203,辅助信息!E:K,7,FALSE)</f>
        <v>#N/A</v>
      </c>
      <c r="E1203" s="33" t="str">
        <f>VLOOKUP(F1203,辅助信息!A:B,2,FALSE)</f>
        <v>螺纹钢</v>
      </c>
      <c r="F1203" s="33" t="s">
        <v>27</v>
      </c>
      <c r="G1203" s="29">
        <v>35</v>
      </c>
      <c r="H1203" s="29" t="e">
        <f>_xlfn.XLOOKUP(C1203&amp;F1203&amp;I1203&amp;J1203,'[1]2025年已发货'!$F:$F&amp;'[1]2025年已发货'!$C:$C&amp;'[1]2025年已发货'!$G:$G&amp;'[1]2025年已发货'!$H:$H,'[1]2025年已发货'!$E:$E,"未发货")</f>
        <v>#N/A</v>
      </c>
      <c r="I1203" s="33" t="e">
        <f>VLOOKUP(B1203,辅助信息!E:I,3,FALSE)</f>
        <v>#N/A</v>
      </c>
      <c r="J1203" s="33" t="e">
        <f>VLOOKUP(B1203,辅助信息!E:I,4,FALSE)</f>
        <v>#N/A</v>
      </c>
      <c r="K1203" s="33" t="e">
        <f>VLOOKUP(J1203,辅助信息!H:I,2,FALSE)</f>
        <v>#N/A</v>
      </c>
      <c r="L1203" s="32" t="e">
        <f>VLOOKUP(B1203,辅助信息!E:J,6,FALSE)</f>
        <v>#N/A</v>
      </c>
      <c r="M1203" s="84">
        <v>45773</v>
      </c>
      <c r="O1203" s="55">
        <f ca="1" t="shared" si="47"/>
        <v>0</v>
      </c>
      <c r="P1203" s="55">
        <f ca="1" t="shared" si="44"/>
        <v>184</v>
      </c>
      <c r="Q1203" s="22" t="e">
        <f>VLOOKUP(B1203,辅助信息!E:M,9,FALSE)</f>
        <v>#N/A</v>
      </c>
      <c r="R1203" s="22" vm="1" t="e">
        <f>_xlfn._xlws.FILTER(辅助信息!D:D,辅助信息!E:E=B1203)</f>
        <v>#VALUE!</v>
      </c>
    </row>
    <row r="1204" hidden="1" spans="1:16">
      <c r="A1204" s="55" t="e">
        <f t="shared" ref="A1204:A1206" si="48">G1204-H1204</f>
        <v>#VALUE!</v>
      </c>
      <c r="B1204" s="89" t="s">
        <v>132</v>
      </c>
      <c r="C1204" s="63">
        <v>45771</v>
      </c>
      <c r="D1204" s="33" t="str">
        <f>VLOOKUP(B1204,辅助信息!E:K,7,FALSE)</f>
        <v>JWDDCD2025050800080</v>
      </c>
      <c r="E1204" s="33" t="str">
        <f>VLOOKUP(F1204,辅助信息!A:B,2,FALSE)</f>
        <v>螺纹钢</v>
      </c>
      <c r="F1204" s="19" t="s">
        <v>140</v>
      </c>
      <c r="G1204" s="29">
        <v>35</v>
      </c>
      <c r="H1204" s="29" t="str">
        <f>_xlfn.XLOOKUP(C1204&amp;F1204&amp;I1204&amp;J1204,'[1]2025年已发货'!$F:$F&amp;'[1]2025年已发货'!$C:$C&amp;'[1]2025年已发货'!$G:$G&amp;'[1]2025年已发货'!$H:$H,'[1]2025年已发货'!$E:$E,"未发货")</f>
        <v>未发货</v>
      </c>
      <c r="I1204" s="33" t="str">
        <f>VLOOKUP(B1204,辅助信息!E:I,3,FALSE)</f>
        <v>(宜宾兴港三江新区长江工业园建设项目-9#厂房)宜宾市翠屏区宜宾汽车零部件配套产业基地(纬五路南)</v>
      </c>
      <c r="J1204" s="33" t="str">
        <f>VLOOKUP(B1204,辅助信息!E:I,4,FALSE)</f>
        <v>严石林</v>
      </c>
      <c r="K1204" s="33">
        <f>VLOOKUP(J1204,辅助信息!H:I,2,FALSE)</f>
        <v>15924731822</v>
      </c>
      <c r="L1204" s="32" t="str">
        <f>VLOOKUP(B1204,辅助信息!E:J,6,FALSE)</f>
        <v>装货前联系收货人核实到场规格，货物最下面用方木垫下方便卸货</v>
      </c>
      <c r="P1204" s="55" t="str">
        <f ca="1" t="shared" si="44"/>
        <v/>
      </c>
    </row>
    <row r="1205" hidden="1" spans="1:16">
      <c r="A1205" s="55" t="e">
        <f t="shared" si="48"/>
        <v>#VALUE!</v>
      </c>
      <c r="B1205" s="89" t="s">
        <v>132</v>
      </c>
      <c r="C1205" s="63">
        <v>45771</v>
      </c>
      <c r="D1205" s="33" t="str">
        <f>VLOOKUP(B1205,辅助信息!E:K,7,FALSE)</f>
        <v>JWDDCD2025050800080</v>
      </c>
      <c r="E1205" s="33" t="str">
        <f>VLOOKUP(F1205,辅助信息!A:B,2,FALSE)</f>
        <v>螺纹钢</v>
      </c>
      <c r="F1205" s="19" t="s">
        <v>141</v>
      </c>
      <c r="G1205" s="29">
        <v>35</v>
      </c>
      <c r="H1205" s="29" t="str">
        <f>_xlfn.XLOOKUP(C1205&amp;F1205&amp;I1205&amp;J1205,'[1]2025年已发货'!$F:$F&amp;'[1]2025年已发货'!$C:$C&amp;'[1]2025年已发货'!$G:$G&amp;'[1]2025年已发货'!$H:$H,'[1]2025年已发货'!$E:$E,"未发货")</f>
        <v>未发货</v>
      </c>
      <c r="I1205" s="33" t="str">
        <f>VLOOKUP(B1205,辅助信息!E:I,3,FALSE)</f>
        <v>(宜宾兴港三江新区长江工业园建设项目-9#厂房)宜宾市翠屏区宜宾汽车零部件配套产业基地(纬五路南)</v>
      </c>
      <c r="J1205" s="33" t="str">
        <f>VLOOKUP(B1205,辅助信息!E:I,4,FALSE)</f>
        <v>严石林</v>
      </c>
      <c r="K1205" s="33">
        <f>VLOOKUP(J1205,辅助信息!H:I,2,FALSE)</f>
        <v>15924731822</v>
      </c>
      <c r="L1205" s="32" t="str">
        <f>VLOOKUP(B1205,辅助信息!E:J,6,FALSE)</f>
        <v>装货前联系收货人核实到场规格，货物最下面用方木垫下方便卸货</v>
      </c>
      <c r="P1205" s="55" t="str">
        <f ca="1" t="shared" si="44"/>
        <v/>
      </c>
    </row>
    <row r="1206" hidden="1" spans="1:16">
      <c r="A1206" s="55" t="e">
        <f t="shared" si="48"/>
        <v>#VALUE!</v>
      </c>
      <c r="B1206" s="89" t="s">
        <v>132</v>
      </c>
      <c r="C1206" s="77">
        <v>45771</v>
      </c>
      <c r="D1206" s="76" t="str">
        <f>VLOOKUP(B1206,辅助信息!E:K,7,FALSE)</f>
        <v>JWDDCD2025050800080</v>
      </c>
      <c r="E1206" s="76" t="str">
        <f>VLOOKUP(F1206,辅助信息!A:B,2,FALSE)</f>
        <v>螺纹钢</v>
      </c>
      <c r="F1206" s="19" t="s">
        <v>142</v>
      </c>
      <c r="G1206" s="78">
        <v>35</v>
      </c>
      <c r="H1206" s="78" t="str">
        <f>_xlfn.XLOOKUP(C1206&amp;F1206&amp;I1206&amp;J1206,'[1]2025年已发货'!$F:$F&amp;'[1]2025年已发货'!$C:$C&amp;'[1]2025年已发货'!$G:$G&amp;'[1]2025年已发货'!$H:$H,'[1]2025年已发货'!$E:$E,"未发货")</f>
        <v>未发货</v>
      </c>
      <c r="I1206" s="76" t="str">
        <f>VLOOKUP(B1206,辅助信息!E:I,3,FALSE)</f>
        <v>(宜宾兴港三江新区长江工业园建设项目-9#厂房)宜宾市翠屏区宜宾汽车零部件配套产业基地(纬五路南)</v>
      </c>
      <c r="J1206" s="76" t="str">
        <f>VLOOKUP(B1206,辅助信息!E:I,4,FALSE)</f>
        <v>严石林</v>
      </c>
      <c r="K1206" s="76">
        <f>VLOOKUP(J1206,辅助信息!H:I,2,FALSE)</f>
        <v>15924731822</v>
      </c>
      <c r="L1206" s="103" t="str">
        <f>VLOOKUP(B1206,辅助信息!E:J,6,FALSE)</f>
        <v>装货前联系收货人核实到场规格，货物最下面用方木垫下方便卸货</v>
      </c>
      <c r="P1206" s="55" t="str">
        <f ca="1" t="shared" si="44"/>
        <v/>
      </c>
    </row>
    <row r="1207" hidden="1" spans="1:18">
      <c r="A1207" s="55"/>
      <c r="B1207" s="33" t="s">
        <v>81</v>
      </c>
      <c r="C1207" s="63">
        <v>45774</v>
      </c>
      <c r="D1207" s="33" t="str">
        <f>VLOOKUP(B1207,辅助信息!E:K,7,FALSE)</f>
        <v>JWDDCD2025060900080</v>
      </c>
      <c r="E1207" s="33" t="str">
        <f>VLOOKUP(F1207,辅助信息!A:B,2,FALSE)</f>
        <v>盘螺</v>
      </c>
      <c r="F1207" s="33" t="s">
        <v>26</v>
      </c>
      <c r="G1207" s="33">
        <v>22</v>
      </c>
      <c r="H1207" s="33" t="str">
        <f>_xlfn.XLOOKUP(C1207&amp;F1207&amp;I1207&amp;J1207,'[1]2025年已发货'!$F:$F&amp;'[1]2025年已发货'!$C:$C&amp;'[1]2025年已发货'!$G:$G&amp;'[1]2025年已发货'!$H:$H,'[1]2025年已发货'!$E:$E,"未发货")</f>
        <v>未发货</v>
      </c>
      <c r="I1207" s="33" t="str">
        <f>VLOOKUP(B1207,辅助信息!E:I,3,FALSE)</f>
        <v>（华西简阳西城嘉苑）四川省成都市简阳市简城街道高屋村</v>
      </c>
      <c r="J1207" s="33" t="str">
        <f>VLOOKUP(B1207,辅助信息!E:I,4,FALSE)</f>
        <v>张瀚镭</v>
      </c>
      <c r="K1207" s="33">
        <f>VLOOKUP(J1207,辅助信息!H:I,2,FALSE)</f>
        <v>15884666220</v>
      </c>
      <c r="L1207" s="33" t="str">
        <f>VLOOKUP(B1207,辅助信息!E:J,6,FALSE)</f>
        <v>现场禁止使用氢能源挂车！优先威钢发货,我方卸车,新老国标钢厂不加价可直发，因陕钢多次出现磅差，项目拒绝使用</v>
      </c>
      <c r="M1207" s="88">
        <v>45769</v>
      </c>
      <c r="N1207" s="19"/>
      <c r="O1207" s="19">
        <f ca="1">IF(OR(M1207="",N1207&lt;&gt;""),"",MAX(M1207-TODAY(),0))</f>
        <v>0</v>
      </c>
      <c r="P1207" s="55">
        <f ca="1" t="shared" si="44"/>
        <v>188</v>
      </c>
      <c r="Q1207" s="19" t="str">
        <f>VLOOKUP(B1207,辅助信息!E:M,9,FALSE)</f>
        <v>ZTWM-CDGS-XS-2024-0030-华西集采-简州大道</v>
      </c>
      <c r="R1207" s="19" t="str">
        <f>_xlfn._xlws.FILTER(辅助信息!D:D,辅助信息!E:E=B1207)</f>
        <v>华西简阳西城嘉苑</v>
      </c>
    </row>
    <row r="1208" hidden="1" spans="1:18">
      <c r="A1208" s="55"/>
      <c r="B1208" s="33" t="s">
        <v>81</v>
      </c>
      <c r="C1208" s="63">
        <v>45774</v>
      </c>
      <c r="D1208" s="33" t="str">
        <f>VLOOKUP(B1208,辅助信息!E:K,7,FALSE)</f>
        <v>JWDDCD2025060900080</v>
      </c>
      <c r="E1208" s="33" t="str">
        <f>VLOOKUP(F1208,辅助信息!A:B,2,FALSE)</f>
        <v>螺纹钢</v>
      </c>
      <c r="F1208" s="33" t="s">
        <v>33</v>
      </c>
      <c r="G1208" s="33">
        <v>20</v>
      </c>
      <c r="H1208" s="33" t="str">
        <f>_xlfn.XLOOKUP(C1208&amp;F1208&amp;I1208&amp;J1208,'[1]2025年已发货'!$F:$F&amp;'[1]2025年已发货'!$C:$C&amp;'[1]2025年已发货'!$G:$G&amp;'[1]2025年已发货'!$H:$H,'[1]2025年已发货'!$E:$E,"未发货")</f>
        <v>未发货</v>
      </c>
      <c r="I1208" s="33" t="str">
        <f>VLOOKUP(B1208,辅助信息!E:I,3,FALSE)</f>
        <v>（华西简阳西城嘉苑）四川省成都市简阳市简城街道高屋村</v>
      </c>
      <c r="J1208" s="33" t="str">
        <f>VLOOKUP(B1208,辅助信息!E:I,4,FALSE)</f>
        <v>张瀚镭</v>
      </c>
      <c r="K1208" s="33">
        <f>VLOOKUP(J1208,辅助信息!H:I,2,FALSE)</f>
        <v>15884666220</v>
      </c>
      <c r="L1208" s="33" t="str">
        <f>VLOOKUP(B1208,辅助信息!E:J,6,FALSE)</f>
        <v>现场禁止使用氢能源挂车！优先威钢发货,我方卸车,新老国标钢厂不加价可直发，因陕钢多次出现磅差，项目拒绝使用</v>
      </c>
      <c r="M1208" s="88">
        <v>45769</v>
      </c>
      <c r="N1208" s="19"/>
      <c r="O1208" s="19">
        <f ca="1">IF(OR(M1208="",N1208&lt;&gt;""),"",MAX(M1208-TODAY(),0))</f>
        <v>0</v>
      </c>
      <c r="P1208" s="55">
        <f ca="1" t="shared" si="44"/>
        <v>188</v>
      </c>
      <c r="Q1208" s="19" t="str">
        <f>VLOOKUP(B1208,辅助信息!E:M,9,FALSE)</f>
        <v>ZTWM-CDGS-XS-2024-0030-华西集采-简州大道</v>
      </c>
      <c r="R1208" s="19" t="str">
        <f>_xlfn._xlws.FILTER(辅助信息!D:D,辅助信息!E:E=B1208)</f>
        <v>华西简阳西城嘉苑</v>
      </c>
    </row>
    <row r="1209" hidden="1" spans="1:18">
      <c r="A1209" s="19"/>
      <c r="B1209" s="33" t="s">
        <v>69</v>
      </c>
      <c r="C1209" s="63">
        <v>45772</v>
      </c>
      <c r="D1209" s="33" t="str">
        <f>VLOOKUP(B1209,辅助信息!E:K,7,FALSE)</f>
        <v>JWDDCD2025052800131</v>
      </c>
      <c r="E1209" s="33" t="str">
        <f>VLOOKUP(F1209,辅助信息!A:B,2,FALSE)</f>
        <v>螺纹钢</v>
      </c>
      <c r="F1209" s="33" t="s">
        <v>45</v>
      </c>
      <c r="G1209" s="33">
        <v>3</v>
      </c>
      <c r="H1209" s="33">
        <f>_xlfn.XLOOKUP(C1209&amp;F1209&amp;I1209&amp;J1209,'[1]2025年已发货'!$F:$F&amp;'[1]2025年已发货'!$C:$C&amp;'[1]2025年已发货'!$G:$G&amp;'[1]2025年已发货'!$H:$H,'[1]2025年已发货'!$E:$E,"未发货")</f>
        <v>3</v>
      </c>
      <c r="I1209" s="33" t="str">
        <f>VLOOKUP(B1209,辅助信息!E:I,3,FALSE)</f>
        <v>（商投建工达州中医药科技园-4工区-2号楼）达州市通川区达州中医药职业学院犀牛大道北段</v>
      </c>
      <c r="J1209" s="33" t="str">
        <f>VLOOKUP(B1209,辅助信息!E:I,4,FALSE)</f>
        <v>张扬</v>
      </c>
      <c r="K1209" s="33">
        <f>VLOOKUP(J1209,辅助信息!H:I,2,FALSE)</f>
        <v>18381904567</v>
      </c>
      <c r="L1209" s="33" t="str">
        <f>VLOOKUP(B1209,辅助信息!E:J,6,FALSE)</f>
        <v>控制炉批号！多了现场不收！,优先安排达钢,提前联系到场规格及数量</v>
      </c>
      <c r="M1209" s="88">
        <v>45763</v>
      </c>
      <c r="N1209" s="19"/>
      <c r="O1209" s="19">
        <f ca="1" t="shared" ref="O1209:O1225" si="49">IF(OR(M1209="",N1209&lt;&gt;""),"",MAX(M1209-TODAY(),0))</f>
        <v>0</v>
      </c>
      <c r="P1209" s="55">
        <f ca="1" t="shared" ref="P1209:P1225" si="50">IF(M1209="","",IF(N1209&lt;&gt;"",MAX(N1209-M1209,0),IF(TODAY()&gt;M1209,TODAY()-M1209,0)))</f>
        <v>194</v>
      </c>
      <c r="Q1209" s="19" t="str">
        <f>VLOOKUP(B1209,辅助信息!E:M,9,FALSE)</f>
        <v>ZTWM-CDGS-XS-2024-0134-商投建工达州中医药科技成果示范园项目</v>
      </c>
      <c r="R1209" s="19" t="str">
        <f>_xlfn._xlws.FILTER(辅助信息!D:D,辅助信息!E:E=B1209)</f>
        <v>商投建工达州中医药科技园</v>
      </c>
    </row>
    <row r="1210" hidden="1" spans="1:18">
      <c r="A1210" s="19"/>
      <c r="B1210" s="33" t="s">
        <v>69</v>
      </c>
      <c r="C1210" s="63">
        <v>45772</v>
      </c>
      <c r="D1210" s="33" t="str">
        <f>VLOOKUP(B1210,辅助信息!E:K,7,FALSE)</f>
        <v>JWDDCD2025052800131</v>
      </c>
      <c r="E1210" s="33" t="str">
        <f>VLOOKUP(F1210,辅助信息!A:B,2,FALSE)</f>
        <v>螺纹钢</v>
      </c>
      <c r="F1210" s="33" t="s">
        <v>21</v>
      </c>
      <c r="G1210" s="33">
        <v>12</v>
      </c>
      <c r="H1210" s="33">
        <f>_xlfn.XLOOKUP(C1210&amp;F1210&amp;I1210&amp;J1210,'[1]2025年已发货'!$F:$F&amp;'[1]2025年已发货'!$C:$C&amp;'[1]2025年已发货'!$G:$G&amp;'[1]2025年已发货'!$H:$H,'[1]2025年已发货'!$E:$E,"未发货")</f>
        <v>12</v>
      </c>
      <c r="I1210" s="33" t="str">
        <f>VLOOKUP(B1210,辅助信息!E:I,3,FALSE)</f>
        <v>（商投建工达州中医药科技园-4工区-2号楼）达州市通川区达州中医药职业学院犀牛大道北段</v>
      </c>
      <c r="J1210" s="33" t="str">
        <f>VLOOKUP(B1210,辅助信息!E:I,4,FALSE)</f>
        <v>张扬</v>
      </c>
      <c r="K1210" s="33">
        <f>VLOOKUP(J1210,辅助信息!H:I,2,FALSE)</f>
        <v>18381904567</v>
      </c>
      <c r="L1210" s="33" t="str">
        <f>VLOOKUP(B1210,辅助信息!E:J,6,FALSE)</f>
        <v>控制炉批号！多了现场不收！,优先安排达钢,提前联系到场规格及数量</v>
      </c>
      <c r="M1210" s="88">
        <v>45763</v>
      </c>
      <c r="N1210" s="19"/>
      <c r="O1210" s="19">
        <f ca="1" t="shared" si="49"/>
        <v>0</v>
      </c>
      <c r="P1210" s="55">
        <f ca="1" t="shared" si="50"/>
        <v>194</v>
      </c>
      <c r="Q1210" s="19" t="str">
        <f>VLOOKUP(B1210,辅助信息!E:M,9,FALSE)</f>
        <v>ZTWM-CDGS-XS-2024-0134-商投建工达州中医药科技成果示范园项目</v>
      </c>
      <c r="R1210" s="19" t="str">
        <f>_xlfn._xlws.FILTER(辅助信息!D:D,辅助信息!E:E=B1210)</f>
        <v>商投建工达州中医药科技园</v>
      </c>
    </row>
    <row r="1211" hidden="1" spans="1:18">
      <c r="A1211" s="19"/>
      <c r="B1211" s="33" t="s">
        <v>69</v>
      </c>
      <c r="C1211" s="63">
        <v>45772</v>
      </c>
      <c r="D1211" s="33" t="str">
        <f>VLOOKUP(B1211,辅助信息!E:K,7,FALSE)</f>
        <v>JWDDCD2025052800131</v>
      </c>
      <c r="E1211" s="33" t="str">
        <f>VLOOKUP(F1211,辅助信息!A:B,2,FALSE)</f>
        <v>螺纹钢</v>
      </c>
      <c r="F1211" s="33" t="s">
        <v>58</v>
      </c>
      <c r="G1211" s="33">
        <v>9</v>
      </c>
      <c r="H1211" s="33">
        <f>_xlfn.XLOOKUP(C1211&amp;F1211&amp;I1211&amp;J1211,'[1]2025年已发货'!$F:$F&amp;'[1]2025年已发货'!$C:$C&amp;'[1]2025年已发货'!$G:$G&amp;'[1]2025年已发货'!$H:$H,'[1]2025年已发货'!$E:$E,"未发货")</f>
        <v>9</v>
      </c>
      <c r="I1211" s="33" t="str">
        <f>VLOOKUP(B1211,辅助信息!E:I,3,FALSE)</f>
        <v>（商投建工达州中医药科技园-4工区-2号楼）达州市通川区达州中医药职业学院犀牛大道北段</v>
      </c>
      <c r="J1211" s="33" t="str">
        <f>VLOOKUP(B1211,辅助信息!E:I,4,FALSE)</f>
        <v>张扬</v>
      </c>
      <c r="K1211" s="33">
        <f>VLOOKUP(J1211,辅助信息!H:I,2,FALSE)</f>
        <v>18381904567</v>
      </c>
      <c r="L1211" s="33" t="str">
        <f>VLOOKUP(B1211,辅助信息!E:J,6,FALSE)</f>
        <v>控制炉批号！多了现场不收！,优先安排达钢,提前联系到场规格及数量</v>
      </c>
      <c r="M1211" s="88">
        <v>45763</v>
      </c>
      <c r="N1211" s="19"/>
      <c r="O1211" s="19">
        <f ca="1" t="shared" si="49"/>
        <v>0</v>
      </c>
      <c r="P1211" s="55">
        <f ca="1" t="shared" si="50"/>
        <v>194</v>
      </c>
      <c r="Q1211" s="19" t="str">
        <f>VLOOKUP(B1211,辅助信息!E:M,9,FALSE)</f>
        <v>ZTWM-CDGS-XS-2024-0134-商投建工达州中医药科技成果示范园项目</v>
      </c>
      <c r="R1211" s="19" t="str">
        <f>_xlfn._xlws.FILTER(辅助信息!D:D,辅助信息!E:E=B1211)</f>
        <v>商投建工达州中医药科技园</v>
      </c>
    </row>
    <row r="1212" hidden="1" spans="1:18">
      <c r="A1212" s="19"/>
      <c r="B1212" s="33" t="s">
        <v>69</v>
      </c>
      <c r="C1212" s="63">
        <v>45772</v>
      </c>
      <c r="D1212" s="33" t="str">
        <f>VLOOKUP(B1212,辅助信息!E:K,7,FALSE)</f>
        <v>JWDDCD2025052800131</v>
      </c>
      <c r="E1212" s="33" t="str">
        <f>VLOOKUP(F1212,辅助信息!A:B,2,FALSE)</f>
        <v>螺纹钢</v>
      </c>
      <c r="F1212" s="33" t="s">
        <v>46</v>
      </c>
      <c r="G1212" s="33">
        <v>9</v>
      </c>
      <c r="H1212" s="33">
        <f>_xlfn.XLOOKUP(C1212&amp;F1212&amp;I1212&amp;J1212,'[1]2025年已发货'!$F:$F&amp;'[1]2025年已发货'!$C:$C&amp;'[1]2025年已发货'!$G:$G&amp;'[1]2025年已发货'!$H:$H,'[1]2025年已发货'!$E:$E,"未发货")</f>
        <v>9</v>
      </c>
      <c r="I1212" s="33" t="str">
        <f>VLOOKUP(B1212,辅助信息!E:I,3,FALSE)</f>
        <v>（商投建工达州中医药科技园-4工区-2号楼）达州市通川区达州中医药职业学院犀牛大道北段</v>
      </c>
      <c r="J1212" s="33" t="str">
        <f>VLOOKUP(B1212,辅助信息!E:I,4,FALSE)</f>
        <v>张扬</v>
      </c>
      <c r="K1212" s="33">
        <f>VLOOKUP(J1212,辅助信息!H:I,2,FALSE)</f>
        <v>18381904567</v>
      </c>
      <c r="L1212" s="33" t="str">
        <f>VLOOKUP(B1212,辅助信息!E:J,6,FALSE)</f>
        <v>控制炉批号！多了现场不收！,优先安排达钢,提前联系到场规格及数量</v>
      </c>
      <c r="M1212" s="88">
        <v>45763</v>
      </c>
      <c r="N1212" s="19"/>
      <c r="O1212" s="19">
        <f ca="1" t="shared" si="49"/>
        <v>0</v>
      </c>
      <c r="P1212" s="55">
        <f ca="1" t="shared" si="50"/>
        <v>194</v>
      </c>
      <c r="Q1212" s="19" t="str">
        <f>VLOOKUP(B1212,辅助信息!E:M,9,FALSE)</f>
        <v>ZTWM-CDGS-XS-2024-0134-商投建工达州中医药科技成果示范园项目</v>
      </c>
      <c r="R1212" s="19" t="str">
        <f>_xlfn._xlws.FILTER(辅助信息!D:D,辅助信息!E:E=B1212)</f>
        <v>商投建工达州中医药科技园</v>
      </c>
    </row>
    <row r="1213" hidden="1" spans="1:18">
      <c r="A1213" s="19"/>
      <c r="B1213" s="33" t="s">
        <v>56</v>
      </c>
      <c r="C1213" s="63">
        <v>45772</v>
      </c>
      <c r="D1213" s="33" t="str">
        <f>VLOOKUP(B1213,辅助信息!E:K,7,FALSE)</f>
        <v>JWDDCD2025052800131</v>
      </c>
      <c r="E1213" s="33" t="str">
        <f>VLOOKUP(F1213,辅助信息!A:B,2,FALSE)</f>
        <v>螺纹钢</v>
      </c>
      <c r="F1213" s="33" t="s">
        <v>46</v>
      </c>
      <c r="G1213" s="33">
        <v>21</v>
      </c>
      <c r="H1213" s="33">
        <f>_xlfn.XLOOKUP(C1213&amp;F1213&amp;I1213&amp;J1213,'[1]2025年已发货'!$F:$F&amp;'[1]2025年已发货'!$C:$C&amp;'[1]2025年已发货'!$G:$G&amp;'[1]2025年已发货'!$H:$H,'[1]2025年已发货'!$E:$E,"未发货")</f>
        <v>21</v>
      </c>
      <c r="I1213" s="33" t="str">
        <f>VLOOKUP(B1213,辅助信息!E:I,3,FALSE)</f>
        <v>（商投建工达州中医药科技园-4工区-7号楼）达州市通川区达州中医药职业学院犀牛大道北段</v>
      </c>
      <c r="J1213" s="33" t="str">
        <f>VLOOKUP(B1213,辅助信息!E:I,4,FALSE)</f>
        <v>张扬</v>
      </c>
      <c r="K1213" s="33">
        <f>VLOOKUP(J1213,辅助信息!H:I,2,FALSE)</f>
        <v>18381904567</v>
      </c>
      <c r="L1213" s="33" t="str">
        <f>VLOOKUP(B1213,辅助信息!E:J,6,FALSE)</f>
        <v>控制炉批号！多了现场不收！,优先安排达钢,提前联系到场规格及数量</v>
      </c>
      <c r="M1213" s="88">
        <v>45768</v>
      </c>
      <c r="N1213" s="19"/>
      <c r="O1213" s="19">
        <f ca="1" t="shared" si="49"/>
        <v>0</v>
      </c>
      <c r="P1213" s="55">
        <f ca="1" t="shared" si="50"/>
        <v>189</v>
      </c>
      <c r="Q1213" s="19" t="str">
        <f>VLOOKUP(B1213,辅助信息!E:M,9,FALSE)</f>
        <v>ZTWM-CDGS-XS-2024-0134-商投建工达州中医药科技成果示范园项目</v>
      </c>
      <c r="R1213" s="19" t="str">
        <f>_xlfn._xlws.FILTER(辅助信息!D:D,辅助信息!E:E=B1213)</f>
        <v>商投建工达州中医药科技园</v>
      </c>
    </row>
    <row r="1214" hidden="1" spans="1:18">
      <c r="A1214" s="19"/>
      <c r="B1214" s="33" t="s">
        <v>56</v>
      </c>
      <c r="C1214" s="63">
        <v>45772</v>
      </c>
      <c r="D1214" s="33" t="str">
        <f>VLOOKUP(B1214,辅助信息!E:K,7,FALSE)</f>
        <v>JWDDCD2025052800131</v>
      </c>
      <c r="E1214" s="33" t="str">
        <f>VLOOKUP(F1214,辅助信息!A:B,2,FALSE)</f>
        <v>螺纹钢</v>
      </c>
      <c r="F1214" s="33" t="s">
        <v>22</v>
      </c>
      <c r="G1214" s="33">
        <v>30</v>
      </c>
      <c r="H1214" s="33">
        <f>_xlfn.XLOOKUP(C1214&amp;F1214&amp;I1214&amp;J1214,'[1]2025年已发货'!$F:$F&amp;'[1]2025年已发货'!$C:$C&amp;'[1]2025年已发货'!$G:$G&amp;'[1]2025年已发货'!$H:$H,'[1]2025年已发货'!$E:$E,"未发货")</f>
        <v>30</v>
      </c>
      <c r="I1214" s="33" t="str">
        <f>VLOOKUP(B1214,辅助信息!E:I,3,FALSE)</f>
        <v>（商投建工达州中医药科技园-4工区-7号楼）达州市通川区达州中医药职业学院犀牛大道北段</v>
      </c>
      <c r="J1214" s="33" t="str">
        <f>VLOOKUP(B1214,辅助信息!E:I,4,FALSE)</f>
        <v>张扬</v>
      </c>
      <c r="K1214" s="33">
        <f>VLOOKUP(J1214,辅助信息!H:I,2,FALSE)</f>
        <v>18381904567</v>
      </c>
      <c r="L1214" s="33" t="str">
        <f>VLOOKUP(B1214,辅助信息!E:J,6,FALSE)</f>
        <v>控制炉批号！多了现场不收！,优先安排达钢,提前联系到场规格及数量</v>
      </c>
      <c r="M1214" s="88">
        <v>45768</v>
      </c>
      <c r="N1214" s="19"/>
      <c r="O1214" s="19">
        <f ca="1" t="shared" si="49"/>
        <v>0</v>
      </c>
      <c r="P1214" s="55">
        <f ca="1" t="shared" si="50"/>
        <v>189</v>
      </c>
      <c r="Q1214" s="19" t="str">
        <f>VLOOKUP(B1214,辅助信息!E:M,9,FALSE)</f>
        <v>ZTWM-CDGS-XS-2024-0134-商投建工达州中医药科技成果示范园项目</v>
      </c>
      <c r="R1214" s="19" t="str">
        <f>_xlfn._xlws.FILTER(辅助信息!D:D,辅助信息!E:E=B1214)</f>
        <v>商投建工达州中医药科技园</v>
      </c>
    </row>
    <row r="1215" hidden="1" spans="1:18">
      <c r="A1215" s="55"/>
      <c r="B1215" s="33" t="s">
        <v>68</v>
      </c>
      <c r="C1215" s="63">
        <v>45772</v>
      </c>
      <c r="D1215" s="33" t="str">
        <f>VLOOKUP(B1215,辅助信息!E:K,7,FALSE)</f>
        <v>JWDDCD2025052800131</v>
      </c>
      <c r="E1215" s="33" t="str">
        <f>VLOOKUP(F1215,辅助信息!A:B,2,FALSE)</f>
        <v>高线</v>
      </c>
      <c r="F1215" s="33" t="s">
        <v>51</v>
      </c>
      <c r="G1215" s="29">
        <v>3</v>
      </c>
      <c r="H1215" s="29">
        <f>_xlfn.XLOOKUP(C1215&amp;F1215&amp;I1215&amp;J1215,'[1]2025年已发货'!$F:$F&amp;'[1]2025年已发货'!$C:$C&amp;'[1]2025年已发货'!$G:$G&amp;'[1]2025年已发货'!$H:$H,'[1]2025年已发货'!$E:$E,"未发货")</f>
        <v>3</v>
      </c>
      <c r="I1215" s="33" t="str">
        <f>VLOOKUP(B1215,辅助信息!E:I,3,FALSE)</f>
        <v>（商投建工达州中医药科技园-2工区-景观桥）达州市通川区达州中医药职业学院犀牛大道北段</v>
      </c>
      <c r="J1215" s="33" t="str">
        <f>VLOOKUP(B1215,辅助信息!E:I,4,FALSE)</f>
        <v>李波</v>
      </c>
      <c r="K1215" s="33">
        <f>VLOOKUP(J1215,辅助信息!H:I,2,FALSE)</f>
        <v>18381899787</v>
      </c>
      <c r="L1215" s="33" t="str">
        <f>VLOOKUP(B1215,辅助信息!E:J,6,FALSE)</f>
        <v>控制炉批号！多了现场不收！,优先安排达钢,提前联系到场规格及数量</v>
      </c>
      <c r="M1215" s="84">
        <v>45772</v>
      </c>
      <c r="O1215" s="55">
        <f ca="1" t="shared" si="49"/>
        <v>0</v>
      </c>
      <c r="P1215" s="55">
        <f ca="1" t="shared" si="50"/>
        <v>185</v>
      </c>
      <c r="Q1215" s="19" t="str">
        <f>VLOOKUP(B1215,辅助信息!E:M,9,FALSE)</f>
        <v>ZTWM-CDGS-XS-2024-0134-商投建工达州中医药科技成果示范园项目</v>
      </c>
      <c r="R1215" s="19" t="str">
        <f>_xlfn._xlws.FILTER(辅助信息!D:D,辅助信息!E:E=B1215)</f>
        <v>商投建工达州中医药科技园</v>
      </c>
    </row>
    <row r="1216" hidden="1" spans="1:18">
      <c r="A1216" s="55"/>
      <c r="B1216" s="33" t="s">
        <v>68</v>
      </c>
      <c r="C1216" s="63">
        <v>45772</v>
      </c>
      <c r="D1216" s="33" t="str">
        <f>VLOOKUP(B1216,辅助信息!E:K,7,FALSE)</f>
        <v>JWDDCD2025052800131</v>
      </c>
      <c r="E1216" s="33" t="str">
        <f>VLOOKUP(F1216,辅助信息!A:B,2,FALSE)</f>
        <v>盘螺</v>
      </c>
      <c r="F1216" s="33" t="s">
        <v>41</v>
      </c>
      <c r="G1216" s="29">
        <v>3</v>
      </c>
      <c r="H1216" s="29">
        <f>_xlfn.XLOOKUP(C1216&amp;F1216&amp;I1216&amp;J1216,'[1]2025年已发货'!$F:$F&amp;'[1]2025年已发货'!$C:$C&amp;'[1]2025年已发货'!$G:$G&amp;'[1]2025年已发货'!$H:$H,'[1]2025年已发货'!$E:$E,"未发货")</f>
        <v>3</v>
      </c>
      <c r="I1216" s="33" t="str">
        <f>VLOOKUP(B1216,辅助信息!E:I,3,FALSE)</f>
        <v>（商投建工达州中医药科技园-2工区-景观桥）达州市通川区达州中医药职业学院犀牛大道北段</v>
      </c>
      <c r="J1216" s="33" t="str">
        <f>VLOOKUP(B1216,辅助信息!E:I,4,FALSE)</f>
        <v>李波</v>
      </c>
      <c r="K1216" s="33">
        <f>VLOOKUP(J1216,辅助信息!H:I,2,FALSE)</f>
        <v>18381899787</v>
      </c>
      <c r="L1216" s="33" t="str">
        <f>VLOOKUP(B1216,辅助信息!E:J,6,FALSE)</f>
        <v>控制炉批号！多了现场不收！,优先安排达钢,提前联系到场规格及数量</v>
      </c>
      <c r="M1216" s="84">
        <v>45772</v>
      </c>
      <c r="O1216" s="55">
        <f ca="1" t="shared" si="49"/>
        <v>0</v>
      </c>
      <c r="P1216" s="55">
        <f ca="1" t="shared" si="50"/>
        <v>185</v>
      </c>
      <c r="Q1216" s="19" t="str">
        <f>VLOOKUP(B1216,辅助信息!E:M,9,FALSE)</f>
        <v>ZTWM-CDGS-XS-2024-0134-商投建工达州中医药科技成果示范园项目</v>
      </c>
      <c r="R1216" s="19" t="str">
        <f>_xlfn._xlws.FILTER(辅助信息!D:D,辅助信息!E:E=B1216)</f>
        <v>商投建工达州中医药科技园</v>
      </c>
    </row>
    <row r="1217" hidden="1" spans="1:18">
      <c r="A1217" s="55"/>
      <c r="B1217" s="33" t="s">
        <v>68</v>
      </c>
      <c r="C1217" s="63">
        <v>45772</v>
      </c>
      <c r="D1217" s="33" t="str">
        <f>VLOOKUP(B1217,辅助信息!E:K,7,FALSE)</f>
        <v>JWDDCD2025052800131</v>
      </c>
      <c r="E1217" s="33" t="str">
        <f>VLOOKUP(F1217,辅助信息!A:B,2,FALSE)</f>
        <v>螺纹钢</v>
      </c>
      <c r="F1217" s="33" t="s">
        <v>32</v>
      </c>
      <c r="G1217" s="29">
        <v>17</v>
      </c>
      <c r="H1217" s="29">
        <f>_xlfn.XLOOKUP(C1217&amp;F1217&amp;I1217&amp;J1217,'[1]2025年已发货'!$F:$F&amp;'[1]2025年已发货'!$C:$C&amp;'[1]2025年已发货'!$G:$G&amp;'[1]2025年已发货'!$H:$H,'[1]2025年已发货'!$E:$E,"未发货")</f>
        <v>17</v>
      </c>
      <c r="I1217" s="33" t="str">
        <f>VLOOKUP(B1217,辅助信息!E:I,3,FALSE)</f>
        <v>（商投建工达州中医药科技园-2工区-景观桥）达州市通川区达州中医药职业学院犀牛大道北段</v>
      </c>
      <c r="J1217" s="33" t="str">
        <f>VLOOKUP(B1217,辅助信息!E:I,4,FALSE)</f>
        <v>李波</v>
      </c>
      <c r="K1217" s="33">
        <f>VLOOKUP(J1217,辅助信息!H:I,2,FALSE)</f>
        <v>18381899787</v>
      </c>
      <c r="L1217" s="33" t="str">
        <f>VLOOKUP(B1217,辅助信息!E:J,6,FALSE)</f>
        <v>控制炉批号！多了现场不收！,优先安排达钢,提前联系到场规格及数量</v>
      </c>
      <c r="M1217" s="84">
        <v>45772</v>
      </c>
      <c r="O1217" s="55">
        <f ca="1" t="shared" si="49"/>
        <v>0</v>
      </c>
      <c r="P1217" s="55">
        <f ca="1" t="shared" si="50"/>
        <v>185</v>
      </c>
      <c r="Q1217" s="19" t="str">
        <f>VLOOKUP(B1217,辅助信息!E:M,9,FALSE)</f>
        <v>ZTWM-CDGS-XS-2024-0134-商投建工达州中医药科技成果示范园项目</v>
      </c>
      <c r="R1217" s="19" t="str">
        <f>_xlfn._xlws.FILTER(辅助信息!D:D,辅助信息!E:E=B1217)</f>
        <v>商投建工达州中医药科技园</v>
      </c>
    </row>
    <row r="1218" hidden="1" spans="1:18">
      <c r="A1218" s="55"/>
      <c r="B1218" s="33" t="s">
        <v>68</v>
      </c>
      <c r="C1218" s="63">
        <v>45772</v>
      </c>
      <c r="D1218" s="33" t="str">
        <f>VLOOKUP(B1218,辅助信息!E:K,7,FALSE)</f>
        <v>JWDDCD2025052800131</v>
      </c>
      <c r="E1218" s="33" t="str">
        <f>VLOOKUP(F1218,辅助信息!A:B,2,FALSE)</f>
        <v>螺纹钢</v>
      </c>
      <c r="F1218" s="33" t="s">
        <v>18</v>
      </c>
      <c r="G1218" s="29">
        <v>12</v>
      </c>
      <c r="H1218" s="29">
        <f>_xlfn.XLOOKUP(C1218&amp;F1218&amp;I1218&amp;J1218,'[1]2025年已发货'!$F:$F&amp;'[1]2025年已发货'!$C:$C&amp;'[1]2025年已发货'!$G:$G&amp;'[1]2025年已发货'!$H:$H,'[1]2025年已发货'!$E:$E,"未发货")</f>
        <v>12</v>
      </c>
      <c r="I1218" s="33" t="str">
        <f>VLOOKUP(B1218,辅助信息!E:I,3,FALSE)</f>
        <v>（商投建工达州中医药科技园-2工区-景观桥）达州市通川区达州中医药职业学院犀牛大道北段</v>
      </c>
      <c r="J1218" s="33" t="str">
        <f>VLOOKUP(B1218,辅助信息!E:I,4,FALSE)</f>
        <v>李波</v>
      </c>
      <c r="K1218" s="33">
        <f>VLOOKUP(J1218,辅助信息!H:I,2,FALSE)</f>
        <v>18381899787</v>
      </c>
      <c r="L1218" s="33" t="str">
        <f>VLOOKUP(B1218,辅助信息!E:J,6,FALSE)</f>
        <v>控制炉批号！多了现场不收！,优先安排达钢,提前联系到场规格及数量</v>
      </c>
      <c r="M1218" s="84">
        <v>45772</v>
      </c>
      <c r="O1218" s="55">
        <f ca="1" t="shared" si="49"/>
        <v>0</v>
      </c>
      <c r="P1218" s="55">
        <f ca="1" t="shared" si="50"/>
        <v>185</v>
      </c>
      <c r="Q1218" s="19" t="str">
        <f>VLOOKUP(B1218,辅助信息!E:M,9,FALSE)</f>
        <v>ZTWM-CDGS-XS-2024-0134-商投建工达州中医药科技成果示范园项目</v>
      </c>
      <c r="R1218" s="19" t="str">
        <f>_xlfn._xlws.FILTER(辅助信息!D:D,辅助信息!E:E=B1218)</f>
        <v>商投建工达州中医药科技园</v>
      </c>
    </row>
    <row r="1219" hidden="1" spans="1:18">
      <c r="A1219" s="55"/>
      <c r="B1219" s="33" t="s">
        <v>68</v>
      </c>
      <c r="C1219" s="63">
        <v>45774</v>
      </c>
      <c r="D1219" s="33" t="str">
        <f>VLOOKUP(B1219,辅助信息!E:K,7,FALSE)</f>
        <v>JWDDCD2025052800131</v>
      </c>
      <c r="E1219" s="33" t="str">
        <f>VLOOKUP(F1219,辅助信息!A:B,2,FALSE)</f>
        <v>螺纹钢</v>
      </c>
      <c r="F1219" s="33" t="s">
        <v>52</v>
      </c>
      <c r="G1219" s="29">
        <v>15</v>
      </c>
      <c r="H1219" s="29" t="str">
        <f>_xlfn.XLOOKUP(C1219&amp;F1219&amp;I1219&amp;J1219,'[1]2025年已发货'!$F:$F&amp;'[1]2025年已发货'!$C:$C&amp;'[1]2025年已发货'!$G:$G&amp;'[1]2025年已发货'!$H:$H,'[1]2025年已发货'!$E:$E,"未发货")</f>
        <v>未发货</v>
      </c>
      <c r="I1219" s="33" t="str">
        <f>VLOOKUP(B1219,辅助信息!E:I,3,FALSE)</f>
        <v>（商投建工达州中医药科技园-2工区-景观桥）达州市通川区达州中医药职业学院犀牛大道北段</v>
      </c>
      <c r="J1219" s="33" t="str">
        <f>VLOOKUP(B1219,辅助信息!E:I,4,FALSE)</f>
        <v>李波</v>
      </c>
      <c r="K1219" s="33">
        <f>VLOOKUP(J1219,辅助信息!H:I,2,FALSE)</f>
        <v>18381899787</v>
      </c>
      <c r="L1219" s="33" t="str">
        <f>VLOOKUP(B1219,辅助信息!E:J,6,FALSE)</f>
        <v>控制炉批号！多了现场不收！,优先安排达钢,提前联系到场规格及数量</v>
      </c>
      <c r="M1219" s="84">
        <v>45772</v>
      </c>
      <c r="O1219" s="55">
        <f ca="1" t="shared" si="49"/>
        <v>0</v>
      </c>
      <c r="P1219" s="55">
        <f ca="1" t="shared" si="50"/>
        <v>185</v>
      </c>
      <c r="Q1219" s="19" t="str">
        <f>VLOOKUP(B1219,辅助信息!E:M,9,FALSE)</f>
        <v>ZTWM-CDGS-XS-2024-0134-商投建工达州中医药科技成果示范园项目</v>
      </c>
      <c r="R1219" s="19" t="str">
        <f>_xlfn._xlws.FILTER(辅助信息!D:D,辅助信息!E:E=B1219)</f>
        <v>商投建工达州中医药科技园</v>
      </c>
    </row>
    <row r="1220" hidden="1" spans="1:18">
      <c r="A1220" s="55"/>
      <c r="B1220" s="33" t="s">
        <v>136</v>
      </c>
      <c r="C1220" s="63">
        <v>45774</v>
      </c>
      <c r="D1220" s="33" t="str">
        <f>VLOOKUP(B1220,辅助信息!E:K,7,FALSE)</f>
        <v>JWDDCD2025050800080</v>
      </c>
      <c r="E1220" s="33" t="str">
        <f>VLOOKUP(F1220,辅助信息!A:B,2,FALSE)</f>
        <v>螺纹钢</v>
      </c>
      <c r="F1220" s="33" t="s">
        <v>90</v>
      </c>
      <c r="G1220" s="29">
        <v>70</v>
      </c>
      <c r="H1220" s="29" t="str">
        <f>_xlfn.XLOOKUP(C1220&amp;F1220&amp;I1220&amp;J1220,'[1]2025年已发货'!$F:$F&amp;'[1]2025年已发货'!$C:$C&amp;'[1]2025年已发货'!$G:$G&amp;'[1]2025年已发货'!$H:$H,'[1]2025年已发货'!$E:$E,"未发货")</f>
        <v>未发货</v>
      </c>
      <c r="I1220" s="33" t="str">
        <f>VLOOKUP(B1220,辅助信息!E:I,3,FALSE)</f>
        <v>(宜宾兴港三江新区长江工业园建设项目-M2-00-04桩)宜宾市翠屏区宜宾汽车零部件配套产业基地(纬五路南)</v>
      </c>
      <c r="J1220" s="33" t="str">
        <f>VLOOKUP(B1220,辅助信息!E:I,4,FALSE)</f>
        <v>李国享</v>
      </c>
      <c r="K1220" s="33">
        <f>VLOOKUP(J1220,辅助信息!H:I,2,FALSE)</f>
        <v>17713876279</v>
      </c>
      <c r="L1220" s="33" t="str">
        <f>VLOOKUP(B1220,辅助信息!E:J,6,FALSE)</f>
        <v>装货前联系收货人核实到场规格，货物最下面用方木垫下方便卸货</v>
      </c>
      <c r="M1220" s="84">
        <v>45773</v>
      </c>
      <c r="O1220" s="55">
        <f ca="1" t="shared" si="49"/>
        <v>0</v>
      </c>
      <c r="P1220" s="55">
        <f ca="1" t="shared" si="50"/>
        <v>184</v>
      </c>
      <c r="Q1220" s="19" t="str">
        <f>VLOOKUP(B1220,辅助信息!E:M,9,FALSE)</f>
        <v>ZTWM-CDGS-XS-2025-0059-宜宾兴港建材-宜宾冷链项目</v>
      </c>
      <c r="R1220" s="19" t="str">
        <f>_xlfn._xlws.FILTER(辅助信息!D:D,辅助信息!E:E=B1220)</f>
        <v>宜宾兴港三江新区长江工业园建设项目</v>
      </c>
    </row>
    <row r="1221" hidden="1" spans="1:18">
      <c r="A1221" s="55"/>
      <c r="B1221" s="33" t="s">
        <v>139</v>
      </c>
      <c r="C1221" s="63">
        <v>45774</v>
      </c>
      <c r="D1221" s="33" t="str">
        <f>VLOOKUP(B1221,辅助信息!E:K,7,FALSE)</f>
        <v>JWDDCD2025050800080</v>
      </c>
      <c r="E1221" s="33" t="str">
        <f>VLOOKUP(F1221,辅助信息!A:B,2,FALSE)</f>
        <v>盘螺</v>
      </c>
      <c r="F1221" s="33" t="s">
        <v>41</v>
      </c>
      <c r="G1221" s="29">
        <v>25</v>
      </c>
      <c r="H1221" s="29" t="str">
        <f>_xlfn.XLOOKUP(C1221&amp;F1221&amp;I1221&amp;J1221,'[1]2025年已发货'!$F:$F&amp;'[1]2025年已发货'!$C:$C&amp;'[1]2025年已发货'!$G:$G&amp;'[1]2025年已发货'!$H:$H,'[1]2025年已发货'!$E:$E,"未发货")</f>
        <v>未发货</v>
      </c>
      <c r="I1221" s="33" t="str">
        <f>VLOOKUP(B1221,辅助信息!E:I,3,FALSE)</f>
        <v>(宜宾兴港三江新区长江工业园建设项目-M2-7#厂房)宜宾市翠屏区宜宾汽车零部件配套产业基地(纬五路南)</v>
      </c>
      <c r="J1221" s="33" t="str">
        <f>VLOOKUP(B1221,辅助信息!E:I,4,FALSE)</f>
        <v>李国享</v>
      </c>
      <c r="K1221" s="33">
        <f>VLOOKUP(J1221,辅助信息!H:I,2,FALSE)</f>
        <v>17713876279</v>
      </c>
      <c r="L1221" s="33" t="str">
        <f>VLOOKUP(B1221,辅助信息!E:J,6,FALSE)</f>
        <v>装货前联系收货人核实到场规格，货物最下面用方木垫下方便卸货</v>
      </c>
      <c r="M1221" s="84">
        <v>45773</v>
      </c>
      <c r="O1221" s="55">
        <f ca="1" t="shared" si="49"/>
        <v>0</v>
      </c>
      <c r="P1221" s="55">
        <f ca="1" t="shared" si="50"/>
        <v>184</v>
      </c>
      <c r="Q1221" s="19" t="str">
        <f>VLOOKUP(B1221,辅助信息!E:M,9,FALSE)</f>
        <v>ZTWM-CDGS-XS-2025-0059-宜宾兴港建材-宜宾冷链项目</v>
      </c>
      <c r="R1221" s="19" t="str">
        <f>_xlfn._xlws.FILTER(辅助信息!D:D,辅助信息!E:E=B1221)</f>
        <v>宜宾兴港三江新区长江工业园建设项目</v>
      </c>
    </row>
    <row r="1222" hidden="1" spans="1:18">
      <c r="A1222" s="55"/>
      <c r="B1222" s="33" t="s">
        <v>139</v>
      </c>
      <c r="C1222" s="63">
        <v>45774</v>
      </c>
      <c r="D1222" s="33" t="str">
        <f>VLOOKUP(B1222,辅助信息!E:K,7,FALSE)</f>
        <v>JWDDCD2025050800080</v>
      </c>
      <c r="E1222" s="33" t="str">
        <f>VLOOKUP(F1222,辅助信息!A:B,2,FALSE)</f>
        <v>螺纹钢</v>
      </c>
      <c r="F1222" s="33" t="s">
        <v>133</v>
      </c>
      <c r="G1222" s="29">
        <v>30</v>
      </c>
      <c r="H1222" s="29" t="str">
        <f>_xlfn.XLOOKUP(C1222&amp;F1222&amp;I1222&amp;J1222,'[1]2025年已发货'!$F:$F&amp;'[1]2025年已发货'!$C:$C&amp;'[1]2025年已发货'!$G:$G&amp;'[1]2025年已发货'!$H:$H,'[1]2025年已发货'!$E:$E,"未发货")</f>
        <v>未发货</v>
      </c>
      <c r="I1222" s="33" t="str">
        <f>VLOOKUP(B1222,辅助信息!E:I,3,FALSE)</f>
        <v>(宜宾兴港三江新区长江工业园建设项目-M2-7#厂房)宜宾市翠屏区宜宾汽车零部件配套产业基地(纬五路南)</v>
      </c>
      <c r="J1222" s="33" t="str">
        <f>VLOOKUP(B1222,辅助信息!E:I,4,FALSE)</f>
        <v>李国享</v>
      </c>
      <c r="K1222" s="33">
        <f>VLOOKUP(J1222,辅助信息!H:I,2,FALSE)</f>
        <v>17713876279</v>
      </c>
      <c r="L1222" s="33" t="str">
        <f>VLOOKUP(B1222,辅助信息!E:J,6,FALSE)</f>
        <v>装货前联系收货人核实到场规格，货物最下面用方木垫下方便卸货</v>
      </c>
      <c r="M1222" s="84">
        <v>45773</v>
      </c>
      <c r="O1222" s="55">
        <f ca="1" t="shared" si="49"/>
        <v>0</v>
      </c>
      <c r="P1222" s="55">
        <f ca="1" t="shared" si="50"/>
        <v>184</v>
      </c>
      <c r="Q1222" s="19" t="str">
        <f>VLOOKUP(B1222,辅助信息!E:M,9,FALSE)</f>
        <v>ZTWM-CDGS-XS-2025-0059-宜宾兴港建材-宜宾冷链项目</v>
      </c>
      <c r="R1222" s="19" t="str">
        <f>_xlfn._xlws.FILTER(辅助信息!D:D,辅助信息!E:E=B1222)</f>
        <v>宜宾兴港三江新区长江工业园建设项目</v>
      </c>
    </row>
    <row r="1223" hidden="1" spans="1:18">
      <c r="A1223" s="55"/>
      <c r="B1223" s="33" t="s">
        <v>132</v>
      </c>
      <c r="C1223" s="63">
        <v>45772</v>
      </c>
      <c r="D1223" s="33" t="str">
        <f>VLOOKUP(B1223,辅助信息!E:K,7,FALSE)</f>
        <v>JWDDCD2025050800080</v>
      </c>
      <c r="E1223" s="33" t="e">
        <f>VLOOKUP(F1223,辅助信息!A:B,2,FALSE)</f>
        <v>#N/A</v>
      </c>
      <c r="F1223" s="33" t="s">
        <v>143</v>
      </c>
      <c r="G1223" s="29">
        <v>12</v>
      </c>
      <c r="H1223" s="29">
        <f>_xlfn.XLOOKUP(C1223&amp;F1223&amp;I1223&amp;J1223,'[1]2025年已发货'!$F:$F&amp;'[1]2025年已发货'!$C:$C&amp;'[1]2025年已发货'!$G:$G&amp;'[1]2025年已发货'!$H:$H,'[1]2025年已发货'!$E:$E,"未发货")</f>
        <v>12</v>
      </c>
      <c r="I1223" s="33" t="str">
        <f>VLOOKUP(B1223,辅助信息!E:I,3,FALSE)</f>
        <v>(宜宾兴港三江新区长江工业园建设项目-9#厂房)宜宾市翠屏区宜宾汽车零部件配套产业基地(纬五路南)</v>
      </c>
      <c r="J1223" s="33" t="str">
        <f>VLOOKUP(B1223,辅助信息!E:I,4,FALSE)</f>
        <v>严石林</v>
      </c>
      <c r="K1223" s="33">
        <f>VLOOKUP(J1223,辅助信息!H:I,2,FALSE)</f>
        <v>15924731822</v>
      </c>
      <c r="L1223" s="33" t="str">
        <f>VLOOKUP(B1223,辅助信息!E:J,6,FALSE)</f>
        <v>装货前联系收货人核实到场规格，货物最下面用方木垫下方便卸货</v>
      </c>
      <c r="M1223" s="84">
        <v>45773</v>
      </c>
      <c r="O1223" s="55">
        <f ca="1" t="shared" si="49"/>
        <v>0</v>
      </c>
      <c r="P1223" s="55">
        <f ca="1" t="shared" si="50"/>
        <v>184</v>
      </c>
      <c r="Q1223" s="19" t="str">
        <f>VLOOKUP(B1223,辅助信息!E:M,9,FALSE)</f>
        <v>ZTWM-CDGS-XS-2025-0059-宜宾兴港建材-宜宾冷链项目</v>
      </c>
      <c r="R1223" s="19" t="str">
        <f>_xlfn._xlws.FILTER(辅助信息!D:D,辅助信息!E:E=B1223)</f>
        <v>宜宾兴港三江新区长江工业园建设项目</v>
      </c>
    </row>
    <row r="1224" hidden="1" spans="1:18">
      <c r="A1224" s="55"/>
      <c r="B1224" s="33" t="s">
        <v>132</v>
      </c>
      <c r="C1224" s="63">
        <v>45772</v>
      </c>
      <c r="D1224" s="33" t="str">
        <f>VLOOKUP(B1224,辅助信息!E:K,7,FALSE)</f>
        <v>JWDDCD2025050800080</v>
      </c>
      <c r="E1224" s="33" t="str">
        <f>VLOOKUP(F1224,辅助信息!A:B,2,FALSE)</f>
        <v>螺纹钢</v>
      </c>
      <c r="F1224" s="33" t="s">
        <v>141</v>
      </c>
      <c r="G1224" s="29">
        <v>75</v>
      </c>
      <c r="H1224" s="29">
        <f>_xlfn.XLOOKUP(C1224&amp;F1224&amp;I1224&amp;J1224,'[1]2025年已发货'!$F:$F&amp;'[1]2025年已发货'!$C:$C&amp;'[1]2025年已发货'!$G:$G&amp;'[1]2025年已发货'!$H:$H,'[1]2025年已发货'!$E:$E,"未发货")</f>
        <v>75</v>
      </c>
      <c r="I1224" s="33" t="str">
        <f>VLOOKUP(B1224,辅助信息!E:I,3,FALSE)</f>
        <v>(宜宾兴港三江新区长江工业园建设项目-9#厂房)宜宾市翠屏区宜宾汽车零部件配套产业基地(纬五路南)</v>
      </c>
      <c r="J1224" s="33" t="str">
        <f>VLOOKUP(B1224,辅助信息!E:I,4,FALSE)</f>
        <v>严石林</v>
      </c>
      <c r="K1224" s="33">
        <f>VLOOKUP(J1224,辅助信息!H:I,2,FALSE)</f>
        <v>15924731822</v>
      </c>
      <c r="L1224" s="33" t="str">
        <f>VLOOKUP(B1224,辅助信息!E:J,6,FALSE)</f>
        <v>装货前联系收货人核实到场规格，货物最下面用方木垫下方便卸货</v>
      </c>
      <c r="M1224" s="84">
        <v>45773</v>
      </c>
      <c r="O1224" s="55">
        <f ca="1" t="shared" si="49"/>
        <v>0</v>
      </c>
      <c r="P1224" s="55">
        <f ca="1" t="shared" si="50"/>
        <v>184</v>
      </c>
      <c r="Q1224" s="19" t="str">
        <f>VLOOKUP(B1224,辅助信息!E:M,9,FALSE)</f>
        <v>ZTWM-CDGS-XS-2025-0059-宜宾兴港建材-宜宾冷链项目</v>
      </c>
      <c r="R1224" s="19" t="str">
        <f>_xlfn._xlws.FILTER(辅助信息!D:D,辅助信息!E:E=B1224)</f>
        <v>宜宾兴港三江新区长江工业园建设项目</v>
      </c>
    </row>
    <row r="1225" hidden="1" spans="1:18">
      <c r="A1225" s="55"/>
      <c r="B1225" s="33" t="s">
        <v>132</v>
      </c>
      <c r="C1225" s="63">
        <v>45772</v>
      </c>
      <c r="D1225" s="33" t="str">
        <f>VLOOKUP(B1225,辅助信息!E:K,7,FALSE)</f>
        <v>JWDDCD2025050800080</v>
      </c>
      <c r="E1225" s="33" t="str">
        <f>VLOOKUP(F1225,辅助信息!A:B,2,FALSE)</f>
        <v>螺纹钢</v>
      </c>
      <c r="F1225" s="33" t="s">
        <v>142</v>
      </c>
      <c r="G1225" s="29">
        <v>18</v>
      </c>
      <c r="H1225" s="29">
        <f>_xlfn.XLOOKUP(C1225&amp;F1225&amp;I1225&amp;J1225,'[1]2025年已发货'!$F:$F&amp;'[1]2025年已发货'!$C:$C&amp;'[1]2025年已发货'!$G:$G&amp;'[1]2025年已发货'!$H:$H,'[1]2025年已发货'!$E:$E,"未发货")</f>
        <v>18</v>
      </c>
      <c r="I1225" s="33" t="str">
        <f>VLOOKUP(B1225,辅助信息!E:I,3,FALSE)</f>
        <v>(宜宾兴港三江新区长江工业园建设项目-9#厂房)宜宾市翠屏区宜宾汽车零部件配套产业基地(纬五路南)</v>
      </c>
      <c r="J1225" s="33" t="str">
        <f>VLOOKUP(B1225,辅助信息!E:I,4,FALSE)</f>
        <v>严石林</v>
      </c>
      <c r="K1225" s="33">
        <f>VLOOKUP(J1225,辅助信息!H:I,2,FALSE)</f>
        <v>15924731822</v>
      </c>
      <c r="L1225" s="33" t="str">
        <f>VLOOKUP(B1225,辅助信息!E:J,6,FALSE)</f>
        <v>装货前联系收货人核实到场规格，货物最下面用方木垫下方便卸货</v>
      </c>
      <c r="M1225" s="84">
        <v>45773</v>
      </c>
      <c r="O1225" s="55">
        <f ca="1" t="shared" si="49"/>
        <v>0</v>
      </c>
      <c r="P1225" s="55">
        <f ca="1" t="shared" si="50"/>
        <v>184</v>
      </c>
      <c r="Q1225" s="19" t="str">
        <f>VLOOKUP(B1225,辅助信息!E:M,9,FALSE)</f>
        <v>ZTWM-CDGS-XS-2025-0059-宜宾兴港建材-宜宾冷链项目</v>
      </c>
      <c r="R1225" s="19" t="str">
        <f>_xlfn._xlws.FILTER(辅助信息!D:D,辅助信息!E:E=B1225)</f>
        <v>宜宾兴港三江新区长江工业园建设项目</v>
      </c>
    </row>
    <row r="1226" hidden="1" spans="2:18">
      <c r="B1226" s="33" t="s">
        <v>47</v>
      </c>
      <c r="C1226" s="63">
        <v>45774</v>
      </c>
      <c r="D1226" s="33" t="str">
        <f>VLOOKUP(B1226,辅助信息!E:K,7,FALSE)</f>
        <v>JWDDCD2025052800131</v>
      </c>
      <c r="E1226" s="33" t="str">
        <f>VLOOKUP(F1226,辅助信息!A:B,2,FALSE)</f>
        <v>盘螺</v>
      </c>
      <c r="F1226" s="33" t="s">
        <v>49</v>
      </c>
      <c r="G1226" s="29">
        <v>6</v>
      </c>
      <c r="H1226" s="29">
        <f>_xlfn.XLOOKUP(C1226&amp;F1226&amp;I1226&amp;J1226,'[1]2025年已发货'!$F:$F&amp;'[1]2025年已发货'!$C:$C&amp;'[1]2025年已发货'!$G:$G&amp;'[1]2025年已发货'!$H:$H,'[1]2025年已发货'!$E:$E,"未发货")</f>
        <v>6</v>
      </c>
      <c r="I1226" s="33" t="str">
        <f>VLOOKUP(B1226,辅助信息!E:I,3,FALSE)</f>
        <v>（商投建工达州中医药科技园-1工区）达州市通川区达州中医药职业学院犀牛大道北段</v>
      </c>
      <c r="J1226" s="33" t="str">
        <f>VLOOKUP(B1226,辅助信息!E:I,4,FALSE)</f>
        <v>程黄刚</v>
      </c>
      <c r="K1226" s="33">
        <f>VLOOKUP(J1226,辅助信息!H:I,2,FALSE)</f>
        <v>15108211617</v>
      </c>
      <c r="L1226" s="33" t="str">
        <f>VLOOKUP(B1226,辅助信息!E:J,6,FALSE)</f>
        <v>控制炉批号！多了现场不收！,优先安排达钢,提前联系到场规格及数量</v>
      </c>
      <c r="M1226" s="84">
        <v>45779</v>
      </c>
      <c r="O1226" s="55">
        <f ca="1" t="shared" ref="O1226:O1234" si="51">IF(OR(M1226="",N1226&lt;&gt;""),"",MAX(M1226-TODAY(),0))</f>
        <v>0</v>
      </c>
      <c r="P1226" s="55">
        <f ca="1" t="shared" ref="P1226:P1254" si="52">IF(M1226="","",IF(N1226&lt;&gt;"",MAX(N1226-M1226,0),IF(TODAY()&gt;M1226,TODAY()-M1226,0)))</f>
        <v>178</v>
      </c>
      <c r="Q1226" s="19" t="str">
        <f>VLOOKUP(B1226,辅助信息!E:M,9,FALSE)</f>
        <v>ZTWM-CDGS-XS-2024-0134-商投建工达州中医药科技成果示范园项目</v>
      </c>
      <c r="R1226" s="19" t="str">
        <f>_xlfn._xlws.FILTER(辅助信息!D:D,辅助信息!E:E=B1226)</f>
        <v>商投建工达州中医药科技园</v>
      </c>
    </row>
    <row r="1227" hidden="1" spans="2:18">
      <c r="B1227" s="33" t="s">
        <v>47</v>
      </c>
      <c r="C1227" s="63">
        <v>45774</v>
      </c>
      <c r="D1227" s="33" t="str">
        <f>VLOOKUP(B1227,辅助信息!E:K,7,FALSE)</f>
        <v>JWDDCD2025052800131</v>
      </c>
      <c r="E1227" s="33" t="str">
        <f>VLOOKUP(F1227,辅助信息!A:B,2,FALSE)</f>
        <v>盘螺</v>
      </c>
      <c r="F1227" s="33" t="s">
        <v>40</v>
      </c>
      <c r="G1227" s="29">
        <v>15</v>
      </c>
      <c r="H1227" s="29">
        <f>_xlfn.XLOOKUP(C1227&amp;F1227&amp;I1227&amp;J1227,'[1]2025年已发货'!$F:$F&amp;'[1]2025年已发货'!$C:$C&amp;'[1]2025年已发货'!$G:$G&amp;'[1]2025年已发货'!$H:$H,'[1]2025年已发货'!$E:$E,"未发货")</f>
        <v>15</v>
      </c>
      <c r="I1227" s="33" t="str">
        <f>VLOOKUP(B1227,辅助信息!E:I,3,FALSE)</f>
        <v>（商投建工达州中医药科技园-1工区）达州市通川区达州中医药职业学院犀牛大道北段</v>
      </c>
      <c r="J1227" s="33" t="str">
        <f>VLOOKUP(B1227,辅助信息!E:I,4,FALSE)</f>
        <v>程黄刚</v>
      </c>
      <c r="K1227" s="33">
        <f>VLOOKUP(J1227,辅助信息!H:I,2,FALSE)</f>
        <v>15108211617</v>
      </c>
      <c r="L1227" s="33" t="str">
        <f>VLOOKUP(B1227,辅助信息!E:J,6,FALSE)</f>
        <v>控制炉批号！多了现场不收！,优先安排达钢,提前联系到场规格及数量</v>
      </c>
      <c r="M1227" s="84">
        <v>45779</v>
      </c>
      <c r="O1227" s="55">
        <f ca="1" t="shared" si="51"/>
        <v>0</v>
      </c>
      <c r="P1227" s="55">
        <f ca="1" t="shared" si="52"/>
        <v>178</v>
      </c>
      <c r="Q1227" s="19" t="str">
        <f>VLOOKUP(B1227,辅助信息!E:M,9,FALSE)</f>
        <v>ZTWM-CDGS-XS-2024-0134-商投建工达州中医药科技成果示范园项目</v>
      </c>
      <c r="R1227" s="19" t="str">
        <f>_xlfn._xlws.FILTER(辅助信息!D:D,辅助信息!E:E=B1227)</f>
        <v>商投建工达州中医药科技园</v>
      </c>
    </row>
    <row r="1228" hidden="1" spans="2:18">
      <c r="B1228" s="33" t="s">
        <v>47</v>
      </c>
      <c r="C1228" s="63">
        <v>45774</v>
      </c>
      <c r="D1228" s="33" t="str">
        <f>VLOOKUP(B1228,辅助信息!E:K,7,FALSE)</f>
        <v>JWDDCD2025052800131</v>
      </c>
      <c r="E1228" s="33" t="str">
        <f>VLOOKUP(F1228,辅助信息!A:B,2,FALSE)</f>
        <v>盘螺</v>
      </c>
      <c r="F1228" s="33" t="s">
        <v>41</v>
      </c>
      <c r="G1228" s="29">
        <v>3</v>
      </c>
      <c r="H1228" s="29">
        <f>_xlfn.XLOOKUP(C1228&amp;F1228&amp;I1228&amp;J1228,'[1]2025年已发货'!$F:$F&amp;'[1]2025年已发货'!$C:$C&amp;'[1]2025年已发货'!$G:$G&amp;'[1]2025年已发货'!$H:$H,'[1]2025年已发货'!$E:$E,"未发货")</f>
        <v>3</v>
      </c>
      <c r="I1228" s="33" t="str">
        <f>VLOOKUP(B1228,辅助信息!E:I,3,FALSE)</f>
        <v>（商投建工达州中医药科技园-1工区）达州市通川区达州中医药职业学院犀牛大道北段</v>
      </c>
      <c r="J1228" s="33" t="str">
        <f>VLOOKUP(B1228,辅助信息!E:I,4,FALSE)</f>
        <v>程黄刚</v>
      </c>
      <c r="K1228" s="33">
        <f>VLOOKUP(J1228,辅助信息!H:I,2,FALSE)</f>
        <v>15108211617</v>
      </c>
      <c r="L1228" s="33" t="str">
        <f>VLOOKUP(B1228,辅助信息!E:J,6,FALSE)</f>
        <v>控制炉批号！多了现场不收！,优先安排达钢,提前联系到场规格及数量</v>
      </c>
      <c r="M1228" s="84">
        <v>45779</v>
      </c>
      <c r="O1228" s="55">
        <f ca="1" t="shared" si="51"/>
        <v>0</v>
      </c>
      <c r="P1228" s="55">
        <f ca="1" t="shared" si="52"/>
        <v>178</v>
      </c>
      <c r="Q1228" s="19" t="str">
        <f>VLOOKUP(B1228,辅助信息!E:M,9,FALSE)</f>
        <v>ZTWM-CDGS-XS-2024-0134-商投建工达州中医药科技成果示范园项目</v>
      </c>
      <c r="R1228" s="19" t="str">
        <f>_xlfn._xlws.FILTER(辅助信息!D:D,辅助信息!E:E=B1228)</f>
        <v>商投建工达州中医药科技园</v>
      </c>
    </row>
    <row r="1229" hidden="1" spans="2:18">
      <c r="B1229" s="33" t="s">
        <v>47</v>
      </c>
      <c r="C1229" s="63">
        <v>45774</v>
      </c>
      <c r="D1229" s="33" t="str">
        <f>VLOOKUP(B1229,辅助信息!E:K,7,FALSE)</f>
        <v>JWDDCD2025052800131</v>
      </c>
      <c r="E1229" s="33" t="str">
        <f>VLOOKUP(F1229,辅助信息!A:B,2,FALSE)</f>
        <v>螺纹钢</v>
      </c>
      <c r="F1229" s="33" t="s">
        <v>27</v>
      </c>
      <c r="G1229" s="29">
        <v>21</v>
      </c>
      <c r="H1229" s="29">
        <f>_xlfn.XLOOKUP(C1229&amp;F1229&amp;I1229&amp;J1229,'[1]2025年已发货'!$F:$F&amp;'[1]2025年已发货'!$C:$C&amp;'[1]2025年已发货'!$G:$G&amp;'[1]2025年已发货'!$H:$H,'[1]2025年已发货'!$E:$E,"未发货")</f>
        <v>21</v>
      </c>
      <c r="I1229" s="33" t="str">
        <f>VLOOKUP(B1229,辅助信息!E:I,3,FALSE)</f>
        <v>（商投建工达州中医药科技园-1工区）达州市通川区达州中医药职业学院犀牛大道北段</v>
      </c>
      <c r="J1229" s="33" t="str">
        <f>VLOOKUP(B1229,辅助信息!E:I,4,FALSE)</f>
        <v>程黄刚</v>
      </c>
      <c r="K1229" s="33">
        <f>VLOOKUP(J1229,辅助信息!H:I,2,FALSE)</f>
        <v>15108211617</v>
      </c>
      <c r="L1229" s="33" t="str">
        <f>VLOOKUP(B1229,辅助信息!E:J,6,FALSE)</f>
        <v>控制炉批号！多了现场不收！,优先安排达钢,提前联系到场规格及数量</v>
      </c>
      <c r="M1229" s="84">
        <v>45779</v>
      </c>
      <c r="O1229" s="55">
        <f ca="1" t="shared" si="51"/>
        <v>0</v>
      </c>
      <c r="P1229" s="55">
        <f ca="1" t="shared" si="52"/>
        <v>178</v>
      </c>
      <c r="Q1229" s="19" t="str">
        <f>VLOOKUP(B1229,辅助信息!E:M,9,FALSE)</f>
        <v>ZTWM-CDGS-XS-2024-0134-商投建工达州中医药科技成果示范园项目</v>
      </c>
      <c r="R1229" s="19" t="str">
        <f>_xlfn._xlws.FILTER(辅助信息!D:D,辅助信息!E:E=B1229)</f>
        <v>商投建工达州中医药科技园</v>
      </c>
    </row>
    <row r="1230" hidden="1" spans="2:18">
      <c r="B1230" s="33" t="s">
        <v>47</v>
      </c>
      <c r="C1230" s="63">
        <v>45774</v>
      </c>
      <c r="D1230" s="33" t="str">
        <f>VLOOKUP(B1230,辅助信息!E:K,7,FALSE)</f>
        <v>JWDDCD2025052800131</v>
      </c>
      <c r="E1230" s="33" t="str">
        <f>VLOOKUP(F1230,辅助信息!A:B,2,FALSE)</f>
        <v>螺纹钢</v>
      </c>
      <c r="F1230" s="33" t="s">
        <v>32</v>
      </c>
      <c r="G1230" s="29">
        <v>18</v>
      </c>
      <c r="H1230" s="29">
        <f>_xlfn.XLOOKUP(C1230&amp;F1230&amp;I1230&amp;J1230,'[1]2025年已发货'!$F:$F&amp;'[1]2025年已发货'!$C:$C&amp;'[1]2025年已发货'!$G:$G&amp;'[1]2025年已发货'!$H:$H,'[1]2025年已发货'!$E:$E,"未发货")</f>
        <v>13</v>
      </c>
      <c r="I1230" s="33" t="str">
        <f>VLOOKUP(B1230,辅助信息!E:I,3,FALSE)</f>
        <v>（商投建工达州中医药科技园-1工区）达州市通川区达州中医药职业学院犀牛大道北段</v>
      </c>
      <c r="J1230" s="33" t="str">
        <f>VLOOKUP(B1230,辅助信息!E:I,4,FALSE)</f>
        <v>程黄刚</v>
      </c>
      <c r="K1230" s="33">
        <f>VLOOKUP(J1230,辅助信息!H:I,2,FALSE)</f>
        <v>15108211617</v>
      </c>
      <c r="L1230" s="33" t="str">
        <f>VLOOKUP(B1230,辅助信息!E:J,6,FALSE)</f>
        <v>控制炉批号！多了现场不收！,优先安排达钢,提前联系到场规格及数量</v>
      </c>
      <c r="M1230" s="84">
        <v>45779</v>
      </c>
      <c r="O1230" s="55">
        <f ca="1" t="shared" si="51"/>
        <v>0</v>
      </c>
      <c r="P1230" s="55">
        <f ca="1" t="shared" si="52"/>
        <v>178</v>
      </c>
      <c r="Q1230" s="19" t="str">
        <f>VLOOKUP(B1230,辅助信息!E:M,9,FALSE)</f>
        <v>ZTWM-CDGS-XS-2024-0134-商投建工达州中医药科技成果示范园项目</v>
      </c>
      <c r="R1230" s="19" t="str">
        <f>_xlfn._xlws.FILTER(辅助信息!D:D,辅助信息!E:E=B1230)</f>
        <v>商投建工达州中医药科技园</v>
      </c>
    </row>
    <row r="1231" hidden="1" spans="2:18">
      <c r="B1231" s="33" t="s">
        <v>47</v>
      </c>
      <c r="C1231" s="63">
        <v>45774</v>
      </c>
      <c r="D1231" s="33" t="str">
        <f>VLOOKUP(B1231,辅助信息!E:K,7,FALSE)</f>
        <v>JWDDCD2025052800131</v>
      </c>
      <c r="E1231" s="33" t="str">
        <f>VLOOKUP(F1231,辅助信息!A:B,2,FALSE)</f>
        <v>螺纹钢</v>
      </c>
      <c r="F1231" s="33" t="s">
        <v>130</v>
      </c>
      <c r="G1231" s="29">
        <v>3</v>
      </c>
      <c r="H1231" s="29">
        <f>_xlfn.XLOOKUP(C1231&amp;F1231&amp;I1231&amp;J1231,'[1]2025年已发货'!$F:$F&amp;'[1]2025年已发货'!$C:$C&amp;'[1]2025年已发货'!$G:$G&amp;'[1]2025年已发货'!$H:$H,'[1]2025年已发货'!$E:$E,"未发货")</f>
        <v>3</v>
      </c>
      <c r="I1231" s="33" t="str">
        <f>VLOOKUP(B1231,辅助信息!E:I,3,FALSE)</f>
        <v>（商投建工达州中医药科技园-1工区）达州市通川区达州中医药职业学院犀牛大道北段</v>
      </c>
      <c r="J1231" s="33" t="str">
        <f>VLOOKUP(B1231,辅助信息!E:I,4,FALSE)</f>
        <v>程黄刚</v>
      </c>
      <c r="K1231" s="33">
        <f>VLOOKUP(J1231,辅助信息!H:I,2,FALSE)</f>
        <v>15108211617</v>
      </c>
      <c r="L1231" s="33" t="str">
        <f>VLOOKUP(B1231,辅助信息!E:J,6,FALSE)</f>
        <v>控制炉批号！多了现场不收！,优先安排达钢,提前联系到场规格及数量</v>
      </c>
      <c r="M1231" s="84">
        <v>45779</v>
      </c>
      <c r="O1231" s="55">
        <f ca="1" t="shared" si="51"/>
        <v>0</v>
      </c>
      <c r="P1231" s="55">
        <f ca="1" t="shared" si="52"/>
        <v>178</v>
      </c>
      <c r="Q1231" s="19" t="str">
        <f>VLOOKUP(B1231,辅助信息!E:M,9,FALSE)</f>
        <v>ZTWM-CDGS-XS-2024-0134-商投建工达州中医药科技成果示范园项目</v>
      </c>
      <c r="R1231" s="19" t="str">
        <f>_xlfn._xlws.FILTER(辅助信息!D:D,辅助信息!E:E=B1231)</f>
        <v>商投建工达州中医药科技园</v>
      </c>
    </row>
    <row r="1232" hidden="1" spans="2:18">
      <c r="B1232" s="33" t="s">
        <v>47</v>
      </c>
      <c r="C1232" s="63">
        <v>45774</v>
      </c>
      <c r="D1232" s="33" t="str">
        <f>VLOOKUP(B1232,辅助信息!E:K,7,FALSE)</f>
        <v>JWDDCD2025052800131</v>
      </c>
      <c r="E1232" s="33" t="str">
        <f>VLOOKUP(F1232,辅助信息!A:B,2,FALSE)</f>
        <v>螺纹钢</v>
      </c>
      <c r="F1232" s="33" t="s">
        <v>33</v>
      </c>
      <c r="G1232" s="29">
        <v>15</v>
      </c>
      <c r="H1232" s="29">
        <f>_xlfn.XLOOKUP(C1232&amp;F1232&amp;I1232&amp;J1232,'[1]2025年已发货'!$F:$F&amp;'[1]2025年已发货'!$C:$C&amp;'[1]2025年已发货'!$G:$G&amp;'[1]2025年已发货'!$H:$H,'[1]2025年已发货'!$E:$E,"未发货")</f>
        <v>13</v>
      </c>
      <c r="I1232" s="33" t="str">
        <f>VLOOKUP(B1232,辅助信息!E:I,3,FALSE)</f>
        <v>（商投建工达州中医药科技园-1工区）达州市通川区达州中医药职业学院犀牛大道北段</v>
      </c>
      <c r="J1232" s="33" t="str">
        <f>VLOOKUP(B1232,辅助信息!E:I,4,FALSE)</f>
        <v>程黄刚</v>
      </c>
      <c r="K1232" s="33">
        <f>VLOOKUP(J1232,辅助信息!H:I,2,FALSE)</f>
        <v>15108211617</v>
      </c>
      <c r="L1232" s="33" t="str">
        <f>VLOOKUP(B1232,辅助信息!E:J,6,FALSE)</f>
        <v>控制炉批号！多了现场不收！,优先安排达钢,提前联系到场规格及数量</v>
      </c>
      <c r="M1232" s="84">
        <v>45779</v>
      </c>
      <c r="O1232" s="55">
        <f ca="1" t="shared" si="51"/>
        <v>0</v>
      </c>
      <c r="P1232" s="55">
        <f ca="1" t="shared" si="52"/>
        <v>178</v>
      </c>
      <c r="Q1232" s="19" t="str">
        <f>VLOOKUP(B1232,辅助信息!E:M,9,FALSE)</f>
        <v>ZTWM-CDGS-XS-2024-0134-商投建工达州中医药科技成果示范园项目</v>
      </c>
      <c r="R1232" s="19" t="str">
        <f>_xlfn._xlws.FILTER(辅助信息!D:D,辅助信息!E:E=B1232)</f>
        <v>商投建工达州中医药科技园</v>
      </c>
    </row>
    <row r="1233" hidden="1" spans="2:18">
      <c r="B1233" s="33" t="s">
        <v>47</v>
      </c>
      <c r="C1233" s="63">
        <v>45774</v>
      </c>
      <c r="D1233" s="33" t="str">
        <f>VLOOKUP(B1233,辅助信息!E:K,7,FALSE)</f>
        <v>JWDDCD2025052800131</v>
      </c>
      <c r="E1233" s="33" t="str">
        <f>VLOOKUP(F1233,辅助信息!A:B,2,FALSE)</f>
        <v>螺纹钢</v>
      </c>
      <c r="F1233" s="33" t="s">
        <v>28</v>
      </c>
      <c r="G1233" s="29">
        <v>9</v>
      </c>
      <c r="H1233" s="29">
        <f>_xlfn.XLOOKUP(C1233&amp;F1233&amp;I1233&amp;J1233,'[1]2025年已发货'!$F:$F&amp;'[1]2025年已发货'!$C:$C&amp;'[1]2025年已发货'!$G:$G&amp;'[1]2025年已发货'!$H:$H,'[1]2025年已发货'!$E:$E,"未发货")</f>
        <v>9</v>
      </c>
      <c r="I1233" s="33" t="str">
        <f>VLOOKUP(B1233,辅助信息!E:I,3,FALSE)</f>
        <v>（商投建工达州中医药科技园-1工区）达州市通川区达州中医药职业学院犀牛大道北段</v>
      </c>
      <c r="J1233" s="33" t="str">
        <f>VLOOKUP(B1233,辅助信息!E:I,4,FALSE)</f>
        <v>程黄刚</v>
      </c>
      <c r="K1233" s="33">
        <f>VLOOKUP(J1233,辅助信息!H:I,2,FALSE)</f>
        <v>15108211617</v>
      </c>
      <c r="L1233" s="33" t="str">
        <f>VLOOKUP(B1233,辅助信息!E:J,6,FALSE)</f>
        <v>控制炉批号！多了现场不收！,优先安排达钢,提前联系到场规格及数量</v>
      </c>
      <c r="M1233" s="84">
        <v>45779</v>
      </c>
      <c r="O1233" s="55">
        <f ca="1" t="shared" si="51"/>
        <v>0</v>
      </c>
      <c r="P1233" s="55">
        <f ca="1" t="shared" si="52"/>
        <v>178</v>
      </c>
      <c r="Q1233" s="19" t="str">
        <f>VLOOKUP(B1233,辅助信息!E:M,9,FALSE)</f>
        <v>ZTWM-CDGS-XS-2024-0134-商投建工达州中医药科技成果示范园项目</v>
      </c>
      <c r="R1233" s="19" t="str">
        <f>_xlfn._xlws.FILTER(辅助信息!D:D,辅助信息!E:E=B1233)</f>
        <v>商投建工达州中医药科技园</v>
      </c>
    </row>
    <row r="1234" hidden="1" spans="2:18">
      <c r="B1234" s="76" t="s">
        <v>47</v>
      </c>
      <c r="C1234" s="77">
        <v>45774</v>
      </c>
      <c r="D1234" s="76" t="str">
        <f>VLOOKUP(B1234,辅助信息!E:K,7,FALSE)</f>
        <v>JWDDCD2025052800131</v>
      </c>
      <c r="E1234" s="76" t="str">
        <f>VLOOKUP(F1234,辅助信息!A:B,2,FALSE)</f>
        <v>螺纹钢</v>
      </c>
      <c r="F1234" s="76" t="s">
        <v>18</v>
      </c>
      <c r="G1234" s="78">
        <v>9</v>
      </c>
      <c r="H1234" s="29" t="str">
        <f>_xlfn.XLOOKUP(C1234&amp;F1234&amp;I1234&amp;J1234,'[1]2025年已发货'!$F:$F&amp;'[1]2025年已发货'!$C:$C&amp;'[1]2025年已发货'!$G:$G&amp;'[1]2025年已发货'!$H:$H,'[1]2025年已发货'!$E:$E,"未发货")</f>
        <v>未发货</v>
      </c>
      <c r="I1234" s="33" t="str">
        <f>VLOOKUP(B1234,辅助信息!E:I,3,FALSE)</f>
        <v>（商投建工达州中医药科技园-1工区）达州市通川区达州中医药职业学院犀牛大道北段</v>
      </c>
      <c r="J1234" s="33" t="str">
        <f>VLOOKUP(B1234,辅助信息!E:I,4,FALSE)</f>
        <v>程黄刚</v>
      </c>
      <c r="K1234" s="33">
        <f>VLOOKUP(J1234,辅助信息!H:I,2,FALSE)</f>
        <v>15108211617</v>
      </c>
      <c r="L1234" s="33" t="str">
        <f>VLOOKUP(B1234,辅助信息!E:J,6,FALSE)</f>
        <v>控制炉批号！多了现场不收！,优先安排达钢,提前联系到场规格及数量</v>
      </c>
      <c r="M1234" s="84">
        <v>45779</v>
      </c>
      <c r="O1234" s="55">
        <f ca="1" t="shared" si="51"/>
        <v>0</v>
      </c>
      <c r="P1234" s="55">
        <f ca="1" t="shared" si="52"/>
        <v>178</v>
      </c>
      <c r="Q1234" s="19" t="str">
        <f>VLOOKUP(B1234,辅助信息!E:M,9,FALSE)</f>
        <v>ZTWM-CDGS-XS-2024-0134-商投建工达州中医药科技成果示范园项目</v>
      </c>
      <c r="R1234" s="19" t="str">
        <f>_xlfn._xlws.FILTER(辅助信息!D:D,辅助信息!E:E=B1234)</f>
        <v>商投建工达州中医药科技园</v>
      </c>
    </row>
    <row r="1235" hidden="1" spans="1:18">
      <c r="A1235" s="79"/>
      <c r="B1235" s="33" t="s">
        <v>64</v>
      </c>
      <c r="C1235" s="63">
        <v>45773</v>
      </c>
      <c r="D1235" s="104" t="e">
        <f>VLOOKUP(B1235,辅助信息!E:K,7,FALSE)</f>
        <v>#N/A</v>
      </c>
      <c r="E1235" s="33" t="str">
        <f>VLOOKUP(F1235,辅助信息!A:B,2,FALSE)</f>
        <v>盘螺</v>
      </c>
      <c r="F1235" s="33" t="s">
        <v>26</v>
      </c>
      <c r="G1235" s="29">
        <v>9</v>
      </c>
      <c r="H1235" s="105" t="e">
        <f>_xlfn.XLOOKUP(C1235&amp;F1235&amp;I1235&amp;J1235,'[1]2025年已发货'!$F:$F&amp;'[1]2025年已发货'!$C:$C&amp;'[1]2025年已发货'!$G:$G&amp;'[1]2025年已发货'!$H:$H,'[1]2025年已发货'!$E:$E,"未发货")</f>
        <v>#N/A</v>
      </c>
      <c r="I1235" s="33" t="e">
        <f>VLOOKUP(B1235,辅助信息!E:I,3,FALSE)</f>
        <v>#N/A</v>
      </c>
      <c r="J1235" s="33" t="e">
        <f>VLOOKUP(B1235,辅助信息!E:I,4,FALSE)</f>
        <v>#N/A</v>
      </c>
      <c r="K1235" s="33" t="e">
        <f>VLOOKUP(J1235,辅助信息!H:I,2,FALSE)</f>
        <v>#N/A</v>
      </c>
      <c r="L1235" s="32" t="e">
        <f>VLOOKUP(B1235,辅助信息!E:J,6,FALSE)</f>
        <v>#N/A</v>
      </c>
      <c r="M1235" s="84">
        <v>45773</v>
      </c>
      <c r="O1235" s="55">
        <f ca="1" t="shared" ref="O1235:O1270" si="53">IF(OR(M1235="",N1235&lt;&gt;""),"",MAX(M1235-TODAY(),0))</f>
        <v>0</v>
      </c>
      <c r="P1235" s="55">
        <f ca="1" t="shared" si="52"/>
        <v>184</v>
      </c>
      <c r="Q1235" s="22" t="e">
        <f>VLOOKUP(B1235,辅助信息!E:M,9,FALSE)</f>
        <v>#N/A</v>
      </c>
      <c r="R1235" s="19" vm="1" t="e">
        <f>_xlfn._xlws.FILTER(辅助信息!D:D,辅助信息!E:E=B1235)</f>
        <v>#VALUE!</v>
      </c>
    </row>
    <row r="1236" hidden="1" spans="1:18">
      <c r="A1236" s="79"/>
      <c r="B1236" s="33" t="s">
        <v>64</v>
      </c>
      <c r="C1236" s="63">
        <v>45773</v>
      </c>
      <c r="D1236" s="106" t="e">
        <f>VLOOKUP(B1236,辅助信息!E:K,7,FALSE)</f>
        <v>#N/A</v>
      </c>
      <c r="E1236" s="33" t="str">
        <f>VLOOKUP(F1236,辅助信息!A:B,2,FALSE)</f>
        <v>螺纹钢</v>
      </c>
      <c r="F1236" s="33" t="s">
        <v>27</v>
      </c>
      <c r="G1236" s="29">
        <v>6</v>
      </c>
      <c r="H1236" s="105" t="e">
        <f>_xlfn.XLOOKUP(C1236&amp;F1236&amp;I1236&amp;J1236,'[1]2025年已发货'!$F:$F&amp;'[1]2025年已发货'!$C:$C&amp;'[1]2025年已发货'!$G:$G&amp;'[1]2025年已发货'!$H:$H,'[1]2025年已发货'!$E:$E,"未发货")</f>
        <v>#N/A</v>
      </c>
      <c r="I1236" s="33" t="e">
        <f>VLOOKUP(B1236,辅助信息!E:I,3,FALSE)</f>
        <v>#N/A</v>
      </c>
      <c r="J1236" s="33" t="e">
        <f>VLOOKUP(B1236,辅助信息!E:I,4,FALSE)</f>
        <v>#N/A</v>
      </c>
      <c r="K1236" s="33" t="e">
        <f>VLOOKUP(J1236,辅助信息!H:I,2,FALSE)</f>
        <v>#N/A</v>
      </c>
      <c r="L1236" s="32" t="e">
        <f>VLOOKUP(B1236,辅助信息!E:J,6,FALSE)</f>
        <v>#N/A</v>
      </c>
      <c r="M1236" s="84">
        <v>45773</v>
      </c>
      <c r="O1236" s="55">
        <f ca="1" t="shared" si="53"/>
        <v>0</v>
      </c>
      <c r="P1236" s="55">
        <f ca="1" t="shared" si="52"/>
        <v>184</v>
      </c>
      <c r="Q1236" s="22" t="e">
        <f>VLOOKUP(B1236,辅助信息!E:M,9,FALSE)</f>
        <v>#N/A</v>
      </c>
      <c r="R1236" s="19" vm="1" t="e">
        <f>_xlfn._xlws.FILTER(辅助信息!D:D,辅助信息!E:E=B1236)</f>
        <v>#VALUE!</v>
      </c>
    </row>
    <row r="1237" hidden="1" spans="1:18">
      <c r="A1237" s="79"/>
      <c r="B1237" s="33" t="s">
        <v>64</v>
      </c>
      <c r="C1237" s="63">
        <v>45773</v>
      </c>
      <c r="D1237" s="106" t="e">
        <f>VLOOKUP(B1237,辅助信息!E:K,7,FALSE)</f>
        <v>#N/A</v>
      </c>
      <c r="E1237" s="33" t="str">
        <f>VLOOKUP(F1237,辅助信息!A:B,2,FALSE)</f>
        <v>螺纹钢</v>
      </c>
      <c r="F1237" s="33" t="s">
        <v>19</v>
      </c>
      <c r="G1237" s="29">
        <v>21</v>
      </c>
      <c r="H1237" s="105" t="e">
        <f>_xlfn.XLOOKUP(C1237&amp;F1237&amp;I1237&amp;J1237,'[1]2025年已发货'!$F:$F&amp;'[1]2025年已发货'!$C:$C&amp;'[1]2025年已发货'!$G:$G&amp;'[1]2025年已发货'!$H:$H,'[1]2025年已发货'!$E:$E,"未发货")</f>
        <v>#N/A</v>
      </c>
      <c r="I1237" s="33" t="e">
        <f>VLOOKUP(B1237,辅助信息!E:I,3,FALSE)</f>
        <v>#N/A</v>
      </c>
      <c r="J1237" s="33" t="e">
        <f>VLOOKUP(B1237,辅助信息!E:I,4,FALSE)</f>
        <v>#N/A</v>
      </c>
      <c r="K1237" s="33" t="e">
        <f>VLOOKUP(J1237,辅助信息!H:I,2,FALSE)</f>
        <v>#N/A</v>
      </c>
      <c r="L1237" s="32" t="e">
        <f>VLOOKUP(B1237,辅助信息!E:J,6,FALSE)</f>
        <v>#N/A</v>
      </c>
      <c r="M1237" s="84">
        <v>45773</v>
      </c>
      <c r="O1237" s="55">
        <f ca="1" t="shared" si="53"/>
        <v>0</v>
      </c>
      <c r="P1237" s="55">
        <f ca="1" t="shared" si="52"/>
        <v>184</v>
      </c>
      <c r="Q1237" s="22" t="e">
        <f>VLOOKUP(B1237,辅助信息!E:M,9,FALSE)</f>
        <v>#N/A</v>
      </c>
      <c r="R1237" s="19" vm="1" t="e">
        <f>_xlfn._xlws.FILTER(辅助信息!D:D,辅助信息!E:E=B1237)</f>
        <v>#VALUE!</v>
      </c>
    </row>
    <row r="1238" hidden="1" spans="1:18">
      <c r="A1238" s="79"/>
      <c r="B1238" s="33" t="s">
        <v>64</v>
      </c>
      <c r="C1238" s="63">
        <v>45773</v>
      </c>
      <c r="D1238" s="106" t="e">
        <f>VLOOKUP(B1238,辅助信息!E:K,7,FALSE)</f>
        <v>#N/A</v>
      </c>
      <c r="E1238" s="33" t="str">
        <f>VLOOKUP(F1238,辅助信息!A:B,2,FALSE)</f>
        <v>螺纹钢</v>
      </c>
      <c r="F1238" s="33" t="s">
        <v>65</v>
      </c>
      <c r="G1238" s="29">
        <v>12</v>
      </c>
      <c r="H1238" s="105" t="e">
        <f>_xlfn.XLOOKUP(C1238&amp;F1238&amp;I1238&amp;J1238,'[1]2025年已发货'!$F:$F&amp;'[1]2025年已发货'!$C:$C&amp;'[1]2025年已发货'!$G:$G&amp;'[1]2025年已发货'!$H:$H,'[1]2025年已发货'!$E:$E,"未发货")</f>
        <v>#N/A</v>
      </c>
      <c r="I1238" s="33" t="e">
        <f>VLOOKUP(B1238,辅助信息!E:I,3,FALSE)</f>
        <v>#N/A</v>
      </c>
      <c r="J1238" s="33" t="e">
        <f>VLOOKUP(B1238,辅助信息!E:I,4,FALSE)</f>
        <v>#N/A</v>
      </c>
      <c r="K1238" s="33" t="e">
        <f>VLOOKUP(J1238,辅助信息!H:I,2,FALSE)</f>
        <v>#N/A</v>
      </c>
      <c r="L1238" s="32" t="e">
        <f>VLOOKUP(B1238,辅助信息!E:J,6,FALSE)</f>
        <v>#N/A</v>
      </c>
      <c r="M1238" s="84">
        <v>45773</v>
      </c>
      <c r="O1238" s="55">
        <f ca="1" t="shared" si="53"/>
        <v>0</v>
      </c>
      <c r="P1238" s="55">
        <f ca="1" t="shared" si="52"/>
        <v>184</v>
      </c>
      <c r="Q1238" s="22" t="e">
        <f>VLOOKUP(B1238,辅助信息!E:M,9,FALSE)</f>
        <v>#N/A</v>
      </c>
      <c r="R1238" s="19" vm="1" t="e">
        <f>_xlfn._xlws.FILTER(辅助信息!D:D,辅助信息!E:E=B1238)</f>
        <v>#VALUE!</v>
      </c>
    </row>
    <row r="1239" hidden="1" spans="1:18">
      <c r="A1239" s="79"/>
      <c r="B1239" s="33" t="s">
        <v>64</v>
      </c>
      <c r="C1239" s="63">
        <v>45773</v>
      </c>
      <c r="D1239" s="106" t="e">
        <f>VLOOKUP(B1239,辅助信息!E:K,7,FALSE)</f>
        <v>#N/A</v>
      </c>
      <c r="E1239" s="33" t="str">
        <f>VLOOKUP(F1239,辅助信息!A:B,2,FALSE)</f>
        <v>螺纹钢</v>
      </c>
      <c r="F1239" s="33" t="s">
        <v>52</v>
      </c>
      <c r="G1239" s="29">
        <v>15</v>
      </c>
      <c r="H1239" s="105" t="e">
        <f>_xlfn.XLOOKUP(C1239&amp;F1239&amp;I1239&amp;J1239,'[1]2025年已发货'!$F:$F&amp;'[1]2025年已发货'!$C:$C&amp;'[1]2025年已发货'!$G:$G&amp;'[1]2025年已发货'!$H:$H,'[1]2025年已发货'!$E:$E,"未发货")</f>
        <v>#N/A</v>
      </c>
      <c r="I1239" s="33" t="e">
        <f>VLOOKUP(B1239,辅助信息!E:I,3,FALSE)</f>
        <v>#N/A</v>
      </c>
      <c r="J1239" s="33" t="e">
        <f>VLOOKUP(B1239,辅助信息!E:I,4,FALSE)</f>
        <v>#N/A</v>
      </c>
      <c r="K1239" s="33" t="e">
        <f>VLOOKUP(J1239,辅助信息!H:I,2,FALSE)</f>
        <v>#N/A</v>
      </c>
      <c r="L1239" s="32" t="e">
        <f>VLOOKUP(B1239,辅助信息!E:J,6,FALSE)</f>
        <v>#N/A</v>
      </c>
      <c r="M1239" s="84">
        <v>45773</v>
      </c>
      <c r="O1239" s="55">
        <f ca="1" t="shared" si="53"/>
        <v>0</v>
      </c>
      <c r="P1239" s="55">
        <f ca="1" t="shared" si="52"/>
        <v>184</v>
      </c>
      <c r="Q1239" s="22" t="e">
        <f>VLOOKUP(B1239,辅助信息!E:M,9,FALSE)</f>
        <v>#N/A</v>
      </c>
      <c r="R1239" s="19" vm="1" t="e">
        <f>_xlfn._xlws.FILTER(辅助信息!D:D,辅助信息!E:E=B1239)</f>
        <v>#VALUE!</v>
      </c>
    </row>
    <row r="1240" hidden="1" spans="1:18">
      <c r="A1240" s="79"/>
      <c r="B1240" s="33" t="s">
        <v>70</v>
      </c>
      <c r="C1240" s="63">
        <v>45773</v>
      </c>
      <c r="D1240" s="106" t="e">
        <f>VLOOKUP(B1240,辅助信息!E:K,7,FALSE)</f>
        <v>#N/A</v>
      </c>
      <c r="E1240" s="33" t="str">
        <f>VLOOKUP(F1240,辅助信息!A:B,2,FALSE)</f>
        <v>螺纹钢</v>
      </c>
      <c r="F1240" s="33" t="s">
        <v>27</v>
      </c>
      <c r="G1240" s="29">
        <v>8</v>
      </c>
      <c r="H1240" s="105" t="e">
        <f>_xlfn.XLOOKUP(C1240&amp;F1240&amp;I1240&amp;J1240,'[1]2025年已发货'!$F:$F&amp;'[1]2025年已发货'!$C:$C&amp;'[1]2025年已发货'!$G:$G&amp;'[1]2025年已发货'!$H:$H,'[1]2025年已发货'!$E:$E,"未发货")</f>
        <v>#N/A</v>
      </c>
      <c r="I1240" s="33" t="e">
        <f>VLOOKUP(B1240,辅助信息!E:I,3,FALSE)</f>
        <v>#N/A</v>
      </c>
      <c r="J1240" s="33" t="e">
        <f>VLOOKUP(B1240,辅助信息!E:I,4,FALSE)</f>
        <v>#N/A</v>
      </c>
      <c r="K1240" s="33" t="e">
        <f>VLOOKUP(J1240,辅助信息!H:I,2,FALSE)</f>
        <v>#N/A</v>
      </c>
      <c r="L1240" s="32" t="e">
        <f>VLOOKUP(B1240,辅助信息!E:J,6,FALSE)</f>
        <v>#N/A</v>
      </c>
      <c r="M1240" s="84">
        <v>45773</v>
      </c>
      <c r="O1240" s="55">
        <f ca="1" t="shared" si="53"/>
        <v>0</v>
      </c>
      <c r="P1240" s="55">
        <f ca="1" t="shared" si="52"/>
        <v>184</v>
      </c>
      <c r="Q1240" s="22" t="e">
        <f>VLOOKUP(B1240,辅助信息!E:M,9,FALSE)</f>
        <v>#N/A</v>
      </c>
      <c r="R1240" s="19" vm="1" t="e">
        <f>_xlfn._xlws.FILTER(辅助信息!D:D,辅助信息!E:E=B1240)</f>
        <v>#VALUE!</v>
      </c>
    </row>
    <row r="1241" hidden="1" spans="1:18">
      <c r="A1241" s="79"/>
      <c r="B1241" s="33" t="s">
        <v>87</v>
      </c>
      <c r="C1241" s="63">
        <v>45773</v>
      </c>
      <c r="D1241" s="106" t="e">
        <f>VLOOKUP(B1241,辅助信息!E:K,7,FALSE)</f>
        <v>#N/A</v>
      </c>
      <c r="E1241" s="33" t="str">
        <f>VLOOKUP(F1241,辅助信息!A:B,2,FALSE)</f>
        <v>螺纹钢</v>
      </c>
      <c r="F1241" s="33" t="s">
        <v>27</v>
      </c>
      <c r="G1241" s="29">
        <v>24</v>
      </c>
      <c r="H1241" s="105" t="e">
        <f>_xlfn.XLOOKUP(C1241&amp;F1241&amp;I1241&amp;J1241,'[1]2025年已发货'!$F:$F&amp;'[1]2025年已发货'!$C:$C&amp;'[1]2025年已发货'!$G:$G&amp;'[1]2025年已发货'!$H:$H,'[1]2025年已发货'!$E:$E,"未发货")</f>
        <v>#N/A</v>
      </c>
      <c r="I1241" s="33" t="e">
        <f>VLOOKUP(B1241,辅助信息!E:I,3,FALSE)</f>
        <v>#N/A</v>
      </c>
      <c r="J1241" s="33" t="e">
        <f>VLOOKUP(B1241,辅助信息!E:I,4,FALSE)</f>
        <v>#N/A</v>
      </c>
      <c r="K1241" s="33" t="e">
        <f>VLOOKUP(J1241,辅助信息!H:I,2,FALSE)</f>
        <v>#N/A</v>
      </c>
      <c r="L1241" s="32" t="e">
        <f>VLOOKUP(B1241,辅助信息!E:J,6,FALSE)</f>
        <v>#N/A</v>
      </c>
      <c r="M1241" s="84">
        <v>45773</v>
      </c>
      <c r="O1241" s="55">
        <f ca="1" t="shared" si="53"/>
        <v>0</v>
      </c>
      <c r="P1241" s="55">
        <f ca="1" t="shared" si="52"/>
        <v>184</v>
      </c>
      <c r="Q1241" s="22" t="e">
        <f>VLOOKUP(B1241,辅助信息!E:M,9,FALSE)</f>
        <v>#N/A</v>
      </c>
      <c r="R1241" s="19" vm="1" t="e">
        <f>_xlfn._xlws.FILTER(辅助信息!D:D,辅助信息!E:E=B1241)</f>
        <v>#VALUE!</v>
      </c>
    </row>
    <row r="1242" hidden="1" spans="1:18">
      <c r="A1242" s="79"/>
      <c r="B1242" s="33" t="s">
        <v>87</v>
      </c>
      <c r="C1242" s="63">
        <v>45773</v>
      </c>
      <c r="D1242" s="106" t="e">
        <f>VLOOKUP(B1242,辅助信息!E:K,7,FALSE)</f>
        <v>#N/A</v>
      </c>
      <c r="E1242" s="33" t="str">
        <f>VLOOKUP(F1242,辅助信息!A:B,2,FALSE)</f>
        <v>螺纹钢</v>
      </c>
      <c r="F1242" s="33" t="s">
        <v>19</v>
      </c>
      <c r="G1242" s="29">
        <v>12</v>
      </c>
      <c r="H1242" s="105" t="e">
        <f>_xlfn.XLOOKUP(C1242&amp;F1242&amp;I1242&amp;J1242,'[1]2025年已发货'!$F:$F&amp;'[1]2025年已发货'!$C:$C&amp;'[1]2025年已发货'!$G:$G&amp;'[1]2025年已发货'!$H:$H,'[1]2025年已发货'!$E:$E,"未发货")</f>
        <v>#N/A</v>
      </c>
      <c r="I1242" s="33" t="e">
        <f>VLOOKUP(B1242,辅助信息!E:I,3,FALSE)</f>
        <v>#N/A</v>
      </c>
      <c r="J1242" s="33" t="e">
        <f>VLOOKUP(B1242,辅助信息!E:I,4,FALSE)</f>
        <v>#N/A</v>
      </c>
      <c r="K1242" s="33" t="e">
        <f>VLOOKUP(J1242,辅助信息!H:I,2,FALSE)</f>
        <v>#N/A</v>
      </c>
      <c r="L1242" s="32" t="e">
        <f>VLOOKUP(B1242,辅助信息!E:J,6,FALSE)</f>
        <v>#N/A</v>
      </c>
      <c r="M1242" s="84">
        <v>45773</v>
      </c>
      <c r="O1242" s="55">
        <f ca="1" t="shared" si="53"/>
        <v>0</v>
      </c>
      <c r="P1242" s="55">
        <f ca="1" t="shared" si="52"/>
        <v>184</v>
      </c>
      <c r="Q1242" s="22" t="e">
        <f>VLOOKUP(B1242,辅助信息!E:M,9,FALSE)</f>
        <v>#N/A</v>
      </c>
      <c r="R1242" s="19" vm="1" t="e">
        <f>_xlfn._xlws.FILTER(辅助信息!D:D,辅助信息!E:E=B1242)</f>
        <v>#VALUE!</v>
      </c>
    </row>
    <row r="1243" hidden="1" spans="1:18">
      <c r="A1243" s="79"/>
      <c r="B1243" s="33" t="s">
        <v>29</v>
      </c>
      <c r="C1243" s="63">
        <v>45773</v>
      </c>
      <c r="D1243" s="106" t="e">
        <f>VLOOKUP(B1243,辅助信息!E:K,7,FALSE)</f>
        <v>#N/A</v>
      </c>
      <c r="E1243" s="33" t="str">
        <f>VLOOKUP(F1243,辅助信息!A:B,2,FALSE)</f>
        <v>螺纹钢</v>
      </c>
      <c r="F1243" s="33" t="s">
        <v>28</v>
      </c>
      <c r="G1243" s="29">
        <v>27</v>
      </c>
      <c r="H1243" s="105" t="e">
        <f>_xlfn.XLOOKUP(C1243&amp;F1243&amp;I1243&amp;J1243,'[1]2025年已发货'!$F:$F&amp;'[1]2025年已发货'!$C:$C&amp;'[1]2025年已发货'!$G:$G&amp;'[1]2025年已发货'!$H:$H,'[1]2025年已发货'!$E:$E,"未发货")</f>
        <v>#N/A</v>
      </c>
      <c r="I1243" s="33" t="e">
        <f>VLOOKUP(B1243,辅助信息!E:I,3,FALSE)</f>
        <v>#N/A</v>
      </c>
      <c r="J1243" s="33" t="e">
        <f>VLOOKUP(B1243,辅助信息!E:I,4,FALSE)</f>
        <v>#N/A</v>
      </c>
      <c r="K1243" s="33" t="e">
        <f>VLOOKUP(J1243,辅助信息!H:I,2,FALSE)</f>
        <v>#N/A</v>
      </c>
      <c r="L1243" s="32" t="e">
        <f>VLOOKUP(B1243,辅助信息!E:J,6,FALSE)</f>
        <v>#N/A</v>
      </c>
      <c r="M1243" s="84">
        <v>45773</v>
      </c>
      <c r="O1243" s="55">
        <f ca="1" t="shared" si="53"/>
        <v>0</v>
      </c>
      <c r="P1243" s="55">
        <f ca="1" t="shared" si="52"/>
        <v>184</v>
      </c>
      <c r="Q1243" s="22" t="e">
        <f>VLOOKUP(B1243,辅助信息!E:M,9,FALSE)</f>
        <v>#N/A</v>
      </c>
      <c r="R1243" s="19" vm="1" t="e">
        <f>_xlfn._xlws.FILTER(辅助信息!D:D,辅助信息!E:E=B1243)</f>
        <v>#VALUE!</v>
      </c>
    </row>
    <row r="1244" hidden="1" spans="1:18">
      <c r="A1244" s="79"/>
      <c r="B1244" s="33" t="s">
        <v>78</v>
      </c>
      <c r="C1244" s="63">
        <v>45773</v>
      </c>
      <c r="D1244" s="106" t="e">
        <f>VLOOKUP(B1244,辅助信息!E:K,7,FALSE)</f>
        <v>#N/A</v>
      </c>
      <c r="E1244" s="33" t="str">
        <f>VLOOKUP(F1244,辅助信息!A:B,2,FALSE)</f>
        <v>螺纹钢</v>
      </c>
      <c r="F1244" s="33" t="s">
        <v>27</v>
      </c>
      <c r="G1244" s="29">
        <v>3</v>
      </c>
      <c r="H1244" s="105" t="e">
        <f>_xlfn.XLOOKUP(C1244&amp;F1244&amp;I1244&amp;J1244,'[1]2025年已发货'!$F:$F&amp;'[1]2025年已发货'!$C:$C&amp;'[1]2025年已发货'!$G:$G&amp;'[1]2025年已发货'!$H:$H,'[1]2025年已发货'!$E:$E,"未发货")</f>
        <v>#N/A</v>
      </c>
      <c r="I1244" s="33" t="e">
        <f>VLOOKUP(B1244,辅助信息!E:I,3,FALSE)</f>
        <v>#N/A</v>
      </c>
      <c r="J1244" s="33" t="e">
        <f>VLOOKUP(B1244,辅助信息!E:I,4,FALSE)</f>
        <v>#N/A</v>
      </c>
      <c r="K1244" s="33" t="e">
        <f>VLOOKUP(J1244,辅助信息!H:I,2,FALSE)</f>
        <v>#N/A</v>
      </c>
      <c r="L1244" s="32" t="e">
        <f>VLOOKUP(B1244,辅助信息!E:J,6,FALSE)</f>
        <v>#N/A</v>
      </c>
      <c r="M1244" s="84">
        <v>45773</v>
      </c>
      <c r="O1244" s="55">
        <f ca="1" t="shared" si="53"/>
        <v>0</v>
      </c>
      <c r="P1244" s="55">
        <f ca="1" t="shared" si="52"/>
        <v>184</v>
      </c>
      <c r="Q1244" s="22" t="e">
        <f>VLOOKUP(B1244,辅助信息!E:M,9,FALSE)</f>
        <v>#N/A</v>
      </c>
      <c r="R1244" s="19" vm="1" t="e">
        <f>_xlfn._xlws.FILTER(辅助信息!D:D,辅助信息!E:E=B1244)</f>
        <v>#VALUE!</v>
      </c>
    </row>
    <row r="1245" hidden="1" spans="1:18">
      <c r="A1245" s="79"/>
      <c r="B1245" s="33" t="s">
        <v>78</v>
      </c>
      <c r="C1245" s="63">
        <v>45773</v>
      </c>
      <c r="D1245" s="106" t="e">
        <f>VLOOKUP(B1245,辅助信息!E:K,7,FALSE)</f>
        <v>#N/A</v>
      </c>
      <c r="E1245" s="33" t="str">
        <f>VLOOKUP(F1245,辅助信息!A:B,2,FALSE)</f>
        <v>螺纹钢</v>
      </c>
      <c r="F1245" s="33" t="s">
        <v>33</v>
      </c>
      <c r="G1245" s="29">
        <v>30</v>
      </c>
      <c r="H1245" s="105" t="e">
        <f>_xlfn.XLOOKUP(C1245&amp;F1245&amp;I1245&amp;J1245,'[1]2025年已发货'!$F:$F&amp;'[1]2025年已发货'!$C:$C&amp;'[1]2025年已发货'!$G:$G&amp;'[1]2025年已发货'!$H:$H,'[1]2025年已发货'!$E:$E,"未发货")</f>
        <v>#N/A</v>
      </c>
      <c r="I1245" s="33" t="e">
        <f>VLOOKUP(B1245,辅助信息!E:I,3,FALSE)</f>
        <v>#N/A</v>
      </c>
      <c r="J1245" s="33" t="e">
        <f>VLOOKUP(B1245,辅助信息!E:I,4,FALSE)</f>
        <v>#N/A</v>
      </c>
      <c r="K1245" s="33" t="e">
        <f>VLOOKUP(J1245,辅助信息!H:I,2,FALSE)</f>
        <v>#N/A</v>
      </c>
      <c r="L1245" s="32" t="e">
        <f>VLOOKUP(B1245,辅助信息!E:J,6,FALSE)</f>
        <v>#N/A</v>
      </c>
      <c r="M1245" s="84">
        <v>45773</v>
      </c>
      <c r="O1245" s="55">
        <f ca="1" t="shared" si="53"/>
        <v>0</v>
      </c>
      <c r="P1245" s="55">
        <f ca="1" t="shared" si="52"/>
        <v>184</v>
      </c>
      <c r="Q1245" s="22" t="e">
        <f>VLOOKUP(B1245,辅助信息!E:M,9,FALSE)</f>
        <v>#N/A</v>
      </c>
      <c r="R1245" s="19" vm="1" t="e">
        <f>_xlfn._xlws.FILTER(辅助信息!D:D,辅助信息!E:E=B1245)</f>
        <v>#VALUE!</v>
      </c>
    </row>
    <row r="1246" hidden="1" spans="1:18">
      <c r="A1246" s="70"/>
      <c r="B1246" s="33" t="s">
        <v>78</v>
      </c>
      <c r="C1246" s="63">
        <v>45773</v>
      </c>
      <c r="D1246" s="106" t="e">
        <f>VLOOKUP(B1246,辅助信息!E:K,7,FALSE)</f>
        <v>#N/A</v>
      </c>
      <c r="E1246" s="33" t="str">
        <f>VLOOKUP(F1246,辅助信息!A:B,2,FALSE)</f>
        <v>螺纹钢</v>
      </c>
      <c r="F1246" s="33" t="s">
        <v>28</v>
      </c>
      <c r="G1246" s="29">
        <v>3</v>
      </c>
      <c r="H1246" s="105" t="e">
        <f>_xlfn.XLOOKUP(C1246&amp;F1246&amp;I1246&amp;J1246,'[1]2025年已发货'!$F:$F&amp;'[1]2025年已发货'!$C:$C&amp;'[1]2025年已发货'!$G:$G&amp;'[1]2025年已发货'!$H:$H,'[1]2025年已发货'!$E:$E,"未发货")</f>
        <v>#N/A</v>
      </c>
      <c r="I1246" s="33" t="e">
        <f>VLOOKUP(B1246,辅助信息!E:I,3,FALSE)</f>
        <v>#N/A</v>
      </c>
      <c r="J1246" s="33" t="e">
        <f>VLOOKUP(B1246,辅助信息!E:I,4,FALSE)</f>
        <v>#N/A</v>
      </c>
      <c r="K1246" s="33" t="e">
        <f>VLOOKUP(J1246,辅助信息!H:I,2,FALSE)</f>
        <v>#N/A</v>
      </c>
      <c r="L1246" s="32" t="e">
        <f>VLOOKUP(B1246,辅助信息!E:J,6,FALSE)</f>
        <v>#N/A</v>
      </c>
      <c r="M1246" s="84">
        <v>45773</v>
      </c>
      <c r="O1246" s="55">
        <f ca="1" t="shared" si="53"/>
        <v>0</v>
      </c>
      <c r="P1246" s="55">
        <f ca="1" t="shared" si="52"/>
        <v>184</v>
      </c>
      <c r="Q1246" s="22" t="e">
        <f>VLOOKUP(B1246,辅助信息!E:M,9,FALSE)</f>
        <v>#N/A</v>
      </c>
      <c r="R1246" s="19" vm="1" t="e">
        <f>_xlfn._xlws.FILTER(辅助信息!D:D,辅助信息!E:E=B1246)</f>
        <v>#VALUE!</v>
      </c>
    </row>
    <row r="1247" hidden="1" spans="1:18">
      <c r="A1247" s="70"/>
      <c r="B1247" s="33" t="s">
        <v>54</v>
      </c>
      <c r="C1247" s="63">
        <v>45773</v>
      </c>
      <c r="D1247" s="106" t="e">
        <f>VLOOKUP(B1247,辅助信息!E:K,7,FALSE)</f>
        <v>#N/A</v>
      </c>
      <c r="E1247" s="33" t="str">
        <f>VLOOKUP(F1247,辅助信息!A:B,2,FALSE)</f>
        <v>螺纹钢</v>
      </c>
      <c r="F1247" s="33" t="s">
        <v>27</v>
      </c>
      <c r="G1247" s="29">
        <v>26</v>
      </c>
      <c r="H1247" s="105" t="e">
        <f>_xlfn.XLOOKUP(C1247&amp;F1247&amp;I1247&amp;J1247,'[1]2025年已发货'!$F:$F&amp;'[1]2025年已发货'!$C:$C&amp;'[1]2025年已发货'!$G:$G&amp;'[1]2025年已发货'!$H:$H,'[1]2025年已发货'!$E:$E,"未发货")</f>
        <v>#N/A</v>
      </c>
      <c r="I1247" s="33" t="e">
        <f>VLOOKUP(B1247,辅助信息!E:I,3,FALSE)</f>
        <v>#N/A</v>
      </c>
      <c r="J1247" s="33" t="e">
        <f>VLOOKUP(B1247,辅助信息!E:I,4,FALSE)</f>
        <v>#N/A</v>
      </c>
      <c r="K1247" s="33" t="e">
        <f>VLOOKUP(J1247,辅助信息!H:I,2,FALSE)</f>
        <v>#N/A</v>
      </c>
      <c r="L1247" s="32" t="e">
        <f>VLOOKUP(B1247,辅助信息!E:J,6,FALSE)</f>
        <v>#N/A</v>
      </c>
      <c r="M1247" s="84">
        <v>45773</v>
      </c>
      <c r="O1247" s="55">
        <f ca="1" t="shared" si="53"/>
        <v>0</v>
      </c>
      <c r="P1247" s="55">
        <f ca="1" t="shared" si="52"/>
        <v>184</v>
      </c>
      <c r="Q1247" s="22" t="e">
        <f>VLOOKUP(B1247,辅助信息!E:M,9,FALSE)</f>
        <v>#N/A</v>
      </c>
      <c r="R1247" s="19" vm="1" t="e">
        <f>_xlfn._xlws.FILTER(辅助信息!D:D,辅助信息!E:E=B1247)</f>
        <v>#VALUE!</v>
      </c>
    </row>
    <row r="1248" hidden="1" spans="1:18">
      <c r="A1248" s="70"/>
      <c r="B1248" s="33" t="s">
        <v>54</v>
      </c>
      <c r="C1248" s="63">
        <v>45773</v>
      </c>
      <c r="D1248" s="106" t="e">
        <f>VLOOKUP(B1248,辅助信息!E:K,7,FALSE)</f>
        <v>#N/A</v>
      </c>
      <c r="E1248" s="33" t="str">
        <f>VLOOKUP(F1248,辅助信息!A:B,2,FALSE)</f>
        <v>螺纹钢</v>
      </c>
      <c r="F1248" s="33" t="s">
        <v>32</v>
      </c>
      <c r="G1248" s="29">
        <v>33</v>
      </c>
      <c r="H1248" s="105" t="e">
        <f>_xlfn.XLOOKUP(C1248&amp;F1248&amp;I1248&amp;J1248,'[1]2025年已发货'!$F:$F&amp;'[1]2025年已发货'!$C:$C&amp;'[1]2025年已发货'!$G:$G&amp;'[1]2025年已发货'!$H:$H,'[1]2025年已发货'!$E:$E,"未发货")</f>
        <v>#N/A</v>
      </c>
      <c r="I1248" s="33" t="e">
        <f>VLOOKUP(B1248,辅助信息!E:I,3,FALSE)</f>
        <v>#N/A</v>
      </c>
      <c r="J1248" s="33" t="e">
        <f>VLOOKUP(B1248,辅助信息!E:I,4,FALSE)</f>
        <v>#N/A</v>
      </c>
      <c r="K1248" s="33" t="e">
        <f>VLOOKUP(J1248,辅助信息!H:I,2,FALSE)</f>
        <v>#N/A</v>
      </c>
      <c r="L1248" s="32" t="e">
        <f>VLOOKUP(B1248,辅助信息!E:J,6,FALSE)</f>
        <v>#N/A</v>
      </c>
      <c r="M1248" s="84">
        <v>45773</v>
      </c>
      <c r="O1248" s="55">
        <f ca="1" t="shared" si="53"/>
        <v>0</v>
      </c>
      <c r="P1248" s="55">
        <f ca="1" t="shared" si="52"/>
        <v>184</v>
      </c>
      <c r="Q1248" s="22" t="e">
        <f>VLOOKUP(B1248,辅助信息!E:M,9,FALSE)</f>
        <v>#N/A</v>
      </c>
      <c r="R1248" s="19" vm="1" t="e">
        <f>_xlfn._xlws.FILTER(辅助信息!D:D,辅助信息!E:E=B1248)</f>
        <v>#VALUE!</v>
      </c>
    </row>
    <row r="1249" hidden="1" spans="1:18">
      <c r="A1249" s="70"/>
      <c r="B1249" s="33" t="s">
        <v>54</v>
      </c>
      <c r="C1249" s="63">
        <v>45773</v>
      </c>
      <c r="D1249" s="106" t="e">
        <f>VLOOKUP(B1249,辅助信息!E:K,7,FALSE)</f>
        <v>#N/A</v>
      </c>
      <c r="E1249" s="33" t="str">
        <f>VLOOKUP(F1249,辅助信息!A:B,2,FALSE)</f>
        <v>螺纹钢</v>
      </c>
      <c r="F1249" s="33" t="s">
        <v>33</v>
      </c>
      <c r="G1249" s="29">
        <v>70</v>
      </c>
      <c r="H1249" s="105" t="e">
        <f>_xlfn.XLOOKUP(C1249&amp;F1249&amp;I1249&amp;J1249,'[1]2025年已发货'!$F:$F&amp;'[1]2025年已发货'!$C:$C&amp;'[1]2025年已发货'!$G:$G&amp;'[1]2025年已发货'!$H:$H,'[1]2025年已发货'!$E:$E,"未发货")</f>
        <v>#N/A</v>
      </c>
      <c r="I1249" s="33" t="e">
        <f>VLOOKUP(B1249,辅助信息!E:I,3,FALSE)</f>
        <v>#N/A</v>
      </c>
      <c r="J1249" s="33" t="e">
        <f>VLOOKUP(B1249,辅助信息!E:I,4,FALSE)</f>
        <v>#N/A</v>
      </c>
      <c r="K1249" s="33" t="e">
        <f>VLOOKUP(J1249,辅助信息!H:I,2,FALSE)</f>
        <v>#N/A</v>
      </c>
      <c r="L1249" s="32" t="e">
        <f>VLOOKUP(B1249,辅助信息!E:J,6,FALSE)</f>
        <v>#N/A</v>
      </c>
      <c r="M1249" s="84">
        <v>45773</v>
      </c>
      <c r="O1249" s="55">
        <f ca="1" t="shared" si="53"/>
        <v>0</v>
      </c>
      <c r="P1249" s="55">
        <f ca="1" t="shared" si="52"/>
        <v>184</v>
      </c>
      <c r="Q1249" s="22" t="e">
        <f>VLOOKUP(B1249,辅助信息!E:M,9,FALSE)</f>
        <v>#N/A</v>
      </c>
      <c r="R1249" s="19" vm="1" t="e">
        <f>_xlfn._xlws.FILTER(辅助信息!D:D,辅助信息!E:E=B1249)</f>
        <v>#VALUE!</v>
      </c>
    </row>
    <row r="1250" hidden="1" spans="1:18">
      <c r="A1250" s="70"/>
      <c r="B1250" s="33" t="s">
        <v>54</v>
      </c>
      <c r="C1250" s="63">
        <v>45773</v>
      </c>
      <c r="D1250" s="106" t="e">
        <f>VLOOKUP(B1250,辅助信息!E:K,7,FALSE)</f>
        <v>#N/A</v>
      </c>
      <c r="E1250" s="33" t="str">
        <f>VLOOKUP(F1250,辅助信息!A:B,2,FALSE)</f>
        <v>螺纹钢</v>
      </c>
      <c r="F1250" s="33" t="s">
        <v>28</v>
      </c>
      <c r="G1250" s="29">
        <v>33</v>
      </c>
      <c r="H1250" s="105" t="e">
        <f>_xlfn.XLOOKUP(C1250&amp;F1250&amp;I1250&amp;J1250,'[1]2025年已发货'!$F:$F&amp;'[1]2025年已发货'!$C:$C&amp;'[1]2025年已发货'!$G:$G&amp;'[1]2025年已发货'!$H:$H,'[1]2025年已发货'!$E:$E,"未发货")</f>
        <v>#N/A</v>
      </c>
      <c r="I1250" s="33" t="e">
        <f>VLOOKUP(B1250,辅助信息!E:I,3,FALSE)</f>
        <v>#N/A</v>
      </c>
      <c r="J1250" s="33" t="e">
        <f>VLOOKUP(B1250,辅助信息!E:I,4,FALSE)</f>
        <v>#N/A</v>
      </c>
      <c r="K1250" s="33" t="e">
        <f>VLOOKUP(J1250,辅助信息!H:I,2,FALSE)</f>
        <v>#N/A</v>
      </c>
      <c r="L1250" s="32" t="e">
        <f>VLOOKUP(B1250,辅助信息!E:J,6,FALSE)</f>
        <v>#N/A</v>
      </c>
      <c r="M1250" s="84">
        <v>45773</v>
      </c>
      <c r="O1250" s="55">
        <f ca="1" t="shared" si="53"/>
        <v>0</v>
      </c>
      <c r="P1250" s="55">
        <f ca="1" t="shared" si="52"/>
        <v>184</v>
      </c>
      <c r="Q1250" s="22" t="e">
        <f>VLOOKUP(B1250,辅助信息!E:M,9,FALSE)</f>
        <v>#N/A</v>
      </c>
      <c r="R1250" s="19" vm="1" t="e">
        <f>_xlfn._xlws.FILTER(辅助信息!D:D,辅助信息!E:E=B1250)</f>
        <v>#VALUE!</v>
      </c>
    </row>
    <row r="1251" hidden="1" spans="1:18">
      <c r="A1251" s="70"/>
      <c r="B1251" s="33" t="s">
        <v>54</v>
      </c>
      <c r="C1251" s="63">
        <v>45773</v>
      </c>
      <c r="D1251" s="106" t="e">
        <f>VLOOKUP(B1251,辅助信息!E:K,7,FALSE)</f>
        <v>#N/A</v>
      </c>
      <c r="E1251" s="33" t="str">
        <f>VLOOKUP(F1251,辅助信息!A:B,2,FALSE)</f>
        <v>螺纹钢</v>
      </c>
      <c r="F1251" s="33" t="s">
        <v>18</v>
      </c>
      <c r="G1251" s="29">
        <v>3</v>
      </c>
      <c r="H1251" s="105" t="e">
        <f>_xlfn.XLOOKUP(C1251&amp;F1251&amp;I1251&amp;J1251,'[1]2025年已发货'!$F:$F&amp;'[1]2025年已发货'!$C:$C&amp;'[1]2025年已发货'!$G:$G&amp;'[1]2025年已发货'!$H:$H,'[1]2025年已发货'!$E:$E,"未发货")</f>
        <v>#N/A</v>
      </c>
      <c r="I1251" s="33" t="e">
        <f>VLOOKUP(B1251,辅助信息!E:I,3,FALSE)</f>
        <v>#N/A</v>
      </c>
      <c r="J1251" s="33" t="e">
        <f>VLOOKUP(B1251,辅助信息!E:I,4,FALSE)</f>
        <v>#N/A</v>
      </c>
      <c r="K1251" s="33" t="e">
        <f>VLOOKUP(J1251,辅助信息!H:I,2,FALSE)</f>
        <v>#N/A</v>
      </c>
      <c r="L1251" s="32" t="e">
        <f>VLOOKUP(B1251,辅助信息!E:J,6,FALSE)</f>
        <v>#N/A</v>
      </c>
      <c r="M1251" s="84">
        <v>45773</v>
      </c>
      <c r="O1251" s="55">
        <f ca="1" t="shared" si="53"/>
        <v>0</v>
      </c>
      <c r="P1251" s="55">
        <f ca="1" t="shared" si="52"/>
        <v>184</v>
      </c>
      <c r="Q1251" s="22" t="e">
        <f>VLOOKUP(B1251,辅助信息!E:M,9,FALSE)</f>
        <v>#N/A</v>
      </c>
      <c r="R1251" s="19" vm="1" t="e">
        <f>_xlfn._xlws.FILTER(辅助信息!D:D,辅助信息!E:E=B1251)</f>
        <v>#VALUE!</v>
      </c>
    </row>
    <row r="1252" hidden="1" spans="1:18">
      <c r="A1252" s="107"/>
      <c r="B1252" s="33" t="s">
        <v>54</v>
      </c>
      <c r="C1252" s="63">
        <v>45773</v>
      </c>
      <c r="D1252" s="106" t="e">
        <f>VLOOKUP(B1252,辅助信息!E:K,7,FALSE)</f>
        <v>#N/A</v>
      </c>
      <c r="E1252" s="33" t="str">
        <f>VLOOKUP(F1252,辅助信息!A:B,2,FALSE)</f>
        <v>螺纹钢</v>
      </c>
      <c r="F1252" s="33" t="s">
        <v>65</v>
      </c>
      <c r="G1252" s="29">
        <v>18.8</v>
      </c>
      <c r="H1252" s="29" t="e">
        <f>_xlfn.XLOOKUP(C1252&amp;F1252&amp;I1252&amp;J1252,'[1]2025年已发货'!$F:$F&amp;'[1]2025年已发货'!$C:$C&amp;'[1]2025年已发货'!$G:$G&amp;'[1]2025年已发货'!$H:$H,'[1]2025年已发货'!$E:$E,"未发货")</f>
        <v>#N/A</v>
      </c>
      <c r="I1252" s="33" t="e">
        <f>VLOOKUP(B1252,辅助信息!E:I,3,FALSE)</f>
        <v>#N/A</v>
      </c>
      <c r="J1252" s="33" t="e">
        <f>VLOOKUP(B1252,辅助信息!E:I,4,FALSE)</f>
        <v>#N/A</v>
      </c>
      <c r="K1252" s="33" t="e">
        <f>VLOOKUP(J1252,辅助信息!H:I,2,FALSE)</f>
        <v>#N/A</v>
      </c>
      <c r="L1252" s="32" t="e">
        <f>VLOOKUP(B1252,辅助信息!E:J,6,FALSE)</f>
        <v>#N/A</v>
      </c>
      <c r="M1252" s="84">
        <v>45773</v>
      </c>
      <c r="O1252" s="55">
        <f ca="1" t="shared" si="53"/>
        <v>0</v>
      </c>
      <c r="P1252" s="55">
        <f ca="1" t="shared" si="52"/>
        <v>184</v>
      </c>
      <c r="Q1252" s="22" t="e">
        <f>VLOOKUP(B1252,辅助信息!E:M,9,FALSE)</f>
        <v>#N/A</v>
      </c>
      <c r="R1252" s="19" vm="1" t="e">
        <f>_xlfn._xlws.FILTER(辅助信息!D:D,辅助信息!E:E=B1252)</f>
        <v>#VALUE!</v>
      </c>
    </row>
    <row r="1253" hidden="1" spans="1:18">
      <c r="A1253" s="107"/>
      <c r="B1253" s="33" t="s">
        <v>74</v>
      </c>
      <c r="C1253" s="63">
        <v>45773</v>
      </c>
      <c r="D1253" s="106" t="e">
        <f>VLOOKUP(B1253,辅助信息!E:K,7,FALSE)</f>
        <v>#N/A</v>
      </c>
      <c r="E1253" s="33" t="str">
        <f>VLOOKUP(F1253,辅助信息!A:B,2,FALSE)</f>
        <v>螺纹钢</v>
      </c>
      <c r="F1253" s="33" t="s">
        <v>19</v>
      </c>
      <c r="G1253" s="29">
        <v>20</v>
      </c>
      <c r="H1253" s="29" t="e">
        <f>_xlfn.XLOOKUP(C1253&amp;F1253&amp;I1253&amp;J1253,'[1]2025年已发货'!$F:$F&amp;'[1]2025年已发货'!$C:$C&amp;'[1]2025年已发货'!$G:$G&amp;'[1]2025年已发货'!$H:$H,'[1]2025年已发货'!$E:$E,"未发货")</f>
        <v>#N/A</v>
      </c>
      <c r="I1253" s="33" t="e">
        <f>VLOOKUP(B1253,辅助信息!E:I,3,FALSE)</f>
        <v>#N/A</v>
      </c>
      <c r="J1253" s="33" t="e">
        <f>VLOOKUP(B1253,辅助信息!E:I,4,FALSE)</f>
        <v>#N/A</v>
      </c>
      <c r="K1253" s="33" t="e">
        <f>VLOOKUP(J1253,辅助信息!H:I,2,FALSE)</f>
        <v>#N/A</v>
      </c>
      <c r="L1253" s="32" t="e">
        <f>VLOOKUP(B1253,辅助信息!E:J,6,FALSE)</f>
        <v>#N/A</v>
      </c>
      <c r="M1253" s="84">
        <v>45773</v>
      </c>
      <c r="O1253" s="55">
        <f ca="1" t="shared" si="53"/>
        <v>0</v>
      </c>
      <c r="P1253" s="55">
        <f ca="1" t="shared" si="52"/>
        <v>184</v>
      </c>
      <c r="Q1253" s="22" t="e">
        <f>VLOOKUP(B1253,辅助信息!E:M,9,FALSE)</f>
        <v>#N/A</v>
      </c>
      <c r="R1253" s="19" vm="1" t="e">
        <f>_xlfn._xlws.FILTER(辅助信息!D:D,辅助信息!E:E=B1253)</f>
        <v>#VALUE!</v>
      </c>
    </row>
    <row r="1254" hidden="1" spans="1:18">
      <c r="A1254" s="107"/>
      <c r="B1254" s="33" t="s">
        <v>74</v>
      </c>
      <c r="C1254" s="63">
        <v>45773</v>
      </c>
      <c r="D1254" s="106" t="e">
        <f>VLOOKUP(B1254,辅助信息!E:K,7,FALSE)</f>
        <v>#N/A</v>
      </c>
      <c r="E1254" s="33" t="str">
        <f>VLOOKUP(F1254,辅助信息!A:B,2,FALSE)</f>
        <v>螺纹钢</v>
      </c>
      <c r="F1254" s="33" t="s">
        <v>65</v>
      </c>
      <c r="G1254" s="29">
        <v>30</v>
      </c>
      <c r="H1254" s="29" t="e">
        <f>_xlfn.XLOOKUP(C1254&amp;F1254&amp;I1254&amp;J1254,'[1]2025年已发货'!$F:$F&amp;'[1]2025年已发货'!$C:$C&amp;'[1]2025年已发货'!$G:$G&amp;'[1]2025年已发货'!$H:$H,'[1]2025年已发货'!$E:$E,"未发货")</f>
        <v>#N/A</v>
      </c>
      <c r="I1254" s="33" t="e">
        <f>VLOOKUP(B1254,辅助信息!E:I,3,FALSE)</f>
        <v>#N/A</v>
      </c>
      <c r="J1254" s="33" t="e">
        <f>VLOOKUP(B1254,辅助信息!E:I,4,FALSE)</f>
        <v>#N/A</v>
      </c>
      <c r="K1254" s="33" t="e">
        <f>VLOOKUP(J1254,辅助信息!H:I,2,FALSE)</f>
        <v>#N/A</v>
      </c>
      <c r="L1254" s="32" t="e">
        <f>VLOOKUP(B1254,辅助信息!E:J,6,FALSE)</f>
        <v>#N/A</v>
      </c>
      <c r="M1254" s="84">
        <v>45773</v>
      </c>
      <c r="O1254" s="55">
        <f ca="1" t="shared" si="53"/>
        <v>0</v>
      </c>
      <c r="P1254" s="55">
        <f ca="1" t="shared" si="52"/>
        <v>184</v>
      </c>
      <c r="Q1254" s="22" t="e">
        <f>VLOOKUP(B1254,辅助信息!E:M,9,FALSE)</f>
        <v>#N/A</v>
      </c>
      <c r="R1254" s="19" vm="1" t="e">
        <f>_xlfn._xlws.FILTER(辅助信息!D:D,辅助信息!E:E=B1254)</f>
        <v>#VALUE!</v>
      </c>
    </row>
    <row r="1255" hidden="1" spans="2:18">
      <c r="B1255" s="33" t="s">
        <v>81</v>
      </c>
      <c r="C1255" s="63">
        <v>45774</v>
      </c>
      <c r="D1255" s="33" t="str">
        <f>VLOOKUP(B1255,辅助信息!E:K,7,FALSE)</f>
        <v>JWDDCD2025060900080</v>
      </c>
      <c r="E1255" s="33" t="str">
        <f>VLOOKUP(F1255,辅助信息!A:B,2,FALSE)</f>
        <v>螺纹钢</v>
      </c>
      <c r="F1255" s="33" t="s">
        <v>19</v>
      </c>
      <c r="G1255" s="29">
        <v>15</v>
      </c>
      <c r="H1255" s="29" t="str">
        <f>_xlfn.XLOOKUP(C1255&amp;F1255&amp;I1255&amp;J1255,'[1]2025年已发货'!$F:$F&amp;'[1]2025年已发货'!$C:$C&amp;'[1]2025年已发货'!$G:$G&amp;'[1]2025年已发货'!$H:$H,'[1]2025年已发货'!$E:$E,"未发货")</f>
        <v>未发货</v>
      </c>
      <c r="I1255" s="33" t="str">
        <f>VLOOKUP(B1255,辅助信息!E:I,3,FALSE)</f>
        <v>（华西简阳西城嘉苑）四川省成都市简阳市简城街道高屋村</v>
      </c>
      <c r="J1255" s="33" t="str">
        <f>VLOOKUP(B1255,辅助信息!E:I,4,FALSE)</f>
        <v>张瀚镭</v>
      </c>
      <c r="K1255" s="33">
        <f>VLOOKUP(J1255,辅助信息!H:I,2,FALSE)</f>
        <v>15884666220</v>
      </c>
      <c r="L1255" s="32" t="str">
        <f>VLOOKUP(B1255,辅助信息!E:J,6,FALSE)</f>
        <v>现场禁止使用氢能源挂车！优先威钢发货,我方卸车,新老国标钢厂不加价可直发，因陕钢多次出现磅差，项目拒绝使用</v>
      </c>
      <c r="M1255" s="84">
        <v>45775</v>
      </c>
      <c r="O1255" s="55">
        <f ca="1" t="shared" si="53"/>
        <v>0</v>
      </c>
      <c r="P1255" s="55">
        <f ca="1" t="shared" ref="P1255:P1297" si="54">IF(M1255="","",IF(N1255&lt;&gt;"",MAX(N1255-M1255,0),IF(TODAY()&gt;M1255,TODAY()-M1255,0)))</f>
        <v>182</v>
      </c>
      <c r="Q1255" s="22" t="str">
        <f>VLOOKUP(B1255,辅助信息!E:M,9,FALSE)</f>
        <v>ZTWM-CDGS-XS-2024-0030-华西集采-简州大道</v>
      </c>
      <c r="R1255" s="22" t="str">
        <f>_xlfn._xlws.FILTER(辅助信息!D:D,辅助信息!E:E=B1255)</f>
        <v>华西简阳西城嘉苑</v>
      </c>
    </row>
    <row r="1256" hidden="1" spans="2:18">
      <c r="B1256" s="33" t="s">
        <v>81</v>
      </c>
      <c r="C1256" s="63">
        <v>45774</v>
      </c>
      <c r="D1256" s="33" t="str">
        <f>VLOOKUP(B1256,辅助信息!E:K,7,FALSE)</f>
        <v>JWDDCD2025060900080</v>
      </c>
      <c r="E1256" s="33" t="str">
        <f>VLOOKUP(F1256,辅助信息!A:B,2,FALSE)</f>
        <v>螺纹钢</v>
      </c>
      <c r="F1256" s="33" t="s">
        <v>32</v>
      </c>
      <c r="G1256" s="29">
        <v>40</v>
      </c>
      <c r="H1256" s="29" t="str">
        <f>_xlfn.XLOOKUP(C1256&amp;F1256&amp;I1256&amp;J1256,'[1]2025年已发货'!$F:$F&amp;'[1]2025年已发货'!$C:$C&amp;'[1]2025年已发货'!$G:$G&amp;'[1]2025年已发货'!$H:$H,'[1]2025年已发货'!$E:$E,"未发货")</f>
        <v>未发货</v>
      </c>
      <c r="I1256" s="33" t="str">
        <f>VLOOKUP(B1256,辅助信息!E:I,3,FALSE)</f>
        <v>（华西简阳西城嘉苑）四川省成都市简阳市简城街道高屋村</v>
      </c>
      <c r="J1256" s="33" t="str">
        <f>VLOOKUP(B1256,辅助信息!E:I,4,FALSE)</f>
        <v>张瀚镭</v>
      </c>
      <c r="K1256" s="33">
        <f>VLOOKUP(J1256,辅助信息!H:I,2,FALSE)</f>
        <v>15884666220</v>
      </c>
      <c r="L1256" s="32" t="str">
        <f>VLOOKUP(B1256,辅助信息!E:J,6,FALSE)</f>
        <v>现场禁止使用氢能源挂车！优先威钢发货,我方卸车,新老国标钢厂不加价可直发，因陕钢多次出现磅差，项目拒绝使用</v>
      </c>
      <c r="M1256" s="84">
        <v>45775</v>
      </c>
      <c r="O1256" s="55">
        <f ca="1" t="shared" si="53"/>
        <v>0</v>
      </c>
      <c r="P1256" s="55">
        <f ca="1" t="shared" si="54"/>
        <v>182</v>
      </c>
      <c r="Q1256" s="22" t="str">
        <f>VLOOKUP(B1256,辅助信息!E:M,9,FALSE)</f>
        <v>ZTWM-CDGS-XS-2024-0030-华西集采-简州大道</v>
      </c>
      <c r="R1256" s="22" t="str">
        <f>_xlfn._xlws.FILTER(辅助信息!D:D,辅助信息!E:E=B1256)</f>
        <v>华西简阳西城嘉苑</v>
      </c>
    </row>
    <row r="1257" hidden="1" spans="2:18">
      <c r="B1257" s="33" t="s">
        <v>81</v>
      </c>
      <c r="C1257" s="63">
        <v>45774</v>
      </c>
      <c r="D1257" s="33" t="str">
        <f>VLOOKUP(B1257,辅助信息!E:K,7,FALSE)</f>
        <v>JWDDCD2025060900080</v>
      </c>
      <c r="E1257" s="33" t="str">
        <f>VLOOKUP(F1257,辅助信息!A:B,2,FALSE)</f>
        <v>螺纹钢</v>
      </c>
      <c r="F1257" s="33" t="s">
        <v>30</v>
      </c>
      <c r="G1257" s="29">
        <v>15</v>
      </c>
      <c r="H1257" s="29" t="str">
        <f>_xlfn.XLOOKUP(C1257&amp;F1257&amp;I1257&amp;J1257,'[1]2025年已发货'!$F:$F&amp;'[1]2025年已发货'!$C:$C&amp;'[1]2025年已发货'!$G:$G&amp;'[1]2025年已发货'!$H:$H,'[1]2025年已发货'!$E:$E,"未发货")</f>
        <v>未发货</v>
      </c>
      <c r="I1257" s="33" t="str">
        <f>VLOOKUP(B1257,辅助信息!E:I,3,FALSE)</f>
        <v>（华西简阳西城嘉苑）四川省成都市简阳市简城街道高屋村</v>
      </c>
      <c r="J1257" s="33" t="str">
        <f>VLOOKUP(B1257,辅助信息!E:I,4,FALSE)</f>
        <v>张瀚镭</v>
      </c>
      <c r="K1257" s="33">
        <f>VLOOKUP(J1257,辅助信息!H:I,2,FALSE)</f>
        <v>15884666220</v>
      </c>
      <c r="L1257" s="32" t="str">
        <f>VLOOKUP(B1257,辅助信息!E:J,6,FALSE)</f>
        <v>现场禁止使用氢能源挂车！优先威钢发货,我方卸车,新老国标钢厂不加价可直发，因陕钢多次出现磅差，项目拒绝使用</v>
      </c>
      <c r="M1257" s="84">
        <v>45775</v>
      </c>
      <c r="O1257" s="55">
        <f ca="1" t="shared" si="53"/>
        <v>0</v>
      </c>
      <c r="P1257" s="55">
        <f ca="1" t="shared" si="54"/>
        <v>182</v>
      </c>
      <c r="Q1257" s="22" t="str">
        <f>VLOOKUP(B1257,辅助信息!E:M,9,FALSE)</f>
        <v>ZTWM-CDGS-XS-2024-0030-华西集采-简州大道</v>
      </c>
      <c r="R1257" s="22" t="str">
        <f>_xlfn._xlws.FILTER(辅助信息!D:D,辅助信息!E:E=B1257)</f>
        <v>华西简阳西城嘉苑</v>
      </c>
    </row>
    <row r="1258" hidden="1" spans="2:18">
      <c r="B1258" s="33" t="s">
        <v>132</v>
      </c>
      <c r="C1258" s="63">
        <v>45774</v>
      </c>
      <c r="D1258" s="33" t="str">
        <f>VLOOKUP(B1258,辅助信息!E:K,7,FALSE)</f>
        <v>JWDDCD2025050800080</v>
      </c>
      <c r="E1258" s="33" t="str">
        <f>VLOOKUP(F1258,辅助信息!A:B,2,FALSE)</f>
        <v>盘螺</v>
      </c>
      <c r="F1258" s="33" t="s">
        <v>40</v>
      </c>
      <c r="G1258" s="29">
        <v>20</v>
      </c>
      <c r="H1258" s="29">
        <f>_xlfn.XLOOKUP(C1258&amp;F1258&amp;I1258&amp;J1258,'[1]2025年已发货'!$F:$F&amp;'[1]2025年已发货'!$C:$C&amp;'[1]2025年已发货'!$G:$G&amp;'[1]2025年已发货'!$H:$H,'[1]2025年已发货'!$E:$E,"未发货")</f>
        <v>20</v>
      </c>
      <c r="I1258" s="33" t="str">
        <f>VLOOKUP(B1258,辅助信息!E:I,3,FALSE)</f>
        <v>(宜宾兴港三江新区长江工业园建设项目-9#厂房)宜宾市翠屏区宜宾汽车零部件配套产业基地(纬五路南)</v>
      </c>
      <c r="J1258" s="33" t="str">
        <f>VLOOKUP(B1258,辅助信息!E:I,4,FALSE)</f>
        <v>严石林</v>
      </c>
      <c r="K1258" s="33">
        <f>VLOOKUP(J1258,辅助信息!H:I,2,FALSE)</f>
        <v>15924731822</v>
      </c>
      <c r="L1258" s="32" t="str">
        <f>VLOOKUP(B1258,辅助信息!E:J,6,FALSE)</f>
        <v>装货前联系收货人核实到场规格，货物最下面用方木垫下方便卸货</v>
      </c>
      <c r="M1258" s="84">
        <v>45775</v>
      </c>
      <c r="O1258" s="55">
        <f ca="1" t="shared" si="53"/>
        <v>0</v>
      </c>
      <c r="P1258" s="55">
        <f ca="1" t="shared" si="54"/>
        <v>182</v>
      </c>
      <c r="Q1258" s="22" t="str">
        <f>VLOOKUP(B1258,辅助信息!E:M,9,FALSE)</f>
        <v>ZTWM-CDGS-XS-2025-0059-宜宾兴港建材-宜宾冷链项目</v>
      </c>
      <c r="R1258" s="22" t="str">
        <f>_xlfn._xlws.FILTER(辅助信息!D:D,辅助信息!E:E=B1258)</f>
        <v>宜宾兴港三江新区长江工业园建设项目</v>
      </c>
    </row>
    <row r="1259" hidden="1" spans="2:18">
      <c r="B1259" s="33" t="s">
        <v>132</v>
      </c>
      <c r="C1259" s="63">
        <v>45774</v>
      </c>
      <c r="D1259" s="33" t="str">
        <f>VLOOKUP(B1259,辅助信息!E:K,7,FALSE)</f>
        <v>JWDDCD2025050800080</v>
      </c>
      <c r="E1259" s="33" t="str">
        <f>VLOOKUP(F1259,辅助信息!A:B,2,FALSE)</f>
        <v>盘螺</v>
      </c>
      <c r="F1259" s="33" t="s">
        <v>41</v>
      </c>
      <c r="G1259" s="29">
        <v>15</v>
      </c>
      <c r="H1259" s="29">
        <f>_xlfn.XLOOKUP(C1259&amp;F1259&amp;I1259&amp;J1259,'[1]2025年已发货'!$F:$F&amp;'[1]2025年已发货'!$C:$C&amp;'[1]2025年已发货'!$G:$G&amp;'[1]2025年已发货'!$H:$H,'[1]2025年已发货'!$E:$E,"未发货")</f>
        <v>15</v>
      </c>
      <c r="I1259" s="33" t="str">
        <f>VLOOKUP(B1259,辅助信息!E:I,3,FALSE)</f>
        <v>(宜宾兴港三江新区长江工业园建设项目-9#厂房)宜宾市翠屏区宜宾汽车零部件配套产业基地(纬五路南)</v>
      </c>
      <c r="J1259" s="33" t="str">
        <f>VLOOKUP(B1259,辅助信息!E:I,4,FALSE)</f>
        <v>严石林</v>
      </c>
      <c r="K1259" s="33">
        <f>VLOOKUP(J1259,辅助信息!H:I,2,FALSE)</f>
        <v>15924731822</v>
      </c>
      <c r="L1259" s="32" t="str">
        <f>VLOOKUP(B1259,辅助信息!E:J,6,FALSE)</f>
        <v>装货前联系收货人核实到场规格，货物最下面用方木垫下方便卸货</v>
      </c>
      <c r="M1259" s="84">
        <v>45775</v>
      </c>
      <c r="O1259" s="55">
        <f ca="1" t="shared" si="53"/>
        <v>0</v>
      </c>
      <c r="P1259" s="55">
        <f ca="1" t="shared" si="54"/>
        <v>182</v>
      </c>
      <c r="Q1259" s="22" t="str">
        <f>VLOOKUP(B1259,辅助信息!E:M,9,FALSE)</f>
        <v>ZTWM-CDGS-XS-2025-0059-宜宾兴港建材-宜宾冷链项目</v>
      </c>
      <c r="R1259" s="22" t="str">
        <f>_xlfn._xlws.FILTER(辅助信息!D:D,辅助信息!E:E=B1259)</f>
        <v>宜宾兴港三江新区长江工业园建设项目</v>
      </c>
    </row>
    <row r="1260" hidden="1" spans="2:18">
      <c r="B1260" s="33" t="s">
        <v>31</v>
      </c>
      <c r="C1260" s="63">
        <v>45774</v>
      </c>
      <c r="D1260" s="33" t="str">
        <f>VLOOKUP(B1260,辅助信息!E:K,7,FALSE)</f>
        <v>JWDDCD2024121000136</v>
      </c>
      <c r="E1260" s="33" t="str">
        <f>VLOOKUP(F1260,辅助信息!A:B,2,FALSE)</f>
        <v>螺纹钢</v>
      </c>
      <c r="F1260" s="33" t="s">
        <v>32</v>
      </c>
      <c r="G1260" s="29">
        <v>12</v>
      </c>
      <c r="H1260" s="29">
        <f>_xlfn.XLOOKUP(C1260&amp;F1260&amp;I1260&amp;J1260,'[1]2025年已发货'!$F:$F&amp;'[1]2025年已发货'!$C:$C&amp;'[1]2025年已发货'!$G:$G&amp;'[1]2025年已发货'!$H:$H,'[1]2025年已发货'!$E:$E,"未发货")</f>
        <v>12</v>
      </c>
      <c r="I1260" s="33" t="str">
        <f>VLOOKUP(B1260,辅助信息!E:I,3,FALSE)</f>
        <v>（四川商建-射洪城乡一体化项目）遂宁市射洪市忠新幼儿园北侧约220米新溪小区</v>
      </c>
      <c r="J1260" s="33" t="str">
        <f>VLOOKUP(B1260,辅助信息!E:I,4,FALSE)</f>
        <v>柏子刚</v>
      </c>
      <c r="K1260" s="33">
        <f>VLOOKUP(J1260,辅助信息!H:I,2,FALSE)</f>
        <v>15692885305</v>
      </c>
      <c r="L1260" s="32" t="str">
        <f>VLOOKUP(B1260,辅助信息!E:J,6,FALSE)</f>
        <v>提前联系到场规格及数量</v>
      </c>
      <c r="M1260" s="84">
        <v>45775</v>
      </c>
      <c r="O1260" s="55">
        <f ca="1" t="shared" si="53"/>
        <v>0</v>
      </c>
      <c r="P1260" s="55">
        <f ca="1" t="shared" si="54"/>
        <v>182</v>
      </c>
      <c r="Q1260" s="22" t="str">
        <f>VLOOKUP(B1260,辅助信息!E:M,9,FALSE)</f>
        <v>ZTWM-CDGS-XS-2024-0179-四川商投-射洪城乡一体化建设项目</v>
      </c>
      <c r="R1260" s="22" t="str">
        <f>_xlfn._xlws.FILTER(辅助信息!D:D,辅助信息!E:E=B1260)</f>
        <v>四川商建
射洪城乡一体化项目</v>
      </c>
    </row>
    <row r="1261" hidden="1" spans="2:18">
      <c r="B1261" s="33" t="s">
        <v>31</v>
      </c>
      <c r="C1261" s="63">
        <v>45774</v>
      </c>
      <c r="D1261" s="33" t="str">
        <f>VLOOKUP(B1261,辅助信息!E:K,7,FALSE)</f>
        <v>JWDDCD2024121000136</v>
      </c>
      <c r="E1261" s="33" t="str">
        <f>VLOOKUP(F1261,辅助信息!A:B,2,FALSE)</f>
        <v>螺纹钢</v>
      </c>
      <c r="F1261" s="33" t="s">
        <v>28</v>
      </c>
      <c r="G1261" s="29">
        <v>24</v>
      </c>
      <c r="H1261" s="29">
        <f>_xlfn.XLOOKUP(C1261&amp;F1261&amp;I1261&amp;J1261,'[1]2025年已发货'!$F:$F&amp;'[1]2025年已发货'!$C:$C&amp;'[1]2025年已发货'!$G:$G&amp;'[1]2025年已发货'!$H:$H,'[1]2025年已发货'!$E:$E,"未发货")</f>
        <v>24</v>
      </c>
      <c r="I1261" s="33" t="str">
        <f>VLOOKUP(B1261,辅助信息!E:I,3,FALSE)</f>
        <v>（四川商建-射洪城乡一体化项目）遂宁市射洪市忠新幼儿园北侧约220米新溪小区</v>
      </c>
      <c r="J1261" s="33" t="str">
        <f>VLOOKUP(B1261,辅助信息!E:I,4,FALSE)</f>
        <v>柏子刚</v>
      </c>
      <c r="K1261" s="33">
        <f>VLOOKUP(J1261,辅助信息!H:I,2,FALSE)</f>
        <v>15692885305</v>
      </c>
      <c r="L1261" s="32" t="str">
        <f>VLOOKUP(B1261,辅助信息!E:J,6,FALSE)</f>
        <v>提前联系到场规格及数量</v>
      </c>
      <c r="M1261" s="84">
        <v>45775</v>
      </c>
      <c r="O1261" s="55">
        <f ca="1" t="shared" si="53"/>
        <v>0</v>
      </c>
      <c r="P1261" s="55">
        <f ca="1" t="shared" si="54"/>
        <v>182</v>
      </c>
      <c r="Q1261" s="22" t="str">
        <f>VLOOKUP(B1261,辅助信息!E:M,9,FALSE)</f>
        <v>ZTWM-CDGS-XS-2024-0179-四川商投-射洪城乡一体化建设项目</v>
      </c>
      <c r="R1261" s="22" t="str">
        <f>_xlfn._xlws.FILTER(辅助信息!D:D,辅助信息!E:E=B1261)</f>
        <v>四川商建
射洪城乡一体化项目</v>
      </c>
    </row>
    <row r="1262" hidden="1" spans="2:18">
      <c r="B1262" s="33" t="s">
        <v>106</v>
      </c>
      <c r="C1262" s="63">
        <v>45774</v>
      </c>
      <c r="D1262" s="33" t="str">
        <f>VLOOKUP(B1262,辅助信息!E:K,7,FALSE)</f>
        <v>JWDDCD2024101600133</v>
      </c>
      <c r="E1262" s="33" t="str">
        <f>VLOOKUP(F1262,辅助信息!A:B,2,FALSE)</f>
        <v>盘螺</v>
      </c>
      <c r="F1262" s="33" t="s">
        <v>40</v>
      </c>
      <c r="G1262" s="29">
        <v>24</v>
      </c>
      <c r="H1262" s="29">
        <f>_xlfn.XLOOKUP(C1262&amp;F1262&amp;I1262&amp;J1262,'[1]2025年已发货'!$F:$F&amp;'[1]2025年已发货'!$C:$C&amp;'[1]2025年已发货'!$G:$G&amp;'[1]2025年已发货'!$H:$H,'[1]2025年已发货'!$E:$E,"未发货")</f>
        <v>9</v>
      </c>
      <c r="I1262" s="33" t="str">
        <f>VLOOKUP(B1262,辅助信息!E:I,3,FALSE)</f>
        <v>（五冶钢构宜宾高县月江镇建设项目）  四川省宜宾市高县月江镇刚记超市斜对面(还阳组团沪碳二期项目)</v>
      </c>
      <c r="J1262" s="33" t="str">
        <f>VLOOKUP(B1262,辅助信息!E:I,4,FALSE)</f>
        <v>张朝亮</v>
      </c>
      <c r="K1262" s="33">
        <f>VLOOKUP(J1262,辅助信息!H:I,2,FALSE)</f>
        <v>15228205853</v>
      </c>
      <c r="L1262" s="32" t="str">
        <f>VLOOKUP(B1262,辅助信息!E:J,6,FALSE)</f>
        <v>提前联系到场规格</v>
      </c>
      <c r="M1262" s="84">
        <v>45775</v>
      </c>
      <c r="O1262" s="55">
        <f ca="1" t="shared" si="53"/>
        <v>0</v>
      </c>
      <c r="P1262" s="55">
        <f ca="1" t="shared" si="54"/>
        <v>182</v>
      </c>
      <c r="Q1262" s="22" t="str">
        <f>VLOOKUP(B1262,辅助信息!E:M,9,FALSE)</f>
        <v>ZTWM-CDGS-XS-2024-0169-中冶西部钢构-宜宾市南溪区幸福路东路,高县月江镇建设项目</v>
      </c>
      <c r="R1262" s="22" t="str">
        <f>_xlfn._xlws.FILTER(辅助信息!D:D,辅助信息!E:E=B1262)</f>
        <v>五冶钢构-宜宾市南溪区高县月江镇建设项目</v>
      </c>
    </row>
    <row r="1263" hidden="1" spans="2:18">
      <c r="B1263" s="33" t="s">
        <v>106</v>
      </c>
      <c r="C1263" s="63">
        <v>45774</v>
      </c>
      <c r="D1263" s="33" t="str">
        <f>VLOOKUP(B1263,辅助信息!E:K,7,FALSE)</f>
        <v>JWDDCD2024101600133</v>
      </c>
      <c r="E1263" s="33" t="str">
        <f>VLOOKUP(F1263,辅助信息!A:B,2,FALSE)</f>
        <v>盘螺</v>
      </c>
      <c r="F1263" s="33" t="s">
        <v>41</v>
      </c>
      <c r="G1263" s="29">
        <v>24</v>
      </c>
      <c r="H1263" s="29">
        <f>_xlfn.XLOOKUP(C1263&amp;F1263&amp;I1263&amp;J1263,'[1]2025年已发货'!$F:$F&amp;'[1]2025年已发货'!$C:$C&amp;'[1]2025年已发货'!$G:$G&amp;'[1]2025年已发货'!$H:$H,'[1]2025年已发货'!$E:$E,"未发货")</f>
        <v>9</v>
      </c>
      <c r="I1263" s="33" t="str">
        <f>VLOOKUP(B1263,辅助信息!E:I,3,FALSE)</f>
        <v>（五冶钢构宜宾高县月江镇建设项目）  四川省宜宾市高县月江镇刚记超市斜对面(还阳组团沪碳二期项目)</v>
      </c>
      <c r="J1263" s="33" t="str">
        <f>VLOOKUP(B1263,辅助信息!E:I,4,FALSE)</f>
        <v>张朝亮</v>
      </c>
      <c r="K1263" s="33">
        <f>VLOOKUP(J1263,辅助信息!H:I,2,FALSE)</f>
        <v>15228205853</v>
      </c>
      <c r="L1263" s="32" t="str">
        <f>VLOOKUP(B1263,辅助信息!E:J,6,FALSE)</f>
        <v>提前联系到场规格</v>
      </c>
      <c r="M1263" s="84">
        <v>45775</v>
      </c>
      <c r="O1263" s="55">
        <f ca="1" t="shared" si="53"/>
        <v>0</v>
      </c>
      <c r="P1263" s="55">
        <f ca="1" t="shared" si="54"/>
        <v>182</v>
      </c>
      <c r="Q1263" s="22" t="str">
        <f>VLOOKUP(B1263,辅助信息!E:M,9,FALSE)</f>
        <v>ZTWM-CDGS-XS-2024-0169-中冶西部钢构-宜宾市南溪区幸福路东路,高县月江镇建设项目</v>
      </c>
      <c r="R1263" s="22" t="str">
        <f>_xlfn._xlws.FILTER(辅助信息!D:D,辅助信息!E:E=B1263)</f>
        <v>五冶钢构-宜宾市南溪区高县月江镇建设项目</v>
      </c>
    </row>
    <row r="1264" hidden="1" spans="2:18">
      <c r="B1264" s="33" t="s">
        <v>106</v>
      </c>
      <c r="C1264" s="63">
        <v>45774</v>
      </c>
      <c r="D1264" s="33" t="str">
        <f>VLOOKUP(B1264,辅助信息!E:K,7,FALSE)</f>
        <v>JWDDCD2024101600133</v>
      </c>
      <c r="E1264" s="33" t="str">
        <f>VLOOKUP(F1264,辅助信息!A:B,2,FALSE)</f>
        <v>螺纹钢</v>
      </c>
      <c r="F1264" s="33" t="s">
        <v>32</v>
      </c>
      <c r="G1264" s="29">
        <v>24</v>
      </c>
      <c r="H1264" s="29">
        <f>_xlfn.XLOOKUP(C1264&amp;F1264&amp;I1264&amp;J1264,'[1]2025年已发货'!$F:$F&amp;'[1]2025年已发货'!$C:$C&amp;'[1]2025年已发货'!$G:$G&amp;'[1]2025年已发货'!$H:$H,'[1]2025年已发货'!$E:$E,"未发货")</f>
        <v>18</v>
      </c>
      <c r="I1264" s="33" t="str">
        <f>VLOOKUP(B1264,辅助信息!E:I,3,FALSE)</f>
        <v>（五冶钢构宜宾高县月江镇建设项目）  四川省宜宾市高县月江镇刚记超市斜对面(还阳组团沪碳二期项目)</v>
      </c>
      <c r="J1264" s="33" t="str">
        <f>VLOOKUP(B1264,辅助信息!E:I,4,FALSE)</f>
        <v>张朝亮</v>
      </c>
      <c r="K1264" s="33">
        <f>VLOOKUP(J1264,辅助信息!H:I,2,FALSE)</f>
        <v>15228205853</v>
      </c>
      <c r="L1264" s="32" t="str">
        <f>VLOOKUP(B1264,辅助信息!E:J,6,FALSE)</f>
        <v>提前联系到场规格</v>
      </c>
      <c r="M1264" s="84">
        <v>45775</v>
      </c>
      <c r="O1264" s="55">
        <f ca="1" t="shared" si="53"/>
        <v>0</v>
      </c>
      <c r="P1264" s="55">
        <f ca="1" t="shared" si="54"/>
        <v>182</v>
      </c>
      <c r="Q1264" s="22" t="str">
        <f>VLOOKUP(B1264,辅助信息!E:M,9,FALSE)</f>
        <v>ZTWM-CDGS-XS-2024-0169-中冶西部钢构-宜宾市南溪区幸福路东路,高县月江镇建设项目</v>
      </c>
      <c r="R1264" s="22" t="str">
        <f>_xlfn._xlws.FILTER(辅助信息!D:D,辅助信息!E:E=B1264)</f>
        <v>五冶钢构-宜宾市南溪区高县月江镇建设项目</v>
      </c>
    </row>
    <row r="1265" hidden="1" spans="1:18">
      <c r="A1265" s="19"/>
      <c r="B1265" s="33" t="s">
        <v>81</v>
      </c>
      <c r="C1265" s="63">
        <v>45777</v>
      </c>
      <c r="D1265" s="33" t="str">
        <f>VLOOKUP(B1265,辅助信息!E:K,7,FALSE)</f>
        <v>JWDDCD2025060900080</v>
      </c>
      <c r="E1265" s="33" t="str">
        <f>VLOOKUP(F1265,辅助信息!A:B,2,FALSE)</f>
        <v>盘螺</v>
      </c>
      <c r="F1265" s="33" t="s">
        <v>26</v>
      </c>
      <c r="G1265" s="33">
        <v>22</v>
      </c>
      <c r="H1265" s="33">
        <v>22</v>
      </c>
      <c r="I1265" s="33" t="str">
        <f>VLOOKUP(B1265,辅助信息!E:I,3,FALSE)</f>
        <v>（华西简阳西城嘉苑）四川省成都市简阳市简城街道高屋村</v>
      </c>
      <c r="J1265" s="33" t="str">
        <f>VLOOKUP(B1265,辅助信息!E:I,4,FALSE)</f>
        <v>张瀚镭</v>
      </c>
      <c r="K1265" s="33">
        <f>VLOOKUP(J1265,辅助信息!H:I,2,FALSE)</f>
        <v>15884666220</v>
      </c>
      <c r="L1265" s="32" t="str">
        <f>VLOOKUP(B1265,辅助信息!E:J,6,FALSE)</f>
        <v>现场禁止使用氢能源挂车！优先威钢发货,我方卸车,新老国标钢厂不加价可直发，因陕钢多次出现磅差，项目拒绝使用</v>
      </c>
      <c r="M1265" s="108">
        <v>45769</v>
      </c>
      <c r="N1265" s="22"/>
      <c r="O1265" s="19">
        <f ca="1" t="shared" si="53"/>
        <v>0</v>
      </c>
      <c r="P1265" s="55">
        <f ca="1" t="shared" si="54"/>
        <v>188</v>
      </c>
      <c r="Q1265" s="22" t="str">
        <f>VLOOKUP(B1265,辅助信息!E:M,9,FALSE)</f>
        <v>ZTWM-CDGS-XS-2024-0030-华西集采-简州大道</v>
      </c>
      <c r="R1265" s="111" t="str">
        <f>_xlfn._xlws.FILTER(辅助信息!D:D,辅助信息!E:E=B1265)</f>
        <v>华西简阳西城嘉苑</v>
      </c>
    </row>
    <row r="1266" hidden="1" spans="1:18">
      <c r="A1266" s="19"/>
      <c r="B1266" s="33" t="s">
        <v>81</v>
      </c>
      <c r="C1266" s="63">
        <v>45777</v>
      </c>
      <c r="D1266" s="33" t="str">
        <f>VLOOKUP(B1266,辅助信息!E:K,7,FALSE)</f>
        <v>JWDDCD2025060900080</v>
      </c>
      <c r="E1266" s="33" t="str">
        <f>VLOOKUP(F1266,辅助信息!A:B,2,FALSE)</f>
        <v>螺纹钢</v>
      </c>
      <c r="F1266" s="33" t="s">
        <v>33</v>
      </c>
      <c r="G1266" s="33">
        <v>20</v>
      </c>
      <c r="H1266" s="33">
        <v>20</v>
      </c>
      <c r="I1266" s="33" t="str">
        <f>VLOOKUP(B1266,辅助信息!E:I,3,FALSE)</f>
        <v>（华西简阳西城嘉苑）四川省成都市简阳市简城街道高屋村</v>
      </c>
      <c r="J1266" s="33" t="str">
        <f>VLOOKUP(B1266,辅助信息!E:I,4,FALSE)</f>
        <v>张瀚镭</v>
      </c>
      <c r="K1266" s="33">
        <f>VLOOKUP(J1266,辅助信息!H:I,2,FALSE)</f>
        <v>15884666220</v>
      </c>
      <c r="L1266" s="32" t="str">
        <f>VLOOKUP(B1266,辅助信息!E:J,6,FALSE)</f>
        <v>现场禁止使用氢能源挂车！优先威钢发货,我方卸车,新老国标钢厂不加价可直发，因陕钢多次出现磅差，项目拒绝使用</v>
      </c>
      <c r="M1266" s="108">
        <v>45769</v>
      </c>
      <c r="N1266" s="22"/>
      <c r="O1266" s="19">
        <f ca="1" t="shared" si="53"/>
        <v>0</v>
      </c>
      <c r="P1266" s="55">
        <f ca="1" t="shared" si="54"/>
        <v>188</v>
      </c>
      <c r="Q1266" s="22" t="str">
        <f>VLOOKUP(B1266,辅助信息!E:M,9,FALSE)</f>
        <v>ZTWM-CDGS-XS-2024-0030-华西集采-简州大道</v>
      </c>
      <c r="R1266" s="111" t="str">
        <f>_xlfn._xlws.FILTER(辅助信息!D:D,辅助信息!E:E=B1266)</f>
        <v>华西简阳西城嘉苑</v>
      </c>
    </row>
    <row r="1267" hidden="1" spans="1:18">
      <c r="A1267" s="55"/>
      <c r="B1267" s="33" t="s">
        <v>81</v>
      </c>
      <c r="C1267" s="63">
        <v>45777</v>
      </c>
      <c r="D1267" s="33" t="str">
        <f>VLOOKUP(B1267,辅助信息!E:K,7,FALSE)</f>
        <v>JWDDCD2025060900080</v>
      </c>
      <c r="E1267" s="33" t="str">
        <f>VLOOKUP(F1267,辅助信息!A:B,2,FALSE)</f>
        <v>螺纹钢</v>
      </c>
      <c r="F1267" s="33" t="s">
        <v>19</v>
      </c>
      <c r="G1267" s="29">
        <v>15</v>
      </c>
      <c r="H1267" s="29">
        <v>15</v>
      </c>
      <c r="I1267" s="33" t="str">
        <f>VLOOKUP(B1267,辅助信息!E:I,3,FALSE)</f>
        <v>（华西简阳西城嘉苑）四川省成都市简阳市简城街道高屋村</v>
      </c>
      <c r="J1267" s="33" t="str">
        <f>VLOOKUP(B1267,辅助信息!E:I,4,FALSE)</f>
        <v>张瀚镭</v>
      </c>
      <c r="K1267" s="33">
        <f>VLOOKUP(J1267,辅助信息!H:I,2,FALSE)</f>
        <v>15884666220</v>
      </c>
      <c r="L1267" s="32" t="str">
        <f>VLOOKUP(B1267,辅助信息!E:J,6,FALSE)</f>
        <v>现场禁止使用氢能源挂车！优先威钢发货,我方卸车,新老国标钢厂不加价可直发，因陕钢多次出现磅差，项目拒绝使用</v>
      </c>
      <c r="M1267" s="109">
        <v>45775</v>
      </c>
      <c r="N1267" s="110"/>
      <c r="O1267" s="55">
        <f ca="1" t="shared" si="53"/>
        <v>0</v>
      </c>
      <c r="P1267" s="55">
        <f ca="1" t="shared" si="54"/>
        <v>182</v>
      </c>
      <c r="Q1267" s="22" t="str">
        <f>VLOOKUP(B1267,辅助信息!E:M,9,FALSE)</f>
        <v>ZTWM-CDGS-XS-2024-0030-华西集采-简州大道</v>
      </c>
      <c r="R1267" s="111" t="str">
        <f>_xlfn._xlws.FILTER(辅助信息!D:D,辅助信息!E:E=B1267)</f>
        <v>华西简阳西城嘉苑</v>
      </c>
    </row>
    <row r="1268" hidden="1" spans="1:18">
      <c r="A1268" s="55"/>
      <c r="B1268" s="33" t="s">
        <v>81</v>
      </c>
      <c r="C1268" s="63">
        <v>45777</v>
      </c>
      <c r="D1268" s="33" t="str">
        <f>VLOOKUP(B1268,辅助信息!E:K,7,FALSE)</f>
        <v>JWDDCD2025060900080</v>
      </c>
      <c r="E1268" s="33" t="str">
        <f>VLOOKUP(F1268,辅助信息!A:B,2,FALSE)</f>
        <v>螺纹钢</v>
      </c>
      <c r="F1268" s="33" t="s">
        <v>32</v>
      </c>
      <c r="G1268" s="29">
        <v>40</v>
      </c>
      <c r="H1268" s="29">
        <v>40</v>
      </c>
      <c r="I1268" s="33" t="str">
        <f>VLOOKUP(B1268,辅助信息!E:I,3,FALSE)</f>
        <v>（华西简阳西城嘉苑）四川省成都市简阳市简城街道高屋村</v>
      </c>
      <c r="J1268" s="33" t="str">
        <f>VLOOKUP(B1268,辅助信息!E:I,4,FALSE)</f>
        <v>张瀚镭</v>
      </c>
      <c r="K1268" s="33">
        <f>VLOOKUP(J1268,辅助信息!H:I,2,FALSE)</f>
        <v>15884666220</v>
      </c>
      <c r="L1268" s="32" t="str">
        <f>VLOOKUP(B1268,辅助信息!E:J,6,FALSE)</f>
        <v>现场禁止使用氢能源挂车！优先威钢发货,我方卸车,新老国标钢厂不加价可直发，因陕钢多次出现磅差，项目拒绝使用</v>
      </c>
      <c r="M1268" s="109">
        <v>45775</v>
      </c>
      <c r="N1268" s="110"/>
      <c r="O1268" s="55">
        <f ca="1" t="shared" si="53"/>
        <v>0</v>
      </c>
      <c r="P1268" s="55">
        <f ca="1" t="shared" si="54"/>
        <v>182</v>
      </c>
      <c r="Q1268" s="22" t="str">
        <f>VLOOKUP(B1268,辅助信息!E:M,9,FALSE)</f>
        <v>ZTWM-CDGS-XS-2024-0030-华西集采-简州大道</v>
      </c>
      <c r="R1268" s="111" t="str">
        <f>_xlfn._xlws.FILTER(辅助信息!D:D,辅助信息!E:E=B1268)</f>
        <v>华西简阳西城嘉苑</v>
      </c>
    </row>
    <row r="1269" hidden="1" spans="1:18">
      <c r="A1269" s="55"/>
      <c r="B1269" s="33" t="s">
        <v>81</v>
      </c>
      <c r="C1269" s="63">
        <v>45777</v>
      </c>
      <c r="D1269" s="33" t="str">
        <f>VLOOKUP(B1269,辅助信息!E:K,7,FALSE)</f>
        <v>JWDDCD2025060900080</v>
      </c>
      <c r="E1269" s="33" t="str">
        <f>VLOOKUP(F1269,辅助信息!A:B,2,FALSE)</f>
        <v>螺纹钢</v>
      </c>
      <c r="F1269" s="33" t="s">
        <v>30</v>
      </c>
      <c r="G1269" s="29">
        <v>15</v>
      </c>
      <c r="H1269" s="29">
        <v>15</v>
      </c>
      <c r="I1269" s="33" t="str">
        <f>VLOOKUP(B1269,辅助信息!E:I,3,FALSE)</f>
        <v>（华西简阳西城嘉苑）四川省成都市简阳市简城街道高屋村</v>
      </c>
      <c r="J1269" s="33" t="str">
        <f>VLOOKUP(B1269,辅助信息!E:I,4,FALSE)</f>
        <v>张瀚镭</v>
      </c>
      <c r="K1269" s="33">
        <f>VLOOKUP(J1269,辅助信息!H:I,2,FALSE)</f>
        <v>15884666220</v>
      </c>
      <c r="L1269" s="32" t="str">
        <f>VLOOKUP(B1269,辅助信息!E:J,6,FALSE)</f>
        <v>现场禁止使用氢能源挂车！优先威钢发货,我方卸车,新老国标钢厂不加价可直发，因陕钢多次出现磅差，项目拒绝使用</v>
      </c>
      <c r="M1269" s="109">
        <v>45775</v>
      </c>
      <c r="N1269" s="110"/>
      <c r="O1269" s="55">
        <f ca="1" t="shared" si="53"/>
        <v>0</v>
      </c>
      <c r="P1269" s="55">
        <f ca="1" t="shared" si="54"/>
        <v>182</v>
      </c>
      <c r="Q1269" s="22" t="str">
        <f>VLOOKUP(B1269,辅助信息!E:M,9,FALSE)</f>
        <v>ZTWM-CDGS-XS-2024-0030-华西集采-简州大道</v>
      </c>
      <c r="R1269" s="111" t="str">
        <f>_xlfn._xlws.FILTER(辅助信息!D:D,辅助信息!E:E=B1269)</f>
        <v>华西简阳西城嘉苑</v>
      </c>
    </row>
    <row r="1270" hidden="1" spans="2:18">
      <c r="B1270" s="33" t="s">
        <v>31</v>
      </c>
      <c r="C1270" s="63">
        <v>45777</v>
      </c>
      <c r="D1270" s="33" t="str">
        <f>VLOOKUP(B1270,辅助信息!E:K,7,FALSE)</f>
        <v>JWDDCD2024121000136</v>
      </c>
      <c r="E1270" s="33" t="str">
        <f>VLOOKUP(F1270,辅助信息!A:B,2,FALSE)</f>
        <v>高线</v>
      </c>
      <c r="F1270" s="33" t="s">
        <v>51</v>
      </c>
      <c r="G1270" s="29">
        <v>2.5</v>
      </c>
      <c r="H1270" s="29" t="str">
        <f>_xlfn.XLOOKUP(C1270&amp;F1270&amp;I1270&amp;J1270,'[1]2025年已发货'!$F:$F&amp;'[1]2025年已发货'!$C:$C&amp;'[1]2025年已发货'!$G:$G&amp;'[1]2025年已发货'!$H:$H,'[1]2025年已发货'!$E:$E,"未发货")</f>
        <v>未发货</v>
      </c>
      <c r="I1270" s="33" t="str">
        <f>VLOOKUP(B1270,辅助信息!E:I,3,FALSE)</f>
        <v>（四川商建-射洪城乡一体化项目）遂宁市射洪市忠新幼儿园北侧约220米新溪小区</v>
      </c>
      <c r="J1270" s="33" t="str">
        <f>VLOOKUP(B1270,辅助信息!E:I,4,FALSE)</f>
        <v>柏子刚</v>
      </c>
      <c r="K1270" s="33">
        <f>VLOOKUP(J1270,辅助信息!H:I,2,FALSE)</f>
        <v>15692885305</v>
      </c>
      <c r="L1270" s="32" t="str">
        <f>VLOOKUP(B1270,辅助信息!E:J,6,FALSE)</f>
        <v>提前联系到场规格及数量</v>
      </c>
      <c r="M1270" s="84">
        <v>45779</v>
      </c>
      <c r="O1270" s="55">
        <f ca="1" t="shared" si="53"/>
        <v>0</v>
      </c>
      <c r="P1270" s="55">
        <f ca="1" t="shared" si="54"/>
        <v>178</v>
      </c>
      <c r="Q1270" s="22" t="str">
        <f>VLOOKUP(B1270,辅助信息!E:M,9,FALSE)</f>
        <v>ZTWM-CDGS-XS-2024-0179-四川商投-射洪城乡一体化建设项目</v>
      </c>
      <c r="R1270" s="111" t="str">
        <f>_xlfn._xlws.FILTER(辅助信息!D:D,辅助信息!E:E=B1270)</f>
        <v>四川商建
射洪城乡一体化项目</v>
      </c>
    </row>
    <row r="1271" hidden="1" spans="2:18">
      <c r="B1271" s="33" t="s">
        <v>31</v>
      </c>
      <c r="C1271" s="63">
        <v>45777</v>
      </c>
      <c r="D1271" s="33" t="str">
        <f>VLOOKUP(B1271,辅助信息!E:K,7,FALSE)</f>
        <v>JWDDCD2024121000136</v>
      </c>
      <c r="E1271" s="33" t="str">
        <f>VLOOKUP(F1271,辅助信息!A:B,2,FALSE)</f>
        <v>盘螺</v>
      </c>
      <c r="F1271" s="33" t="s">
        <v>41</v>
      </c>
      <c r="G1271" s="29">
        <v>32.5</v>
      </c>
      <c r="H1271" s="29" t="str">
        <f>_xlfn.XLOOKUP(C1271&amp;F1271&amp;I1271&amp;J1271,'[1]2025年已发货'!$F:$F&amp;'[1]2025年已发货'!$C:$C&amp;'[1]2025年已发货'!$G:$G&amp;'[1]2025年已发货'!$H:$H,'[1]2025年已发货'!$E:$E,"未发货")</f>
        <v>未发货</v>
      </c>
      <c r="I1271" s="33" t="str">
        <f>VLOOKUP(B1271,辅助信息!E:I,3,FALSE)</f>
        <v>（四川商建-射洪城乡一体化项目）遂宁市射洪市忠新幼儿园北侧约220米新溪小区</v>
      </c>
      <c r="J1271" s="33" t="str">
        <f>VLOOKUP(B1271,辅助信息!E:I,4,FALSE)</f>
        <v>柏子刚</v>
      </c>
      <c r="K1271" s="33">
        <f>VLOOKUP(J1271,辅助信息!H:I,2,FALSE)</f>
        <v>15692885305</v>
      </c>
      <c r="L1271" s="32" t="str">
        <f>VLOOKUP(B1271,辅助信息!E:J,6,FALSE)</f>
        <v>提前联系到场规格及数量</v>
      </c>
      <c r="M1271" s="84">
        <v>45779</v>
      </c>
      <c r="O1271" s="55">
        <f ca="1" t="shared" ref="O1271:O1276" si="55">IF(OR(M1271="",N1271&lt;&gt;""),"",MAX(M1271-TODAY(),0))</f>
        <v>0</v>
      </c>
      <c r="P1271" s="55">
        <f ca="1" t="shared" si="54"/>
        <v>178</v>
      </c>
      <c r="Q1271" s="22" t="str">
        <f>VLOOKUP(B1271,辅助信息!E:M,9,FALSE)</f>
        <v>ZTWM-CDGS-XS-2024-0179-四川商投-射洪城乡一体化建设项目</v>
      </c>
      <c r="R1271" s="111" t="str">
        <f>_xlfn._xlws.FILTER(辅助信息!D:D,辅助信息!E:E=B1271)</f>
        <v>四川商建
射洪城乡一体化项目</v>
      </c>
    </row>
    <row r="1272" hidden="1" spans="2:18">
      <c r="B1272" s="33" t="s">
        <v>31</v>
      </c>
      <c r="C1272" s="63">
        <v>45777</v>
      </c>
      <c r="D1272" s="33" t="str">
        <f>VLOOKUP(B1272,辅助信息!E:K,7,FALSE)</f>
        <v>JWDDCD2024121000136</v>
      </c>
      <c r="E1272" s="33" t="str">
        <f>VLOOKUP(F1272,辅助信息!A:B,2,FALSE)</f>
        <v>螺纹钢</v>
      </c>
      <c r="F1272" s="33" t="s">
        <v>27</v>
      </c>
      <c r="G1272" s="29">
        <v>15</v>
      </c>
      <c r="H1272" s="29" t="str">
        <f>_xlfn.XLOOKUP(C1272&amp;F1272&amp;I1272&amp;J1272,'[1]2025年已发货'!$F:$F&amp;'[1]2025年已发货'!$C:$C&amp;'[1]2025年已发货'!$G:$G&amp;'[1]2025年已发货'!$H:$H,'[1]2025年已发货'!$E:$E,"未发货")</f>
        <v>未发货</v>
      </c>
      <c r="I1272" s="33" t="str">
        <f>VLOOKUP(B1272,辅助信息!E:I,3,FALSE)</f>
        <v>（四川商建-射洪城乡一体化项目）遂宁市射洪市忠新幼儿园北侧约220米新溪小区</v>
      </c>
      <c r="J1272" s="33" t="str">
        <f>VLOOKUP(B1272,辅助信息!E:I,4,FALSE)</f>
        <v>柏子刚</v>
      </c>
      <c r="K1272" s="33">
        <f>VLOOKUP(J1272,辅助信息!H:I,2,FALSE)</f>
        <v>15692885305</v>
      </c>
      <c r="L1272" s="32" t="str">
        <f>VLOOKUP(B1272,辅助信息!E:J,6,FALSE)</f>
        <v>提前联系到场规格及数量</v>
      </c>
      <c r="M1272" s="84">
        <v>45779</v>
      </c>
      <c r="O1272" s="55">
        <f ca="1" t="shared" si="55"/>
        <v>0</v>
      </c>
      <c r="P1272" s="55">
        <f ca="1" t="shared" si="54"/>
        <v>178</v>
      </c>
      <c r="Q1272" s="22" t="str">
        <f>VLOOKUP(B1272,辅助信息!E:M,9,FALSE)</f>
        <v>ZTWM-CDGS-XS-2024-0179-四川商投-射洪城乡一体化建设项目</v>
      </c>
      <c r="R1272" s="111" t="str">
        <f>_xlfn._xlws.FILTER(辅助信息!D:D,辅助信息!E:E=B1272)</f>
        <v>四川商建
射洪城乡一体化项目</v>
      </c>
    </row>
    <row r="1273" hidden="1" spans="2:18">
      <c r="B1273" s="33" t="s">
        <v>31</v>
      </c>
      <c r="C1273" s="63">
        <v>45777</v>
      </c>
      <c r="D1273" s="33" t="str">
        <f>VLOOKUP(B1273,辅助信息!E:K,7,FALSE)</f>
        <v>JWDDCD2024121000136</v>
      </c>
      <c r="E1273" s="33" t="str">
        <f>VLOOKUP(F1273,辅助信息!A:B,2,FALSE)</f>
        <v>螺纹钢</v>
      </c>
      <c r="F1273" s="33" t="s">
        <v>30</v>
      </c>
      <c r="G1273" s="29">
        <v>12</v>
      </c>
      <c r="H1273" s="29" t="str">
        <f>_xlfn.XLOOKUP(C1273&amp;F1273&amp;I1273&amp;J1273,'[1]2025年已发货'!$F:$F&amp;'[1]2025年已发货'!$C:$C&amp;'[1]2025年已发货'!$G:$G&amp;'[1]2025年已发货'!$H:$H,'[1]2025年已发货'!$E:$E,"未发货")</f>
        <v>未发货</v>
      </c>
      <c r="I1273" s="33" t="str">
        <f>VLOOKUP(B1273,辅助信息!E:I,3,FALSE)</f>
        <v>（四川商建-射洪城乡一体化项目）遂宁市射洪市忠新幼儿园北侧约220米新溪小区</v>
      </c>
      <c r="J1273" s="33" t="str">
        <f>VLOOKUP(B1273,辅助信息!E:I,4,FALSE)</f>
        <v>柏子刚</v>
      </c>
      <c r="K1273" s="33">
        <f>VLOOKUP(J1273,辅助信息!H:I,2,FALSE)</f>
        <v>15692885305</v>
      </c>
      <c r="L1273" s="32" t="str">
        <f>VLOOKUP(B1273,辅助信息!E:J,6,FALSE)</f>
        <v>提前联系到场规格及数量</v>
      </c>
      <c r="M1273" s="84">
        <v>45779</v>
      </c>
      <c r="O1273" s="55">
        <f ca="1" t="shared" si="55"/>
        <v>0</v>
      </c>
      <c r="P1273" s="55">
        <f ca="1" t="shared" si="54"/>
        <v>178</v>
      </c>
      <c r="Q1273" s="22" t="str">
        <f>VLOOKUP(B1273,辅助信息!E:M,9,FALSE)</f>
        <v>ZTWM-CDGS-XS-2024-0179-四川商投-射洪城乡一体化建设项目</v>
      </c>
      <c r="R1273" s="111" t="str">
        <f>_xlfn._xlws.FILTER(辅助信息!D:D,辅助信息!E:E=B1273)</f>
        <v>四川商建
射洪城乡一体化项目</v>
      </c>
    </row>
    <row r="1274" hidden="1" spans="2:18">
      <c r="B1274" s="33" t="s">
        <v>31</v>
      </c>
      <c r="C1274" s="63">
        <v>45777</v>
      </c>
      <c r="D1274" s="33" t="str">
        <f>VLOOKUP(B1274,辅助信息!E:K,7,FALSE)</f>
        <v>JWDDCD2024121000136</v>
      </c>
      <c r="E1274" s="33" t="str">
        <f>VLOOKUP(F1274,辅助信息!A:B,2,FALSE)</f>
        <v>螺纹钢</v>
      </c>
      <c r="F1274" s="33" t="s">
        <v>66</v>
      </c>
      <c r="G1274" s="29">
        <v>9</v>
      </c>
      <c r="H1274" s="29" t="str">
        <f>_xlfn.XLOOKUP(C1274&amp;F1274&amp;I1274&amp;J1274,'[1]2025年已发货'!$F:$F&amp;'[1]2025年已发货'!$C:$C&amp;'[1]2025年已发货'!$G:$G&amp;'[1]2025年已发货'!$H:$H,'[1]2025年已发货'!$E:$E,"未发货")</f>
        <v>未发货</v>
      </c>
      <c r="I1274" s="33" t="str">
        <f>VLOOKUP(B1274,辅助信息!E:I,3,FALSE)</f>
        <v>（四川商建-射洪城乡一体化项目）遂宁市射洪市忠新幼儿园北侧约220米新溪小区</v>
      </c>
      <c r="J1274" s="33" t="str">
        <f>VLOOKUP(B1274,辅助信息!E:I,4,FALSE)</f>
        <v>柏子刚</v>
      </c>
      <c r="K1274" s="33">
        <f>VLOOKUP(J1274,辅助信息!H:I,2,FALSE)</f>
        <v>15692885305</v>
      </c>
      <c r="L1274" s="32" t="str">
        <f>VLOOKUP(B1274,辅助信息!E:J,6,FALSE)</f>
        <v>提前联系到场规格及数量</v>
      </c>
      <c r="M1274" s="84">
        <v>45779</v>
      </c>
      <c r="O1274" s="55">
        <f ca="1" t="shared" si="55"/>
        <v>0</v>
      </c>
      <c r="P1274" s="55">
        <f ca="1" t="shared" si="54"/>
        <v>178</v>
      </c>
      <c r="Q1274" s="22" t="str">
        <f>VLOOKUP(B1274,辅助信息!E:M,9,FALSE)</f>
        <v>ZTWM-CDGS-XS-2024-0179-四川商投-射洪城乡一体化建设项目</v>
      </c>
      <c r="R1274" s="111" t="str">
        <f>_xlfn._xlws.FILTER(辅助信息!D:D,辅助信息!E:E=B1274)</f>
        <v>四川商建
射洪城乡一体化项目</v>
      </c>
    </row>
    <row r="1275" hidden="1" spans="2:18">
      <c r="B1275" s="33" t="s">
        <v>31</v>
      </c>
      <c r="C1275" s="63">
        <v>45777</v>
      </c>
      <c r="D1275" s="33" t="str">
        <f>VLOOKUP(B1275,辅助信息!E:K,7,FALSE)</f>
        <v>JWDDCD2024121000136</v>
      </c>
      <c r="E1275" s="33" t="str">
        <f>VLOOKUP(F1275,辅助信息!A:B,2,FALSE)</f>
        <v>螺纹钢</v>
      </c>
      <c r="F1275" s="33" t="s">
        <v>21</v>
      </c>
      <c r="G1275" s="29">
        <v>3</v>
      </c>
      <c r="H1275" s="29" t="str">
        <f>_xlfn.XLOOKUP(C1275&amp;F1275&amp;I1275&amp;J1275,'[1]2025年已发货'!$F:$F&amp;'[1]2025年已发货'!$C:$C&amp;'[1]2025年已发货'!$G:$G&amp;'[1]2025年已发货'!$H:$H,'[1]2025年已发货'!$E:$E,"未发货")</f>
        <v>未发货</v>
      </c>
      <c r="I1275" s="33" t="str">
        <f>VLOOKUP(B1275,辅助信息!E:I,3,FALSE)</f>
        <v>（四川商建-射洪城乡一体化项目）遂宁市射洪市忠新幼儿园北侧约220米新溪小区</v>
      </c>
      <c r="J1275" s="33" t="str">
        <f>VLOOKUP(B1275,辅助信息!E:I,4,FALSE)</f>
        <v>柏子刚</v>
      </c>
      <c r="K1275" s="33">
        <f>VLOOKUP(J1275,辅助信息!H:I,2,FALSE)</f>
        <v>15692885305</v>
      </c>
      <c r="L1275" s="32" t="str">
        <f>VLOOKUP(B1275,辅助信息!E:J,6,FALSE)</f>
        <v>提前联系到场规格及数量</v>
      </c>
      <c r="M1275" s="84">
        <v>45779</v>
      </c>
      <c r="O1275" s="55">
        <f ca="1" t="shared" si="55"/>
        <v>0</v>
      </c>
      <c r="P1275" s="55">
        <f ca="1" t="shared" si="54"/>
        <v>178</v>
      </c>
      <c r="Q1275" s="22" t="str">
        <f>VLOOKUP(B1275,辅助信息!E:M,9,FALSE)</f>
        <v>ZTWM-CDGS-XS-2024-0179-四川商投-射洪城乡一体化建设项目</v>
      </c>
      <c r="R1275" s="111" t="str">
        <f>_xlfn._xlws.FILTER(辅助信息!D:D,辅助信息!E:E=B1275)</f>
        <v>四川商建
射洪城乡一体化项目</v>
      </c>
    </row>
    <row r="1276" hidden="1" spans="2:18">
      <c r="B1276" s="33" t="s">
        <v>31</v>
      </c>
      <c r="C1276" s="63">
        <v>45777</v>
      </c>
      <c r="D1276" s="33" t="str">
        <f>VLOOKUP(B1276,辅助信息!E:K,7,FALSE)</f>
        <v>JWDDCD2024121000136</v>
      </c>
      <c r="E1276" s="33" t="str">
        <f>VLOOKUP(F1276,辅助信息!A:B,2,FALSE)</f>
        <v>螺纹钢</v>
      </c>
      <c r="F1276" s="33" t="s">
        <v>22</v>
      </c>
      <c r="G1276" s="29">
        <v>60</v>
      </c>
      <c r="H1276" s="29" t="str">
        <f>_xlfn.XLOOKUP(C1276&amp;F1276&amp;I1276&amp;J1276,'[1]2025年已发货'!$F:$F&amp;'[1]2025年已发货'!$C:$C&amp;'[1]2025年已发货'!$G:$G&amp;'[1]2025年已发货'!$H:$H,'[1]2025年已发货'!$E:$E,"未发货")</f>
        <v>未发货</v>
      </c>
      <c r="I1276" s="33" t="str">
        <f>VLOOKUP(B1276,辅助信息!E:I,3,FALSE)</f>
        <v>（四川商建-射洪城乡一体化项目）遂宁市射洪市忠新幼儿园北侧约220米新溪小区</v>
      </c>
      <c r="J1276" s="33" t="str">
        <f>VLOOKUP(B1276,辅助信息!E:I,4,FALSE)</f>
        <v>柏子刚</v>
      </c>
      <c r="K1276" s="33">
        <f>VLOOKUP(J1276,辅助信息!H:I,2,FALSE)</f>
        <v>15692885305</v>
      </c>
      <c r="L1276" s="32" t="str">
        <f>VLOOKUP(B1276,辅助信息!E:J,6,FALSE)</f>
        <v>提前联系到场规格及数量</v>
      </c>
      <c r="M1276" s="109">
        <v>45775</v>
      </c>
      <c r="O1276" s="55">
        <f ca="1" t="shared" si="55"/>
        <v>0</v>
      </c>
      <c r="P1276" s="55">
        <f ca="1" t="shared" si="54"/>
        <v>182</v>
      </c>
      <c r="Q1276" s="22" t="str">
        <f>VLOOKUP(B1276,辅助信息!E:M,9,FALSE)</f>
        <v>ZTWM-CDGS-XS-2024-0179-四川商投-射洪城乡一体化建设项目</v>
      </c>
      <c r="R1276" s="111" t="str">
        <f>_xlfn._xlws.FILTER(辅助信息!D:D,辅助信息!E:E=B1276)</f>
        <v>四川商建
射洪城乡一体化项目</v>
      </c>
    </row>
    <row r="1277" hidden="1" spans="2:18">
      <c r="B1277" s="33" t="s">
        <v>81</v>
      </c>
      <c r="C1277" s="63">
        <v>45777</v>
      </c>
      <c r="D1277" s="33" t="str">
        <f>VLOOKUP(B1277,辅助信息!E:K,7,FALSE)</f>
        <v>JWDDCD2025060900080</v>
      </c>
      <c r="E1277" s="33" t="str">
        <f>VLOOKUP(F1277,辅助信息!A:B,2,FALSE)</f>
        <v>高线</v>
      </c>
      <c r="F1277" s="33" t="s">
        <v>53</v>
      </c>
      <c r="G1277" s="29">
        <v>2</v>
      </c>
      <c r="H1277" s="29" t="str">
        <f>_xlfn.XLOOKUP(C1277&amp;F1277&amp;I1277&amp;J1277,'[1]2025年已发货'!$F:$F&amp;'[1]2025年已发货'!$C:$C&amp;'[1]2025年已发货'!$G:$G&amp;'[1]2025年已发货'!$H:$H,'[1]2025年已发货'!$E:$E,"未发货")</f>
        <v>未发货</v>
      </c>
      <c r="I1277" s="33" t="str">
        <f>VLOOKUP(B1277,辅助信息!E:I,3,FALSE)</f>
        <v>（华西简阳西城嘉苑）四川省成都市简阳市简城街道高屋村</v>
      </c>
      <c r="J1277" s="33" t="str">
        <f>VLOOKUP(B1277,辅助信息!E:I,4,FALSE)</f>
        <v>张瀚镭</v>
      </c>
      <c r="K1277" s="33">
        <f>VLOOKUP(J1277,辅助信息!H:I,2,FALSE)</f>
        <v>15884666220</v>
      </c>
      <c r="L1277" s="32" t="str">
        <f>VLOOKUP(B1277,辅助信息!E:J,6,FALSE)</f>
        <v>现场禁止使用氢能源挂车！优先威钢发货,我方卸车,新老国标钢厂不加价可直发，因陕钢多次出现磅差，项目拒绝使用</v>
      </c>
      <c r="M1277" s="84">
        <v>45777</v>
      </c>
      <c r="O1277" s="55">
        <f ca="1" t="shared" ref="O1277:O1286" si="56">IF(OR(M1277="",N1277&lt;&gt;""),"",MAX(M1277-TODAY(),0))</f>
        <v>0</v>
      </c>
      <c r="P1277" s="55">
        <f ca="1" t="shared" si="54"/>
        <v>180</v>
      </c>
      <c r="Q1277" s="22" t="str">
        <f>VLOOKUP(B1277,辅助信息!E:M,9,FALSE)</f>
        <v>ZTWM-CDGS-XS-2024-0030-华西集采-简州大道</v>
      </c>
      <c r="R1277" s="111" t="str">
        <f>_xlfn._xlws.FILTER(辅助信息!D:D,辅助信息!E:E=B1277)</f>
        <v>华西简阳西城嘉苑</v>
      </c>
    </row>
    <row r="1278" hidden="1" spans="2:18">
      <c r="B1278" s="33" t="s">
        <v>81</v>
      </c>
      <c r="C1278" s="63">
        <v>45777</v>
      </c>
      <c r="D1278" s="33" t="str">
        <f>VLOOKUP(B1278,辅助信息!E:K,7,FALSE)</f>
        <v>JWDDCD2025060900080</v>
      </c>
      <c r="E1278" s="33" t="str">
        <f>VLOOKUP(F1278,辅助信息!A:B,2,FALSE)</f>
        <v>盘螺</v>
      </c>
      <c r="F1278" s="33" t="s">
        <v>40</v>
      </c>
      <c r="G1278" s="29">
        <v>3</v>
      </c>
      <c r="H1278" s="29">
        <f>_xlfn.XLOOKUP(C1278&amp;F1278&amp;I1278&amp;J1278,'[1]2025年已发货'!$F:$F&amp;'[1]2025年已发货'!$C:$C&amp;'[1]2025年已发货'!$G:$G&amp;'[1]2025年已发货'!$H:$H,'[1]2025年已发货'!$E:$E,"未发货")</f>
        <v>3</v>
      </c>
      <c r="I1278" s="33" t="str">
        <f>VLOOKUP(B1278,辅助信息!E:I,3,FALSE)</f>
        <v>（华西简阳西城嘉苑）四川省成都市简阳市简城街道高屋村</v>
      </c>
      <c r="J1278" s="33" t="str">
        <f>VLOOKUP(B1278,辅助信息!E:I,4,FALSE)</f>
        <v>张瀚镭</v>
      </c>
      <c r="K1278" s="33">
        <f>VLOOKUP(J1278,辅助信息!H:I,2,FALSE)</f>
        <v>15884666220</v>
      </c>
      <c r="L1278" s="32" t="str">
        <f>VLOOKUP(B1278,辅助信息!E:J,6,FALSE)</f>
        <v>现场禁止使用氢能源挂车！优先威钢发货,我方卸车,新老国标钢厂不加价可直发，因陕钢多次出现磅差，项目拒绝使用</v>
      </c>
      <c r="M1278" s="84">
        <v>45777</v>
      </c>
      <c r="O1278" s="55">
        <f ca="1" t="shared" si="56"/>
        <v>0</v>
      </c>
      <c r="P1278" s="55">
        <f ca="1" t="shared" si="54"/>
        <v>180</v>
      </c>
      <c r="Q1278" s="22" t="str">
        <f>VLOOKUP(B1278,辅助信息!E:M,9,FALSE)</f>
        <v>ZTWM-CDGS-XS-2024-0030-华西集采-简州大道</v>
      </c>
      <c r="R1278" s="111" t="str">
        <f>_xlfn._xlws.FILTER(辅助信息!D:D,辅助信息!E:E=B1278)</f>
        <v>华西简阳西城嘉苑</v>
      </c>
    </row>
    <row r="1279" hidden="1" spans="2:18">
      <c r="B1279" s="33" t="s">
        <v>81</v>
      </c>
      <c r="C1279" s="63">
        <v>45777</v>
      </c>
      <c r="D1279" s="33" t="str">
        <f>VLOOKUP(B1279,辅助信息!E:K,7,FALSE)</f>
        <v>JWDDCD2025060900080</v>
      </c>
      <c r="E1279" s="33" t="str">
        <f>VLOOKUP(F1279,辅助信息!A:B,2,FALSE)</f>
        <v>盘螺</v>
      </c>
      <c r="F1279" s="33" t="s">
        <v>41</v>
      </c>
      <c r="G1279" s="29">
        <v>5</v>
      </c>
      <c r="H1279" s="29">
        <f>_xlfn.XLOOKUP(C1279&amp;F1279&amp;I1279&amp;J1279,'[1]2025年已发货'!$F:$F&amp;'[1]2025年已发货'!$C:$C&amp;'[1]2025年已发货'!$G:$G&amp;'[1]2025年已发货'!$H:$H,'[1]2025年已发货'!$E:$E,"未发货")</f>
        <v>5</v>
      </c>
      <c r="I1279" s="33" t="str">
        <f>VLOOKUP(B1279,辅助信息!E:I,3,FALSE)</f>
        <v>（华西简阳西城嘉苑）四川省成都市简阳市简城街道高屋村</v>
      </c>
      <c r="J1279" s="33" t="str">
        <f>VLOOKUP(B1279,辅助信息!E:I,4,FALSE)</f>
        <v>张瀚镭</v>
      </c>
      <c r="K1279" s="33">
        <f>VLOOKUP(J1279,辅助信息!H:I,2,FALSE)</f>
        <v>15884666220</v>
      </c>
      <c r="L1279" s="32" t="str">
        <f>VLOOKUP(B1279,辅助信息!E:J,6,FALSE)</f>
        <v>现场禁止使用氢能源挂车！优先威钢发货,我方卸车,新老国标钢厂不加价可直发，因陕钢多次出现磅差，项目拒绝使用</v>
      </c>
      <c r="M1279" s="84">
        <v>45777</v>
      </c>
      <c r="O1279" s="55">
        <f ca="1" t="shared" si="56"/>
        <v>0</v>
      </c>
      <c r="P1279" s="55">
        <f ca="1" t="shared" si="54"/>
        <v>180</v>
      </c>
      <c r="Q1279" s="22" t="str">
        <f>VLOOKUP(B1279,辅助信息!E:M,9,FALSE)</f>
        <v>ZTWM-CDGS-XS-2024-0030-华西集采-简州大道</v>
      </c>
      <c r="R1279" s="111" t="str">
        <f>_xlfn._xlws.FILTER(辅助信息!D:D,辅助信息!E:E=B1279)</f>
        <v>华西简阳西城嘉苑</v>
      </c>
    </row>
    <row r="1280" hidden="1" spans="2:18">
      <c r="B1280" s="33" t="s">
        <v>81</v>
      </c>
      <c r="C1280" s="63">
        <v>45777</v>
      </c>
      <c r="D1280" s="33" t="str">
        <f>VLOOKUP(B1280,辅助信息!E:K,7,FALSE)</f>
        <v>JWDDCD2025060900080</v>
      </c>
      <c r="E1280" s="33" t="str">
        <f>VLOOKUP(F1280,辅助信息!A:B,2,FALSE)</f>
        <v>盘螺</v>
      </c>
      <c r="F1280" s="33" t="s">
        <v>26</v>
      </c>
      <c r="G1280" s="29">
        <v>18</v>
      </c>
      <c r="H1280" s="29">
        <v>18</v>
      </c>
      <c r="I1280" s="33" t="str">
        <f>VLOOKUP(B1280,辅助信息!E:I,3,FALSE)</f>
        <v>（华西简阳西城嘉苑）四川省成都市简阳市简城街道高屋村</v>
      </c>
      <c r="J1280" s="33" t="str">
        <f>VLOOKUP(B1280,辅助信息!E:I,4,FALSE)</f>
        <v>张瀚镭</v>
      </c>
      <c r="K1280" s="33">
        <f>VLOOKUP(J1280,辅助信息!H:I,2,FALSE)</f>
        <v>15884666220</v>
      </c>
      <c r="L1280" s="32" t="str">
        <f>VLOOKUP(B1280,辅助信息!E:J,6,FALSE)</f>
        <v>现场禁止使用氢能源挂车！优先威钢发货,我方卸车,新老国标钢厂不加价可直发，因陕钢多次出现磅差，项目拒绝使用</v>
      </c>
      <c r="M1280" s="84">
        <v>45777</v>
      </c>
      <c r="O1280" s="55">
        <f ca="1" t="shared" si="56"/>
        <v>0</v>
      </c>
      <c r="P1280" s="55">
        <f ca="1" t="shared" si="54"/>
        <v>180</v>
      </c>
      <c r="Q1280" s="22" t="str">
        <f>VLOOKUP(B1280,辅助信息!E:M,9,FALSE)</f>
        <v>ZTWM-CDGS-XS-2024-0030-华西集采-简州大道</v>
      </c>
      <c r="R1280" s="111" t="str">
        <f>_xlfn._xlws.FILTER(辅助信息!D:D,辅助信息!E:E=B1280)</f>
        <v>华西简阳西城嘉苑</v>
      </c>
    </row>
    <row r="1281" hidden="1" spans="2:18">
      <c r="B1281" s="33" t="s">
        <v>81</v>
      </c>
      <c r="C1281" s="63">
        <v>45777</v>
      </c>
      <c r="D1281" s="33" t="str">
        <f>VLOOKUP(B1281,辅助信息!E:K,7,FALSE)</f>
        <v>JWDDCD2025060900080</v>
      </c>
      <c r="E1281" s="33" t="str">
        <f>VLOOKUP(F1281,辅助信息!A:B,2,FALSE)</f>
        <v>螺纹钢</v>
      </c>
      <c r="F1281" s="33" t="s">
        <v>19</v>
      </c>
      <c r="G1281" s="29">
        <v>3</v>
      </c>
      <c r="H1281" s="29">
        <v>3</v>
      </c>
      <c r="I1281" s="33" t="str">
        <f>VLOOKUP(B1281,辅助信息!E:I,3,FALSE)</f>
        <v>（华西简阳西城嘉苑）四川省成都市简阳市简城街道高屋村</v>
      </c>
      <c r="J1281" s="33" t="str">
        <f>VLOOKUP(B1281,辅助信息!E:I,4,FALSE)</f>
        <v>张瀚镭</v>
      </c>
      <c r="K1281" s="33">
        <f>VLOOKUP(J1281,辅助信息!H:I,2,FALSE)</f>
        <v>15884666220</v>
      </c>
      <c r="L1281" s="32" t="str">
        <f>VLOOKUP(B1281,辅助信息!E:J,6,FALSE)</f>
        <v>现场禁止使用氢能源挂车！优先威钢发货,我方卸车,新老国标钢厂不加价可直发，因陕钢多次出现磅差，项目拒绝使用</v>
      </c>
      <c r="M1281" s="84">
        <v>45777</v>
      </c>
      <c r="O1281" s="55">
        <f ca="1" t="shared" si="56"/>
        <v>0</v>
      </c>
      <c r="P1281" s="55">
        <f ca="1" t="shared" si="54"/>
        <v>180</v>
      </c>
      <c r="Q1281" s="22" t="str">
        <f>VLOOKUP(B1281,辅助信息!E:M,9,FALSE)</f>
        <v>ZTWM-CDGS-XS-2024-0030-华西集采-简州大道</v>
      </c>
      <c r="R1281" s="111" t="str">
        <f>_xlfn._xlws.FILTER(辅助信息!D:D,辅助信息!E:E=B1281)</f>
        <v>华西简阳西城嘉苑</v>
      </c>
    </row>
    <row r="1282" hidden="1" spans="2:18">
      <c r="B1282" s="33" t="s">
        <v>81</v>
      </c>
      <c r="C1282" s="63">
        <v>45777</v>
      </c>
      <c r="D1282" s="33" t="str">
        <f>VLOOKUP(B1282,辅助信息!E:K,7,FALSE)</f>
        <v>JWDDCD2025060900080</v>
      </c>
      <c r="E1282" s="33" t="str">
        <f>VLOOKUP(F1282,辅助信息!A:B,2,FALSE)</f>
        <v>螺纹钢</v>
      </c>
      <c r="F1282" s="33" t="s">
        <v>32</v>
      </c>
      <c r="G1282" s="29">
        <v>83</v>
      </c>
      <c r="H1282" s="29">
        <v>83</v>
      </c>
      <c r="I1282" s="33" t="str">
        <f>VLOOKUP(B1282,辅助信息!E:I,3,FALSE)</f>
        <v>（华西简阳西城嘉苑）四川省成都市简阳市简城街道高屋村</v>
      </c>
      <c r="J1282" s="33" t="str">
        <f>VLOOKUP(B1282,辅助信息!E:I,4,FALSE)</f>
        <v>张瀚镭</v>
      </c>
      <c r="K1282" s="33">
        <f>VLOOKUP(J1282,辅助信息!H:I,2,FALSE)</f>
        <v>15884666220</v>
      </c>
      <c r="L1282" s="32" t="str">
        <f>VLOOKUP(B1282,辅助信息!E:J,6,FALSE)</f>
        <v>现场禁止使用氢能源挂车！优先威钢发货,我方卸车,新老国标钢厂不加价可直发，因陕钢多次出现磅差，项目拒绝使用</v>
      </c>
      <c r="M1282" s="84">
        <v>45777</v>
      </c>
      <c r="O1282" s="55">
        <f ca="1" t="shared" si="56"/>
        <v>0</v>
      </c>
      <c r="P1282" s="55">
        <f ca="1" t="shared" si="54"/>
        <v>180</v>
      </c>
      <c r="Q1282" s="22" t="str">
        <f>VLOOKUP(B1282,辅助信息!E:M,9,FALSE)</f>
        <v>ZTWM-CDGS-XS-2024-0030-华西集采-简州大道</v>
      </c>
      <c r="R1282" s="111" t="str">
        <f>_xlfn._xlws.FILTER(辅助信息!D:D,辅助信息!E:E=B1282)</f>
        <v>华西简阳西城嘉苑</v>
      </c>
    </row>
    <row r="1283" hidden="1" spans="2:18">
      <c r="B1283" s="33" t="s">
        <v>81</v>
      </c>
      <c r="C1283" s="63">
        <v>45777</v>
      </c>
      <c r="D1283" s="33" t="str">
        <f>VLOOKUP(B1283,辅助信息!E:K,7,FALSE)</f>
        <v>JWDDCD2025060900080</v>
      </c>
      <c r="E1283" s="33" t="str">
        <f>VLOOKUP(F1283,辅助信息!A:B,2,FALSE)</f>
        <v>螺纹钢</v>
      </c>
      <c r="F1283" s="33" t="s">
        <v>30</v>
      </c>
      <c r="G1283" s="29">
        <v>7</v>
      </c>
      <c r="H1283" s="29">
        <v>7</v>
      </c>
      <c r="I1283" s="33" t="str">
        <f>VLOOKUP(B1283,辅助信息!E:I,3,FALSE)</f>
        <v>（华西简阳西城嘉苑）四川省成都市简阳市简城街道高屋村</v>
      </c>
      <c r="J1283" s="33" t="str">
        <f>VLOOKUP(B1283,辅助信息!E:I,4,FALSE)</f>
        <v>张瀚镭</v>
      </c>
      <c r="K1283" s="33">
        <f>VLOOKUP(J1283,辅助信息!H:I,2,FALSE)</f>
        <v>15884666220</v>
      </c>
      <c r="L1283" s="32" t="str">
        <f>VLOOKUP(B1283,辅助信息!E:J,6,FALSE)</f>
        <v>现场禁止使用氢能源挂车！优先威钢发货,我方卸车,新老国标钢厂不加价可直发，因陕钢多次出现磅差，项目拒绝使用</v>
      </c>
      <c r="M1283" s="84">
        <v>45777</v>
      </c>
      <c r="O1283" s="55">
        <f ca="1" t="shared" si="56"/>
        <v>0</v>
      </c>
      <c r="P1283" s="55">
        <f ca="1" t="shared" si="54"/>
        <v>180</v>
      </c>
      <c r="Q1283" s="22" t="str">
        <f>VLOOKUP(B1283,辅助信息!E:M,9,FALSE)</f>
        <v>ZTWM-CDGS-XS-2024-0030-华西集采-简州大道</v>
      </c>
      <c r="R1283" s="111" t="str">
        <f>_xlfn._xlws.FILTER(辅助信息!D:D,辅助信息!E:E=B1283)</f>
        <v>华西简阳西城嘉苑</v>
      </c>
    </row>
    <row r="1284" hidden="1" spans="2:18">
      <c r="B1284" s="33" t="s">
        <v>81</v>
      </c>
      <c r="C1284" s="63">
        <v>45777</v>
      </c>
      <c r="D1284" s="33" t="str">
        <f>VLOOKUP(B1284,辅助信息!E:K,7,FALSE)</f>
        <v>JWDDCD2025060900080</v>
      </c>
      <c r="E1284" s="33" t="str">
        <f>VLOOKUP(F1284,辅助信息!A:B,2,FALSE)</f>
        <v>螺纹钢</v>
      </c>
      <c r="F1284" s="33" t="s">
        <v>33</v>
      </c>
      <c r="G1284" s="29">
        <v>13</v>
      </c>
      <c r="H1284" s="29">
        <v>13</v>
      </c>
      <c r="I1284" s="33" t="str">
        <f>VLOOKUP(B1284,辅助信息!E:I,3,FALSE)</f>
        <v>（华西简阳西城嘉苑）四川省成都市简阳市简城街道高屋村</v>
      </c>
      <c r="J1284" s="33" t="str">
        <f>VLOOKUP(B1284,辅助信息!E:I,4,FALSE)</f>
        <v>张瀚镭</v>
      </c>
      <c r="K1284" s="33">
        <f>VLOOKUP(J1284,辅助信息!H:I,2,FALSE)</f>
        <v>15884666220</v>
      </c>
      <c r="L1284" s="32" t="str">
        <f>VLOOKUP(B1284,辅助信息!E:J,6,FALSE)</f>
        <v>现场禁止使用氢能源挂车！优先威钢发货,我方卸车,新老国标钢厂不加价可直发，因陕钢多次出现磅差，项目拒绝使用</v>
      </c>
      <c r="M1284" s="84">
        <v>45777</v>
      </c>
      <c r="O1284" s="55">
        <f ca="1" t="shared" si="56"/>
        <v>0</v>
      </c>
      <c r="P1284" s="55">
        <f ca="1" t="shared" si="54"/>
        <v>180</v>
      </c>
      <c r="Q1284" s="22" t="str">
        <f>VLOOKUP(B1284,辅助信息!E:M,9,FALSE)</f>
        <v>ZTWM-CDGS-XS-2024-0030-华西集采-简州大道</v>
      </c>
      <c r="R1284" s="111" t="str">
        <f>_xlfn._xlws.FILTER(辅助信息!D:D,辅助信息!E:E=B1284)</f>
        <v>华西简阳西城嘉苑</v>
      </c>
    </row>
    <row r="1285" hidden="1" spans="2:18">
      <c r="B1285" s="33" t="s">
        <v>81</v>
      </c>
      <c r="C1285" s="63">
        <v>45777</v>
      </c>
      <c r="D1285" s="33" t="str">
        <f>VLOOKUP(B1285,辅助信息!E:K,7,FALSE)</f>
        <v>JWDDCD2025060900080</v>
      </c>
      <c r="E1285" s="33" t="str">
        <f>VLOOKUP(F1285,辅助信息!A:B,2,FALSE)</f>
        <v>螺纹钢</v>
      </c>
      <c r="F1285" s="33" t="s">
        <v>28</v>
      </c>
      <c r="G1285" s="29">
        <v>4</v>
      </c>
      <c r="H1285" s="29">
        <f>_xlfn.XLOOKUP(C1285&amp;F1285&amp;I1285&amp;J1285,'[1]2025年已发货'!$F:$F&amp;'[1]2025年已发货'!$C:$C&amp;'[1]2025年已发货'!$G:$G&amp;'[1]2025年已发货'!$H:$H,'[1]2025年已发货'!$E:$E,"未发货")</f>
        <v>4</v>
      </c>
      <c r="I1285" s="33" t="str">
        <f>VLOOKUP(B1285,辅助信息!E:I,3,FALSE)</f>
        <v>（华西简阳西城嘉苑）四川省成都市简阳市简城街道高屋村</v>
      </c>
      <c r="J1285" s="33" t="str">
        <f>VLOOKUP(B1285,辅助信息!E:I,4,FALSE)</f>
        <v>张瀚镭</v>
      </c>
      <c r="K1285" s="33">
        <f>VLOOKUP(J1285,辅助信息!H:I,2,FALSE)</f>
        <v>15884666220</v>
      </c>
      <c r="L1285" s="32" t="str">
        <f>VLOOKUP(B1285,辅助信息!E:J,6,FALSE)</f>
        <v>现场禁止使用氢能源挂车！优先威钢发货,我方卸车,新老国标钢厂不加价可直发，因陕钢多次出现磅差，项目拒绝使用</v>
      </c>
      <c r="M1285" s="84">
        <v>45777</v>
      </c>
      <c r="O1285" s="55">
        <f ca="1" t="shared" si="56"/>
        <v>0</v>
      </c>
      <c r="P1285" s="55">
        <f ca="1" t="shared" si="54"/>
        <v>180</v>
      </c>
      <c r="Q1285" s="22" t="str">
        <f>VLOOKUP(B1285,辅助信息!E:M,9,FALSE)</f>
        <v>ZTWM-CDGS-XS-2024-0030-华西集采-简州大道</v>
      </c>
      <c r="R1285" s="111" t="str">
        <f>_xlfn._xlws.FILTER(辅助信息!D:D,辅助信息!E:E=B1285)</f>
        <v>华西简阳西城嘉苑</v>
      </c>
    </row>
    <row r="1286" hidden="1" spans="1:18">
      <c r="A1286" s="112"/>
      <c r="B1286" s="33" t="s">
        <v>81</v>
      </c>
      <c r="C1286" s="63">
        <v>45777</v>
      </c>
      <c r="D1286" s="33" t="str">
        <f>VLOOKUP(B1286,辅助信息!E:K,7,FALSE)</f>
        <v>JWDDCD2025060900080</v>
      </c>
      <c r="E1286" s="33" t="str">
        <f>VLOOKUP(F1286,辅助信息!A:B,2,FALSE)</f>
        <v>螺纹钢</v>
      </c>
      <c r="F1286" s="33" t="s">
        <v>18</v>
      </c>
      <c r="G1286" s="29">
        <v>20</v>
      </c>
      <c r="H1286" s="29">
        <f>_xlfn.XLOOKUP(C1286&amp;F1286&amp;I1286&amp;J1286,'[1]2025年已发货'!$F:$F&amp;'[1]2025年已发货'!$C:$C&amp;'[1]2025年已发货'!$G:$G&amp;'[1]2025年已发货'!$H:$H,'[1]2025年已发货'!$E:$E,"未发货")</f>
        <v>20</v>
      </c>
      <c r="I1286" s="33" t="str">
        <f>VLOOKUP(B1286,辅助信息!E:I,3,FALSE)</f>
        <v>（华西简阳西城嘉苑）四川省成都市简阳市简城街道高屋村</v>
      </c>
      <c r="J1286" s="33" t="str">
        <f>VLOOKUP(B1286,辅助信息!E:I,4,FALSE)</f>
        <v>张瀚镭</v>
      </c>
      <c r="K1286" s="33">
        <f>VLOOKUP(J1286,辅助信息!H:I,2,FALSE)</f>
        <v>15884666220</v>
      </c>
      <c r="L1286" s="32" t="str">
        <f>VLOOKUP(B1286,辅助信息!E:J,6,FALSE)</f>
        <v>现场禁止使用氢能源挂车！优先威钢发货,我方卸车,新老国标钢厂不加价可直发，因陕钢多次出现磅差，项目拒绝使用</v>
      </c>
      <c r="M1286" s="84">
        <v>45777</v>
      </c>
      <c r="O1286" s="55">
        <f ca="1" t="shared" si="56"/>
        <v>0</v>
      </c>
      <c r="P1286" s="55">
        <f ca="1" t="shared" si="54"/>
        <v>180</v>
      </c>
      <c r="Q1286" s="22" t="str">
        <f>VLOOKUP(B1286,辅助信息!E:M,9,FALSE)</f>
        <v>ZTWM-CDGS-XS-2024-0030-华西集采-简州大道</v>
      </c>
      <c r="R1286" s="111" t="str">
        <f>_xlfn._xlws.FILTER(辅助信息!D:D,辅助信息!E:E=B1286)</f>
        <v>华西简阳西城嘉苑</v>
      </c>
    </row>
    <row r="1287" hidden="1" spans="1:18">
      <c r="A1287" s="70" t="s">
        <v>144</v>
      </c>
      <c r="B1287" s="33" t="s">
        <v>145</v>
      </c>
      <c r="C1287" s="63">
        <v>45777</v>
      </c>
      <c r="D1287" s="33" t="s">
        <v>146</v>
      </c>
      <c r="E1287" s="33" t="str">
        <f>VLOOKUP(F1287,辅助信息!A:B,2,FALSE)</f>
        <v>盘螺</v>
      </c>
      <c r="F1287" s="33" t="s">
        <v>40</v>
      </c>
      <c r="G1287" s="29">
        <v>5</v>
      </c>
      <c r="H1287" s="29">
        <f>_xlfn.XLOOKUP(C1287&amp;F1287&amp;I1287&amp;J1287,'[1]2025年已发货'!$F:$F&amp;'[1]2025年已发货'!$C:$C&amp;'[1]2025年已发货'!$G:$G&amp;'[1]2025年已发货'!$H:$H,'[1]2025年已发货'!$E:$E,"未发货")</f>
        <v>5</v>
      </c>
      <c r="I1287" s="33" t="str">
        <f>VLOOKUP(B1287,辅助信息!E:I,3,FALSE)</f>
        <v>（五冶达州新材料产业园）达州市市东部经开区新材料产业园麻柳镇石和尚村</v>
      </c>
      <c r="J1287" s="33" t="str">
        <f>VLOOKUP(B1287,辅助信息!E:I,4,FALSE)</f>
        <v>张焱</v>
      </c>
      <c r="K1287" s="33">
        <f>VLOOKUP(J1287,辅助信息!H:I,2,FALSE)</f>
        <v>15528785906</v>
      </c>
      <c r="L1287" s="32" t="str">
        <f>VLOOKUP(B1287,辅助信息!E:J,6,FALSE)</f>
        <v>五冶建设送货单,</v>
      </c>
      <c r="M1287" s="84">
        <v>45777</v>
      </c>
      <c r="O1287" s="55">
        <f ca="1" t="shared" ref="O1287:O1303" si="57">IF(OR(M1287="",N1287&lt;&gt;""),"",MAX(M1287-TODAY(),0))</f>
        <v>0</v>
      </c>
      <c r="P1287" s="55">
        <f ca="1" t="shared" si="54"/>
        <v>180</v>
      </c>
      <c r="Q1287" s="22">
        <f>VLOOKUP(B1287,辅助信息!E:M,9,FALSE)</f>
        <v>0</v>
      </c>
      <c r="R1287" s="111" t="str">
        <f>_xlfn._xlws.FILTER(辅助信息!D:D,辅助信息!E:E=B1287)</f>
        <v>五冶达州新材料产业园</v>
      </c>
    </row>
    <row r="1288" hidden="1" spans="1:18">
      <c r="A1288" s="70"/>
      <c r="B1288" s="33" t="s">
        <v>145</v>
      </c>
      <c r="C1288" s="63">
        <v>45777</v>
      </c>
      <c r="D1288" s="33" t="s">
        <v>146</v>
      </c>
      <c r="E1288" s="33" t="str">
        <f>VLOOKUP(F1288,辅助信息!A:B,2,FALSE)</f>
        <v>盘螺</v>
      </c>
      <c r="F1288" s="33" t="s">
        <v>41</v>
      </c>
      <c r="G1288" s="29">
        <v>2.5</v>
      </c>
      <c r="H1288" s="29">
        <f>_xlfn.XLOOKUP(C1288&amp;F1288&amp;I1288&amp;J1288,'[1]2025年已发货'!$F:$F&amp;'[1]2025年已发货'!$C:$C&amp;'[1]2025年已发货'!$G:$G&amp;'[1]2025年已发货'!$H:$H,'[1]2025年已发货'!$E:$E,"未发货")</f>
        <v>2.5</v>
      </c>
      <c r="I1288" s="33" t="str">
        <f>VLOOKUP(B1288,辅助信息!E:I,3,FALSE)</f>
        <v>（五冶达州新材料产业园）达州市市东部经开区新材料产业园麻柳镇石和尚村</v>
      </c>
      <c r="J1288" s="33" t="str">
        <f>VLOOKUP(B1288,辅助信息!E:I,4,FALSE)</f>
        <v>张焱</v>
      </c>
      <c r="K1288" s="33">
        <f>VLOOKUP(J1288,辅助信息!H:I,2,FALSE)</f>
        <v>15528785906</v>
      </c>
      <c r="L1288" s="32" t="str">
        <f>VLOOKUP(B1288,辅助信息!E:J,6,FALSE)</f>
        <v>五冶建设送货单,</v>
      </c>
      <c r="M1288" s="84">
        <v>45777</v>
      </c>
      <c r="O1288" s="55">
        <f ca="1" t="shared" si="57"/>
        <v>0</v>
      </c>
      <c r="P1288" s="55">
        <f ca="1" t="shared" si="54"/>
        <v>180</v>
      </c>
      <c r="Q1288" s="22">
        <f>VLOOKUP(B1288,辅助信息!E:M,9,FALSE)</f>
        <v>0</v>
      </c>
      <c r="R1288" s="111" t="str">
        <f>_xlfn._xlws.FILTER(辅助信息!D:D,辅助信息!E:E=B1288)</f>
        <v>五冶达州新材料产业园</v>
      </c>
    </row>
    <row r="1289" hidden="1" spans="1:18">
      <c r="A1289" s="70"/>
      <c r="B1289" s="33" t="s">
        <v>145</v>
      </c>
      <c r="C1289" s="63">
        <v>45777</v>
      </c>
      <c r="D1289" s="33" t="s">
        <v>146</v>
      </c>
      <c r="E1289" s="33" t="str">
        <f>VLOOKUP(F1289,辅助信息!A:B,2,FALSE)</f>
        <v>螺纹钢</v>
      </c>
      <c r="F1289" s="33" t="s">
        <v>27</v>
      </c>
      <c r="G1289" s="29">
        <v>6</v>
      </c>
      <c r="H1289" s="29">
        <f>_xlfn.XLOOKUP(C1289&amp;F1289&amp;I1289&amp;J1289,'[1]2025年已发货'!$F:$F&amp;'[1]2025年已发货'!$C:$C&amp;'[1]2025年已发货'!$G:$G&amp;'[1]2025年已发货'!$H:$H,'[1]2025年已发货'!$E:$E,"未发货")</f>
        <v>6</v>
      </c>
      <c r="I1289" s="33" t="str">
        <f>VLOOKUP(B1289,辅助信息!E:I,3,FALSE)</f>
        <v>（五冶达州新材料产业园）达州市市东部经开区新材料产业园麻柳镇石和尚村</v>
      </c>
      <c r="J1289" s="33" t="str">
        <f>VLOOKUP(B1289,辅助信息!E:I,4,FALSE)</f>
        <v>张焱</v>
      </c>
      <c r="K1289" s="33">
        <f>VLOOKUP(J1289,辅助信息!H:I,2,FALSE)</f>
        <v>15528785906</v>
      </c>
      <c r="L1289" s="32" t="str">
        <f>VLOOKUP(B1289,辅助信息!E:J,6,FALSE)</f>
        <v>五冶建设送货单,</v>
      </c>
      <c r="M1289" s="84">
        <v>45777</v>
      </c>
      <c r="O1289" s="55">
        <f ca="1" t="shared" si="57"/>
        <v>0</v>
      </c>
      <c r="P1289" s="55">
        <f ca="1" t="shared" si="54"/>
        <v>180</v>
      </c>
      <c r="Q1289" s="22">
        <f>VLOOKUP(B1289,辅助信息!E:M,9,FALSE)</f>
        <v>0</v>
      </c>
      <c r="R1289" s="111" t="str">
        <f>_xlfn._xlws.FILTER(辅助信息!D:D,辅助信息!E:E=B1289)</f>
        <v>五冶达州新材料产业园</v>
      </c>
    </row>
    <row r="1290" hidden="1" spans="1:18">
      <c r="A1290" s="70"/>
      <c r="B1290" s="33" t="s">
        <v>145</v>
      </c>
      <c r="C1290" s="63">
        <v>45777</v>
      </c>
      <c r="D1290" s="33" t="s">
        <v>146</v>
      </c>
      <c r="E1290" s="33" t="str">
        <f>VLOOKUP(F1290,辅助信息!A:B,2,FALSE)</f>
        <v>螺纹钢</v>
      </c>
      <c r="F1290" s="33" t="s">
        <v>19</v>
      </c>
      <c r="G1290" s="29">
        <v>9</v>
      </c>
      <c r="H1290" s="29">
        <f>_xlfn.XLOOKUP(C1290&amp;F1290&amp;I1290&amp;J1290,'[1]2025年已发货'!$F:$F&amp;'[1]2025年已发货'!$C:$C&amp;'[1]2025年已发货'!$G:$G&amp;'[1]2025年已发货'!$H:$H,'[1]2025年已发货'!$E:$E,"未发货")</f>
        <v>9</v>
      </c>
      <c r="I1290" s="33" t="str">
        <f>VLOOKUP(B1290,辅助信息!E:I,3,FALSE)</f>
        <v>（五冶达州新材料产业园）达州市市东部经开区新材料产业园麻柳镇石和尚村</v>
      </c>
      <c r="J1290" s="33" t="str">
        <f>VLOOKUP(B1290,辅助信息!E:I,4,FALSE)</f>
        <v>张焱</v>
      </c>
      <c r="K1290" s="33">
        <f>VLOOKUP(J1290,辅助信息!H:I,2,FALSE)</f>
        <v>15528785906</v>
      </c>
      <c r="L1290" s="32" t="str">
        <f>VLOOKUP(B1290,辅助信息!E:J,6,FALSE)</f>
        <v>五冶建设送货单,</v>
      </c>
      <c r="M1290" s="84">
        <v>45777</v>
      </c>
      <c r="O1290" s="55">
        <f ca="1" t="shared" si="57"/>
        <v>0</v>
      </c>
      <c r="P1290" s="55">
        <f ca="1" t="shared" si="54"/>
        <v>180</v>
      </c>
      <c r="Q1290" s="22">
        <f>VLOOKUP(B1290,辅助信息!E:M,9,FALSE)</f>
        <v>0</v>
      </c>
      <c r="R1290" s="111" t="str">
        <f>_xlfn._xlws.FILTER(辅助信息!D:D,辅助信息!E:E=B1290)</f>
        <v>五冶达州新材料产业园</v>
      </c>
    </row>
    <row r="1291" hidden="1" spans="1:18">
      <c r="A1291" s="70"/>
      <c r="B1291" s="33" t="s">
        <v>145</v>
      </c>
      <c r="C1291" s="63">
        <v>45777</v>
      </c>
      <c r="D1291" s="33" t="s">
        <v>146</v>
      </c>
      <c r="E1291" s="33" t="str">
        <f>VLOOKUP(F1291,辅助信息!A:B,2,FALSE)</f>
        <v>螺纹钢</v>
      </c>
      <c r="F1291" s="33" t="s">
        <v>32</v>
      </c>
      <c r="G1291" s="29">
        <v>6</v>
      </c>
      <c r="H1291" s="29">
        <f>_xlfn.XLOOKUP(C1291&amp;F1291&amp;I1291&amp;J1291,'[1]2025年已发货'!$F:$F&amp;'[1]2025年已发货'!$C:$C&amp;'[1]2025年已发货'!$G:$G&amp;'[1]2025年已发货'!$H:$H,'[1]2025年已发货'!$E:$E,"未发货")</f>
        <v>6</v>
      </c>
      <c r="I1291" s="33" t="str">
        <f>VLOOKUP(B1291,辅助信息!E:I,3,FALSE)</f>
        <v>（五冶达州新材料产业园）达州市市东部经开区新材料产业园麻柳镇石和尚村</v>
      </c>
      <c r="J1291" s="33" t="str">
        <f>VLOOKUP(B1291,辅助信息!E:I,4,FALSE)</f>
        <v>张焱</v>
      </c>
      <c r="K1291" s="33">
        <f>VLOOKUP(J1291,辅助信息!H:I,2,FALSE)</f>
        <v>15528785906</v>
      </c>
      <c r="L1291" s="32" t="str">
        <f>VLOOKUP(B1291,辅助信息!E:J,6,FALSE)</f>
        <v>五冶建设送货单,</v>
      </c>
      <c r="M1291" s="84">
        <v>45777</v>
      </c>
      <c r="O1291" s="55">
        <f ca="1" t="shared" si="57"/>
        <v>0</v>
      </c>
      <c r="P1291" s="55">
        <f ca="1" t="shared" si="54"/>
        <v>180</v>
      </c>
      <c r="Q1291" s="22">
        <f>VLOOKUP(B1291,辅助信息!E:M,9,FALSE)</f>
        <v>0</v>
      </c>
      <c r="R1291" s="111" t="str">
        <f>_xlfn._xlws.FILTER(辅助信息!D:D,辅助信息!E:E=B1291)</f>
        <v>五冶达州新材料产业园</v>
      </c>
    </row>
    <row r="1292" hidden="1" spans="1:18">
      <c r="A1292" s="70"/>
      <c r="B1292" s="33" t="s">
        <v>145</v>
      </c>
      <c r="C1292" s="63">
        <v>45777</v>
      </c>
      <c r="D1292" s="33" t="s">
        <v>146</v>
      </c>
      <c r="E1292" s="33" t="str">
        <f>VLOOKUP(F1292,辅助信息!A:B,2,FALSE)</f>
        <v>螺纹钢</v>
      </c>
      <c r="F1292" s="33" t="s">
        <v>30</v>
      </c>
      <c r="G1292" s="29">
        <v>3</v>
      </c>
      <c r="H1292" s="29">
        <f>_xlfn.XLOOKUP(C1292&amp;F1292&amp;I1292&amp;J1292,'[1]2025年已发货'!$F:$F&amp;'[1]2025年已发货'!$C:$C&amp;'[1]2025年已发货'!$G:$G&amp;'[1]2025年已发货'!$H:$H,'[1]2025年已发货'!$E:$E,"未发货")</f>
        <v>3</v>
      </c>
      <c r="I1292" s="33" t="str">
        <f>VLOOKUP(B1292,辅助信息!E:I,3,FALSE)</f>
        <v>（五冶达州新材料产业园）达州市市东部经开区新材料产业园麻柳镇石和尚村</v>
      </c>
      <c r="J1292" s="33" t="str">
        <f>VLOOKUP(B1292,辅助信息!E:I,4,FALSE)</f>
        <v>张焱</v>
      </c>
      <c r="K1292" s="33">
        <f>VLOOKUP(J1292,辅助信息!H:I,2,FALSE)</f>
        <v>15528785906</v>
      </c>
      <c r="L1292" s="32" t="str">
        <f>VLOOKUP(B1292,辅助信息!E:J,6,FALSE)</f>
        <v>五冶建设送货单,</v>
      </c>
      <c r="M1292" s="84">
        <v>45777</v>
      </c>
      <c r="O1292" s="55">
        <f ca="1" t="shared" si="57"/>
        <v>0</v>
      </c>
      <c r="P1292" s="55">
        <f ca="1" t="shared" si="54"/>
        <v>180</v>
      </c>
      <c r="Q1292" s="22">
        <f>VLOOKUP(B1292,辅助信息!E:M,9,FALSE)</f>
        <v>0</v>
      </c>
      <c r="R1292" s="111" t="str">
        <f>_xlfn._xlws.FILTER(辅助信息!D:D,辅助信息!E:E=B1292)</f>
        <v>五冶达州新材料产业园</v>
      </c>
    </row>
    <row r="1293" hidden="1" spans="1:18">
      <c r="A1293" s="70"/>
      <c r="B1293" s="33" t="s">
        <v>145</v>
      </c>
      <c r="C1293" s="63">
        <v>45777</v>
      </c>
      <c r="D1293" s="33" t="s">
        <v>146</v>
      </c>
      <c r="E1293" s="33" t="str">
        <f>VLOOKUP(F1293,辅助信息!A:B,2,FALSE)</f>
        <v>螺纹钢</v>
      </c>
      <c r="F1293" s="33" t="s">
        <v>33</v>
      </c>
      <c r="G1293" s="29">
        <v>3</v>
      </c>
      <c r="H1293" s="29">
        <f>_xlfn.XLOOKUP(C1293&amp;F1293&amp;I1293&amp;J1293,'[1]2025年已发货'!$F:$F&amp;'[1]2025年已发货'!$C:$C&amp;'[1]2025年已发货'!$G:$G&amp;'[1]2025年已发货'!$H:$H,'[1]2025年已发货'!$E:$E,"未发货")</f>
        <v>3</v>
      </c>
      <c r="I1293" s="33" t="str">
        <f>VLOOKUP(B1293,辅助信息!E:I,3,FALSE)</f>
        <v>（五冶达州新材料产业园）达州市市东部经开区新材料产业园麻柳镇石和尚村</v>
      </c>
      <c r="J1293" s="33" t="str">
        <f>VLOOKUP(B1293,辅助信息!E:I,4,FALSE)</f>
        <v>张焱</v>
      </c>
      <c r="K1293" s="33">
        <f>VLOOKUP(J1293,辅助信息!H:I,2,FALSE)</f>
        <v>15528785906</v>
      </c>
      <c r="L1293" s="32" t="str">
        <f>VLOOKUP(B1293,辅助信息!E:J,6,FALSE)</f>
        <v>五冶建设送货单,</v>
      </c>
      <c r="M1293" s="84">
        <v>45777</v>
      </c>
      <c r="O1293" s="55">
        <f ca="1" t="shared" si="57"/>
        <v>0</v>
      </c>
      <c r="P1293" s="55">
        <f ca="1" t="shared" si="54"/>
        <v>180</v>
      </c>
      <c r="Q1293" s="22">
        <f>VLOOKUP(B1293,辅助信息!E:M,9,FALSE)</f>
        <v>0</v>
      </c>
      <c r="R1293" s="111" t="str">
        <f>_xlfn._xlws.FILTER(辅助信息!D:D,辅助信息!E:E=B1293)</f>
        <v>五冶达州新材料产业园</v>
      </c>
    </row>
    <row r="1294" hidden="1" spans="1:18">
      <c r="A1294" s="112"/>
      <c r="B1294" s="33" t="s">
        <v>147</v>
      </c>
      <c r="C1294" s="63">
        <v>45777</v>
      </c>
      <c r="D1294" s="33" t="s">
        <v>146</v>
      </c>
      <c r="E1294" s="33" t="str">
        <f>VLOOKUP(F1294,辅助信息!A:B,2,FALSE)</f>
        <v>高线</v>
      </c>
      <c r="F1294" s="33" t="s">
        <v>57</v>
      </c>
      <c r="G1294" s="29">
        <f>2.5*3</f>
        <v>7.5</v>
      </c>
      <c r="H1294" s="29" t="str">
        <f>_xlfn.XLOOKUP(C1294&amp;F1294&amp;I1294&amp;J1294,'[1]2025年已发货'!$F:$F&amp;'[1]2025年已发货'!$C:$C&amp;'[1]2025年已发货'!$G:$G&amp;'[1]2025年已发货'!$H:$H,'[1]2025年已发货'!$E:$E,"未发货")</f>
        <v>未发货</v>
      </c>
      <c r="I1294" s="33" t="str">
        <f>VLOOKUP(B1294,辅助信息!E:I,3,FALSE)</f>
        <v>（商投建工达州中医药科技园-4工区-11号楼）达州市通川区达州中医药职业学院犀牛大道北段</v>
      </c>
      <c r="J1294" s="33" t="str">
        <f>VLOOKUP(B1294,辅助信息!E:I,4,FALSE)</f>
        <v>张扬</v>
      </c>
      <c r="K1294" s="33">
        <f>VLOOKUP(J1294,辅助信息!H:I,2,FALSE)</f>
        <v>18381904567</v>
      </c>
      <c r="L1294" s="32" t="str">
        <f>VLOOKUP(B1294,辅助信息!E:J,6,FALSE)</f>
        <v>控制炉批号！多了现场不收！,优先安排达钢,提前联系到场规格及数量</v>
      </c>
      <c r="M1294" s="84">
        <v>45777</v>
      </c>
      <c r="O1294" s="55">
        <f ca="1" t="shared" si="57"/>
        <v>0</v>
      </c>
      <c r="P1294" s="55">
        <f ca="1" t="shared" si="54"/>
        <v>180</v>
      </c>
      <c r="Q1294" s="22" t="str">
        <f>VLOOKUP(B1294,辅助信息!E:M,9,FALSE)</f>
        <v>ZTWM-CDGS-XS-2024-0134-商投建工达州中医药科技成果示范园项目</v>
      </c>
      <c r="R1294" s="111" t="str">
        <f>_xlfn._xlws.FILTER(辅助信息!D:D,辅助信息!E:E=B1294)</f>
        <v>商投建工达州中医药科技园</v>
      </c>
    </row>
    <row r="1295" hidden="1" spans="1:18">
      <c r="A1295" s="112"/>
      <c r="B1295" s="33" t="s">
        <v>147</v>
      </c>
      <c r="C1295" s="63">
        <v>45777</v>
      </c>
      <c r="D1295" s="33" t="s">
        <v>146</v>
      </c>
      <c r="E1295" s="33" t="str">
        <f>VLOOKUP(F1295,辅助信息!A:B,2,FALSE)</f>
        <v>盘螺</v>
      </c>
      <c r="F1295" s="33" t="s">
        <v>41</v>
      </c>
      <c r="G1295" s="29">
        <f>15*2.5</f>
        <v>37.5</v>
      </c>
      <c r="H1295" s="29" t="str">
        <f>_xlfn.XLOOKUP(C1295&amp;F1295&amp;I1295&amp;J1295,'[1]2025年已发货'!$F:$F&amp;'[1]2025年已发货'!$C:$C&amp;'[1]2025年已发货'!$G:$G&amp;'[1]2025年已发货'!$H:$H,'[1]2025年已发货'!$E:$E,"未发货")</f>
        <v>未发货</v>
      </c>
      <c r="I1295" s="33" t="str">
        <f>VLOOKUP(B1295,辅助信息!E:I,3,FALSE)</f>
        <v>（商投建工达州中医药科技园-4工区-11号楼）达州市通川区达州中医药职业学院犀牛大道北段</v>
      </c>
      <c r="J1295" s="33" t="str">
        <f>VLOOKUP(B1295,辅助信息!E:I,4,FALSE)</f>
        <v>张扬</v>
      </c>
      <c r="K1295" s="33">
        <f>VLOOKUP(J1295,辅助信息!H:I,2,FALSE)</f>
        <v>18381904567</v>
      </c>
      <c r="L1295" s="32" t="str">
        <f>VLOOKUP(B1295,辅助信息!E:J,6,FALSE)</f>
        <v>控制炉批号！多了现场不收！,优先安排达钢,提前联系到场规格及数量</v>
      </c>
      <c r="M1295" s="84">
        <v>45777</v>
      </c>
      <c r="O1295" s="55">
        <f ca="1" t="shared" si="57"/>
        <v>0</v>
      </c>
      <c r="P1295" s="55">
        <f ca="1" t="shared" si="54"/>
        <v>180</v>
      </c>
      <c r="Q1295" s="22" t="str">
        <f>VLOOKUP(B1295,辅助信息!E:M,9,FALSE)</f>
        <v>ZTWM-CDGS-XS-2024-0134-商投建工达州中医药科技成果示范园项目</v>
      </c>
      <c r="R1295" s="111" t="str">
        <f>_xlfn._xlws.FILTER(辅助信息!D:D,辅助信息!E:E=B1295)</f>
        <v>商投建工达州中医药科技园</v>
      </c>
    </row>
    <row r="1296" hidden="1" spans="1:18">
      <c r="A1296" s="112"/>
      <c r="B1296" s="33" t="s">
        <v>147</v>
      </c>
      <c r="C1296" s="63">
        <v>45777</v>
      </c>
      <c r="D1296" s="33" t="s">
        <v>146</v>
      </c>
      <c r="E1296" s="33" t="str">
        <f>VLOOKUP(F1296,辅助信息!A:B,2,FALSE)</f>
        <v>螺纹钢</v>
      </c>
      <c r="F1296" s="33" t="s">
        <v>27</v>
      </c>
      <c r="G1296" s="29">
        <f>7*3</f>
        <v>21</v>
      </c>
      <c r="H1296" s="29" t="str">
        <f>_xlfn.XLOOKUP(C1296&amp;F1296&amp;I1296&amp;J1296,'[1]2025年已发货'!$F:$F&amp;'[1]2025年已发货'!$C:$C&amp;'[1]2025年已发货'!$G:$G&amp;'[1]2025年已发货'!$H:$H,'[1]2025年已发货'!$E:$E,"未发货")</f>
        <v>未发货</v>
      </c>
      <c r="I1296" s="33" t="str">
        <f>VLOOKUP(B1296,辅助信息!E:I,3,FALSE)</f>
        <v>（商投建工达州中医药科技园-4工区-11号楼）达州市通川区达州中医药职业学院犀牛大道北段</v>
      </c>
      <c r="J1296" s="33" t="str">
        <f>VLOOKUP(B1296,辅助信息!E:I,4,FALSE)</f>
        <v>张扬</v>
      </c>
      <c r="K1296" s="33">
        <f>VLOOKUP(J1296,辅助信息!H:I,2,FALSE)</f>
        <v>18381904567</v>
      </c>
      <c r="L1296" s="32" t="str">
        <f>VLOOKUP(B1296,辅助信息!E:J,6,FALSE)</f>
        <v>控制炉批号！多了现场不收！,优先安排达钢,提前联系到场规格及数量</v>
      </c>
      <c r="M1296" s="84">
        <v>45777</v>
      </c>
      <c r="O1296" s="55">
        <f ca="1" t="shared" si="57"/>
        <v>0</v>
      </c>
      <c r="P1296" s="55">
        <f ca="1" t="shared" si="54"/>
        <v>180</v>
      </c>
      <c r="Q1296" s="22" t="str">
        <f>VLOOKUP(B1296,辅助信息!E:M,9,FALSE)</f>
        <v>ZTWM-CDGS-XS-2024-0134-商投建工达州中医药科技成果示范园项目</v>
      </c>
      <c r="R1296" s="111" t="str">
        <f>_xlfn._xlws.FILTER(辅助信息!D:D,辅助信息!E:E=B1296)</f>
        <v>商投建工达州中医药科技园</v>
      </c>
    </row>
    <row r="1297" hidden="1" spans="1:18">
      <c r="A1297" s="112"/>
      <c r="B1297" s="33" t="s">
        <v>147</v>
      </c>
      <c r="C1297" s="63">
        <v>45777</v>
      </c>
      <c r="D1297" s="33" t="s">
        <v>146</v>
      </c>
      <c r="E1297" s="33" t="str">
        <f>VLOOKUP(F1297,辅助信息!A:B,2,FALSE)</f>
        <v>螺纹钢</v>
      </c>
      <c r="F1297" s="33" t="s">
        <v>30</v>
      </c>
      <c r="G1297" s="29">
        <v>30</v>
      </c>
      <c r="H1297" s="29" t="str">
        <f>_xlfn.XLOOKUP(C1297&amp;F1297&amp;I1297&amp;J1297,'[1]2025年已发货'!$F:$F&amp;'[1]2025年已发货'!$C:$C&amp;'[1]2025年已发货'!$G:$G&amp;'[1]2025年已发货'!$H:$H,'[1]2025年已发货'!$E:$E,"未发货")</f>
        <v>未发货</v>
      </c>
      <c r="I1297" s="33" t="str">
        <f>VLOOKUP(B1297,辅助信息!E:I,3,FALSE)</f>
        <v>（商投建工达州中医药科技园-4工区-11号楼）达州市通川区达州中医药职业学院犀牛大道北段</v>
      </c>
      <c r="J1297" s="33" t="str">
        <f>VLOOKUP(B1297,辅助信息!E:I,4,FALSE)</f>
        <v>张扬</v>
      </c>
      <c r="K1297" s="33">
        <f>VLOOKUP(J1297,辅助信息!H:I,2,FALSE)</f>
        <v>18381904567</v>
      </c>
      <c r="L1297" s="32" t="str">
        <f>VLOOKUP(B1297,辅助信息!E:J,6,FALSE)</f>
        <v>控制炉批号！多了现场不收！,优先安排达钢,提前联系到场规格及数量</v>
      </c>
      <c r="M1297" s="84">
        <v>45777</v>
      </c>
      <c r="O1297" s="55">
        <f ca="1" t="shared" si="57"/>
        <v>0</v>
      </c>
      <c r="P1297" s="55">
        <f ca="1" t="shared" si="54"/>
        <v>180</v>
      </c>
      <c r="Q1297" s="22" t="str">
        <f>VLOOKUP(B1297,辅助信息!E:M,9,FALSE)</f>
        <v>ZTWM-CDGS-XS-2024-0134-商投建工达州中医药科技成果示范园项目</v>
      </c>
      <c r="R1297" s="111" t="str">
        <f>_xlfn._xlws.FILTER(辅助信息!D:D,辅助信息!E:E=B1297)</f>
        <v>商投建工达州中医药科技园</v>
      </c>
    </row>
    <row r="1298" hidden="1" spans="1:18">
      <c r="A1298" s="112"/>
      <c r="B1298" s="33" t="s">
        <v>147</v>
      </c>
      <c r="C1298" s="63">
        <v>45777</v>
      </c>
      <c r="D1298" s="33" t="s">
        <v>146</v>
      </c>
      <c r="E1298" s="33" t="str">
        <f>VLOOKUP(F1298,辅助信息!A:B,2,FALSE)</f>
        <v>螺纹钢</v>
      </c>
      <c r="F1298" s="33" t="s">
        <v>33</v>
      </c>
      <c r="G1298" s="29">
        <v>30</v>
      </c>
      <c r="H1298" s="29" t="str">
        <f>_xlfn.XLOOKUP(C1298&amp;F1298&amp;I1298&amp;J1298,'[1]2025年已发货'!$F:$F&amp;'[1]2025年已发货'!$C:$C&amp;'[1]2025年已发货'!$G:$G&amp;'[1]2025年已发货'!$H:$H,'[1]2025年已发货'!$E:$E,"未发货")</f>
        <v>未发货</v>
      </c>
      <c r="I1298" s="33" t="str">
        <f>VLOOKUP(B1298,辅助信息!E:I,3,FALSE)</f>
        <v>（商投建工达州中医药科技园-4工区-11号楼）达州市通川区达州中医药职业学院犀牛大道北段</v>
      </c>
      <c r="J1298" s="33" t="str">
        <f>VLOOKUP(B1298,辅助信息!E:I,4,FALSE)</f>
        <v>张扬</v>
      </c>
      <c r="K1298" s="33">
        <f>VLOOKUP(J1298,辅助信息!H:I,2,FALSE)</f>
        <v>18381904567</v>
      </c>
      <c r="L1298" s="32" t="str">
        <f>VLOOKUP(B1298,辅助信息!E:J,6,FALSE)</f>
        <v>控制炉批号！多了现场不收！,优先安排达钢,提前联系到场规格及数量</v>
      </c>
      <c r="M1298" s="84">
        <v>45777</v>
      </c>
      <c r="O1298" s="55">
        <f ca="1" t="shared" si="57"/>
        <v>0</v>
      </c>
      <c r="P1298" s="55">
        <f ca="1" t="shared" ref="P1298:P1303" si="58">IF(M1298="","",IF(N1298&lt;&gt;"",MAX(N1298-M1298,0),IF(TODAY()&gt;M1298,TODAY()-M1298,0)))</f>
        <v>180</v>
      </c>
      <c r="Q1298" s="22" t="str">
        <f>VLOOKUP(B1298,辅助信息!E:M,9,FALSE)</f>
        <v>ZTWM-CDGS-XS-2024-0134-商投建工达州中医药科技成果示范园项目</v>
      </c>
      <c r="R1298" s="111" t="str">
        <f>_xlfn._xlws.FILTER(辅助信息!D:D,辅助信息!E:E=B1298)</f>
        <v>商投建工达州中医药科技园</v>
      </c>
    </row>
    <row r="1299" hidden="1" spans="1:18">
      <c r="A1299" s="112"/>
      <c r="B1299" s="33" t="s">
        <v>147</v>
      </c>
      <c r="C1299" s="63">
        <v>45777</v>
      </c>
      <c r="D1299" s="33" t="s">
        <v>146</v>
      </c>
      <c r="E1299" s="33" t="str">
        <f>VLOOKUP(F1299,辅助信息!A:B,2,FALSE)</f>
        <v>螺纹钢</v>
      </c>
      <c r="F1299" s="33" t="s">
        <v>18</v>
      </c>
      <c r="G1299" s="29">
        <f>6*3</f>
        <v>18</v>
      </c>
      <c r="H1299" s="29" t="str">
        <f>_xlfn.XLOOKUP(C1299&amp;F1299&amp;I1299&amp;J1299,'[1]2025年已发货'!$F:$F&amp;'[1]2025年已发货'!$C:$C&amp;'[1]2025年已发货'!$G:$G&amp;'[1]2025年已发货'!$H:$H,'[1]2025年已发货'!$E:$E,"未发货")</f>
        <v>未发货</v>
      </c>
      <c r="I1299" s="33" t="str">
        <f>VLOOKUP(B1299,辅助信息!E:I,3,FALSE)</f>
        <v>（商投建工达州中医药科技园-4工区-11号楼）达州市通川区达州中医药职业学院犀牛大道北段</v>
      </c>
      <c r="J1299" s="33" t="str">
        <f>VLOOKUP(B1299,辅助信息!E:I,4,FALSE)</f>
        <v>张扬</v>
      </c>
      <c r="K1299" s="33">
        <f>VLOOKUP(J1299,辅助信息!H:I,2,FALSE)</f>
        <v>18381904567</v>
      </c>
      <c r="L1299" s="32" t="str">
        <f>VLOOKUP(B1299,辅助信息!E:J,6,FALSE)</f>
        <v>控制炉批号！多了现场不收！,优先安排达钢,提前联系到场规格及数量</v>
      </c>
      <c r="M1299" s="84">
        <v>45777</v>
      </c>
      <c r="O1299" s="55">
        <f ca="1" t="shared" si="57"/>
        <v>0</v>
      </c>
      <c r="P1299" s="55">
        <f ca="1" t="shared" si="58"/>
        <v>180</v>
      </c>
      <c r="Q1299" s="22" t="str">
        <f>VLOOKUP(B1299,辅助信息!E:M,9,FALSE)</f>
        <v>ZTWM-CDGS-XS-2024-0134-商投建工达州中医药科技成果示范园项目</v>
      </c>
      <c r="R1299" s="111" t="str">
        <f>_xlfn._xlws.FILTER(辅助信息!D:D,辅助信息!E:E=B1299)</f>
        <v>商投建工达州中医药科技园</v>
      </c>
    </row>
    <row r="1300" hidden="1" spans="1:18">
      <c r="A1300" s="112"/>
      <c r="B1300" s="33" t="s">
        <v>81</v>
      </c>
      <c r="C1300" s="63">
        <v>45777</v>
      </c>
      <c r="D1300" s="33" t="s">
        <v>146</v>
      </c>
      <c r="E1300" s="33" t="str">
        <f>VLOOKUP(F1300,辅助信息!A:B,2,FALSE)</f>
        <v>螺纹钢</v>
      </c>
      <c r="F1300" s="33" t="s">
        <v>27</v>
      </c>
      <c r="G1300" s="29">
        <v>3</v>
      </c>
      <c r="H1300" s="29">
        <v>3</v>
      </c>
      <c r="I1300" s="33" t="str">
        <f>VLOOKUP(B1300,辅助信息!E:I,3,FALSE)</f>
        <v>（华西简阳西城嘉苑）四川省成都市简阳市简城街道高屋村</v>
      </c>
      <c r="J1300" s="33" t="str">
        <f>VLOOKUP(B1300,辅助信息!E:I,4,FALSE)</f>
        <v>张瀚镭</v>
      </c>
      <c r="K1300" s="33">
        <f>VLOOKUP(J1300,辅助信息!H:I,2,FALSE)</f>
        <v>15884666220</v>
      </c>
      <c r="L1300" s="32" t="str">
        <f>VLOOKUP(B1300,辅助信息!E:J,6,FALSE)</f>
        <v>现场禁止使用氢能源挂车！优先威钢发货,我方卸车,新老国标钢厂不加价可直发，因陕钢多次出现磅差，项目拒绝使用</v>
      </c>
      <c r="M1300" s="84">
        <v>45779</v>
      </c>
      <c r="O1300" s="55">
        <f ca="1" t="shared" si="57"/>
        <v>0</v>
      </c>
      <c r="P1300" s="55">
        <f ca="1" t="shared" si="58"/>
        <v>178</v>
      </c>
      <c r="Q1300" s="22" t="str">
        <f>VLOOKUP(B1300,辅助信息!E:M,9,FALSE)</f>
        <v>ZTWM-CDGS-XS-2024-0030-华西集采-简州大道</v>
      </c>
      <c r="R1300" s="111" t="str">
        <f>_xlfn._xlws.FILTER(辅助信息!D:D,辅助信息!E:E=B1300)</f>
        <v>华西简阳西城嘉苑</v>
      </c>
    </row>
    <row r="1301" hidden="1" spans="1:18">
      <c r="A1301" s="112"/>
      <c r="B1301" s="33" t="s">
        <v>81</v>
      </c>
      <c r="C1301" s="63">
        <v>45777</v>
      </c>
      <c r="D1301" s="33" t="s">
        <v>146</v>
      </c>
      <c r="E1301" s="33" t="str">
        <f>VLOOKUP(F1301,辅助信息!A:B,2,FALSE)</f>
        <v>螺纹钢</v>
      </c>
      <c r="F1301" s="33" t="s">
        <v>19</v>
      </c>
      <c r="G1301" s="29">
        <v>36</v>
      </c>
      <c r="H1301" s="29">
        <v>36</v>
      </c>
      <c r="I1301" s="33" t="str">
        <f>VLOOKUP(B1301,辅助信息!E:I,3,FALSE)</f>
        <v>（华西简阳西城嘉苑）四川省成都市简阳市简城街道高屋村</v>
      </c>
      <c r="J1301" s="33" t="str">
        <f>VLOOKUP(B1301,辅助信息!E:I,4,FALSE)</f>
        <v>张瀚镭</v>
      </c>
      <c r="K1301" s="33">
        <f>VLOOKUP(J1301,辅助信息!H:I,2,FALSE)</f>
        <v>15884666220</v>
      </c>
      <c r="L1301" s="32" t="str">
        <f>VLOOKUP(B1301,辅助信息!E:J,6,FALSE)</f>
        <v>现场禁止使用氢能源挂车！优先威钢发货,我方卸车,新老国标钢厂不加价可直发，因陕钢多次出现磅差，项目拒绝使用</v>
      </c>
      <c r="M1301" s="84">
        <v>45779</v>
      </c>
      <c r="O1301" s="55">
        <f ca="1" t="shared" si="57"/>
        <v>0</v>
      </c>
      <c r="P1301" s="55">
        <f ca="1" t="shared" si="58"/>
        <v>178</v>
      </c>
      <c r="Q1301" s="22" t="str">
        <f>VLOOKUP(B1301,辅助信息!E:M,9,FALSE)</f>
        <v>ZTWM-CDGS-XS-2024-0030-华西集采-简州大道</v>
      </c>
      <c r="R1301" s="111" t="str">
        <f>_xlfn._xlws.FILTER(辅助信息!D:D,辅助信息!E:E=B1301)</f>
        <v>华西简阳西城嘉苑</v>
      </c>
    </row>
    <row r="1302" hidden="1" spans="2:18">
      <c r="B1302" s="33" t="s">
        <v>81</v>
      </c>
      <c r="C1302" s="63">
        <v>45777</v>
      </c>
      <c r="D1302" s="33" t="s">
        <v>146</v>
      </c>
      <c r="E1302" s="33" t="str">
        <f>VLOOKUP(F1302,辅助信息!A:B,2,FALSE)</f>
        <v>螺纹钢</v>
      </c>
      <c r="F1302" s="33" t="s">
        <v>32</v>
      </c>
      <c r="G1302" s="29">
        <v>3</v>
      </c>
      <c r="H1302" s="29">
        <v>3</v>
      </c>
      <c r="I1302" s="33" t="str">
        <f>VLOOKUP(B1302,辅助信息!E:I,3,FALSE)</f>
        <v>（华西简阳西城嘉苑）四川省成都市简阳市简城街道高屋村</v>
      </c>
      <c r="J1302" s="33" t="str">
        <f>VLOOKUP(B1302,辅助信息!E:I,4,FALSE)</f>
        <v>张瀚镭</v>
      </c>
      <c r="K1302" s="33">
        <f>VLOOKUP(J1302,辅助信息!H:I,2,FALSE)</f>
        <v>15884666220</v>
      </c>
      <c r="L1302" s="32" t="str">
        <f>VLOOKUP(B1302,辅助信息!E:J,6,FALSE)</f>
        <v>现场禁止使用氢能源挂车！优先威钢发货,我方卸车,新老国标钢厂不加价可直发，因陕钢多次出现磅差，项目拒绝使用</v>
      </c>
      <c r="M1302" s="84">
        <v>45779</v>
      </c>
      <c r="O1302" s="55">
        <f ca="1" t="shared" si="57"/>
        <v>0</v>
      </c>
      <c r="P1302" s="55">
        <f ca="1" t="shared" si="58"/>
        <v>178</v>
      </c>
      <c r="Q1302" s="22" t="str">
        <f>VLOOKUP(B1302,辅助信息!E:M,9,FALSE)</f>
        <v>ZTWM-CDGS-XS-2024-0030-华西集采-简州大道</v>
      </c>
      <c r="R1302" s="111" t="str">
        <f>_xlfn._xlws.FILTER(辅助信息!D:D,辅助信息!E:E=B1302)</f>
        <v>华西简阳西城嘉苑</v>
      </c>
    </row>
    <row r="1303" hidden="1" spans="2:18">
      <c r="B1303" s="33" t="s">
        <v>81</v>
      </c>
      <c r="C1303" s="63">
        <v>45777</v>
      </c>
      <c r="D1303" s="33" t="s">
        <v>146</v>
      </c>
      <c r="E1303" s="33" t="str">
        <f>VLOOKUP(F1303,辅助信息!A:B,2,FALSE)</f>
        <v>螺纹钢</v>
      </c>
      <c r="F1303" s="33" t="s">
        <v>30</v>
      </c>
      <c r="G1303" s="29">
        <v>3</v>
      </c>
      <c r="H1303" s="29">
        <v>3</v>
      </c>
      <c r="I1303" s="33" t="str">
        <f>VLOOKUP(B1303,辅助信息!E:I,3,FALSE)</f>
        <v>（华西简阳西城嘉苑）四川省成都市简阳市简城街道高屋村</v>
      </c>
      <c r="J1303" s="33" t="str">
        <f>VLOOKUP(B1303,辅助信息!E:I,4,FALSE)</f>
        <v>张瀚镭</v>
      </c>
      <c r="K1303" s="33">
        <f>VLOOKUP(J1303,辅助信息!H:I,2,FALSE)</f>
        <v>15884666220</v>
      </c>
      <c r="L1303" s="32" t="str">
        <f>VLOOKUP(B1303,辅助信息!E:J,6,FALSE)</f>
        <v>现场禁止使用氢能源挂车！优先威钢发货,我方卸车,新老国标钢厂不加价可直发，因陕钢多次出现磅差，项目拒绝使用</v>
      </c>
      <c r="M1303" s="84">
        <v>45779</v>
      </c>
      <c r="O1303" s="55">
        <f ca="1" t="shared" si="57"/>
        <v>0</v>
      </c>
      <c r="P1303" s="55">
        <f ca="1" t="shared" si="58"/>
        <v>178</v>
      </c>
      <c r="Q1303" s="22" t="str">
        <f>VLOOKUP(B1303,辅助信息!E:M,9,FALSE)</f>
        <v>ZTWM-CDGS-XS-2024-0030-华西集采-简州大道</v>
      </c>
      <c r="R1303" s="111" t="str">
        <f>_xlfn._xlws.FILTER(辅助信息!D:D,辅助信息!E:E=B1303)</f>
        <v>华西简阳西城嘉苑</v>
      </c>
    </row>
    <row r="1304" hidden="1" spans="2:18">
      <c r="B1304" s="33" t="s">
        <v>81</v>
      </c>
      <c r="C1304" s="63">
        <v>45777</v>
      </c>
      <c r="D1304" s="33" t="s">
        <v>146</v>
      </c>
      <c r="E1304" s="33" t="str">
        <f>VLOOKUP(F1304,辅助信息!A:B,2,FALSE)</f>
        <v>螺纹钢</v>
      </c>
      <c r="F1304" s="33" t="s">
        <v>33</v>
      </c>
      <c r="G1304" s="29">
        <v>6</v>
      </c>
      <c r="H1304" s="29">
        <v>6</v>
      </c>
      <c r="I1304" s="33" t="str">
        <f>VLOOKUP(B1304,辅助信息!E:I,3,FALSE)</f>
        <v>（华西简阳西城嘉苑）四川省成都市简阳市简城街道高屋村</v>
      </c>
      <c r="J1304" s="33" t="str">
        <f>VLOOKUP(B1304,辅助信息!E:I,4,FALSE)</f>
        <v>张瀚镭</v>
      </c>
      <c r="K1304" s="33">
        <f>VLOOKUP(J1304,辅助信息!H:I,2,FALSE)</f>
        <v>15884666220</v>
      </c>
      <c r="L1304" s="32" t="str">
        <f>VLOOKUP(B1304,辅助信息!E:J,6,FALSE)</f>
        <v>现场禁止使用氢能源挂车！优先威钢发货,我方卸车,新老国标钢厂不加价可直发，因陕钢多次出现磅差，项目拒绝使用</v>
      </c>
      <c r="M1304" s="84">
        <v>45779</v>
      </c>
      <c r="O1304" s="55">
        <f ca="1" t="shared" ref="O1304:O1335" si="59">IF(OR(M1304="",N1304&lt;&gt;""),"",MAX(M1304-TODAY(),0))</f>
        <v>0</v>
      </c>
      <c r="P1304" s="55">
        <f ca="1" t="shared" ref="P1304:P1335" si="60">IF(M1304="","",IF(N1304&lt;&gt;"",MAX(N1304-M1304,0),IF(TODAY()&gt;M1304,TODAY()-M1304,0)))</f>
        <v>178</v>
      </c>
      <c r="Q1304" s="22" t="str">
        <f>VLOOKUP(B1304,辅助信息!E:M,9,FALSE)</f>
        <v>ZTWM-CDGS-XS-2024-0030-华西集采-简州大道</v>
      </c>
      <c r="R1304" s="111" t="str">
        <f>_xlfn._xlws.FILTER(辅助信息!D:D,辅助信息!E:E=B1304)</f>
        <v>华西简阳西城嘉苑</v>
      </c>
    </row>
    <row r="1305" hidden="1" spans="2:18">
      <c r="B1305" s="33" t="s">
        <v>106</v>
      </c>
      <c r="C1305" s="63">
        <v>45777</v>
      </c>
      <c r="D1305" s="33" t="s">
        <v>146</v>
      </c>
      <c r="E1305" s="33" t="str">
        <f>VLOOKUP(F1305,辅助信息!A:B,2,FALSE)</f>
        <v>盘螺</v>
      </c>
      <c r="F1305" s="33" t="s">
        <v>49</v>
      </c>
      <c r="G1305" s="29">
        <v>12.5</v>
      </c>
      <c r="H1305" s="29" t="str">
        <f>_xlfn.XLOOKUP(C1305&amp;F1305&amp;I1305&amp;J1305,'[1]2025年已发货'!$F:$F&amp;'[1]2025年已发货'!$C:$C&amp;'[1]2025年已发货'!$G:$G&amp;'[1]2025年已发货'!$H:$H,'[1]2025年已发货'!$E:$E,"未发货")</f>
        <v>未发货</v>
      </c>
      <c r="I1305" s="33" t="str">
        <f>VLOOKUP(B1305,辅助信息!E:I,3,FALSE)</f>
        <v>（五冶钢构宜宾高县月江镇建设项目）  四川省宜宾市高县月江镇刚记超市斜对面(还阳组团沪碳二期项目)</v>
      </c>
      <c r="J1305" s="33" t="str">
        <f>VLOOKUP(B1305,辅助信息!E:I,4,FALSE)</f>
        <v>张朝亮</v>
      </c>
      <c r="K1305" s="33">
        <f>VLOOKUP(J1305,辅助信息!H:I,2,FALSE)</f>
        <v>15228205853</v>
      </c>
      <c r="L1305" s="32" t="str">
        <f>VLOOKUP(B1305,辅助信息!E:J,6,FALSE)</f>
        <v>提前联系到场规格</v>
      </c>
      <c r="M1305" s="84">
        <v>45778</v>
      </c>
      <c r="O1305" s="55">
        <f ca="1" t="shared" si="59"/>
        <v>0</v>
      </c>
      <c r="P1305" s="55">
        <f ca="1" t="shared" si="60"/>
        <v>179</v>
      </c>
      <c r="Q1305" s="22" t="str">
        <f>VLOOKUP(B1305,辅助信息!E:M,9,FALSE)</f>
        <v>ZTWM-CDGS-XS-2024-0169-中冶西部钢构-宜宾市南溪区幸福路东路,高县月江镇建设项目</v>
      </c>
      <c r="R1305" s="111" t="str">
        <f>_xlfn._xlws.FILTER(辅助信息!D:D,辅助信息!E:E=B1305)</f>
        <v>五冶钢构-宜宾市南溪区高县月江镇建设项目</v>
      </c>
    </row>
    <row r="1306" hidden="1" spans="2:18">
      <c r="B1306" s="33" t="s">
        <v>106</v>
      </c>
      <c r="C1306" s="63">
        <v>45777</v>
      </c>
      <c r="D1306" s="33" t="s">
        <v>146</v>
      </c>
      <c r="E1306" s="33" t="str">
        <f>VLOOKUP(F1306,辅助信息!A:B,2,FALSE)</f>
        <v>盘螺</v>
      </c>
      <c r="F1306" s="33" t="s">
        <v>40</v>
      </c>
      <c r="G1306" s="29">
        <v>25</v>
      </c>
      <c r="H1306" s="29">
        <f>_xlfn.XLOOKUP(C1306&amp;F1306&amp;I1306&amp;J1306,'[1]2025年已发货'!$F:$F&amp;'[1]2025年已发货'!$C:$C&amp;'[1]2025年已发货'!$G:$G&amp;'[1]2025年已发货'!$H:$H,'[1]2025年已发货'!$E:$E,"未发货")</f>
        <v>25</v>
      </c>
      <c r="I1306" s="33" t="str">
        <f>VLOOKUP(B1306,辅助信息!E:I,3,FALSE)</f>
        <v>（五冶钢构宜宾高县月江镇建设项目）  四川省宜宾市高县月江镇刚记超市斜对面(还阳组团沪碳二期项目)</v>
      </c>
      <c r="J1306" s="33" t="str">
        <f>VLOOKUP(B1306,辅助信息!E:I,4,FALSE)</f>
        <v>张朝亮</v>
      </c>
      <c r="K1306" s="33">
        <f>VLOOKUP(J1306,辅助信息!H:I,2,FALSE)</f>
        <v>15228205853</v>
      </c>
      <c r="L1306" s="32" t="str">
        <f>VLOOKUP(B1306,辅助信息!E:J,6,FALSE)</f>
        <v>提前联系到场规格</v>
      </c>
      <c r="M1306" s="84">
        <v>45778</v>
      </c>
      <c r="O1306" s="55">
        <f ca="1" t="shared" si="59"/>
        <v>0</v>
      </c>
      <c r="P1306" s="55">
        <f ca="1" t="shared" si="60"/>
        <v>179</v>
      </c>
      <c r="Q1306" s="22" t="str">
        <f>VLOOKUP(B1306,辅助信息!E:M,9,FALSE)</f>
        <v>ZTWM-CDGS-XS-2024-0169-中冶西部钢构-宜宾市南溪区幸福路东路,高县月江镇建设项目</v>
      </c>
      <c r="R1306" s="111" t="str">
        <f>_xlfn._xlws.FILTER(辅助信息!D:D,辅助信息!E:E=B1306)</f>
        <v>五冶钢构-宜宾市南溪区高县月江镇建设项目</v>
      </c>
    </row>
    <row r="1307" hidden="1" spans="2:18">
      <c r="B1307" s="33" t="s">
        <v>106</v>
      </c>
      <c r="C1307" s="63">
        <v>45777</v>
      </c>
      <c r="D1307" s="33" t="s">
        <v>146</v>
      </c>
      <c r="E1307" s="33" t="str">
        <f>VLOOKUP(F1307,辅助信息!A:B,2,FALSE)</f>
        <v>盘螺</v>
      </c>
      <c r="F1307" s="33" t="s">
        <v>41</v>
      </c>
      <c r="G1307" s="29">
        <v>2.5</v>
      </c>
      <c r="H1307" s="29" t="str">
        <f>_xlfn.XLOOKUP(C1307&amp;F1307&amp;I1307&amp;J1307,'[1]2025年已发货'!$F:$F&amp;'[1]2025年已发货'!$C:$C&amp;'[1]2025年已发货'!$G:$G&amp;'[1]2025年已发货'!$H:$H,'[1]2025年已发货'!$E:$E,"未发货")</f>
        <v>未发货</v>
      </c>
      <c r="I1307" s="33" t="str">
        <f>VLOOKUP(B1307,辅助信息!E:I,3,FALSE)</f>
        <v>（五冶钢构宜宾高县月江镇建设项目）  四川省宜宾市高县月江镇刚记超市斜对面(还阳组团沪碳二期项目)</v>
      </c>
      <c r="J1307" s="33" t="str">
        <f>VLOOKUP(B1307,辅助信息!E:I,4,FALSE)</f>
        <v>张朝亮</v>
      </c>
      <c r="K1307" s="33">
        <f>VLOOKUP(J1307,辅助信息!H:I,2,FALSE)</f>
        <v>15228205853</v>
      </c>
      <c r="L1307" s="32" t="str">
        <f>VLOOKUP(B1307,辅助信息!E:J,6,FALSE)</f>
        <v>提前联系到场规格</v>
      </c>
      <c r="M1307" s="84">
        <v>45778</v>
      </c>
      <c r="O1307" s="55">
        <f ca="1" t="shared" si="59"/>
        <v>0</v>
      </c>
      <c r="P1307" s="55">
        <f ca="1" t="shared" si="60"/>
        <v>179</v>
      </c>
      <c r="Q1307" s="22" t="str">
        <f>VLOOKUP(B1307,辅助信息!E:M,9,FALSE)</f>
        <v>ZTWM-CDGS-XS-2024-0169-中冶西部钢构-宜宾市南溪区幸福路东路,高县月江镇建设项目</v>
      </c>
      <c r="R1307" s="111" t="str">
        <f>_xlfn._xlws.FILTER(辅助信息!D:D,辅助信息!E:E=B1307)</f>
        <v>五冶钢构-宜宾市南溪区高县月江镇建设项目</v>
      </c>
    </row>
    <row r="1308" hidden="1" spans="2:18">
      <c r="B1308" s="33" t="s">
        <v>106</v>
      </c>
      <c r="C1308" s="63">
        <v>45777</v>
      </c>
      <c r="D1308" s="33" t="s">
        <v>146</v>
      </c>
      <c r="E1308" s="33" t="str">
        <f>VLOOKUP(F1308,辅助信息!A:B,2,FALSE)</f>
        <v>螺纹钢</v>
      </c>
      <c r="F1308" s="33" t="s">
        <v>19</v>
      </c>
      <c r="G1308" s="29">
        <v>6</v>
      </c>
      <c r="H1308" s="29" t="str">
        <f>_xlfn.XLOOKUP(C1308&amp;F1308&amp;I1308&amp;J1308,'[1]2025年已发货'!$F:$F&amp;'[1]2025年已发货'!$C:$C&amp;'[1]2025年已发货'!$G:$G&amp;'[1]2025年已发货'!$H:$H,'[1]2025年已发货'!$E:$E,"未发货")</f>
        <v>未发货</v>
      </c>
      <c r="I1308" s="33" t="str">
        <f>VLOOKUP(B1308,辅助信息!E:I,3,FALSE)</f>
        <v>（五冶钢构宜宾高县月江镇建设项目）  四川省宜宾市高县月江镇刚记超市斜对面(还阳组团沪碳二期项目)</v>
      </c>
      <c r="J1308" s="33" t="str">
        <f>VLOOKUP(B1308,辅助信息!E:I,4,FALSE)</f>
        <v>张朝亮</v>
      </c>
      <c r="K1308" s="33">
        <f>VLOOKUP(J1308,辅助信息!H:I,2,FALSE)</f>
        <v>15228205853</v>
      </c>
      <c r="L1308" s="32" t="str">
        <f>VLOOKUP(B1308,辅助信息!E:J,6,FALSE)</f>
        <v>提前联系到场规格</v>
      </c>
      <c r="M1308" s="84">
        <v>45778</v>
      </c>
      <c r="O1308" s="55">
        <f ca="1" t="shared" si="59"/>
        <v>0</v>
      </c>
      <c r="P1308" s="55">
        <f ca="1" t="shared" si="60"/>
        <v>179</v>
      </c>
      <c r="Q1308" s="22" t="str">
        <f>VLOOKUP(B1308,辅助信息!E:M,9,FALSE)</f>
        <v>ZTWM-CDGS-XS-2024-0169-中冶西部钢构-宜宾市南溪区幸福路东路,高县月江镇建设项目</v>
      </c>
      <c r="R1308" s="111" t="str">
        <f>_xlfn._xlws.FILTER(辅助信息!D:D,辅助信息!E:E=B1308)</f>
        <v>五冶钢构-宜宾市南溪区高县月江镇建设项目</v>
      </c>
    </row>
    <row r="1309" hidden="1" spans="2:18">
      <c r="B1309" s="33" t="s">
        <v>106</v>
      </c>
      <c r="C1309" s="63">
        <v>45777</v>
      </c>
      <c r="D1309" s="33" t="s">
        <v>146</v>
      </c>
      <c r="E1309" s="33" t="str">
        <f>VLOOKUP(F1309,辅助信息!A:B,2,FALSE)</f>
        <v>螺纹钢</v>
      </c>
      <c r="F1309" s="33" t="s">
        <v>32</v>
      </c>
      <c r="G1309" s="29">
        <v>14</v>
      </c>
      <c r="H1309" s="29">
        <f>_xlfn.XLOOKUP(C1309&amp;F1309&amp;I1309&amp;J1309,'[1]2025年已发货'!$F:$F&amp;'[1]2025年已发货'!$C:$C&amp;'[1]2025年已发货'!$G:$G&amp;'[1]2025年已发货'!$H:$H,'[1]2025年已发货'!$E:$E,"未发货")</f>
        <v>12</v>
      </c>
      <c r="I1309" s="33" t="str">
        <f>VLOOKUP(B1309,辅助信息!E:I,3,FALSE)</f>
        <v>（五冶钢构宜宾高县月江镇建设项目）  四川省宜宾市高县月江镇刚记超市斜对面(还阳组团沪碳二期项目)</v>
      </c>
      <c r="J1309" s="33" t="str">
        <f>VLOOKUP(B1309,辅助信息!E:I,4,FALSE)</f>
        <v>张朝亮</v>
      </c>
      <c r="K1309" s="33">
        <f>VLOOKUP(J1309,辅助信息!H:I,2,FALSE)</f>
        <v>15228205853</v>
      </c>
      <c r="L1309" s="32" t="str">
        <f>VLOOKUP(B1309,辅助信息!E:J,6,FALSE)</f>
        <v>提前联系到场规格</v>
      </c>
      <c r="M1309" s="84">
        <v>45778</v>
      </c>
      <c r="O1309" s="55">
        <f ca="1" t="shared" si="59"/>
        <v>0</v>
      </c>
      <c r="P1309" s="55">
        <f ca="1" t="shared" si="60"/>
        <v>179</v>
      </c>
      <c r="Q1309" s="22" t="str">
        <f>VLOOKUP(B1309,辅助信息!E:M,9,FALSE)</f>
        <v>ZTWM-CDGS-XS-2024-0169-中冶西部钢构-宜宾市南溪区幸福路东路,高县月江镇建设项目</v>
      </c>
      <c r="R1309" s="111" t="str">
        <f>_xlfn._xlws.FILTER(辅助信息!D:D,辅助信息!E:E=B1309)</f>
        <v>五冶钢构-宜宾市南溪区高县月江镇建设项目</v>
      </c>
    </row>
    <row r="1310" hidden="1" spans="2:18">
      <c r="B1310" s="33" t="s">
        <v>106</v>
      </c>
      <c r="C1310" s="63">
        <v>45777</v>
      </c>
      <c r="D1310" s="33" t="s">
        <v>146</v>
      </c>
      <c r="E1310" s="33" t="str">
        <f>VLOOKUP(F1310,辅助信息!A:B,2,FALSE)</f>
        <v>螺纹钢</v>
      </c>
      <c r="F1310" s="33" t="s">
        <v>30</v>
      </c>
      <c r="G1310" s="29">
        <v>9</v>
      </c>
      <c r="H1310" s="29" t="str">
        <f>_xlfn.XLOOKUP(C1310&amp;F1310&amp;I1310&amp;J1310,'[1]2025年已发货'!$F:$F&amp;'[1]2025年已发货'!$C:$C&amp;'[1]2025年已发货'!$G:$G&amp;'[1]2025年已发货'!$H:$H,'[1]2025年已发货'!$E:$E,"未发货")</f>
        <v>未发货</v>
      </c>
      <c r="I1310" s="33" t="str">
        <f>VLOOKUP(B1310,辅助信息!E:I,3,FALSE)</f>
        <v>（五冶钢构宜宾高县月江镇建设项目）  四川省宜宾市高县月江镇刚记超市斜对面(还阳组团沪碳二期项目)</v>
      </c>
      <c r="J1310" s="33" t="str">
        <f>VLOOKUP(B1310,辅助信息!E:I,4,FALSE)</f>
        <v>张朝亮</v>
      </c>
      <c r="K1310" s="33">
        <f>VLOOKUP(J1310,辅助信息!H:I,2,FALSE)</f>
        <v>15228205853</v>
      </c>
      <c r="L1310" s="32" t="str">
        <f>VLOOKUP(B1310,辅助信息!E:J,6,FALSE)</f>
        <v>提前联系到场规格</v>
      </c>
      <c r="M1310" s="84">
        <v>45778</v>
      </c>
      <c r="O1310" s="55">
        <f ca="1" t="shared" si="59"/>
        <v>0</v>
      </c>
      <c r="P1310" s="55">
        <f ca="1" t="shared" si="60"/>
        <v>179</v>
      </c>
      <c r="Q1310" s="22" t="str">
        <f>VLOOKUP(B1310,辅助信息!E:M,9,FALSE)</f>
        <v>ZTWM-CDGS-XS-2024-0169-中冶西部钢构-宜宾市南溪区幸福路东路,高县月江镇建设项目</v>
      </c>
      <c r="R1310" s="111" t="str">
        <f>_xlfn._xlws.FILTER(辅助信息!D:D,辅助信息!E:E=B1310)</f>
        <v>五冶钢构-宜宾市南溪区高县月江镇建设项目</v>
      </c>
    </row>
    <row r="1311" hidden="1" spans="2:18">
      <c r="B1311" s="33" t="s">
        <v>107</v>
      </c>
      <c r="C1311" s="63">
        <v>45777</v>
      </c>
      <c r="D1311" s="33" t="s">
        <v>146</v>
      </c>
      <c r="E1311" s="33" t="str">
        <f>VLOOKUP(F1311,辅助信息!A:B,2,FALSE)</f>
        <v>盘螺</v>
      </c>
      <c r="F1311" s="33" t="s">
        <v>41</v>
      </c>
      <c r="G1311" s="29">
        <v>12</v>
      </c>
      <c r="H1311" s="29">
        <f>_xlfn.XLOOKUP(C1311&amp;F1311&amp;I1311&amp;J1311,'[1]2025年已发货'!$F:$F&amp;'[1]2025年已发货'!$C:$C&amp;'[1]2025年已发货'!$G:$G&amp;'[1]2025年已发货'!$H:$H,'[1]2025年已发货'!$E:$E,"未发货")</f>
        <v>12</v>
      </c>
      <c r="I1311" s="33" t="str">
        <f>VLOOKUP(B1311,辅助信息!E:I,3,FALSE)</f>
        <v>(五冶钢构宜宾高县月江镇建设项目-2)四川省宜宾市高县月江镇高县宜宾保润汽车维修服务有限公司西南(S436西)(污水管网项目)</v>
      </c>
      <c r="J1311" s="33" t="str">
        <f>VLOOKUP(B1311,辅助信息!E:I,4,FALSE)</f>
        <v>张朝亮</v>
      </c>
      <c r="K1311" s="33">
        <f>VLOOKUP(J1311,辅助信息!H:I,2,FALSE)</f>
        <v>15228205853</v>
      </c>
      <c r="L1311" s="32" t="str">
        <f>VLOOKUP(B1311,辅助信息!E:J,6,FALSE)</f>
        <v>提前联系到场规格</v>
      </c>
      <c r="M1311" s="84">
        <v>45778</v>
      </c>
      <c r="O1311" s="55">
        <f ca="1" t="shared" si="59"/>
        <v>0</v>
      </c>
      <c r="P1311" s="55">
        <f ca="1" t="shared" si="60"/>
        <v>179</v>
      </c>
      <c r="Q1311" s="22" t="str">
        <f>VLOOKUP(B1311,辅助信息!E:M,9,FALSE)</f>
        <v>ZTWM-CDGS-XS-2024-0169-中冶西部钢构-宜宾市南溪区幸福路东路,高县月江镇建设项目</v>
      </c>
      <c r="R1311" s="111" t="str">
        <f>_xlfn._xlws.FILTER(辅助信息!D:D,辅助信息!E:E=B1311)</f>
        <v>五冶钢构-宜宾市南溪区高县月江镇建设项目</v>
      </c>
    </row>
    <row r="1312" hidden="1" spans="2:18">
      <c r="B1312" s="33" t="s">
        <v>107</v>
      </c>
      <c r="C1312" s="63">
        <v>45777</v>
      </c>
      <c r="D1312" s="33" t="s">
        <v>146</v>
      </c>
      <c r="E1312" s="33" t="str">
        <f>VLOOKUP(F1312,辅助信息!A:B,2,FALSE)</f>
        <v>螺纹钢</v>
      </c>
      <c r="F1312" s="33" t="s">
        <v>18</v>
      </c>
      <c r="G1312" s="29">
        <v>21</v>
      </c>
      <c r="H1312" s="29">
        <f>_xlfn.XLOOKUP(C1312&amp;F1312&amp;I1312&amp;J1312,'[1]2025年已发货'!$F:$F&amp;'[1]2025年已发货'!$C:$C&amp;'[1]2025年已发货'!$G:$G&amp;'[1]2025年已发货'!$H:$H,'[1]2025年已发货'!$E:$E,"未发货")</f>
        <v>21</v>
      </c>
      <c r="I1312" s="33" t="str">
        <f>VLOOKUP(B1312,辅助信息!E:I,3,FALSE)</f>
        <v>(五冶钢构宜宾高县月江镇建设项目-2)四川省宜宾市高县月江镇高县宜宾保润汽车维修服务有限公司西南(S436西)(污水管网项目)</v>
      </c>
      <c r="J1312" s="33" t="str">
        <f>VLOOKUP(B1312,辅助信息!E:I,4,FALSE)</f>
        <v>张朝亮</v>
      </c>
      <c r="K1312" s="33">
        <f>VLOOKUP(J1312,辅助信息!H:I,2,FALSE)</f>
        <v>15228205853</v>
      </c>
      <c r="L1312" s="32" t="str">
        <f>VLOOKUP(B1312,辅助信息!E:J,6,FALSE)</f>
        <v>提前联系到场规格</v>
      </c>
      <c r="M1312" s="84">
        <v>45778</v>
      </c>
      <c r="O1312" s="55">
        <f ca="1" t="shared" si="59"/>
        <v>0</v>
      </c>
      <c r="P1312" s="55">
        <f ca="1" t="shared" si="60"/>
        <v>179</v>
      </c>
      <c r="Q1312" s="22" t="str">
        <f>VLOOKUP(B1312,辅助信息!E:M,9,FALSE)</f>
        <v>ZTWM-CDGS-XS-2024-0169-中冶西部钢构-宜宾市南溪区幸福路东路,高县月江镇建设项目</v>
      </c>
      <c r="R1312" s="111" t="str">
        <f>_xlfn._xlws.FILTER(辅助信息!D:D,辅助信息!E:E=B1312)</f>
        <v>五冶钢构-宜宾市南溪区高县月江镇建设项目</v>
      </c>
    </row>
    <row r="1313" hidden="1" spans="2:18">
      <c r="B1313" s="33" t="s">
        <v>127</v>
      </c>
      <c r="C1313" s="63">
        <v>45777</v>
      </c>
      <c r="D1313" s="33" t="s">
        <v>146</v>
      </c>
      <c r="E1313" s="33" t="str">
        <f>VLOOKUP(F1313,辅助信息!A:B,2,FALSE)</f>
        <v>盘螺</v>
      </c>
      <c r="F1313" s="33" t="s">
        <v>49</v>
      </c>
      <c r="G1313" s="29">
        <v>12</v>
      </c>
      <c r="H1313" s="29" t="str">
        <f>_xlfn.XLOOKUP(C1313&amp;F1313&amp;I1313&amp;J1313,'[1]2025年已发货'!$F:$F&amp;'[1]2025年已发货'!$C:$C&amp;'[1]2025年已发货'!$G:$G&amp;'[1]2025年已发货'!$H:$H,'[1]2025年已发货'!$E:$E,"未发货")</f>
        <v>未发货</v>
      </c>
      <c r="I1313" s="33" t="str">
        <f>VLOOKUP(B1313,辅助信息!E:I,3,FALSE)</f>
        <v>(五冶钢构医学科学产业园建设项目房建三部-管网总坪)四川省南充市顺庆区搬罾街道学府大道二段</v>
      </c>
      <c r="J1313" s="33" t="str">
        <f>VLOOKUP(B1313,辅助信息!E:I,4,FALSE)</f>
        <v>郑林</v>
      </c>
      <c r="K1313" s="33">
        <f>VLOOKUP(J1313,辅助信息!H:I,2,FALSE)</f>
        <v>18349955455</v>
      </c>
      <c r="L1313" s="32" t="str">
        <f>VLOOKUP(B1313,辅助信息!E:J,6,FALSE)</f>
        <v>送货单：送货单位：南充思临新材料科技有限公司,收货单位：五冶集团川北(南充)建设有限公司,项目名称：南充医学科学产业园,送货车型13米,装货前联系收货人核实到场规格</v>
      </c>
      <c r="M1313" s="84">
        <v>45780</v>
      </c>
      <c r="O1313" s="55">
        <f ca="1" t="shared" si="59"/>
        <v>0</v>
      </c>
      <c r="P1313" s="55">
        <f ca="1" t="shared" si="60"/>
        <v>177</v>
      </c>
      <c r="Q1313" s="22" t="str">
        <f>VLOOKUP(B1313,辅助信息!E:M,9,FALSE)</f>
        <v>ZTWM-CDGS-XS-2024-0248-五冶钢构-南充市医学院项目</v>
      </c>
      <c r="R1313" s="111" t="str">
        <f>_xlfn._xlws.FILTER(辅助信息!D:D,辅助信息!E:E=B1313)</f>
        <v>五冶钢构南充医学科学产业园建设项目</v>
      </c>
    </row>
    <row r="1314" hidden="1" spans="2:18">
      <c r="B1314" s="33" t="s">
        <v>127</v>
      </c>
      <c r="C1314" s="63">
        <v>45777</v>
      </c>
      <c r="D1314" s="33" t="s">
        <v>146</v>
      </c>
      <c r="E1314" s="33" t="str">
        <f>VLOOKUP(F1314,辅助信息!A:B,2,FALSE)</f>
        <v>盘螺</v>
      </c>
      <c r="F1314" s="33" t="s">
        <v>41</v>
      </c>
      <c r="G1314" s="29">
        <v>10</v>
      </c>
      <c r="H1314" s="29" t="str">
        <f>_xlfn.XLOOKUP(C1314&amp;F1314&amp;I1314&amp;J1314,'[1]2025年已发货'!$F:$F&amp;'[1]2025年已发货'!$C:$C&amp;'[1]2025年已发货'!$G:$G&amp;'[1]2025年已发货'!$H:$H,'[1]2025年已发货'!$E:$E,"未发货")</f>
        <v>未发货</v>
      </c>
      <c r="I1314" s="33" t="str">
        <f>VLOOKUP(B1314,辅助信息!E:I,3,FALSE)</f>
        <v>(五冶钢构医学科学产业园建设项目房建三部-管网总坪)四川省南充市顺庆区搬罾街道学府大道二段</v>
      </c>
      <c r="J1314" s="33" t="str">
        <f>VLOOKUP(B1314,辅助信息!E:I,4,FALSE)</f>
        <v>郑林</v>
      </c>
      <c r="K1314" s="33">
        <f>VLOOKUP(J1314,辅助信息!H:I,2,FALSE)</f>
        <v>18349955455</v>
      </c>
      <c r="L1314" s="32" t="str">
        <f>VLOOKUP(B1314,辅助信息!E:J,6,FALSE)</f>
        <v>送货单：送货单位：南充思临新材料科技有限公司,收货单位：五冶集团川北(南充)建设有限公司,项目名称：南充医学科学产业园,送货车型13米,装货前联系收货人核实到场规格</v>
      </c>
      <c r="M1314" s="84">
        <v>45780</v>
      </c>
      <c r="O1314" s="55">
        <f ca="1" t="shared" si="59"/>
        <v>0</v>
      </c>
      <c r="P1314" s="55">
        <f ca="1" t="shared" si="60"/>
        <v>177</v>
      </c>
      <c r="Q1314" s="22" t="str">
        <f>VLOOKUP(B1314,辅助信息!E:M,9,FALSE)</f>
        <v>ZTWM-CDGS-XS-2024-0248-五冶钢构-南充市医学院项目</v>
      </c>
      <c r="R1314" s="111" t="str">
        <f>_xlfn._xlws.FILTER(辅助信息!D:D,辅助信息!E:E=B1314)</f>
        <v>五冶钢构南充医学科学产业园建设项目</v>
      </c>
    </row>
    <row r="1315" hidden="1" spans="2:18">
      <c r="B1315" s="33" t="s">
        <v>127</v>
      </c>
      <c r="C1315" s="63">
        <v>45777</v>
      </c>
      <c r="D1315" s="33" t="s">
        <v>146</v>
      </c>
      <c r="E1315" s="33" t="str">
        <f>VLOOKUP(F1315,辅助信息!A:B,2,FALSE)</f>
        <v>螺纹钢</v>
      </c>
      <c r="F1315" s="33" t="s">
        <v>27</v>
      </c>
      <c r="G1315" s="29">
        <v>13</v>
      </c>
      <c r="H1315" s="29" t="str">
        <f>_xlfn.XLOOKUP(C1315&amp;F1315&amp;I1315&amp;J1315,'[1]2025年已发货'!$F:$F&amp;'[1]2025年已发货'!$C:$C&amp;'[1]2025年已发货'!$G:$G&amp;'[1]2025年已发货'!$H:$H,'[1]2025年已发货'!$E:$E,"未发货")</f>
        <v>未发货</v>
      </c>
      <c r="I1315" s="33" t="str">
        <f>VLOOKUP(B1315,辅助信息!E:I,3,FALSE)</f>
        <v>(五冶钢构医学科学产业园建设项目房建三部-管网总坪)四川省南充市顺庆区搬罾街道学府大道二段</v>
      </c>
      <c r="J1315" s="33" t="str">
        <f>VLOOKUP(B1315,辅助信息!E:I,4,FALSE)</f>
        <v>郑林</v>
      </c>
      <c r="K1315" s="33">
        <f>VLOOKUP(J1315,辅助信息!H:I,2,FALSE)</f>
        <v>18349955455</v>
      </c>
      <c r="L1315" s="32" t="str">
        <f>VLOOKUP(B1315,辅助信息!E:J,6,FALSE)</f>
        <v>送货单：送货单位：南充思临新材料科技有限公司,收货单位：五冶集团川北(南充)建设有限公司,项目名称：南充医学科学产业园,送货车型13米,装货前联系收货人核实到场规格</v>
      </c>
      <c r="M1315" s="84">
        <v>45780</v>
      </c>
      <c r="O1315" s="55">
        <f ca="1" t="shared" si="59"/>
        <v>0</v>
      </c>
      <c r="P1315" s="55">
        <f ca="1" t="shared" si="60"/>
        <v>177</v>
      </c>
      <c r="Q1315" s="22" t="str">
        <f>VLOOKUP(B1315,辅助信息!E:M,9,FALSE)</f>
        <v>ZTWM-CDGS-XS-2024-0248-五冶钢构-南充市医学院项目</v>
      </c>
      <c r="R1315" s="111" t="str">
        <f>_xlfn._xlws.FILTER(辅助信息!D:D,辅助信息!E:E=B1315)</f>
        <v>五冶钢构南充医学科学产业园建设项目</v>
      </c>
    </row>
    <row r="1316" hidden="1" spans="2:18">
      <c r="B1316" s="33" t="s">
        <v>31</v>
      </c>
      <c r="C1316" s="63">
        <v>45778</v>
      </c>
      <c r="D1316" s="33" t="str">
        <f>VLOOKUP(B1316,辅助信息!E:K,7,FALSE)</f>
        <v>JWDDCD2024121000136</v>
      </c>
      <c r="E1316" s="33" t="str">
        <f>VLOOKUP(F1316,辅助信息!A:B,2,FALSE)</f>
        <v>高线</v>
      </c>
      <c r="F1316" s="33" t="s">
        <v>51</v>
      </c>
      <c r="G1316" s="29">
        <v>2.5</v>
      </c>
      <c r="H1316" s="29" t="str">
        <f>_xlfn.XLOOKUP(C1316&amp;F1316&amp;I1316&amp;J1316,'[1]2025年已发货'!$F:$F&amp;'[1]2025年已发货'!$C:$C&amp;'[1]2025年已发货'!$G:$G&amp;'[1]2025年已发货'!$H:$H,'[1]2025年已发货'!$E:$E,"未发货")</f>
        <v>未发货</v>
      </c>
      <c r="I1316" s="33" t="str">
        <f>VLOOKUP(B1316,辅助信息!E:I,3,FALSE)</f>
        <v>（四川商建-射洪城乡一体化项目）遂宁市射洪市忠新幼儿园北侧约220米新溪小区</v>
      </c>
      <c r="J1316" s="33" t="str">
        <f>VLOOKUP(B1316,辅助信息!E:I,4,FALSE)</f>
        <v>柏子刚</v>
      </c>
      <c r="K1316" s="33">
        <f>VLOOKUP(J1316,辅助信息!H:I,2,FALSE)</f>
        <v>15692885305</v>
      </c>
      <c r="L1316" s="102" t="str">
        <f>VLOOKUP(B1316,辅助信息!E:J,6,FALSE)</f>
        <v>提前联系到场规格及数量</v>
      </c>
      <c r="M1316" s="84">
        <v>45779</v>
      </c>
      <c r="O1316" s="55">
        <f ca="1" t="shared" si="59"/>
        <v>0</v>
      </c>
      <c r="P1316" s="55">
        <f ca="1" t="shared" si="60"/>
        <v>178</v>
      </c>
      <c r="Q1316" s="22" t="str">
        <f>VLOOKUP(B1316,辅助信息!E:M,9,FALSE)</f>
        <v>ZTWM-CDGS-XS-2024-0179-四川商投-射洪城乡一体化建设项目</v>
      </c>
      <c r="R1316" s="111" t="str">
        <f>_xlfn._xlws.FILTER(辅助信息!D:D,辅助信息!E:E=B1316)</f>
        <v>四川商建
射洪城乡一体化项目</v>
      </c>
    </row>
    <row r="1317" hidden="1" spans="2:18">
      <c r="B1317" s="33" t="s">
        <v>31</v>
      </c>
      <c r="C1317" s="63">
        <v>45778</v>
      </c>
      <c r="D1317" s="33" t="str">
        <f>VLOOKUP(B1317,辅助信息!E:K,7,FALSE)</f>
        <v>JWDDCD2024121000136</v>
      </c>
      <c r="E1317" s="33" t="str">
        <f>VLOOKUP(F1317,辅助信息!A:B,2,FALSE)</f>
        <v>盘螺</v>
      </c>
      <c r="F1317" s="33" t="s">
        <v>41</v>
      </c>
      <c r="G1317" s="29">
        <v>32.5</v>
      </c>
      <c r="H1317" s="29" t="str">
        <f>_xlfn.XLOOKUP(C1317&amp;F1317&amp;I1317&amp;J1317,'[1]2025年已发货'!$F:$F&amp;'[1]2025年已发货'!$C:$C&amp;'[1]2025年已发货'!$G:$G&amp;'[1]2025年已发货'!$H:$H,'[1]2025年已发货'!$E:$E,"未发货")</f>
        <v>未发货</v>
      </c>
      <c r="I1317" s="33" t="str">
        <f>VLOOKUP(B1317,辅助信息!E:I,3,FALSE)</f>
        <v>（四川商建-射洪城乡一体化项目）遂宁市射洪市忠新幼儿园北侧约220米新溪小区</v>
      </c>
      <c r="J1317" s="33" t="str">
        <f>VLOOKUP(B1317,辅助信息!E:I,4,FALSE)</f>
        <v>柏子刚</v>
      </c>
      <c r="K1317" s="33">
        <f>VLOOKUP(J1317,辅助信息!H:I,2,FALSE)</f>
        <v>15692885305</v>
      </c>
      <c r="L1317" s="102" t="str">
        <f>VLOOKUP(B1317,辅助信息!E:J,6,FALSE)</f>
        <v>提前联系到场规格及数量</v>
      </c>
      <c r="M1317" s="84">
        <v>45779</v>
      </c>
      <c r="O1317" s="55">
        <f ca="1" t="shared" si="59"/>
        <v>0</v>
      </c>
      <c r="P1317" s="55">
        <f ca="1" t="shared" si="60"/>
        <v>178</v>
      </c>
      <c r="Q1317" s="22" t="str">
        <f>VLOOKUP(B1317,辅助信息!E:M,9,FALSE)</f>
        <v>ZTWM-CDGS-XS-2024-0179-四川商投-射洪城乡一体化建设项目</v>
      </c>
      <c r="R1317" s="111" t="str">
        <f>_xlfn._xlws.FILTER(辅助信息!D:D,辅助信息!E:E=B1317)</f>
        <v>四川商建
射洪城乡一体化项目</v>
      </c>
    </row>
    <row r="1318" hidden="1" spans="2:18">
      <c r="B1318" s="33" t="s">
        <v>31</v>
      </c>
      <c r="C1318" s="63">
        <v>45778</v>
      </c>
      <c r="D1318" s="33" t="str">
        <f>VLOOKUP(B1318,辅助信息!E:K,7,FALSE)</f>
        <v>JWDDCD2024121000136</v>
      </c>
      <c r="E1318" s="33" t="str">
        <f>VLOOKUP(F1318,辅助信息!A:B,2,FALSE)</f>
        <v>螺纹钢</v>
      </c>
      <c r="F1318" s="33" t="s">
        <v>27</v>
      </c>
      <c r="G1318" s="29">
        <v>15</v>
      </c>
      <c r="H1318" s="29">
        <f>_xlfn.XLOOKUP(C1318&amp;F1318&amp;I1318&amp;J1318,'[1]2025年已发货'!$F:$F&amp;'[1]2025年已发货'!$C:$C&amp;'[1]2025年已发货'!$G:$G&amp;'[1]2025年已发货'!$H:$H,'[1]2025年已发货'!$E:$E,"未发货")</f>
        <v>15</v>
      </c>
      <c r="I1318" s="33" t="str">
        <f>VLOOKUP(B1318,辅助信息!E:I,3,FALSE)</f>
        <v>（四川商建-射洪城乡一体化项目）遂宁市射洪市忠新幼儿园北侧约220米新溪小区</v>
      </c>
      <c r="J1318" s="33" t="str">
        <f>VLOOKUP(B1318,辅助信息!E:I,4,FALSE)</f>
        <v>柏子刚</v>
      </c>
      <c r="K1318" s="33">
        <f>VLOOKUP(J1318,辅助信息!H:I,2,FALSE)</f>
        <v>15692885305</v>
      </c>
      <c r="L1318" s="102" t="str">
        <f>VLOOKUP(B1318,辅助信息!E:J,6,FALSE)</f>
        <v>提前联系到场规格及数量</v>
      </c>
      <c r="M1318" s="84">
        <v>45779</v>
      </c>
      <c r="O1318" s="55">
        <f ca="1" t="shared" si="59"/>
        <v>0</v>
      </c>
      <c r="P1318" s="55">
        <f ca="1" t="shared" si="60"/>
        <v>178</v>
      </c>
      <c r="Q1318" s="22" t="str">
        <f>VLOOKUP(B1318,辅助信息!E:M,9,FALSE)</f>
        <v>ZTWM-CDGS-XS-2024-0179-四川商投-射洪城乡一体化建设项目</v>
      </c>
      <c r="R1318" s="111" t="str">
        <f>_xlfn._xlws.FILTER(辅助信息!D:D,辅助信息!E:E=B1318)</f>
        <v>四川商建
射洪城乡一体化项目</v>
      </c>
    </row>
    <row r="1319" hidden="1" spans="2:18">
      <c r="B1319" s="33" t="s">
        <v>31</v>
      </c>
      <c r="C1319" s="63">
        <v>45778</v>
      </c>
      <c r="D1319" s="33" t="str">
        <f>VLOOKUP(B1319,辅助信息!E:K,7,FALSE)</f>
        <v>JWDDCD2024121000136</v>
      </c>
      <c r="E1319" s="33" t="str">
        <f>VLOOKUP(F1319,辅助信息!A:B,2,FALSE)</f>
        <v>螺纹钢</v>
      </c>
      <c r="F1319" s="33" t="s">
        <v>30</v>
      </c>
      <c r="G1319" s="29">
        <v>12</v>
      </c>
      <c r="H1319" s="29">
        <f>_xlfn.XLOOKUP(C1319&amp;F1319&amp;I1319&amp;J1319,'[1]2025年已发货'!$F:$F&amp;'[1]2025年已发货'!$C:$C&amp;'[1]2025年已发货'!$G:$G&amp;'[1]2025年已发货'!$H:$H,'[1]2025年已发货'!$E:$E,"未发货")</f>
        <v>12</v>
      </c>
      <c r="I1319" s="33" t="str">
        <f>VLOOKUP(B1319,辅助信息!E:I,3,FALSE)</f>
        <v>（四川商建-射洪城乡一体化项目）遂宁市射洪市忠新幼儿园北侧约220米新溪小区</v>
      </c>
      <c r="J1319" s="33" t="str">
        <f>VLOOKUP(B1319,辅助信息!E:I,4,FALSE)</f>
        <v>柏子刚</v>
      </c>
      <c r="K1319" s="33">
        <f>VLOOKUP(J1319,辅助信息!H:I,2,FALSE)</f>
        <v>15692885305</v>
      </c>
      <c r="L1319" s="102" t="str">
        <f>VLOOKUP(B1319,辅助信息!E:J,6,FALSE)</f>
        <v>提前联系到场规格及数量</v>
      </c>
      <c r="M1319" s="84">
        <v>45779</v>
      </c>
      <c r="O1319" s="55">
        <f ca="1" t="shared" si="59"/>
        <v>0</v>
      </c>
      <c r="P1319" s="55">
        <f ca="1" t="shared" si="60"/>
        <v>178</v>
      </c>
      <c r="Q1319" s="22" t="str">
        <f>VLOOKUP(B1319,辅助信息!E:M,9,FALSE)</f>
        <v>ZTWM-CDGS-XS-2024-0179-四川商投-射洪城乡一体化建设项目</v>
      </c>
      <c r="R1319" s="111" t="str">
        <f>_xlfn._xlws.FILTER(辅助信息!D:D,辅助信息!E:E=B1319)</f>
        <v>四川商建
射洪城乡一体化项目</v>
      </c>
    </row>
    <row r="1320" hidden="1" spans="2:18">
      <c r="B1320" s="33" t="s">
        <v>31</v>
      </c>
      <c r="C1320" s="63">
        <v>45778</v>
      </c>
      <c r="D1320" s="33" t="str">
        <f>VLOOKUP(B1320,辅助信息!E:K,7,FALSE)</f>
        <v>JWDDCD2024121000136</v>
      </c>
      <c r="E1320" s="33" t="str">
        <f>VLOOKUP(F1320,辅助信息!A:B,2,FALSE)</f>
        <v>螺纹钢</v>
      </c>
      <c r="F1320" s="33" t="s">
        <v>66</v>
      </c>
      <c r="G1320" s="29">
        <v>9</v>
      </c>
      <c r="H1320" s="29">
        <f>_xlfn.XLOOKUP(C1320&amp;F1320&amp;I1320&amp;J1320,'[1]2025年已发货'!$F:$F&amp;'[1]2025年已发货'!$C:$C&amp;'[1]2025年已发货'!$G:$G&amp;'[1]2025年已发货'!$H:$H,'[1]2025年已发货'!$E:$E,"未发货")</f>
        <v>9</v>
      </c>
      <c r="I1320" s="33" t="str">
        <f>VLOOKUP(B1320,辅助信息!E:I,3,FALSE)</f>
        <v>（四川商建-射洪城乡一体化项目）遂宁市射洪市忠新幼儿园北侧约220米新溪小区</v>
      </c>
      <c r="J1320" s="33" t="str">
        <f>VLOOKUP(B1320,辅助信息!E:I,4,FALSE)</f>
        <v>柏子刚</v>
      </c>
      <c r="K1320" s="33">
        <f>VLOOKUP(J1320,辅助信息!H:I,2,FALSE)</f>
        <v>15692885305</v>
      </c>
      <c r="L1320" s="102" t="str">
        <f>VLOOKUP(B1320,辅助信息!E:J,6,FALSE)</f>
        <v>提前联系到场规格及数量</v>
      </c>
      <c r="M1320" s="84">
        <v>45779</v>
      </c>
      <c r="O1320" s="55">
        <f ca="1" t="shared" si="59"/>
        <v>0</v>
      </c>
      <c r="P1320" s="55">
        <f ca="1" t="shared" si="60"/>
        <v>178</v>
      </c>
      <c r="Q1320" s="22" t="str">
        <f>VLOOKUP(B1320,辅助信息!E:M,9,FALSE)</f>
        <v>ZTWM-CDGS-XS-2024-0179-四川商投-射洪城乡一体化建设项目</v>
      </c>
      <c r="R1320" s="111" t="str">
        <f>_xlfn._xlws.FILTER(辅助信息!D:D,辅助信息!E:E=B1320)</f>
        <v>四川商建
射洪城乡一体化项目</v>
      </c>
    </row>
    <row r="1321" hidden="1" spans="2:18">
      <c r="B1321" s="33" t="s">
        <v>31</v>
      </c>
      <c r="C1321" s="63">
        <v>45778</v>
      </c>
      <c r="D1321" s="33" t="str">
        <f>VLOOKUP(B1321,辅助信息!E:K,7,FALSE)</f>
        <v>JWDDCD2024121000136</v>
      </c>
      <c r="E1321" s="33" t="str">
        <f>VLOOKUP(F1321,辅助信息!A:B,2,FALSE)</f>
        <v>螺纹钢</v>
      </c>
      <c r="F1321" s="33" t="s">
        <v>21</v>
      </c>
      <c r="G1321" s="29">
        <v>3</v>
      </c>
      <c r="H1321" s="29">
        <f>_xlfn.XLOOKUP(C1321&amp;F1321&amp;I1321&amp;J1321,'[1]2025年已发货'!$F:$F&amp;'[1]2025年已发货'!$C:$C&amp;'[1]2025年已发货'!$G:$G&amp;'[1]2025年已发货'!$H:$H,'[1]2025年已发货'!$E:$E,"未发货")</f>
        <v>3</v>
      </c>
      <c r="I1321" s="33" t="str">
        <f>VLOOKUP(B1321,辅助信息!E:I,3,FALSE)</f>
        <v>（四川商建-射洪城乡一体化项目）遂宁市射洪市忠新幼儿园北侧约220米新溪小区</v>
      </c>
      <c r="J1321" s="33" t="str">
        <f>VLOOKUP(B1321,辅助信息!E:I,4,FALSE)</f>
        <v>柏子刚</v>
      </c>
      <c r="K1321" s="33">
        <f>VLOOKUP(J1321,辅助信息!H:I,2,FALSE)</f>
        <v>15692885305</v>
      </c>
      <c r="L1321" s="102" t="str">
        <f>VLOOKUP(B1321,辅助信息!E:J,6,FALSE)</f>
        <v>提前联系到场规格及数量</v>
      </c>
      <c r="M1321" s="84">
        <v>45779</v>
      </c>
      <c r="O1321" s="55">
        <f ca="1" t="shared" si="59"/>
        <v>0</v>
      </c>
      <c r="P1321" s="55">
        <f ca="1" t="shared" si="60"/>
        <v>178</v>
      </c>
      <c r="Q1321" s="22" t="str">
        <f>VLOOKUP(B1321,辅助信息!E:M,9,FALSE)</f>
        <v>ZTWM-CDGS-XS-2024-0179-四川商投-射洪城乡一体化建设项目</v>
      </c>
      <c r="R1321" s="111" t="str">
        <f>_xlfn._xlws.FILTER(辅助信息!D:D,辅助信息!E:E=B1321)</f>
        <v>四川商建
射洪城乡一体化项目</v>
      </c>
    </row>
    <row r="1322" hidden="1" spans="2:18">
      <c r="B1322" s="33" t="s">
        <v>31</v>
      </c>
      <c r="C1322" s="63">
        <v>45778</v>
      </c>
      <c r="D1322" s="33" t="str">
        <f>VLOOKUP(B1322,辅助信息!E:K,7,FALSE)</f>
        <v>JWDDCD2024121000136</v>
      </c>
      <c r="E1322" s="33" t="str">
        <f>VLOOKUP(F1322,辅助信息!A:B,2,FALSE)</f>
        <v>螺纹钢</v>
      </c>
      <c r="F1322" s="33" t="s">
        <v>22</v>
      </c>
      <c r="G1322" s="29">
        <v>60</v>
      </c>
      <c r="H1322" s="29">
        <f>_xlfn.XLOOKUP(C1322&amp;F1322&amp;I1322&amp;J1322,'[1]2025年已发货'!$F:$F&amp;'[1]2025年已发货'!$C:$C&amp;'[1]2025年已发货'!$G:$G&amp;'[1]2025年已发货'!$H:$H,'[1]2025年已发货'!$E:$E,"未发货")</f>
        <v>30</v>
      </c>
      <c r="I1322" s="33" t="str">
        <f>VLOOKUP(B1322,辅助信息!E:I,3,FALSE)</f>
        <v>（四川商建-射洪城乡一体化项目）遂宁市射洪市忠新幼儿园北侧约220米新溪小区</v>
      </c>
      <c r="J1322" s="33" t="str">
        <f>VLOOKUP(B1322,辅助信息!E:I,4,FALSE)</f>
        <v>柏子刚</v>
      </c>
      <c r="K1322" s="33">
        <f>VLOOKUP(J1322,辅助信息!H:I,2,FALSE)</f>
        <v>15692885305</v>
      </c>
      <c r="L1322" s="102" t="str">
        <f>VLOOKUP(B1322,辅助信息!E:J,6,FALSE)</f>
        <v>提前联系到场规格及数量</v>
      </c>
      <c r="M1322" s="84">
        <v>45775</v>
      </c>
      <c r="O1322" s="55">
        <f ca="1" t="shared" si="59"/>
        <v>0</v>
      </c>
      <c r="P1322" s="55">
        <f ca="1" t="shared" si="60"/>
        <v>182</v>
      </c>
      <c r="Q1322" s="22" t="str">
        <f>VLOOKUP(B1322,辅助信息!E:M,9,FALSE)</f>
        <v>ZTWM-CDGS-XS-2024-0179-四川商投-射洪城乡一体化建设项目</v>
      </c>
      <c r="R1322" s="111" t="str">
        <f>_xlfn._xlws.FILTER(辅助信息!D:D,辅助信息!E:E=B1322)</f>
        <v>四川商建
射洪城乡一体化项目</v>
      </c>
    </row>
    <row r="1323" hidden="1" spans="2:18">
      <c r="B1323" s="33" t="s">
        <v>147</v>
      </c>
      <c r="C1323" s="63">
        <v>45778</v>
      </c>
      <c r="D1323" s="33" t="str">
        <f>VLOOKUP(B1323,辅助信息!E:K,7,FALSE)</f>
        <v>JWDDCD2025052800131</v>
      </c>
      <c r="E1323" s="33" t="str">
        <f>VLOOKUP(F1323,辅助信息!A:B,2,FALSE)</f>
        <v>高线</v>
      </c>
      <c r="F1323" s="33" t="s">
        <v>57</v>
      </c>
      <c r="G1323" s="29">
        <f>2.5*3</f>
        <v>7.5</v>
      </c>
      <c r="H1323" s="29" t="str">
        <f>_xlfn.XLOOKUP(C1323&amp;F1323&amp;I1323&amp;J1323,'[1]2025年已发货'!$F:$F&amp;'[1]2025年已发货'!$C:$C&amp;'[1]2025年已发货'!$G:$G&amp;'[1]2025年已发货'!$H:$H,'[1]2025年已发货'!$E:$E,"未发货")</f>
        <v>未发货</v>
      </c>
      <c r="I1323" s="33" t="str">
        <f>VLOOKUP(B1323,辅助信息!E:I,3,FALSE)</f>
        <v>（商投建工达州中医药科技园-4工区-11号楼）达州市通川区达州中医药职业学院犀牛大道北段</v>
      </c>
      <c r="J1323" s="33" t="str">
        <f>VLOOKUP(B1323,辅助信息!E:I,4,FALSE)</f>
        <v>张扬</v>
      </c>
      <c r="K1323" s="33">
        <f>VLOOKUP(J1323,辅助信息!H:I,2,FALSE)</f>
        <v>18381904567</v>
      </c>
      <c r="L1323" s="102" t="str">
        <f>VLOOKUP(B1323,辅助信息!E:J,6,FALSE)</f>
        <v>控制炉批号！多了现场不收！,优先安排达钢,提前联系到场规格及数量</v>
      </c>
      <c r="M1323" s="84">
        <v>45777</v>
      </c>
      <c r="O1323" s="55">
        <f ca="1" t="shared" si="59"/>
        <v>0</v>
      </c>
      <c r="P1323" s="55">
        <f ca="1" t="shared" si="60"/>
        <v>180</v>
      </c>
      <c r="Q1323" s="22" t="str">
        <f>VLOOKUP(B1323,辅助信息!E:M,9,FALSE)</f>
        <v>ZTWM-CDGS-XS-2024-0134-商投建工达州中医药科技成果示范园项目</v>
      </c>
      <c r="R1323" s="111" t="str">
        <f>_xlfn._xlws.FILTER(辅助信息!D:D,辅助信息!E:E=B1323)</f>
        <v>商投建工达州中医药科技园</v>
      </c>
    </row>
    <row r="1324" hidden="1" spans="2:18">
      <c r="B1324" s="33" t="s">
        <v>147</v>
      </c>
      <c r="C1324" s="63">
        <v>45778</v>
      </c>
      <c r="D1324" s="33" t="str">
        <f>VLOOKUP(B1324,辅助信息!E:K,7,FALSE)</f>
        <v>JWDDCD2025052800131</v>
      </c>
      <c r="E1324" s="33" t="str">
        <f>VLOOKUP(F1324,辅助信息!A:B,2,FALSE)</f>
        <v>盘螺</v>
      </c>
      <c r="F1324" s="33" t="s">
        <v>41</v>
      </c>
      <c r="G1324" s="29">
        <f>15*2.5</f>
        <v>37.5</v>
      </c>
      <c r="H1324" s="29" t="str">
        <f>_xlfn.XLOOKUP(C1324&amp;F1324&amp;I1324&amp;J1324,'[1]2025年已发货'!$F:$F&amp;'[1]2025年已发货'!$C:$C&amp;'[1]2025年已发货'!$G:$G&amp;'[1]2025年已发货'!$H:$H,'[1]2025年已发货'!$E:$E,"未发货")</f>
        <v>未发货</v>
      </c>
      <c r="I1324" s="33" t="str">
        <f>VLOOKUP(B1324,辅助信息!E:I,3,FALSE)</f>
        <v>（商投建工达州中医药科技园-4工区-11号楼）达州市通川区达州中医药职业学院犀牛大道北段</v>
      </c>
      <c r="J1324" s="33" t="str">
        <f>VLOOKUP(B1324,辅助信息!E:I,4,FALSE)</f>
        <v>张扬</v>
      </c>
      <c r="K1324" s="33">
        <f>VLOOKUP(J1324,辅助信息!H:I,2,FALSE)</f>
        <v>18381904567</v>
      </c>
      <c r="L1324" s="102" t="str">
        <f>VLOOKUP(B1324,辅助信息!E:J,6,FALSE)</f>
        <v>控制炉批号！多了现场不收！,优先安排达钢,提前联系到场规格及数量</v>
      </c>
      <c r="M1324" s="84">
        <v>45777</v>
      </c>
      <c r="O1324" s="55">
        <f ca="1" t="shared" si="59"/>
        <v>0</v>
      </c>
      <c r="P1324" s="55">
        <f ca="1" t="shared" si="60"/>
        <v>180</v>
      </c>
      <c r="Q1324" s="22" t="str">
        <f>VLOOKUP(B1324,辅助信息!E:M,9,FALSE)</f>
        <v>ZTWM-CDGS-XS-2024-0134-商投建工达州中医药科技成果示范园项目</v>
      </c>
      <c r="R1324" s="111" t="str">
        <f>_xlfn._xlws.FILTER(辅助信息!D:D,辅助信息!E:E=B1324)</f>
        <v>商投建工达州中医药科技园</v>
      </c>
    </row>
    <row r="1325" hidden="1" spans="2:18">
      <c r="B1325" s="33" t="s">
        <v>147</v>
      </c>
      <c r="C1325" s="63">
        <v>45778</v>
      </c>
      <c r="D1325" s="33" t="str">
        <f>VLOOKUP(B1325,辅助信息!E:K,7,FALSE)</f>
        <v>JWDDCD2025052800131</v>
      </c>
      <c r="E1325" s="33" t="str">
        <f>VLOOKUP(F1325,辅助信息!A:B,2,FALSE)</f>
        <v>螺纹钢</v>
      </c>
      <c r="F1325" s="33" t="s">
        <v>27</v>
      </c>
      <c r="G1325" s="29">
        <f>7*3</f>
        <v>21</v>
      </c>
      <c r="H1325" s="29" t="str">
        <f>_xlfn.XLOOKUP(C1325&amp;F1325&amp;I1325&amp;J1325,'[1]2025年已发货'!$F:$F&amp;'[1]2025年已发货'!$C:$C&amp;'[1]2025年已发货'!$G:$G&amp;'[1]2025年已发货'!$H:$H,'[1]2025年已发货'!$E:$E,"未发货")</f>
        <v>未发货</v>
      </c>
      <c r="I1325" s="33" t="str">
        <f>VLOOKUP(B1325,辅助信息!E:I,3,FALSE)</f>
        <v>（商投建工达州中医药科技园-4工区-11号楼）达州市通川区达州中医药职业学院犀牛大道北段</v>
      </c>
      <c r="J1325" s="33" t="str">
        <f>VLOOKUP(B1325,辅助信息!E:I,4,FALSE)</f>
        <v>张扬</v>
      </c>
      <c r="K1325" s="33">
        <f>VLOOKUP(J1325,辅助信息!H:I,2,FALSE)</f>
        <v>18381904567</v>
      </c>
      <c r="L1325" s="102" t="str">
        <f>VLOOKUP(B1325,辅助信息!E:J,6,FALSE)</f>
        <v>控制炉批号！多了现场不收！,优先安排达钢,提前联系到场规格及数量</v>
      </c>
      <c r="M1325" s="84">
        <v>45777</v>
      </c>
      <c r="O1325" s="55">
        <f ca="1" t="shared" si="59"/>
        <v>0</v>
      </c>
      <c r="P1325" s="55">
        <f ca="1" t="shared" si="60"/>
        <v>180</v>
      </c>
      <c r="Q1325" s="22" t="str">
        <f>VLOOKUP(B1325,辅助信息!E:M,9,FALSE)</f>
        <v>ZTWM-CDGS-XS-2024-0134-商投建工达州中医药科技成果示范园项目</v>
      </c>
      <c r="R1325" s="111" t="str">
        <f>_xlfn._xlws.FILTER(辅助信息!D:D,辅助信息!E:E=B1325)</f>
        <v>商投建工达州中医药科技园</v>
      </c>
    </row>
    <row r="1326" hidden="1" spans="2:18">
      <c r="B1326" s="33" t="s">
        <v>147</v>
      </c>
      <c r="C1326" s="63">
        <v>45778</v>
      </c>
      <c r="D1326" s="33" t="str">
        <f>VLOOKUP(B1326,辅助信息!E:K,7,FALSE)</f>
        <v>JWDDCD2025052800131</v>
      </c>
      <c r="E1326" s="33" t="str">
        <f>VLOOKUP(F1326,辅助信息!A:B,2,FALSE)</f>
        <v>螺纹钢</v>
      </c>
      <c r="F1326" s="33" t="s">
        <v>30</v>
      </c>
      <c r="G1326" s="29">
        <v>30</v>
      </c>
      <c r="H1326" s="29" t="str">
        <f>_xlfn.XLOOKUP(C1326&amp;F1326&amp;I1326&amp;J1326,'[1]2025年已发货'!$F:$F&amp;'[1]2025年已发货'!$C:$C&amp;'[1]2025年已发货'!$G:$G&amp;'[1]2025年已发货'!$H:$H,'[1]2025年已发货'!$E:$E,"未发货")</f>
        <v>未发货</v>
      </c>
      <c r="I1326" s="33" t="str">
        <f>VLOOKUP(B1326,辅助信息!E:I,3,FALSE)</f>
        <v>（商投建工达州中医药科技园-4工区-11号楼）达州市通川区达州中医药职业学院犀牛大道北段</v>
      </c>
      <c r="J1326" s="33" t="str">
        <f>VLOOKUP(B1326,辅助信息!E:I,4,FALSE)</f>
        <v>张扬</v>
      </c>
      <c r="K1326" s="33">
        <f>VLOOKUP(J1326,辅助信息!H:I,2,FALSE)</f>
        <v>18381904567</v>
      </c>
      <c r="L1326" s="102" t="str">
        <f>VLOOKUP(B1326,辅助信息!E:J,6,FALSE)</f>
        <v>控制炉批号！多了现场不收！,优先安排达钢,提前联系到场规格及数量</v>
      </c>
      <c r="M1326" s="84">
        <v>45777</v>
      </c>
      <c r="O1326" s="55">
        <f ca="1" t="shared" si="59"/>
        <v>0</v>
      </c>
      <c r="P1326" s="55">
        <f ca="1" t="shared" si="60"/>
        <v>180</v>
      </c>
      <c r="Q1326" s="22" t="str">
        <f>VLOOKUP(B1326,辅助信息!E:M,9,FALSE)</f>
        <v>ZTWM-CDGS-XS-2024-0134-商投建工达州中医药科技成果示范园项目</v>
      </c>
      <c r="R1326" s="111" t="str">
        <f>_xlfn._xlws.FILTER(辅助信息!D:D,辅助信息!E:E=B1326)</f>
        <v>商投建工达州中医药科技园</v>
      </c>
    </row>
    <row r="1327" hidden="1" spans="2:18">
      <c r="B1327" s="33" t="s">
        <v>147</v>
      </c>
      <c r="C1327" s="63">
        <v>45778</v>
      </c>
      <c r="D1327" s="33" t="str">
        <f>VLOOKUP(B1327,辅助信息!E:K,7,FALSE)</f>
        <v>JWDDCD2025052800131</v>
      </c>
      <c r="E1327" s="33" t="str">
        <f>VLOOKUP(F1327,辅助信息!A:B,2,FALSE)</f>
        <v>螺纹钢</v>
      </c>
      <c r="F1327" s="33" t="s">
        <v>33</v>
      </c>
      <c r="G1327" s="29">
        <v>30</v>
      </c>
      <c r="H1327" s="29" t="str">
        <f>_xlfn.XLOOKUP(C1327&amp;F1327&amp;I1327&amp;J1327,'[1]2025年已发货'!$F:$F&amp;'[1]2025年已发货'!$C:$C&amp;'[1]2025年已发货'!$G:$G&amp;'[1]2025年已发货'!$H:$H,'[1]2025年已发货'!$E:$E,"未发货")</f>
        <v>未发货</v>
      </c>
      <c r="I1327" s="33" t="str">
        <f>VLOOKUP(B1327,辅助信息!E:I,3,FALSE)</f>
        <v>（商投建工达州中医药科技园-4工区-11号楼）达州市通川区达州中医药职业学院犀牛大道北段</v>
      </c>
      <c r="J1327" s="33" t="str">
        <f>VLOOKUP(B1327,辅助信息!E:I,4,FALSE)</f>
        <v>张扬</v>
      </c>
      <c r="K1327" s="33">
        <f>VLOOKUP(J1327,辅助信息!H:I,2,FALSE)</f>
        <v>18381904567</v>
      </c>
      <c r="L1327" s="102" t="str">
        <f>VLOOKUP(B1327,辅助信息!E:J,6,FALSE)</f>
        <v>控制炉批号！多了现场不收！,优先安排达钢,提前联系到场规格及数量</v>
      </c>
      <c r="M1327" s="84">
        <v>45777</v>
      </c>
      <c r="O1327" s="55">
        <f ca="1" t="shared" si="59"/>
        <v>0</v>
      </c>
      <c r="P1327" s="55">
        <f ca="1" t="shared" si="60"/>
        <v>180</v>
      </c>
      <c r="Q1327" s="22" t="str">
        <f>VLOOKUP(B1327,辅助信息!E:M,9,FALSE)</f>
        <v>ZTWM-CDGS-XS-2024-0134-商投建工达州中医药科技成果示范园项目</v>
      </c>
      <c r="R1327" s="111" t="str">
        <f>_xlfn._xlws.FILTER(辅助信息!D:D,辅助信息!E:E=B1327)</f>
        <v>商投建工达州中医药科技园</v>
      </c>
    </row>
    <row r="1328" hidden="1" spans="2:18">
      <c r="B1328" s="33" t="s">
        <v>147</v>
      </c>
      <c r="C1328" s="63">
        <v>45778</v>
      </c>
      <c r="D1328" s="33" t="str">
        <f>VLOOKUP(B1328,辅助信息!E:K,7,FALSE)</f>
        <v>JWDDCD2025052800131</v>
      </c>
      <c r="E1328" s="33" t="str">
        <f>VLOOKUP(F1328,辅助信息!A:B,2,FALSE)</f>
        <v>螺纹钢</v>
      </c>
      <c r="F1328" s="33" t="s">
        <v>18</v>
      </c>
      <c r="G1328" s="29">
        <f>6*3</f>
        <v>18</v>
      </c>
      <c r="H1328" s="29" t="str">
        <f>_xlfn.XLOOKUP(C1328&amp;F1328&amp;I1328&amp;J1328,'[1]2025年已发货'!$F:$F&amp;'[1]2025年已发货'!$C:$C&amp;'[1]2025年已发货'!$G:$G&amp;'[1]2025年已发货'!$H:$H,'[1]2025年已发货'!$E:$E,"未发货")</f>
        <v>未发货</v>
      </c>
      <c r="I1328" s="33" t="str">
        <f>VLOOKUP(B1328,辅助信息!E:I,3,FALSE)</f>
        <v>（商投建工达州中医药科技园-4工区-11号楼）达州市通川区达州中医药职业学院犀牛大道北段</v>
      </c>
      <c r="J1328" s="33" t="str">
        <f>VLOOKUP(B1328,辅助信息!E:I,4,FALSE)</f>
        <v>张扬</v>
      </c>
      <c r="K1328" s="33">
        <f>VLOOKUP(J1328,辅助信息!H:I,2,FALSE)</f>
        <v>18381904567</v>
      </c>
      <c r="L1328" s="102" t="str">
        <f>VLOOKUP(B1328,辅助信息!E:J,6,FALSE)</f>
        <v>控制炉批号！多了现场不收！,优先安排达钢,提前联系到场规格及数量</v>
      </c>
      <c r="M1328" s="84">
        <v>45777</v>
      </c>
      <c r="O1328" s="55">
        <f ca="1" t="shared" si="59"/>
        <v>0</v>
      </c>
      <c r="P1328" s="55">
        <f ca="1" t="shared" si="60"/>
        <v>180</v>
      </c>
      <c r="Q1328" s="22" t="str">
        <f>VLOOKUP(B1328,辅助信息!E:M,9,FALSE)</f>
        <v>ZTWM-CDGS-XS-2024-0134-商投建工达州中医药科技成果示范园项目</v>
      </c>
      <c r="R1328" s="111" t="str">
        <f>_xlfn._xlws.FILTER(辅助信息!D:D,辅助信息!E:E=B1328)</f>
        <v>商投建工达州中医药科技园</v>
      </c>
    </row>
    <row r="1329" hidden="1" spans="2:18">
      <c r="B1329" s="33" t="s">
        <v>106</v>
      </c>
      <c r="C1329" s="63">
        <v>45778</v>
      </c>
      <c r="D1329" s="33" t="str">
        <f>VLOOKUP(B1329,辅助信息!E:K,7,FALSE)</f>
        <v>JWDDCD2024101600133</v>
      </c>
      <c r="E1329" s="33" t="str">
        <f>VLOOKUP(F1329,辅助信息!A:B,2,FALSE)</f>
        <v>盘螺</v>
      </c>
      <c r="F1329" s="33" t="s">
        <v>49</v>
      </c>
      <c r="G1329" s="29">
        <v>12.5</v>
      </c>
      <c r="H1329" s="29" t="str">
        <f>_xlfn.XLOOKUP(C1329&amp;F1329&amp;I1329&amp;J1329,'[1]2025年已发货'!$F:$F&amp;'[1]2025年已发货'!$C:$C&amp;'[1]2025年已发货'!$G:$G&amp;'[1]2025年已发货'!$H:$H,'[1]2025年已发货'!$E:$E,"未发货")</f>
        <v>未发货</v>
      </c>
      <c r="I1329" s="33" t="str">
        <f>VLOOKUP(B1329,辅助信息!E:I,3,FALSE)</f>
        <v>（五冶钢构宜宾高县月江镇建设项目）  四川省宜宾市高县月江镇刚记超市斜对面(还阳组团沪碳二期项目)</v>
      </c>
      <c r="J1329" s="33" t="str">
        <f>VLOOKUP(B1329,辅助信息!E:I,4,FALSE)</f>
        <v>张朝亮</v>
      </c>
      <c r="K1329" s="33">
        <f>VLOOKUP(J1329,辅助信息!H:I,2,FALSE)</f>
        <v>15228205853</v>
      </c>
      <c r="L1329" s="102" t="str">
        <f>VLOOKUP(B1329,辅助信息!E:J,6,FALSE)</f>
        <v>提前联系到场规格</v>
      </c>
      <c r="M1329" s="84">
        <v>45778</v>
      </c>
      <c r="O1329" s="55">
        <f ca="1" t="shared" si="59"/>
        <v>0</v>
      </c>
      <c r="P1329" s="55">
        <f ca="1" t="shared" si="60"/>
        <v>179</v>
      </c>
      <c r="Q1329" s="22" t="str">
        <f>VLOOKUP(B1329,辅助信息!E:M,9,FALSE)</f>
        <v>ZTWM-CDGS-XS-2024-0169-中冶西部钢构-宜宾市南溪区幸福路东路,高县月江镇建设项目</v>
      </c>
      <c r="R1329" s="111" t="str">
        <f>_xlfn._xlws.FILTER(辅助信息!D:D,辅助信息!E:E=B1329)</f>
        <v>五冶钢构-宜宾市南溪区高县月江镇建设项目</v>
      </c>
    </row>
    <row r="1330" hidden="1" spans="2:18">
      <c r="B1330" s="33" t="s">
        <v>106</v>
      </c>
      <c r="C1330" s="63">
        <v>45778</v>
      </c>
      <c r="D1330" s="33" t="str">
        <f>VLOOKUP(B1330,辅助信息!E:K,7,FALSE)</f>
        <v>JWDDCD2024101600133</v>
      </c>
      <c r="E1330" s="33" t="str">
        <f>VLOOKUP(F1330,辅助信息!A:B,2,FALSE)</f>
        <v>盘螺</v>
      </c>
      <c r="F1330" s="33" t="s">
        <v>41</v>
      </c>
      <c r="G1330" s="29">
        <v>2.5</v>
      </c>
      <c r="H1330" s="29" t="str">
        <f>_xlfn.XLOOKUP(C1330&amp;F1330&amp;I1330&amp;J1330,'[1]2025年已发货'!$F:$F&amp;'[1]2025年已发货'!$C:$C&amp;'[1]2025年已发货'!$G:$G&amp;'[1]2025年已发货'!$H:$H,'[1]2025年已发货'!$E:$E,"未发货")</f>
        <v>未发货</v>
      </c>
      <c r="I1330" s="33" t="str">
        <f>VLOOKUP(B1330,辅助信息!E:I,3,FALSE)</f>
        <v>（五冶钢构宜宾高县月江镇建设项目）  四川省宜宾市高县月江镇刚记超市斜对面(还阳组团沪碳二期项目)</v>
      </c>
      <c r="J1330" s="33" t="str">
        <f>VLOOKUP(B1330,辅助信息!E:I,4,FALSE)</f>
        <v>张朝亮</v>
      </c>
      <c r="K1330" s="33">
        <f>VLOOKUP(J1330,辅助信息!H:I,2,FALSE)</f>
        <v>15228205853</v>
      </c>
      <c r="L1330" s="102" t="str">
        <f>VLOOKUP(B1330,辅助信息!E:J,6,FALSE)</f>
        <v>提前联系到场规格</v>
      </c>
      <c r="M1330" s="84">
        <v>45778</v>
      </c>
      <c r="O1330" s="55">
        <f ca="1" t="shared" si="59"/>
        <v>0</v>
      </c>
      <c r="P1330" s="55">
        <f ca="1" t="shared" si="60"/>
        <v>179</v>
      </c>
      <c r="Q1330" s="22" t="str">
        <f>VLOOKUP(B1330,辅助信息!E:M,9,FALSE)</f>
        <v>ZTWM-CDGS-XS-2024-0169-中冶西部钢构-宜宾市南溪区幸福路东路,高县月江镇建设项目</v>
      </c>
      <c r="R1330" s="111" t="str">
        <f>_xlfn._xlws.FILTER(辅助信息!D:D,辅助信息!E:E=B1330)</f>
        <v>五冶钢构-宜宾市南溪区高县月江镇建设项目</v>
      </c>
    </row>
    <row r="1331" hidden="1" spans="2:18">
      <c r="B1331" s="33" t="s">
        <v>106</v>
      </c>
      <c r="C1331" s="63">
        <v>45778</v>
      </c>
      <c r="D1331" s="33" t="str">
        <f>VLOOKUP(B1331,辅助信息!E:K,7,FALSE)</f>
        <v>JWDDCD2024101600133</v>
      </c>
      <c r="E1331" s="33" t="str">
        <f>VLOOKUP(F1331,辅助信息!A:B,2,FALSE)</f>
        <v>螺纹钢</v>
      </c>
      <c r="F1331" s="33" t="s">
        <v>19</v>
      </c>
      <c r="G1331" s="29">
        <v>6</v>
      </c>
      <c r="H1331" s="29" t="str">
        <f>_xlfn.XLOOKUP(C1331&amp;F1331&amp;I1331&amp;J1331,'[1]2025年已发货'!$F:$F&amp;'[1]2025年已发货'!$C:$C&amp;'[1]2025年已发货'!$G:$G&amp;'[1]2025年已发货'!$H:$H,'[1]2025年已发货'!$E:$E,"未发货")</f>
        <v>未发货</v>
      </c>
      <c r="I1331" s="33" t="str">
        <f>VLOOKUP(B1331,辅助信息!E:I,3,FALSE)</f>
        <v>（五冶钢构宜宾高县月江镇建设项目）  四川省宜宾市高县月江镇刚记超市斜对面(还阳组团沪碳二期项目)</v>
      </c>
      <c r="J1331" s="33" t="str">
        <f>VLOOKUP(B1331,辅助信息!E:I,4,FALSE)</f>
        <v>张朝亮</v>
      </c>
      <c r="K1331" s="33">
        <f>VLOOKUP(J1331,辅助信息!H:I,2,FALSE)</f>
        <v>15228205853</v>
      </c>
      <c r="L1331" s="102" t="str">
        <f>VLOOKUP(B1331,辅助信息!E:J,6,FALSE)</f>
        <v>提前联系到场规格</v>
      </c>
      <c r="M1331" s="84">
        <v>45778</v>
      </c>
      <c r="O1331" s="55">
        <f ca="1" t="shared" si="59"/>
        <v>0</v>
      </c>
      <c r="P1331" s="55">
        <f ca="1" t="shared" si="60"/>
        <v>179</v>
      </c>
      <c r="Q1331" s="22" t="str">
        <f>VLOOKUP(B1331,辅助信息!E:M,9,FALSE)</f>
        <v>ZTWM-CDGS-XS-2024-0169-中冶西部钢构-宜宾市南溪区幸福路东路,高县月江镇建设项目</v>
      </c>
      <c r="R1331" s="111" t="str">
        <f>_xlfn._xlws.FILTER(辅助信息!D:D,辅助信息!E:E=B1331)</f>
        <v>五冶钢构-宜宾市南溪区高县月江镇建设项目</v>
      </c>
    </row>
    <row r="1332" hidden="1" spans="2:18">
      <c r="B1332" s="33" t="s">
        <v>106</v>
      </c>
      <c r="C1332" s="63">
        <v>45778</v>
      </c>
      <c r="D1332" s="33" t="str">
        <f>VLOOKUP(B1332,辅助信息!E:K,7,FALSE)</f>
        <v>JWDDCD2024101600133</v>
      </c>
      <c r="E1332" s="33" t="str">
        <f>VLOOKUP(F1332,辅助信息!A:B,2,FALSE)</f>
        <v>螺纹钢</v>
      </c>
      <c r="F1332" s="33" t="s">
        <v>30</v>
      </c>
      <c r="G1332" s="29">
        <v>9</v>
      </c>
      <c r="H1332" s="29" t="str">
        <f>_xlfn.XLOOKUP(C1332&amp;F1332&amp;I1332&amp;J1332,'[1]2025年已发货'!$F:$F&amp;'[1]2025年已发货'!$C:$C&amp;'[1]2025年已发货'!$G:$G&amp;'[1]2025年已发货'!$H:$H,'[1]2025年已发货'!$E:$E,"未发货")</f>
        <v>未发货</v>
      </c>
      <c r="I1332" s="33" t="str">
        <f>VLOOKUP(B1332,辅助信息!E:I,3,FALSE)</f>
        <v>（五冶钢构宜宾高县月江镇建设项目）  四川省宜宾市高县月江镇刚记超市斜对面(还阳组团沪碳二期项目)</v>
      </c>
      <c r="J1332" s="33" t="str">
        <f>VLOOKUP(B1332,辅助信息!E:I,4,FALSE)</f>
        <v>张朝亮</v>
      </c>
      <c r="K1332" s="33">
        <f>VLOOKUP(J1332,辅助信息!H:I,2,FALSE)</f>
        <v>15228205853</v>
      </c>
      <c r="L1332" s="102" t="str">
        <f>VLOOKUP(B1332,辅助信息!E:J,6,FALSE)</f>
        <v>提前联系到场规格</v>
      </c>
      <c r="M1332" s="84">
        <v>45778</v>
      </c>
      <c r="O1332" s="55">
        <f ca="1" t="shared" si="59"/>
        <v>0</v>
      </c>
      <c r="P1332" s="55">
        <f ca="1" t="shared" si="60"/>
        <v>179</v>
      </c>
      <c r="Q1332" s="22" t="str">
        <f>VLOOKUP(B1332,辅助信息!E:M,9,FALSE)</f>
        <v>ZTWM-CDGS-XS-2024-0169-中冶西部钢构-宜宾市南溪区幸福路东路,高县月江镇建设项目</v>
      </c>
      <c r="R1332" s="111" t="str">
        <f>_xlfn._xlws.FILTER(辅助信息!D:D,辅助信息!E:E=B1332)</f>
        <v>五冶钢构-宜宾市南溪区高县月江镇建设项目</v>
      </c>
    </row>
    <row r="1333" hidden="1" spans="2:18">
      <c r="B1333" s="33" t="s">
        <v>127</v>
      </c>
      <c r="C1333" s="63">
        <v>45778</v>
      </c>
      <c r="D1333" s="33" t="str">
        <f>VLOOKUP(B1333,辅助信息!E:K,7,FALSE)</f>
        <v>JWDDCD2025051000019</v>
      </c>
      <c r="E1333" s="33" t="str">
        <f>VLOOKUP(F1333,辅助信息!A:B,2,FALSE)</f>
        <v>盘螺</v>
      </c>
      <c r="F1333" s="33" t="s">
        <v>49</v>
      </c>
      <c r="G1333" s="29">
        <v>12</v>
      </c>
      <c r="H1333" s="29" t="str">
        <f>_xlfn.XLOOKUP(C1333&amp;F1333&amp;I1333&amp;J1333,'[1]2025年已发货'!$F:$F&amp;'[1]2025年已发货'!$C:$C&amp;'[1]2025年已发货'!$G:$G&amp;'[1]2025年已发货'!$H:$H,'[1]2025年已发货'!$E:$E,"未发货")</f>
        <v>未发货</v>
      </c>
      <c r="I1333" s="33" t="str">
        <f>VLOOKUP(B1333,辅助信息!E:I,3,FALSE)</f>
        <v>(五冶钢构医学科学产业园建设项目房建三部-管网总坪)四川省南充市顺庆区搬罾街道学府大道二段</v>
      </c>
      <c r="J1333" s="33" t="str">
        <f>VLOOKUP(B1333,辅助信息!E:I,4,FALSE)</f>
        <v>郑林</v>
      </c>
      <c r="K1333" s="33">
        <f>VLOOKUP(J1333,辅助信息!H:I,2,FALSE)</f>
        <v>18349955455</v>
      </c>
      <c r="L1333" s="102" t="str">
        <f>VLOOKUP(B1333,辅助信息!E:J,6,FALSE)</f>
        <v>送货单：送货单位：南充思临新材料科技有限公司,收货单位：五冶集团川北(南充)建设有限公司,项目名称：南充医学科学产业园,送货车型13米,装货前联系收货人核实到场规格</v>
      </c>
      <c r="M1333" s="84">
        <v>45780</v>
      </c>
      <c r="O1333" s="55">
        <f ca="1" t="shared" si="59"/>
        <v>0</v>
      </c>
      <c r="P1333" s="55">
        <f ca="1" t="shared" si="60"/>
        <v>177</v>
      </c>
      <c r="Q1333" s="22" t="str">
        <f>VLOOKUP(B1333,辅助信息!E:M,9,FALSE)</f>
        <v>ZTWM-CDGS-XS-2024-0248-五冶钢构-南充市医学院项目</v>
      </c>
      <c r="R1333" s="111" t="str">
        <f>_xlfn._xlws.FILTER(辅助信息!D:D,辅助信息!E:E=B1333)</f>
        <v>五冶钢构南充医学科学产业园建设项目</v>
      </c>
    </row>
    <row r="1334" hidden="1" spans="2:18">
      <c r="B1334" s="33" t="s">
        <v>127</v>
      </c>
      <c r="C1334" s="63">
        <v>45778</v>
      </c>
      <c r="D1334" s="33" t="str">
        <f>VLOOKUP(B1334,辅助信息!E:K,7,FALSE)</f>
        <v>JWDDCD2025051000019</v>
      </c>
      <c r="E1334" s="33" t="str">
        <f>VLOOKUP(F1334,辅助信息!A:B,2,FALSE)</f>
        <v>盘螺</v>
      </c>
      <c r="F1334" s="33" t="s">
        <v>41</v>
      </c>
      <c r="G1334" s="29">
        <v>10</v>
      </c>
      <c r="H1334" s="29" t="str">
        <f>_xlfn.XLOOKUP(C1334&amp;F1334&amp;I1334&amp;J1334,'[1]2025年已发货'!$F:$F&amp;'[1]2025年已发货'!$C:$C&amp;'[1]2025年已发货'!$G:$G&amp;'[1]2025年已发货'!$H:$H,'[1]2025年已发货'!$E:$E,"未发货")</f>
        <v>未发货</v>
      </c>
      <c r="I1334" s="33" t="str">
        <f>VLOOKUP(B1334,辅助信息!E:I,3,FALSE)</f>
        <v>(五冶钢构医学科学产业园建设项目房建三部-管网总坪)四川省南充市顺庆区搬罾街道学府大道二段</v>
      </c>
      <c r="J1334" s="33" t="str">
        <f>VLOOKUP(B1334,辅助信息!E:I,4,FALSE)</f>
        <v>郑林</v>
      </c>
      <c r="K1334" s="33">
        <f>VLOOKUP(J1334,辅助信息!H:I,2,FALSE)</f>
        <v>18349955455</v>
      </c>
      <c r="L1334" s="102" t="str">
        <f>VLOOKUP(B1334,辅助信息!E:J,6,FALSE)</f>
        <v>送货单：送货单位：南充思临新材料科技有限公司,收货单位：五冶集团川北(南充)建设有限公司,项目名称：南充医学科学产业园,送货车型13米,装货前联系收货人核实到场规格</v>
      </c>
      <c r="M1334" s="84">
        <v>45780</v>
      </c>
      <c r="O1334" s="55">
        <f ca="1" t="shared" si="59"/>
        <v>0</v>
      </c>
      <c r="P1334" s="55">
        <f ca="1" t="shared" si="60"/>
        <v>177</v>
      </c>
      <c r="Q1334" s="22" t="str">
        <f>VLOOKUP(B1334,辅助信息!E:M,9,FALSE)</f>
        <v>ZTWM-CDGS-XS-2024-0248-五冶钢构-南充市医学院项目</v>
      </c>
      <c r="R1334" s="111" t="str">
        <f>_xlfn._xlws.FILTER(辅助信息!D:D,辅助信息!E:E=B1334)</f>
        <v>五冶钢构南充医学科学产业园建设项目</v>
      </c>
    </row>
    <row r="1335" hidden="1" spans="2:18">
      <c r="B1335" s="33" t="s">
        <v>127</v>
      </c>
      <c r="C1335" s="63">
        <v>45778</v>
      </c>
      <c r="D1335" s="33" t="str">
        <f>VLOOKUP(B1335,辅助信息!E:K,7,FALSE)</f>
        <v>JWDDCD2025051000019</v>
      </c>
      <c r="E1335" s="33" t="str">
        <f>VLOOKUP(F1335,辅助信息!A:B,2,FALSE)</f>
        <v>螺纹钢</v>
      </c>
      <c r="F1335" s="33" t="s">
        <v>27</v>
      </c>
      <c r="G1335" s="29">
        <v>13</v>
      </c>
      <c r="H1335" s="29" t="str">
        <f>_xlfn.XLOOKUP(C1335&amp;F1335&amp;I1335&amp;J1335,'[1]2025年已发货'!$F:$F&amp;'[1]2025年已发货'!$C:$C&amp;'[1]2025年已发货'!$G:$G&amp;'[1]2025年已发货'!$H:$H,'[1]2025年已发货'!$E:$E,"未发货")</f>
        <v>未发货</v>
      </c>
      <c r="I1335" s="33" t="str">
        <f>VLOOKUP(B1335,辅助信息!E:I,3,FALSE)</f>
        <v>(五冶钢构医学科学产业园建设项目房建三部-管网总坪)四川省南充市顺庆区搬罾街道学府大道二段</v>
      </c>
      <c r="J1335" s="33" t="str">
        <f>VLOOKUP(B1335,辅助信息!E:I,4,FALSE)</f>
        <v>郑林</v>
      </c>
      <c r="K1335" s="33">
        <f>VLOOKUP(J1335,辅助信息!H:I,2,FALSE)</f>
        <v>18349955455</v>
      </c>
      <c r="L1335" s="102" t="str">
        <f>VLOOKUP(B1335,辅助信息!E:J,6,FALSE)</f>
        <v>送货单：送货单位：南充思临新材料科技有限公司,收货单位：五冶集团川北(南充)建设有限公司,项目名称：南充医学科学产业园,送货车型13米,装货前联系收货人核实到场规格</v>
      </c>
      <c r="M1335" s="84">
        <v>45780</v>
      </c>
      <c r="O1335" s="55">
        <f ca="1" t="shared" si="59"/>
        <v>0</v>
      </c>
      <c r="P1335" s="55">
        <f ca="1" t="shared" si="60"/>
        <v>177</v>
      </c>
      <c r="Q1335" s="22" t="str">
        <f>VLOOKUP(B1335,辅助信息!E:M,9,FALSE)</f>
        <v>ZTWM-CDGS-XS-2024-0248-五冶钢构-南充市医学院项目</v>
      </c>
      <c r="R1335" s="111" t="str">
        <f>_xlfn._xlws.FILTER(辅助信息!D:D,辅助信息!E:E=B1335)</f>
        <v>五冶钢构南充医学科学产业园建设项目</v>
      </c>
    </row>
    <row r="1336" hidden="1" spans="2:18">
      <c r="B1336" s="33" t="s">
        <v>81</v>
      </c>
      <c r="C1336" s="63">
        <v>45778</v>
      </c>
      <c r="D1336" s="33" t="str">
        <f>VLOOKUP(B1336,辅助信息!E:K,7,FALSE)</f>
        <v>JWDDCD2025060900080</v>
      </c>
      <c r="E1336" s="33" t="str">
        <f>VLOOKUP(F1336,辅助信息!A:B,2,FALSE)</f>
        <v>高线</v>
      </c>
      <c r="F1336" s="33" t="s">
        <v>53</v>
      </c>
      <c r="G1336" s="29">
        <v>2</v>
      </c>
      <c r="H1336" s="29">
        <f>_xlfn.XLOOKUP(C1336&amp;F1336&amp;I1336&amp;J1336,'[1]2025年已发货'!$F:$F&amp;'[1]2025年已发货'!$C:$C&amp;'[1]2025年已发货'!$G:$G&amp;'[1]2025年已发货'!$H:$H,'[1]2025年已发货'!$E:$E,"未发货")</f>
        <v>2</v>
      </c>
      <c r="I1336" s="33" t="str">
        <f>VLOOKUP(B1336,辅助信息!E:I,3,FALSE)</f>
        <v>（华西简阳西城嘉苑）四川省成都市简阳市简城街道高屋村</v>
      </c>
      <c r="J1336" s="33" t="str">
        <f>VLOOKUP(B1336,辅助信息!E:I,4,FALSE)</f>
        <v>张瀚镭</v>
      </c>
      <c r="K1336" s="33">
        <f>VLOOKUP(J1336,辅助信息!H:I,2,FALSE)</f>
        <v>15884666220</v>
      </c>
      <c r="L1336" s="102" t="str">
        <f>VLOOKUP(B1336,辅助信息!E:J,6,FALSE)</f>
        <v>现场禁止使用氢能源挂车！优先威钢发货,我方卸车,新老国标钢厂不加价可直发，因陕钢多次出现磅差，项目拒绝使用</v>
      </c>
      <c r="M1336" s="84">
        <v>45782</v>
      </c>
      <c r="O1336" s="55">
        <f ca="1" t="shared" ref="O1336:O1348" si="61">IF(OR(M1336="",N1336&lt;&gt;""),"",MAX(M1336-TODAY(),0))</f>
        <v>0</v>
      </c>
      <c r="P1336" s="55">
        <f ca="1" t="shared" ref="P1336:P1348" si="62">IF(M1336="","",IF(N1336&lt;&gt;"",MAX(N1336-M1336,0),IF(TODAY()&gt;M1336,TODAY()-M1336,0)))</f>
        <v>175</v>
      </c>
      <c r="Q1336" s="22" t="str">
        <f>VLOOKUP(B1336,辅助信息!E:M,9,FALSE)</f>
        <v>ZTWM-CDGS-XS-2024-0030-华西集采-简州大道</v>
      </c>
      <c r="R1336" s="111" t="str">
        <f>_xlfn._xlws.FILTER(辅助信息!D:D,辅助信息!E:E=B1336)</f>
        <v>华西简阳西城嘉苑</v>
      </c>
    </row>
    <row r="1337" hidden="1" spans="2:18">
      <c r="B1337" s="33" t="s">
        <v>81</v>
      </c>
      <c r="C1337" s="63">
        <v>45778</v>
      </c>
      <c r="D1337" s="33" t="str">
        <f>VLOOKUP(B1337,辅助信息!E:K,7,FALSE)</f>
        <v>JWDDCD2025060900080</v>
      </c>
      <c r="E1337" s="33" t="str">
        <f>VLOOKUP(F1337,辅助信息!A:B,2,FALSE)</f>
        <v>盘螺</v>
      </c>
      <c r="F1337" s="33" t="s">
        <v>49</v>
      </c>
      <c r="G1337" s="29">
        <v>2</v>
      </c>
      <c r="H1337" s="29">
        <f>_xlfn.XLOOKUP(C1337&amp;F1337&amp;I1337&amp;J1337,'[1]2025年已发货'!$F:$F&amp;'[1]2025年已发货'!$C:$C&amp;'[1]2025年已发货'!$G:$G&amp;'[1]2025年已发货'!$H:$H,'[1]2025年已发货'!$E:$E,"未发货")</f>
        <v>2</v>
      </c>
      <c r="I1337" s="33" t="str">
        <f>VLOOKUP(B1337,辅助信息!E:I,3,FALSE)</f>
        <v>（华西简阳西城嘉苑）四川省成都市简阳市简城街道高屋村</v>
      </c>
      <c r="J1337" s="33" t="str">
        <f>VLOOKUP(B1337,辅助信息!E:I,4,FALSE)</f>
        <v>张瀚镭</v>
      </c>
      <c r="K1337" s="33">
        <f>VLOOKUP(J1337,辅助信息!H:I,2,FALSE)</f>
        <v>15884666220</v>
      </c>
      <c r="L1337" s="102" t="str">
        <f>VLOOKUP(B1337,辅助信息!E:J,6,FALSE)</f>
        <v>现场禁止使用氢能源挂车！优先威钢发货,我方卸车,新老国标钢厂不加价可直发，因陕钢多次出现磅差，项目拒绝使用</v>
      </c>
      <c r="M1337" s="84">
        <v>45782</v>
      </c>
      <c r="O1337" s="55">
        <f ca="1" t="shared" si="61"/>
        <v>0</v>
      </c>
      <c r="P1337" s="55">
        <f ca="1" t="shared" si="62"/>
        <v>175</v>
      </c>
      <c r="Q1337" s="22" t="str">
        <f>VLOOKUP(B1337,辅助信息!E:M,9,FALSE)</f>
        <v>ZTWM-CDGS-XS-2024-0030-华西集采-简州大道</v>
      </c>
      <c r="R1337" s="111" t="str">
        <f>_xlfn._xlws.FILTER(辅助信息!D:D,辅助信息!E:E=B1337)</f>
        <v>华西简阳西城嘉苑</v>
      </c>
    </row>
    <row r="1338" hidden="1" spans="2:18">
      <c r="B1338" s="33" t="s">
        <v>81</v>
      </c>
      <c r="C1338" s="63">
        <v>45778</v>
      </c>
      <c r="D1338" s="33" t="str">
        <f>VLOOKUP(B1338,辅助信息!E:K,7,FALSE)</f>
        <v>JWDDCD2025060900080</v>
      </c>
      <c r="E1338" s="33" t="str">
        <f>VLOOKUP(F1338,辅助信息!A:B,2,FALSE)</f>
        <v>盘螺</v>
      </c>
      <c r="F1338" s="33" t="s">
        <v>40</v>
      </c>
      <c r="G1338" s="29">
        <v>12</v>
      </c>
      <c r="H1338" s="29">
        <f>_xlfn.XLOOKUP(C1338&amp;F1338&amp;I1338&amp;J1338,'[1]2025年已发货'!$F:$F&amp;'[1]2025年已发货'!$C:$C&amp;'[1]2025年已发货'!$G:$G&amp;'[1]2025年已发货'!$H:$H,'[1]2025年已发货'!$E:$E,"未发货")</f>
        <v>12</v>
      </c>
      <c r="I1338" s="33" t="str">
        <f>VLOOKUP(B1338,辅助信息!E:I,3,FALSE)</f>
        <v>（华西简阳西城嘉苑）四川省成都市简阳市简城街道高屋村</v>
      </c>
      <c r="J1338" s="33" t="str">
        <f>VLOOKUP(B1338,辅助信息!E:I,4,FALSE)</f>
        <v>张瀚镭</v>
      </c>
      <c r="K1338" s="33">
        <f>VLOOKUP(J1338,辅助信息!H:I,2,FALSE)</f>
        <v>15884666220</v>
      </c>
      <c r="L1338" s="102" t="str">
        <f>VLOOKUP(B1338,辅助信息!E:J,6,FALSE)</f>
        <v>现场禁止使用氢能源挂车！优先威钢发货,我方卸车,新老国标钢厂不加价可直发，因陕钢多次出现磅差，项目拒绝使用</v>
      </c>
      <c r="M1338" s="84">
        <v>45782</v>
      </c>
      <c r="O1338" s="55">
        <f ca="1" t="shared" si="61"/>
        <v>0</v>
      </c>
      <c r="P1338" s="55">
        <f ca="1" t="shared" si="62"/>
        <v>175</v>
      </c>
      <c r="Q1338" s="22" t="str">
        <f>VLOOKUP(B1338,辅助信息!E:M,9,FALSE)</f>
        <v>ZTWM-CDGS-XS-2024-0030-华西集采-简州大道</v>
      </c>
      <c r="R1338" s="111" t="str">
        <f>_xlfn._xlws.FILTER(辅助信息!D:D,辅助信息!E:E=B1338)</f>
        <v>华西简阳西城嘉苑</v>
      </c>
    </row>
    <row r="1339" hidden="1" spans="2:18">
      <c r="B1339" s="33" t="s">
        <v>81</v>
      </c>
      <c r="C1339" s="63">
        <v>45778</v>
      </c>
      <c r="D1339" s="33" t="str">
        <f>VLOOKUP(B1339,辅助信息!E:K,7,FALSE)</f>
        <v>JWDDCD2025060900080</v>
      </c>
      <c r="E1339" s="33" t="str">
        <f>VLOOKUP(F1339,辅助信息!A:B,2,FALSE)</f>
        <v>盘螺</v>
      </c>
      <c r="F1339" s="33" t="s">
        <v>41</v>
      </c>
      <c r="G1339" s="29">
        <v>53</v>
      </c>
      <c r="H1339" s="29">
        <f>_xlfn.XLOOKUP(C1339&amp;F1339&amp;I1339&amp;J1339,'[1]2025年已发货'!$F:$F&amp;'[1]2025年已发货'!$C:$C&amp;'[1]2025年已发货'!$G:$G&amp;'[1]2025年已发货'!$H:$H,'[1]2025年已发货'!$E:$E,"未发货")</f>
        <v>53</v>
      </c>
      <c r="I1339" s="33" t="str">
        <f>VLOOKUP(B1339,辅助信息!E:I,3,FALSE)</f>
        <v>（华西简阳西城嘉苑）四川省成都市简阳市简城街道高屋村</v>
      </c>
      <c r="J1339" s="33" t="str">
        <f>VLOOKUP(B1339,辅助信息!E:I,4,FALSE)</f>
        <v>张瀚镭</v>
      </c>
      <c r="K1339" s="33">
        <f>VLOOKUP(J1339,辅助信息!H:I,2,FALSE)</f>
        <v>15884666220</v>
      </c>
      <c r="L1339" s="102" t="str">
        <f>VLOOKUP(B1339,辅助信息!E:J,6,FALSE)</f>
        <v>现场禁止使用氢能源挂车！优先威钢发货,我方卸车,新老国标钢厂不加价可直发，因陕钢多次出现磅差，项目拒绝使用</v>
      </c>
      <c r="M1339" s="84">
        <v>45782</v>
      </c>
      <c r="O1339" s="55">
        <f ca="1" t="shared" si="61"/>
        <v>0</v>
      </c>
      <c r="P1339" s="55">
        <f ca="1" t="shared" si="62"/>
        <v>175</v>
      </c>
      <c r="Q1339" s="22" t="str">
        <f>VLOOKUP(B1339,辅助信息!E:M,9,FALSE)</f>
        <v>ZTWM-CDGS-XS-2024-0030-华西集采-简州大道</v>
      </c>
      <c r="R1339" s="111" t="str">
        <f>_xlfn._xlws.FILTER(辅助信息!D:D,辅助信息!E:E=B1339)</f>
        <v>华西简阳西城嘉苑</v>
      </c>
    </row>
    <row r="1340" hidden="1" spans="2:18">
      <c r="B1340" s="33" t="s">
        <v>81</v>
      </c>
      <c r="C1340" s="63">
        <v>45778</v>
      </c>
      <c r="D1340" s="33" t="str">
        <f>VLOOKUP(B1340,辅助信息!E:K,7,FALSE)</f>
        <v>JWDDCD2025060900080</v>
      </c>
      <c r="E1340" s="33" t="str">
        <f>VLOOKUP(F1340,辅助信息!A:B,2,FALSE)</f>
        <v>螺纹钢</v>
      </c>
      <c r="F1340" s="33" t="s">
        <v>27</v>
      </c>
      <c r="G1340" s="29">
        <v>18</v>
      </c>
      <c r="H1340" s="29">
        <f>_xlfn.XLOOKUP(C1340&amp;F1340&amp;I1340&amp;J1340,'[1]2025年已发货'!$F:$F&amp;'[1]2025年已发货'!$C:$C&amp;'[1]2025年已发货'!$G:$G&amp;'[1]2025年已发货'!$H:$H,'[1]2025年已发货'!$E:$E,"未发货")</f>
        <v>18</v>
      </c>
      <c r="I1340" s="33" t="str">
        <f>VLOOKUP(B1340,辅助信息!E:I,3,FALSE)</f>
        <v>（华西简阳西城嘉苑）四川省成都市简阳市简城街道高屋村</v>
      </c>
      <c r="J1340" s="33" t="str">
        <f>VLOOKUP(B1340,辅助信息!E:I,4,FALSE)</f>
        <v>张瀚镭</v>
      </c>
      <c r="K1340" s="33">
        <f>VLOOKUP(J1340,辅助信息!H:I,2,FALSE)</f>
        <v>15884666220</v>
      </c>
      <c r="L1340" s="102" t="str">
        <f>VLOOKUP(B1340,辅助信息!E:J,6,FALSE)</f>
        <v>现场禁止使用氢能源挂车！优先威钢发货,我方卸车,新老国标钢厂不加价可直发，因陕钢多次出现磅差，项目拒绝使用</v>
      </c>
      <c r="M1340" s="84">
        <v>45782</v>
      </c>
      <c r="O1340" s="55">
        <f ca="1" t="shared" si="61"/>
        <v>0</v>
      </c>
      <c r="P1340" s="55">
        <f ca="1" t="shared" si="62"/>
        <v>175</v>
      </c>
      <c r="Q1340" s="22" t="str">
        <f>VLOOKUP(B1340,辅助信息!E:M,9,FALSE)</f>
        <v>ZTWM-CDGS-XS-2024-0030-华西集采-简州大道</v>
      </c>
      <c r="R1340" s="111" t="str">
        <f>_xlfn._xlws.FILTER(辅助信息!D:D,辅助信息!E:E=B1340)</f>
        <v>华西简阳西城嘉苑</v>
      </c>
    </row>
    <row r="1341" hidden="1" spans="2:18">
      <c r="B1341" s="33" t="s">
        <v>81</v>
      </c>
      <c r="C1341" s="63">
        <v>45778</v>
      </c>
      <c r="D1341" s="33" t="str">
        <f>VLOOKUP(B1341,辅助信息!E:K,7,FALSE)</f>
        <v>JWDDCD2025060900080</v>
      </c>
      <c r="E1341" s="33" t="str">
        <f>VLOOKUP(F1341,辅助信息!A:B,2,FALSE)</f>
        <v>螺纹钢</v>
      </c>
      <c r="F1341" s="33" t="s">
        <v>19</v>
      </c>
      <c r="G1341" s="29">
        <v>2</v>
      </c>
      <c r="H1341" s="29">
        <f>_xlfn.XLOOKUP(C1341&amp;F1341&amp;I1341&amp;J1341,'[1]2025年已发货'!$F:$F&amp;'[1]2025年已发货'!$C:$C&amp;'[1]2025年已发货'!$G:$G&amp;'[1]2025年已发货'!$H:$H,'[1]2025年已发货'!$E:$E,"未发货")</f>
        <v>2</v>
      </c>
      <c r="I1341" s="33" t="str">
        <f>VLOOKUP(B1341,辅助信息!E:I,3,FALSE)</f>
        <v>（华西简阳西城嘉苑）四川省成都市简阳市简城街道高屋村</v>
      </c>
      <c r="J1341" s="33" t="str">
        <f>VLOOKUP(B1341,辅助信息!E:I,4,FALSE)</f>
        <v>张瀚镭</v>
      </c>
      <c r="K1341" s="33">
        <f>VLOOKUP(J1341,辅助信息!H:I,2,FALSE)</f>
        <v>15884666220</v>
      </c>
      <c r="L1341" s="102" t="str">
        <f>VLOOKUP(B1341,辅助信息!E:J,6,FALSE)</f>
        <v>现场禁止使用氢能源挂车！优先威钢发货,我方卸车,新老国标钢厂不加价可直发，因陕钢多次出现磅差，项目拒绝使用</v>
      </c>
      <c r="M1341" s="84">
        <v>45782</v>
      </c>
      <c r="O1341" s="55">
        <f ca="1" t="shared" si="61"/>
        <v>0</v>
      </c>
      <c r="P1341" s="55">
        <f ca="1" t="shared" si="62"/>
        <v>175</v>
      </c>
      <c r="Q1341" s="22" t="str">
        <f>VLOOKUP(B1341,辅助信息!E:M,9,FALSE)</f>
        <v>ZTWM-CDGS-XS-2024-0030-华西集采-简州大道</v>
      </c>
      <c r="R1341" s="111" t="str">
        <f>_xlfn._xlws.FILTER(辅助信息!D:D,辅助信息!E:E=B1341)</f>
        <v>华西简阳西城嘉苑</v>
      </c>
    </row>
    <row r="1342" hidden="1" spans="2:18">
      <c r="B1342" s="33" t="s">
        <v>81</v>
      </c>
      <c r="C1342" s="63">
        <v>45778</v>
      </c>
      <c r="D1342" s="33" t="str">
        <f>VLOOKUP(B1342,辅助信息!E:K,7,FALSE)</f>
        <v>JWDDCD2025060900080</v>
      </c>
      <c r="E1342" s="33" t="str">
        <f>VLOOKUP(F1342,辅助信息!A:B,2,FALSE)</f>
        <v>螺纹钢</v>
      </c>
      <c r="F1342" s="33" t="s">
        <v>32</v>
      </c>
      <c r="G1342" s="29">
        <v>17</v>
      </c>
      <c r="H1342" s="29">
        <f>_xlfn.XLOOKUP(C1342&amp;F1342&amp;I1342&amp;J1342,'[1]2025年已发货'!$F:$F&amp;'[1]2025年已发货'!$C:$C&amp;'[1]2025年已发货'!$G:$G&amp;'[1]2025年已发货'!$H:$H,'[1]2025年已发货'!$E:$E,"未发货")</f>
        <v>17</v>
      </c>
      <c r="I1342" s="33" t="str">
        <f>VLOOKUP(B1342,辅助信息!E:I,3,FALSE)</f>
        <v>（华西简阳西城嘉苑）四川省成都市简阳市简城街道高屋村</v>
      </c>
      <c r="J1342" s="33" t="str">
        <f>VLOOKUP(B1342,辅助信息!E:I,4,FALSE)</f>
        <v>张瀚镭</v>
      </c>
      <c r="K1342" s="33">
        <f>VLOOKUP(J1342,辅助信息!H:I,2,FALSE)</f>
        <v>15884666220</v>
      </c>
      <c r="L1342" s="102" t="str">
        <f>VLOOKUP(B1342,辅助信息!E:J,6,FALSE)</f>
        <v>现场禁止使用氢能源挂车！优先威钢发货,我方卸车,新老国标钢厂不加价可直发，因陕钢多次出现磅差，项目拒绝使用</v>
      </c>
      <c r="M1342" s="84">
        <v>45782</v>
      </c>
      <c r="O1342" s="55">
        <f ca="1" t="shared" si="61"/>
        <v>0</v>
      </c>
      <c r="P1342" s="55">
        <f ca="1" t="shared" si="62"/>
        <v>175</v>
      </c>
      <c r="Q1342" s="22" t="str">
        <f>VLOOKUP(B1342,辅助信息!E:M,9,FALSE)</f>
        <v>ZTWM-CDGS-XS-2024-0030-华西集采-简州大道</v>
      </c>
      <c r="R1342" s="111" t="str">
        <f>_xlfn._xlws.FILTER(辅助信息!D:D,辅助信息!E:E=B1342)</f>
        <v>华西简阳西城嘉苑</v>
      </c>
    </row>
    <row r="1343" hidden="1" spans="2:18">
      <c r="B1343" s="33" t="s">
        <v>81</v>
      </c>
      <c r="C1343" s="63">
        <v>45778</v>
      </c>
      <c r="D1343" s="33" t="str">
        <f>VLOOKUP(B1343,辅助信息!E:K,7,FALSE)</f>
        <v>JWDDCD2025060900080</v>
      </c>
      <c r="E1343" s="33" t="str">
        <f>VLOOKUP(F1343,辅助信息!A:B,2,FALSE)</f>
        <v>螺纹钢</v>
      </c>
      <c r="F1343" s="33" t="s">
        <v>30</v>
      </c>
      <c r="G1343" s="29">
        <v>16</v>
      </c>
      <c r="H1343" s="29">
        <f>_xlfn.XLOOKUP(C1343&amp;F1343&amp;I1343&amp;J1343,'[1]2025年已发货'!$F:$F&amp;'[1]2025年已发货'!$C:$C&amp;'[1]2025年已发货'!$G:$G&amp;'[1]2025年已发货'!$H:$H,'[1]2025年已发货'!$E:$E,"未发货")</f>
        <v>16</v>
      </c>
      <c r="I1343" s="33" t="str">
        <f>VLOOKUP(B1343,辅助信息!E:I,3,FALSE)</f>
        <v>（华西简阳西城嘉苑）四川省成都市简阳市简城街道高屋村</v>
      </c>
      <c r="J1343" s="33" t="str">
        <f>VLOOKUP(B1343,辅助信息!E:I,4,FALSE)</f>
        <v>张瀚镭</v>
      </c>
      <c r="K1343" s="33">
        <f>VLOOKUP(J1343,辅助信息!H:I,2,FALSE)</f>
        <v>15884666220</v>
      </c>
      <c r="L1343" s="102" t="str">
        <f>VLOOKUP(B1343,辅助信息!E:J,6,FALSE)</f>
        <v>现场禁止使用氢能源挂车！优先威钢发货,我方卸车,新老国标钢厂不加价可直发，因陕钢多次出现磅差，项目拒绝使用</v>
      </c>
      <c r="M1343" s="84">
        <v>45782</v>
      </c>
      <c r="O1343" s="55">
        <f ca="1" t="shared" si="61"/>
        <v>0</v>
      </c>
      <c r="P1343" s="55">
        <f ca="1" t="shared" si="62"/>
        <v>175</v>
      </c>
      <c r="Q1343" s="22" t="str">
        <f>VLOOKUP(B1343,辅助信息!E:M,9,FALSE)</f>
        <v>ZTWM-CDGS-XS-2024-0030-华西集采-简州大道</v>
      </c>
      <c r="R1343" s="111" t="str">
        <f>_xlfn._xlws.FILTER(辅助信息!D:D,辅助信息!E:E=B1343)</f>
        <v>华西简阳西城嘉苑</v>
      </c>
    </row>
    <row r="1344" hidden="1" spans="2:18">
      <c r="B1344" s="33" t="s">
        <v>81</v>
      </c>
      <c r="C1344" s="63">
        <v>45778</v>
      </c>
      <c r="D1344" s="33" t="str">
        <f>VLOOKUP(B1344,辅助信息!E:K,7,FALSE)</f>
        <v>JWDDCD2025060900080</v>
      </c>
      <c r="E1344" s="33" t="str">
        <f>VLOOKUP(F1344,辅助信息!A:B,2,FALSE)</f>
        <v>螺纹钢</v>
      </c>
      <c r="F1344" s="33" t="s">
        <v>33</v>
      </c>
      <c r="G1344" s="29">
        <v>13</v>
      </c>
      <c r="H1344" s="29">
        <f>_xlfn.XLOOKUP(C1344&amp;F1344&amp;I1344&amp;J1344,'[1]2025年已发货'!$F:$F&amp;'[1]2025年已发货'!$C:$C&amp;'[1]2025年已发货'!$G:$G&amp;'[1]2025年已发货'!$H:$H,'[1]2025年已发货'!$E:$E,"未发货")</f>
        <v>13</v>
      </c>
      <c r="I1344" s="33" t="str">
        <f>VLOOKUP(B1344,辅助信息!E:I,3,FALSE)</f>
        <v>（华西简阳西城嘉苑）四川省成都市简阳市简城街道高屋村</v>
      </c>
      <c r="J1344" s="33" t="str">
        <f>VLOOKUP(B1344,辅助信息!E:I,4,FALSE)</f>
        <v>张瀚镭</v>
      </c>
      <c r="K1344" s="33">
        <f>VLOOKUP(J1344,辅助信息!H:I,2,FALSE)</f>
        <v>15884666220</v>
      </c>
      <c r="L1344" s="102" t="str">
        <f>VLOOKUP(B1344,辅助信息!E:J,6,FALSE)</f>
        <v>现场禁止使用氢能源挂车！优先威钢发货,我方卸车,新老国标钢厂不加价可直发，因陕钢多次出现磅差，项目拒绝使用</v>
      </c>
      <c r="M1344" s="84">
        <v>45782</v>
      </c>
      <c r="O1344" s="55">
        <f ca="1" t="shared" si="61"/>
        <v>0</v>
      </c>
      <c r="P1344" s="55">
        <f ca="1" t="shared" si="62"/>
        <v>175</v>
      </c>
      <c r="Q1344" s="22" t="str">
        <f>VLOOKUP(B1344,辅助信息!E:M,9,FALSE)</f>
        <v>ZTWM-CDGS-XS-2024-0030-华西集采-简州大道</v>
      </c>
      <c r="R1344" s="111" t="str">
        <f>_xlfn._xlws.FILTER(辅助信息!D:D,辅助信息!E:E=B1344)</f>
        <v>华西简阳西城嘉苑</v>
      </c>
    </row>
    <row r="1345" hidden="1" spans="2:18">
      <c r="B1345" s="33" t="s">
        <v>81</v>
      </c>
      <c r="C1345" s="63">
        <v>45778</v>
      </c>
      <c r="D1345" s="33" t="str">
        <f>VLOOKUP(B1345,辅助信息!E:K,7,FALSE)</f>
        <v>JWDDCD2025060900080</v>
      </c>
      <c r="E1345" s="33" t="str">
        <f>VLOOKUP(F1345,辅助信息!A:B,2,FALSE)</f>
        <v>螺纹钢</v>
      </c>
      <c r="F1345" s="33" t="s">
        <v>28</v>
      </c>
      <c r="G1345" s="29">
        <v>2</v>
      </c>
      <c r="H1345" s="29">
        <f>_xlfn.XLOOKUP(C1345&amp;F1345&amp;I1345&amp;J1345,'[1]2025年已发货'!$F:$F&amp;'[1]2025年已发货'!$C:$C&amp;'[1]2025年已发货'!$G:$G&amp;'[1]2025年已发货'!$H:$H,'[1]2025年已发货'!$E:$E,"未发货")</f>
        <v>2</v>
      </c>
      <c r="I1345" s="33" t="str">
        <f>VLOOKUP(B1345,辅助信息!E:I,3,FALSE)</f>
        <v>（华西简阳西城嘉苑）四川省成都市简阳市简城街道高屋村</v>
      </c>
      <c r="J1345" s="33" t="str">
        <f>VLOOKUP(B1345,辅助信息!E:I,4,FALSE)</f>
        <v>张瀚镭</v>
      </c>
      <c r="K1345" s="33">
        <f>VLOOKUP(J1345,辅助信息!H:I,2,FALSE)</f>
        <v>15884666220</v>
      </c>
      <c r="L1345" s="102" t="str">
        <f>VLOOKUP(B1345,辅助信息!E:J,6,FALSE)</f>
        <v>现场禁止使用氢能源挂车！优先威钢发货,我方卸车,新老国标钢厂不加价可直发，因陕钢多次出现磅差，项目拒绝使用</v>
      </c>
      <c r="M1345" s="84">
        <v>45782</v>
      </c>
      <c r="O1345" s="55">
        <f ca="1" t="shared" si="61"/>
        <v>0</v>
      </c>
      <c r="P1345" s="55">
        <f ca="1" t="shared" si="62"/>
        <v>175</v>
      </c>
      <c r="Q1345" s="22" t="str">
        <f>VLOOKUP(B1345,辅助信息!E:M,9,FALSE)</f>
        <v>ZTWM-CDGS-XS-2024-0030-华西集采-简州大道</v>
      </c>
      <c r="R1345" s="111" t="str">
        <f>_xlfn._xlws.FILTER(辅助信息!D:D,辅助信息!E:E=B1345)</f>
        <v>华西简阳西城嘉苑</v>
      </c>
    </row>
    <row r="1346" hidden="1" spans="2:18">
      <c r="B1346" s="33" t="s">
        <v>81</v>
      </c>
      <c r="C1346" s="63">
        <v>45778</v>
      </c>
      <c r="D1346" s="33" t="str">
        <f>VLOOKUP(B1346,辅助信息!E:K,7,FALSE)</f>
        <v>JWDDCD2025060900080</v>
      </c>
      <c r="E1346" s="33" t="str">
        <f>VLOOKUP(F1346,辅助信息!A:B,2,FALSE)</f>
        <v>螺纹钢</v>
      </c>
      <c r="F1346" s="33" t="s">
        <v>18</v>
      </c>
      <c r="G1346" s="29">
        <v>2</v>
      </c>
      <c r="H1346" s="29">
        <f>_xlfn.XLOOKUP(C1346&amp;F1346&amp;I1346&amp;J1346,'[1]2025年已发货'!$F:$F&amp;'[1]2025年已发货'!$C:$C&amp;'[1]2025年已发货'!$G:$G&amp;'[1]2025年已发货'!$H:$H,'[1]2025年已发货'!$E:$E,"未发货")</f>
        <v>2</v>
      </c>
      <c r="I1346" s="33" t="str">
        <f>VLOOKUP(B1346,辅助信息!E:I,3,FALSE)</f>
        <v>（华西简阳西城嘉苑）四川省成都市简阳市简城街道高屋村</v>
      </c>
      <c r="J1346" s="33" t="str">
        <f>VLOOKUP(B1346,辅助信息!E:I,4,FALSE)</f>
        <v>张瀚镭</v>
      </c>
      <c r="K1346" s="33">
        <f>VLOOKUP(J1346,辅助信息!H:I,2,FALSE)</f>
        <v>15884666220</v>
      </c>
      <c r="L1346" s="102" t="str">
        <f>VLOOKUP(B1346,辅助信息!E:J,6,FALSE)</f>
        <v>现场禁止使用氢能源挂车！优先威钢发货,我方卸车,新老国标钢厂不加价可直发，因陕钢多次出现磅差，项目拒绝使用</v>
      </c>
      <c r="M1346" s="84">
        <v>45782</v>
      </c>
      <c r="O1346" s="55">
        <f ca="1" t="shared" si="61"/>
        <v>0</v>
      </c>
      <c r="P1346" s="55">
        <f ca="1" t="shared" si="62"/>
        <v>175</v>
      </c>
      <c r="Q1346" s="22" t="str">
        <f>VLOOKUP(B1346,辅助信息!E:M,9,FALSE)</f>
        <v>ZTWM-CDGS-XS-2024-0030-华西集采-简州大道</v>
      </c>
      <c r="R1346" s="111" t="str">
        <f>_xlfn._xlws.FILTER(辅助信息!D:D,辅助信息!E:E=B1346)</f>
        <v>华西简阳西城嘉苑</v>
      </c>
    </row>
    <row r="1347" hidden="1" spans="2:18">
      <c r="B1347" s="33" t="s">
        <v>44</v>
      </c>
      <c r="C1347" s="63">
        <v>45778</v>
      </c>
      <c r="D1347" s="33" t="str">
        <f>VLOOKUP(B1347,辅助信息!E:K,7,FALSE)</f>
        <v>JWDDCD2025060600053</v>
      </c>
      <c r="E1347" s="33" t="str">
        <f>VLOOKUP(F1347,辅助信息!A:B,2,FALSE)</f>
        <v>盘螺</v>
      </c>
      <c r="F1347" s="33" t="s">
        <v>49</v>
      </c>
      <c r="G1347" s="29">
        <v>2.5</v>
      </c>
      <c r="H1347" s="29">
        <f>_xlfn.XLOOKUP(C1347&amp;F1347&amp;I1347&amp;J1347,'[1]2025年已发货'!$F:$F&amp;'[1]2025年已发货'!$C:$C&amp;'[1]2025年已发货'!$G:$G&amp;'[1]2025年已发货'!$H:$H,'[1]2025年已发货'!$E:$E,"未发货")</f>
        <v>2.5</v>
      </c>
      <c r="I1347" s="33" t="str">
        <f>VLOOKUP(B1347,辅助信息!E:I,3,FALSE)</f>
        <v>（华西酒城南）成都市武侯区火车南站西路8号酒城南项目</v>
      </c>
      <c r="J1347" s="33" t="str">
        <f>VLOOKUP(B1347,辅助信息!E:I,4,FALSE)</f>
        <v>龙耀宇</v>
      </c>
      <c r="K1347" s="33">
        <f>VLOOKUP(J1347,辅助信息!H:I,2,FALSE)</f>
        <v>18384145895</v>
      </c>
      <c r="L1347" s="102" t="str">
        <f>VLOOKUP(B1347,辅助信息!E:J,6,FALSE)</f>
        <v>对方卸车</v>
      </c>
      <c r="M1347" s="84">
        <v>45780</v>
      </c>
      <c r="O1347" s="55">
        <f ca="1" t="shared" si="61"/>
        <v>0</v>
      </c>
      <c r="P1347" s="55">
        <f ca="1" t="shared" si="62"/>
        <v>177</v>
      </c>
      <c r="Q1347" s="22" t="str">
        <f>VLOOKUP(B1347,辅助信息!E:M,9,FALSE)</f>
        <v>ZTWM-CDGS-XS-2024-0189-华西集采-酒城南项目</v>
      </c>
      <c r="R1347" s="111" t="str">
        <f>_xlfn._xlws.FILTER(辅助信息!D:D,辅助信息!E:E=B1347)</f>
        <v>华西酒城南</v>
      </c>
    </row>
    <row r="1348" hidden="1" spans="2:18">
      <c r="B1348" s="33" t="s">
        <v>44</v>
      </c>
      <c r="C1348" s="63">
        <v>45778</v>
      </c>
      <c r="D1348" s="33" t="str">
        <f>VLOOKUP(B1348,辅助信息!E:K,7,FALSE)</f>
        <v>JWDDCD2025060600053</v>
      </c>
      <c r="E1348" s="33" t="str">
        <f>VLOOKUP(F1348,辅助信息!A:B,2,FALSE)</f>
        <v>盘螺</v>
      </c>
      <c r="F1348" s="33" t="s">
        <v>26</v>
      </c>
      <c r="G1348" s="29">
        <v>30</v>
      </c>
      <c r="H1348" s="29">
        <f>_xlfn.XLOOKUP(C1348&amp;F1348&amp;I1348&amp;J1348,'[1]2025年已发货'!$F:$F&amp;'[1]2025年已发货'!$C:$C&amp;'[1]2025年已发货'!$G:$G&amp;'[1]2025年已发货'!$H:$H,'[1]2025年已发货'!$E:$E,"未发货")</f>
        <v>32.5</v>
      </c>
      <c r="I1348" s="33" t="str">
        <f>VLOOKUP(B1348,辅助信息!E:I,3,FALSE)</f>
        <v>（华西酒城南）成都市武侯区火车南站西路8号酒城南项目</v>
      </c>
      <c r="J1348" s="33" t="str">
        <f>VLOOKUP(B1348,辅助信息!E:I,4,FALSE)</f>
        <v>龙耀宇</v>
      </c>
      <c r="K1348" s="33">
        <f>VLOOKUP(J1348,辅助信息!H:I,2,FALSE)</f>
        <v>18384145895</v>
      </c>
      <c r="L1348" s="102" t="str">
        <f>VLOOKUP(B1348,辅助信息!E:J,6,FALSE)</f>
        <v>对方卸车</v>
      </c>
      <c r="M1348" s="84">
        <v>45780</v>
      </c>
      <c r="O1348" s="55">
        <f ca="1" t="shared" si="61"/>
        <v>0</v>
      </c>
      <c r="P1348" s="55">
        <f ca="1" t="shared" si="62"/>
        <v>177</v>
      </c>
      <c r="Q1348" s="22" t="str">
        <f>VLOOKUP(B1348,辅助信息!E:M,9,FALSE)</f>
        <v>ZTWM-CDGS-XS-2024-0189-华西集采-酒城南项目</v>
      </c>
      <c r="R1348" s="111" t="str">
        <f>_xlfn._xlws.FILTER(辅助信息!D:D,辅助信息!E:E=B1348)</f>
        <v>华西酒城南</v>
      </c>
    </row>
    <row r="1349" hidden="1" spans="2:18">
      <c r="B1349" s="33" t="s">
        <v>127</v>
      </c>
      <c r="C1349" s="63">
        <v>45778</v>
      </c>
      <c r="D1349" s="33" t="str">
        <f>VLOOKUP(B1349,辅助信息!E:K,7,FALSE)</f>
        <v>JWDDCD2025051000019</v>
      </c>
      <c r="E1349" s="33" t="str">
        <f>VLOOKUP(F1349,辅助信息!A:B,2,FALSE)</f>
        <v>盘螺</v>
      </c>
      <c r="F1349" s="33" t="s">
        <v>49</v>
      </c>
      <c r="G1349" s="29">
        <v>5</v>
      </c>
      <c r="H1349" s="29" t="str">
        <f>_xlfn.XLOOKUP(C1349&amp;F1349&amp;I1349&amp;J1349,'[1]2025年已发货'!$F:$F&amp;'[1]2025年已发货'!$C:$C&amp;'[1]2025年已发货'!$G:$G&amp;'[1]2025年已发货'!$H:$H,'[1]2025年已发货'!$E:$E,"未发货")</f>
        <v>未发货</v>
      </c>
      <c r="I1349" s="33" t="str">
        <f>VLOOKUP(B1349,辅助信息!E:I,3,FALSE)</f>
        <v>(五冶钢构医学科学产业园建设项目房建三部-管网总坪)四川省南充市顺庆区搬罾街道学府大道二段</v>
      </c>
      <c r="J1349" s="33" t="str">
        <f>VLOOKUP(B1349,辅助信息!E:I,4,FALSE)</f>
        <v>郑林</v>
      </c>
      <c r="K1349" s="33">
        <f>VLOOKUP(J1349,辅助信息!H:I,2,FALSE)</f>
        <v>18349955455</v>
      </c>
      <c r="L1349" s="102" t="str">
        <f>VLOOKUP(B1349,辅助信息!E:J,6,FALSE)</f>
        <v>送货单：送货单位：南充思临新材料科技有限公司,收货单位：五冶集团川北(南充)建设有限公司,项目名称：南充医学科学产业园,送货车型13米,装货前联系收货人核实到场规格</v>
      </c>
      <c r="R1349" s="111"/>
    </row>
    <row r="1350" hidden="1" spans="2:18">
      <c r="B1350" s="33" t="s">
        <v>127</v>
      </c>
      <c r="C1350" s="63">
        <v>45778</v>
      </c>
      <c r="D1350" s="33" t="str">
        <f>VLOOKUP(B1350,辅助信息!E:K,7,FALSE)</f>
        <v>JWDDCD2025051000019</v>
      </c>
      <c r="E1350" s="33" t="str">
        <f>VLOOKUP(F1350,辅助信息!A:B,2,FALSE)</f>
        <v>盘螺</v>
      </c>
      <c r="F1350" s="33" t="s">
        <v>40</v>
      </c>
      <c r="G1350" s="29">
        <v>2.5</v>
      </c>
      <c r="H1350" s="29" t="str">
        <f>_xlfn.XLOOKUP(C1350&amp;F1350&amp;I1350&amp;J1350,'[1]2025年已发货'!$F:$F&amp;'[1]2025年已发货'!$C:$C&amp;'[1]2025年已发货'!$G:$G&amp;'[1]2025年已发货'!$H:$H,'[1]2025年已发货'!$E:$E,"未发货")</f>
        <v>未发货</v>
      </c>
      <c r="I1350" s="33" t="str">
        <f>VLOOKUP(B1350,辅助信息!E:I,3,FALSE)</f>
        <v>(五冶钢构医学科学产业园建设项目房建三部-管网总坪)四川省南充市顺庆区搬罾街道学府大道二段</v>
      </c>
      <c r="J1350" s="33" t="str">
        <f>VLOOKUP(B1350,辅助信息!E:I,4,FALSE)</f>
        <v>郑林</v>
      </c>
      <c r="K1350" s="33">
        <f>VLOOKUP(J1350,辅助信息!H:I,2,FALSE)</f>
        <v>18349955455</v>
      </c>
      <c r="L1350" s="102" t="str">
        <f>VLOOKUP(B1350,辅助信息!E:J,6,FALSE)</f>
        <v>送货单：送货单位：南充思临新材料科技有限公司,收货单位：五冶集团川北(南充)建设有限公司,项目名称：南充医学科学产业园,送货车型13米,装货前联系收货人核实到场规格</v>
      </c>
      <c r="R1350" s="111"/>
    </row>
    <row r="1351" hidden="1" spans="2:18">
      <c r="B1351" s="33" t="s">
        <v>127</v>
      </c>
      <c r="C1351" s="63">
        <v>45778</v>
      </c>
      <c r="D1351" s="33" t="str">
        <f>VLOOKUP(B1351,辅助信息!E:K,7,FALSE)</f>
        <v>JWDDCD2025051000019</v>
      </c>
      <c r="E1351" s="33" t="str">
        <f>VLOOKUP(F1351,辅助信息!A:B,2,FALSE)</f>
        <v>盘螺</v>
      </c>
      <c r="F1351" s="33" t="s">
        <v>26</v>
      </c>
      <c r="G1351" s="29">
        <v>25</v>
      </c>
      <c r="H1351" s="29" t="str">
        <f>_xlfn.XLOOKUP(C1351&amp;F1351&amp;I1351&amp;J1351,'[1]2025年已发货'!$F:$F&amp;'[1]2025年已发货'!$C:$C&amp;'[1]2025年已发货'!$G:$G&amp;'[1]2025年已发货'!$H:$H,'[1]2025年已发货'!$E:$E,"未发货")</f>
        <v>未发货</v>
      </c>
      <c r="I1351" s="33" t="str">
        <f>VLOOKUP(B1351,辅助信息!E:I,3,FALSE)</f>
        <v>(五冶钢构医学科学产业园建设项目房建三部-管网总坪)四川省南充市顺庆区搬罾街道学府大道二段</v>
      </c>
      <c r="J1351" s="33" t="str">
        <f>VLOOKUP(B1351,辅助信息!E:I,4,FALSE)</f>
        <v>郑林</v>
      </c>
      <c r="K1351" s="33">
        <f>VLOOKUP(J1351,辅助信息!H:I,2,FALSE)</f>
        <v>18349955455</v>
      </c>
      <c r="L1351" s="102" t="str">
        <f>VLOOKUP(B1351,辅助信息!E:J,6,FALSE)</f>
        <v>送货单：送货单位：南充思临新材料科技有限公司,收货单位：五冶集团川北(南充)建设有限公司,项目名称：南充医学科学产业园,送货车型13米,装货前联系收货人核实到场规格</v>
      </c>
      <c r="R1351" s="111"/>
    </row>
    <row r="1352" hidden="1" spans="2:18">
      <c r="B1352" s="33" t="s">
        <v>72</v>
      </c>
      <c r="C1352" s="63">
        <v>45778</v>
      </c>
      <c r="D1352" s="33" t="str">
        <f>VLOOKUP(B1352,辅助信息!E:K,7,FALSE)</f>
        <v>JWDDCD2025051000019</v>
      </c>
      <c r="E1352" s="33" t="str">
        <f>VLOOKUP(F1352,辅助信息!A:B,2,FALSE)</f>
        <v>高线</v>
      </c>
      <c r="F1352" s="33" t="s">
        <v>53</v>
      </c>
      <c r="G1352" s="29">
        <v>2.5</v>
      </c>
      <c r="H1352" s="29" t="str">
        <f>_xlfn.XLOOKUP(C1352&amp;F1352&amp;I1352&amp;J1352,'[1]2025年已发货'!$F:$F&amp;'[1]2025年已发货'!$C:$C&amp;'[1]2025年已发货'!$G:$G&amp;'[1]2025年已发货'!$H:$H,'[1]2025年已发货'!$E:$E,"未发货")</f>
        <v>未发货</v>
      </c>
      <c r="I1352" s="33" t="str">
        <f>VLOOKUP(B1352,辅助信息!E:I,3,FALSE)</f>
        <v>(五冶钢构医学科学产业园建设项目房建二部-网羽馆（6-5）)四川省南充市顺庆区搬罾街道学府大道二段</v>
      </c>
      <c r="J1352" s="33" t="str">
        <f>VLOOKUP(B1352,辅助信息!E:I,4,FALSE)</f>
        <v>安南</v>
      </c>
      <c r="K1352" s="33">
        <f>VLOOKUP(J1352,辅助信息!H:I,2,FALSE)</f>
        <v>19950525030</v>
      </c>
      <c r="L1352" s="102" t="str">
        <f>VLOOKUP(B1352,辅助信息!E:J,6,FALSE)</f>
        <v>送货单：送货单位：南充思临新材料科技有限公司,收货单位：五冶集团川北(南充)建设有限公司,项目名称：南充医学科学产业园,送货车型13米,装货前联系收货人核实到场规格</v>
      </c>
      <c r="R1352" s="111"/>
    </row>
    <row r="1353" hidden="1" spans="2:18">
      <c r="B1353" s="33" t="s">
        <v>72</v>
      </c>
      <c r="C1353" s="63">
        <v>45778</v>
      </c>
      <c r="D1353" s="33" t="str">
        <f>VLOOKUP(B1353,辅助信息!E:K,7,FALSE)</f>
        <v>JWDDCD2025051000019</v>
      </c>
      <c r="E1353" s="33" t="str">
        <f>VLOOKUP(F1353,辅助信息!A:B,2,FALSE)</f>
        <v>高线</v>
      </c>
      <c r="F1353" s="33" t="s">
        <v>51</v>
      </c>
      <c r="G1353" s="29">
        <v>2</v>
      </c>
      <c r="H1353" s="29" t="str">
        <f>_xlfn.XLOOKUP(C1353&amp;F1353&amp;I1353&amp;J1353,'[1]2025年已发货'!$F:$F&amp;'[1]2025年已发货'!$C:$C&amp;'[1]2025年已发货'!$G:$G&amp;'[1]2025年已发货'!$H:$H,'[1]2025年已发货'!$E:$E,"未发货")</f>
        <v>未发货</v>
      </c>
      <c r="I1353" s="33" t="str">
        <f>VLOOKUP(B1353,辅助信息!E:I,3,FALSE)</f>
        <v>(五冶钢构医学科学产业园建设项目房建二部-网羽馆（6-5）)四川省南充市顺庆区搬罾街道学府大道二段</v>
      </c>
      <c r="J1353" s="33" t="str">
        <f>VLOOKUP(B1353,辅助信息!E:I,4,FALSE)</f>
        <v>安南</v>
      </c>
      <c r="K1353" s="33">
        <f>VLOOKUP(J1353,辅助信息!H:I,2,FALSE)</f>
        <v>19950525030</v>
      </c>
      <c r="L1353" s="102" t="str">
        <f>VLOOKUP(B1353,辅助信息!E:J,6,FALSE)</f>
        <v>送货单：送货单位：南充思临新材料科技有限公司,收货单位：五冶集团川北(南充)建设有限公司,项目名称：南充医学科学产业园,送货车型13米,装货前联系收货人核实到场规格</v>
      </c>
      <c r="R1353" s="111"/>
    </row>
    <row r="1354" hidden="1" spans="2:18">
      <c r="B1354" s="33" t="s">
        <v>72</v>
      </c>
      <c r="C1354" s="63">
        <v>45778</v>
      </c>
      <c r="D1354" s="33" t="str">
        <f>VLOOKUP(B1354,辅助信息!E:K,7,FALSE)</f>
        <v>JWDDCD2025051000019</v>
      </c>
      <c r="E1354" s="33" t="str">
        <f>VLOOKUP(F1354,辅助信息!A:B,2,FALSE)</f>
        <v>螺纹钢</v>
      </c>
      <c r="F1354" s="33" t="s">
        <v>27</v>
      </c>
      <c r="G1354" s="29">
        <v>33</v>
      </c>
      <c r="H1354" s="29" t="str">
        <f>_xlfn.XLOOKUP(C1354&amp;F1354&amp;I1354&amp;J1354,'[1]2025年已发货'!$F:$F&amp;'[1]2025年已发货'!$C:$C&amp;'[1]2025年已发货'!$G:$G&amp;'[1]2025年已发货'!$H:$H,'[1]2025年已发货'!$E:$E,"未发货")</f>
        <v>未发货</v>
      </c>
      <c r="I1354" s="33" t="str">
        <f>VLOOKUP(B1354,辅助信息!E:I,3,FALSE)</f>
        <v>(五冶钢构医学科学产业园建设项目房建二部-网羽馆（6-5）)四川省南充市顺庆区搬罾街道学府大道二段</v>
      </c>
      <c r="J1354" s="33" t="str">
        <f>VLOOKUP(B1354,辅助信息!E:I,4,FALSE)</f>
        <v>安南</v>
      </c>
      <c r="K1354" s="33">
        <f>VLOOKUP(J1354,辅助信息!H:I,2,FALSE)</f>
        <v>19950525030</v>
      </c>
      <c r="L1354" s="102" t="str">
        <f>VLOOKUP(B1354,辅助信息!E:J,6,FALSE)</f>
        <v>送货单：送货单位：南充思临新材料科技有限公司,收货单位：五冶集团川北(南充)建设有限公司,项目名称：南充医学科学产业园,送货车型13米,装货前联系收货人核实到场规格</v>
      </c>
      <c r="R1354" s="111"/>
    </row>
    <row r="1355" hidden="1" spans="2:18">
      <c r="B1355" s="33" t="s">
        <v>31</v>
      </c>
      <c r="C1355" s="63">
        <v>45782</v>
      </c>
      <c r="D1355" s="33" t="str">
        <f>VLOOKUP(B1355,辅助信息!E:K,7,FALSE)</f>
        <v>JWDDCD2024121000136</v>
      </c>
      <c r="E1355" s="33" t="str">
        <f>VLOOKUP(F1355,辅助信息!A:B,2,FALSE)</f>
        <v>高线</v>
      </c>
      <c r="F1355" s="33" t="s">
        <v>51</v>
      </c>
      <c r="G1355" s="29">
        <v>2.5</v>
      </c>
      <c r="H1355" s="29" t="str">
        <f>_xlfn.XLOOKUP(C1355&amp;F1355&amp;I1355&amp;J1355,'[1]2025年已发货'!$F:$F&amp;'[1]2025年已发货'!$C:$C&amp;'[1]2025年已发货'!$G:$G&amp;'[1]2025年已发货'!$H:$H,'[1]2025年已发货'!$E:$E,"未发货")</f>
        <v>未发货</v>
      </c>
      <c r="I1355" s="33" t="str">
        <f>VLOOKUP(B1355,辅助信息!E:I,3,FALSE)</f>
        <v>（四川商建-射洪城乡一体化项目）遂宁市射洪市忠新幼儿园北侧约220米新溪小区</v>
      </c>
      <c r="J1355" s="33" t="str">
        <f>VLOOKUP(B1355,辅助信息!E:I,4,FALSE)</f>
        <v>柏子刚</v>
      </c>
      <c r="K1355" s="33">
        <f>VLOOKUP(J1355,辅助信息!H:I,2,FALSE)</f>
        <v>15692885305</v>
      </c>
      <c r="L1355" s="102" t="str">
        <f>VLOOKUP(B1355,辅助信息!E:J,6,FALSE)</f>
        <v>提前联系到场规格及数量</v>
      </c>
      <c r="M1355" s="84">
        <v>45779</v>
      </c>
      <c r="O1355" s="55">
        <f ca="1" t="shared" ref="O1355:O1366" si="63">IF(OR(M1355="",N1355&lt;&gt;""),"",MAX(M1355-TODAY(),0))</f>
        <v>0</v>
      </c>
      <c r="P1355" s="55">
        <f ca="1" t="shared" ref="P1355:P1366" si="64">IF(M1355="","",IF(N1355&lt;&gt;"",MAX(N1355-M1355,0),IF(TODAY()&gt;M1355,TODAY()-M1355,0)))</f>
        <v>178</v>
      </c>
      <c r="Q1355" s="22" t="str">
        <f>VLOOKUP(B1355,辅助信息!E:M,9,FALSE)</f>
        <v>ZTWM-CDGS-XS-2024-0179-四川商投-射洪城乡一体化建设项目</v>
      </c>
      <c r="R1355" s="111" t="str">
        <f>_xlfn._xlws.FILTER(辅助信息!D:D,辅助信息!E:E=B1355)</f>
        <v>四川商建
射洪城乡一体化项目</v>
      </c>
    </row>
    <row r="1356" hidden="1" spans="2:18">
      <c r="B1356" s="33" t="s">
        <v>31</v>
      </c>
      <c r="C1356" s="63">
        <v>45782</v>
      </c>
      <c r="D1356" s="33" t="str">
        <f>VLOOKUP(B1356,辅助信息!E:K,7,FALSE)</f>
        <v>JWDDCD2024121000136</v>
      </c>
      <c r="E1356" s="33" t="str">
        <f>VLOOKUP(F1356,辅助信息!A:B,2,FALSE)</f>
        <v>盘螺</v>
      </c>
      <c r="F1356" s="33" t="s">
        <v>41</v>
      </c>
      <c r="G1356" s="29">
        <v>32.5</v>
      </c>
      <c r="H1356" s="29" t="str">
        <f>_xlfn.XLOOKUP(C1356&amp;F1356&amp;I1356&amp;J1356,'[1]2025年已发货'!$F:$F&amp;'[1]2025年已发货'!$C:$C&amp;'[1]2025年已发货'!$G:$G&amp;'[1]2025年已发货'!$H:$H,'[1]2025年已发货'!$E:$E,"未发货")</f>
        <v>未发货</v>
      </c>
      <c r="I1356" s="33" t="str">
        <f>VLOOKUP(B1356,辅助信息!E:I,3,FALSE)</f>
        <v>（四川商建-射洪城乡一体化项目）遂宁市射洪市忠新幼儿园北侧约220米新溪小区</v>
      </c>
      <c r="J1356" s="33" t="str">
        <f>VLOOKUP(B1356,辅助信息!E:I,4,FALSE)</f>
        <v>柏子刚</v>
      </c>
      <c r="K1356" s="33">
        <f>VLOOKUP(J1356,辅助信息!H:I,2,FALSE)</f>
        <v>15692885305</v>
      </c>
      <c r="L1356" s="102" t="str">
        <f>VLOOKUP(B1356,辅助信息!E:J,6,FALSE)</f>
        <v>提前联系到场规格及数量</v>
      </c>
      <c r="M1356" s="84">
        <v>45779</v>
      </c>
      <c r="O1356" s="55">
        <f ca="1" t="shared" si="63"/>
        <v>0</v>
      </c>
      <c r="P1356" s="55">
        <f ca="1" t="shared" si="64"/>
        <v>178</v>
      </c>
      <c r="Q1356" s="22" t="str">
        <f>VLOOKUP(B1356,辅助信息!E:M,9,FALSE)</f>
        <v>ZTWM-CDGS-XS-2024-0179-四川商投-射洪城乡一体化建设项目</v>
      </c>
      <c r="R1356" s="111" t="str">
        <f>_xlfn._xlws.FILTER(辅助信息!D:D,辅助信息!E:E=B1356)</f>
        <v>四川商建
射洪城乡一体化项目</v>
      </c>
    </row>
    <row r="1357" hidden="1" spans="2:18">
      <c r="B1357" s="33" t="s">
        <v>147</v>
      </c>
      <c r="C1357" s="63">
        <v>45782</v>
      </c>
      <c r="D1357" s="33" t="str">
        <f>VLOOKUP(B1357,辅助信息!E:K,7,FALSE)</f>
        <v>JWDDCD2025052800131</v>
      </c>
      <c r="E1357" s="33" t="str">
        <f>VLOOKUP(F1357,辅助信息!A:B,2,FALSE)</f>
        <v>高线</v>
      </c>
      <c r="F1357" s="33" t="s">
        <v>57</v>
      </c>
      <c r="G1357" s="29">
        <f>2.5*3</f>
        <v>7.5</v>
      </c>
      <c r="H1357" s="29" t="str">
        <f>_xlfn.XLOOKUP(C1357&amp;F1357&amp;I1357&amp;J1357,'[1]2025年已发货'!$F:$F&amp;'[1]2025年已发货'!$C:$C&amp;'[1]2025年已发货'!$G:$G&amp;'[1]2025年已发货'!$H:$H,'[1]2025年已发货'!$E:$E,"未发货")</f>
        <v>未发货</v>
      </c>
      <c r="I1357" s="33" t="str">
        <f>VLOOKUP(B1357,辅助信息!E:I,3,FALSE)</f>
        <v>（商投建工达州中医药科技园-4工区-11号楼）达州市通川区达州中医药职业学院犀牛大道北段</v>
      </c>
      <c r="J1357" s="33" t="str">
        <f>VLOOKUP(B1357,辅助信息!E:I,4,FALSE)</f>
        <v>张扬</v>
      </c>
      <c r="K1357" s="33">
        <f>VLOOKUP(J1357,辅助信息!H:I,2,FALSE)</f>
        <v>18381904567</v>
      </c>
      <c r="L1357" s="102" t="str">
        <f>VLOOKUP(B1357,辅助信息!E:J,6,FALSE)</f>
        <v>控制炉批号！多了现场不收！,优先安排达钢,提前联系到场规格及数量</v>
      </c>
      <c r="M1357" s="84">
        <v>45777</v>
      </c>
      <c r="O1357" s="55">
        <f ca="1" t="shared" si="63"/>
        <v>0</v>
      </c>
      <c r="P1357" s="55">
        <f ca="1" t="shared" si="64"/>
        <v>180</v>
      </c>
      <c r="Q1357" s="22" t="str">
        <f>VLOOKUP(B1357,辅助信息!E:M,9,FALSE)</f>
        <v>ZTWM-CDGS-XS-2024-0134-商投建工达州中医药科技成果示范园项目</v>
      </c>
      <c r="R1357" s="111" t="str">
        <f>_xlfn._xlws.FILTER(辅助信息!D:D,辅助信息!E:E=B1357)</f>
        <v>商投建工达州中医药科技园</v>
      </c>
    </row>
    <row r="1358" hidden="1" spans="2:18">
      <c r="B1358" s="33" t="s">
        <v>147</v>
      </c>
      <c r="C1358" s="63">
        <v>45782</v>
      </c>
      <c r="D1358" s="33" t="str">
        <f>VLOOKUP(B1358,辅助信息!E:K,7,FALSE)</f>
        <v>JWDDCD2025052800131</v>
      </c>
      <c r="E1358" s="33" t="str">
        <f>VLOOKUP(F1358,辅助信息!A:B,2,FALSE)</f>
        <v>盘螺</v>
      </c>
      <c r="F1358" s="33" t="s">
        <v>41</v>
      </c>
      <c r="G1358" s="29">
        <f>15*2.5</f>
        <v>37.5</v>
      </c>
      <c r="H1358" s="29" t="str">
        <f>_xlfn.XLOOKUP(C1358&amp;F1358&amp;I1358&amp;J1358,'[1]2025年已发货'!$F:$F&amp;'[1]2025年已发货'!$C:$C&amp;'[1]2025年已发货'!$G:$G&amp;'[1]2025年已发货'!$H:$H,'[1]2025年已发货'!$E:$E,"未发货")</f>
        <v>未发货</v>
      </c>
      <c r="I1358" s="33" t="str">
        <f>VLOOKUP(B1358,辅助信息!E:I,3,FALSE)</f>
        <v>（商投建工达州中医药科技园-4工区-11号楼）达州市通川区达州中医药职业学院犀牛大道北段</v>
      </c>
      <c r="J1358" s="33" t="str">
        <f>VLOOKUP(B1358,辅助信息!E:I,4,FALSE)</f>
        <v>张扬</v>
      </c>
      <c r="K1358" s="33">
        <f>VLOOKUP(J1358,辅助信息!H:I,2,FALSE)</f>
        <v>18381904567</v>
      </c>
      <c r="L1358" s="102" t="str">
        <f>VLOOKUP(B1358,辅助信息!E:J,6,FALSE)</f>
        <v>控制炉批号！多了现场不收！,优先安排达钢,提前联系到场规格及数量</v>
      </c>
      <c r="M1358" s="84">
        <v>45777</v>
      </c>
      <c r="O1358" s="55">
        <f ca="1" t="shared" si="63"/>
        <v>0</v>
      </c>
      <c r="P1358" s="55">
        <f ca="1" t="shared" si="64"/>
        <v>180</v>
      </c>
      <c r="Q1358" s="22" t="str">
        <f>VLOOKUP(B1358,辅助信息!E:M,9,FALSE)</f>
        <v>ZTWM-CDGS-XS-2024-0134-商投建工达州中医药科技成果示范园项目</v>
      </c>
      <c r="R1358" s="111" t="str">
        <f>_xlfn._xlws.FILTER(辅助信息!D:D,辅助信息!E:E=B1358)</f>
        <v>商投建工达州中医药科技园</v>
      </c>
    </row>
    <row r="1359" hidden="1" spans="2:18">
      <c r="B1359" s="33" t="s">
        <v>147</v>
      </c>
      <c r="C1359" s="63">
        <v>45782</v>
      </c>
      <c r="D1359" s="33" t="str">
        <f>VLOOKUP(B1359,辅助信息!E:K,7,FALSE)</f>
        <v>JWDDCD2025052800131</v>
      </c>
      <c r="E1359" s="33" t="str">
        <f>VLOOKUP(F1359,辅助信息!A:B,2,FALSE)</f>
        <v>螺纹钢</v>
      </c>
      <c r="F1359" s="33" t="s">
        <v>33</v>
      </c>
      <c r="G1359" s="29">
        <v>30</v>
      </c>
      <c r="H1359" s="29" t="str">
        <f>_xlfn.XLOOKUP(C1359&amp;F1359&amp;I1359&amp;J1359,'[1]2025年已发货'!$F:$F&amp;'[1]2025年已发货'!$C:$C&amp;'[1]2025年已发货'!$G:$G&amp;'[1]2025年已发货'!$H:$H,'[1]2025年已发货'!$E:$E,"未发货")</f>
        <v>未发货</v>
      </c>
      <c r="I1359" s="33" t="str">
        <f>VLOOKUP(B1359,辅助信息!E:I,3,FALSE)</f>
        <v>（商投建工达州中医药科技园-4工区-11号楼）达州市通川区达州中医药职业学院犀牛大道北段</v>
      </c>
      <c r="J1359" s="33" t="str">
        <f>VLOOKUP(B1359,辅助信息!E:I,4,FALSE)</f>
        <v>张扬</v>
      </c>
      <c r="K1359" s="33">
        <f>VLOOKUP(J1359,辅助信息!H:I,2,FALSE)</f>
        <v>18381904567</v>
      </c>
      <c r="L1359" s="102" t="str">
        <f>VLOOKUP(B1359,辅助信息!E:J,6,FALSE)</f>
        <v>控制炉批号！多了现场不收！,优先安排达钢,提前联系到场规格及数量</v>
      </c>
      <c r="M1359" s="84">
        <v>45777</v>
      </c>
      <c r="O1359" s="55">
        <f ca="1" t="shared" si="63"/>
        <v>0</v>
      </c>
      <c r="P1359" s="55">
        <f ca="1" t="shared" si="64"/>
        <v>180</v>
      </c>
      <c r="Q1359" s="22" t="str">
        <f>VLOOKUP(B1359,辅助信息!E:M,9,FALSE)</f>
        <v>ZTWM-CDGS-XS-2024-0134-商投建工达州中医药科技成果示范园项目</v>
      </c>
      <c r="R1359" s="111" t="str">
        <f>_xlfn._xlws.FILTER(辅助信息!D:D,辅助信息!E:E=B1359)</f>
        <v>商投建工达州中医药科技园</v>
      </c>
    </row>
    <row r="1360" hidden="1" spans="2:18">
      <c r="B1360" s="33" t="s">
        <v>147</v>
      </c>
      <c r="C1360" s="63">
        <v>45782</v>
      </c>
      <c r="D1360" s="33" t="str">
        <f>VLOOKUP(B1360,辅助信息!E:K,7,FALSE)</f>
        <v>JWDDCD2025052800131</v>
      </c>
      <c r="E1360" s="33" t="str">
        <f>VLOOKUP(F1360,辅助信息!A:B,2,FALSE)</f>
        <v>螺纹钢</v>
      </c>
      <c r="F1360" s="33" t="s">
        <v>18</v>
      </c>
      <c r="G1360" s="29">
        <f>6*3</f>
        <v>18</v>
      </c>
      <c r="H1360" s="29" t="str">
        <f>_xlfn.XLOOKUP(C1360&amp;F1360&amp;I1360&amp;J1360,'[1]2025年已发货'!$F:$F&amp;'[1]2025年已发货'!$C:$C&amp;'[1]2025年已发货'!$G:$G&amp;'[1]2025年已发货'!$H:$H,'[1]2025年已发货'!$E:$E,"未发货")</f>
        <v>未发货</v>
      </c>
      <c r="I1360" s="33" t="str">
        <f>VLOOKUP(B1360,辅助信息!E:I,3,FALSE)</f>
        <v>（商投建工达州中医药科技园-4工区-11号楼）达州市通川区达州中医药职业学院犀牛大道北段</v>
      </c>
      <c r="J1360" s="33" t="str">
        <f>VLOOKUP(B1360,辅助信息!E:I,4,FALSE)</f>
        <v>张扬</v>
      </c>
      <c r="K1360" s="33">
        <f>VLOOKUP(J1360,辅助信息!H:I,2,FALSE)</f>
        <v>18381904567</v>
      </c>
      <c r="L1360" s="102" t="str">
        <f>VLOOKUP(B1360,辅助信息!E:J,6,FALSE)</f>
        <v>控制炉批号！多了现场不收！,优先安排达钢,提前联系到场规格及数量</v>
      </c>
      <c r="M1360" s="84">
        <v>45777</v>
      </c>
      <c r="O1360" s="55">
        <f ca="1" t="shared" si="63"/>
        <v>0</v>
      </c>
      <c r="P1360" s="55">
        <f ca="1" t="shared" si="64"/>
        <v>180</v>
      </c>
      <c r="Q1360" s="22" t="str">
        <f>VLOOKUP(B1360,辅助信息!E:M,9,FALSE)</f>
        <v>ZTWM-CDGS-XS-2024-0134-商投建工达州中医药科技成果示范园项目</v>
      </c>
      <c r="R1360" s="111" t="str">
        <f>_xlfn._xlws.FILTER(辅助信息!D:D,辅助信息!E:E=B1360)</f>
        <v>商投建工达州中医药科技园</v>
      </c>
    </row>
    <row r="1361" hidden="1" spans="2:18">
      <c r="B1361" s="33" t="s">
        <v>127</v>
      </c>
      <c r="C1361" s="63">
        <v>45779</v>
      </c>
      <c r="D1361" s="33" t="str">
        <f>VLOOKUP(B1361,辅助信息!E:K,7,FALSE)</f>
        <v>JWDDCD2025051000019</v>
      </c>
      <c r="E1361" s="33" t="str">
        <f>VLOOKUP(F1361,辅助信息!A:B,2,FALSE)</f>
        <v>盘螺</v>
      </c>
      <c r="F1361" s="33" t="s">
        <v>49</v>
      </c>
      <c r="G1361" s="29">
        <v>12</v>
      </c>
      <c r="H1361" s="29">
        <f>_xlfn.XLOOKUP(C1361&amp;F1361&amp;I1361&amp;J1361,'[1]2025年已发货'!$F:$F&amp;'[1]2025年已发货'!$C:$C&amp;'[1]2025年已发货'!$G:$G&amp;'[1]2025年已发货'!$H:$H,'[1]2025年已发货'!$E:$E,"未发货")</f>
        <v>12</v>
      </c>
      <c r="I1361" s="33" t="str">
        <f>VLOOKUP(B1361,辅助信息!E:I,3,FALSE)</f>
        <v>(五冶钢构医学科学产业园建设项目房建三部-管网总坪)四川省南充市顺庆区搬罾街道学府大道二段</v>
      </c>
      <c r="J1361" s="33" t="str">
        <f>VLOOKUP(B1361,辅助信息!E:I,4,FALSE)</f>
        <v>郑林</v>
      </c>
      <c r="K1361" s="33">
        <f>VLOOKUP(J1361,辅助信息!H:I,2,FALSE)</f>
        <v>18349955455</v>
      </c>
      <c r="L1361" s="102" t="str">
        <f>VLOOKUP(B1361,辅助信息!E:J,6,FALSE)</f>
        <v>送货单：送货单位：南充思临新材料科技有限公司,收货单位：五冶集团川北(南充)建设有限公司,项目名称：南充医学科学产业园,送货车型13米,装货前联系收货人核实到场规格</v>
      </c>
      <c r="M1361" s="84">
        <v>45780</v>
      </c>
      <c r="O1361" s="55">
        <f ca="1" t="shared" si="63"/>
        <v>0</v>
      </c>
      <c r="P1361" s="55">
        <f ca="1" t="shared" si="64"/>
        <v>177</v>
      </c>
      <c r="Q1361" s="22" t="str">
        <f>VLOOKUP(B1361,辅助信息!E:M,9,FALSE)</f>
        <v>ZTWM-CDGS-XS-2024-0248-五冶钢构-南充市医学院项目</v>
      </c>
      <c r="R1361" s="111" t="str">
        <f>_xlfn._xlws.FILTER(辅助信息!D:D,辅助信息!E:E=B1361)</f>
        <v>五冶钢构南充医学科学产业园建设项目</v>
      </c>
    </row>
    <row r="1362" hidden="1" spans="2:18">
      <c r="B1362" s="33" t="s">
        <v>127</v>
      </c>
      <c r="C1362" s="63">
        <v>45779</v>
      </c>
      <c r="D1362" s="33" t="str">
        <f>VLOOKUP(B1362,辅助信息!E:K,7,FALSE)</f>
        <v>JWDDCD2025051000019</v>
      </c>
      <c r="E1362" s="33" t="str">
        <f>VLOOKUP(F1362,辅助信息!A:B,2,FALSE)</f>
        <v>盘螺</v>
      </c>
      <c r="F1362" s="33" t="s">
        <v>41</v>
      </c>
      <c r="G1362" s="29">
        <v>10</v>
      </c>
      <c r="H1362" s="29">
        <f>_xlfn.XLOOKUP(C1362&amp;F1362&amp;I1362&amp;J1362,'[1]2025年已发货'!$F:$F&amp;'[1]2025年已发货'!$C:$C&amp;'[1]2025年已发货'!$G:$G&amp;'[1]2025年已发货'!$H:$H,'[1]2025年已发货'!$E:$E,"未发货")</f>
        <v>10</v>
      </c>
      <c r="I1362" s="33" t="str">
        <f>VLOOKUP(B1362,辅助信息!E:I,3,FALSE)</f>
        <v>(五冶钢构医学科学产业园建设项目房建三部-管网总坪)四川省南充市顺庆区搬罾街道学府大道二段</v>
      </c>
      <c r="J1362" s="33" t="str">
        <f>VLOOKUP(B1362,辅助信息!E:I,4,FALSE)</f>
        <v>郑林</v>
      </c>
      <c r="K1362" s="33">
        <f>VLOOKUP(J1362,辅助信息!H:I,2,FALSE)</f>
        <v>18349955455</v>
      </c>
      <c r="L1362" s="102" t="str">
        <f>VLOOKUP(B1362,辅助信息!E:J,6,FALSE)</f>
        <v>送货单：送货单位：南充思临新材料科技有限公司,收货单位：五冶集团川北(南充)建设有限公司,项目名称：南充医学科学产业园,送货车型13米,装货前联系收货人核实到场规格</v>
      </c>
      <c r="M1362" s="84">
        <v>45780</v>
      </c>
      <c r="O1362" s="55">
        <f ca="1" t="shared" si="63"/>
        <v>0</v>
      </c>
      <c r="P1362" s="55">
        <f ca="1" t="shared" si="64"/>
        <v>177</v>
      </c>
      <c r="Q1362" s="22" t="str">
        <f>VLOOKUP(B1362,辅助信息!E:M,9,FALSE)</f>
        <v>ZTWM-CDGS-XS-2024-0248-五冶钢构-南充市医学院项目</v>
      </c>
      <c r="R1362" s="111" t="str">
        <f>_xlfn._xlws.FILTER(辅助信息!D:D,辅助信息!E:E=B1362)</f>
        <v>五冶钢构南充医学科学产业园建设项目</v>
      </c>
    </row>
    <row r="1363" hidden="1" spans="2:18">
      <c r="B1363" s="33" t="s">
        <v>127</v>
      </c>
      <c r="C1363" s="63">
        <v>45779</v>
      </c>
      <c r="D1363" s="33" t="str">
        <f>VLOOKUP(B1363,辅助信息!E:K,7,FALSE)</f>
        <v>JWDDCD2025051000019</v>
      </c>
      <c r="E1363" s="33" t="str">
        <f>VLOOKUP(F1363,辅助信息!A:B,2,FALSE)</f>
        <v>螺纹钢</v>
      </c>
      <c r="F1363" s="33" t="s">
        <v>27</v>
      </c>
      <c r="G1363" s="29">
        <v>13</v>
      </c>
      <c r="H1363" s="29">
        <f>_xlfn.XLOOKUP(C1363&amp;F1363&amp;I1363&amp;J1363,'[1]2025年已发货'!$F:$F&amp;'[1]2025年已发货'!$C:$C&amp;'[1]2025年已发货'!$G:$G&amp;'[1]2025年已发货'!$H:$H,'[1]2025年已发货'!$E:$E,"未发货")</f>
        <v>13</v>
      </c>
      <c r="I1363" s="33" t="str">
        <f>VLOOKUP(B1363,辅助信息!E:I,3,FALSE)</f>
        <v>(五冶钢构医学科学产业园建设项目房建三部-管网总坪)四川省南充市顺庆区搬罾街道学府大道二段</v>
      </c>
      <c r="J1363" s="33" t="str">
        <f>VLOOKUP(B1363,辅助信息!E:I,4,FALSE)</f>
        <v>郑林</v>
      </c>
      <c r="K1363" s="33">
        <f>VLOOKUP(J1363,辅助信息!H:I,2,FALSE)</f>
        <v>18349955455</v>
      </c>
      <c r="L1363" s="102" t="str">
        <f>VLOOKUP(B1363,辅助信息!E:J,6,FALSE)</f>
        <v>送货单：送货单位：南充思临新材料科技有限公司,收货单位：五冶集团川北(南充)建设有限公司,项目名称：南充医学科学产业园,送货车型13米,装货前联系收货人核实到场规格</v>
      </c>
      <c r="M1363" s="84">
        <v>45780</v>
      </c>
      <c r="O1363" s="55">
        <f ca="1" t="shared" si="63"/>
        <v>0</v>
      </c>
      <c r="P1363" s="55">
        <f ca="1" t="shared" si="64"/>
        <v>177</v>
      </c>
      <c r="Q1363" s="22" t="str">
        <f>VLOOKUP(B1363,辅助信息!E:M,9,FALSE)</f>
        <v>ZTWM-CDGS-XS-2024-0248-五冶钢构-南充市医学院项目</v>
      </c>
      <c r="R1363" s="111" t="str">
        <f>_xlfn._xlws.FILTER(辅助信息!D:D,辅助信息!E:E=B1363)</f>
        <v>五冶钢构南充医学科学产业园建设项目</v>
      </c>
    </row>
    <row r="1364" hidden="1" spans="2:18">
      <c r="B1364" s="33" t="s">
        <v>72</v>
      </c>
      <c r="C1364" s="63">
        <v>45782</v>
      </c>
      <c r="D1364" s="33" t="str">
        <f>VLOOKUP(B1364,辅助信息!E:K,7,FALSE)</f>
        <v>JWDDCD2025051000019</v>
      </c>
      <c r="E1364" s="33" t="str">
        <f>VLOOKUP(F1364,辅助信息!A:B,2,FALSE)</f>
        <v>盘螺</v>
      </c>
      <c r="F1364" s="33" t="s">
        <v>49</v>
      </c>
      <c r="G1364" s="29">
        <v>5</v>
      </c>
      <c r="H1364" s="29" t="str">
        <f>_xlfn.XLOOKUP(C1364&amp;F1364&amp;I1364&amp;J1364,'[1]2025年已发货'!$F:$F&amp;'[1]2025年已发货'!$C:$C&amp;'[1]2025年已发货'!$G:$G&amp;'[1]2025年已发货'!$H:$H,'[1]2025年已发货'!$E:$E,"未发货")</f>
        <v>未发货</v>
      </c>
      <c r="I1364" s="33" t="str">
        <f>VLOOKUP(B1364,辅助信息!E:I,3,FALSE)</f>
        <v>(五冶钢构医学科学产业园建设项目房建二部-网羽馆（6-5）)四川省南充市顺庆区搬罾街道学府大道二段</v>
      </c>
      <c r="J1364" s="33" t="str">
        <f>VLOOKUP(B1364,辅助信息!E:I,4,FALSE)</f>
        <v>安南</v>
      </c>
      <c r="K1364" s="33">
        <f>VLOOKUP(J1364,辅助信息!H:I,2,FALSE)</f>
        <v>19950525030</v>
      </c>
      <c r="L1364" s="102" t="str">
        <f>VLOOKUP(B1364,辅助信息!E:J,6,FALSE)</f>
        <v>送货单：送货单位：南充思临新材料科技有限公司,收货单位：五冶集团川北(南充)建设有限公司,项目名称：南充医学科学产业园,送货车型13米,装货前联系收货人核实到场规格</v>
      </c>
      <c r="M1364" s="84">
        <v>45780</v>
      </c>
      <c r="O1364" s="55">
        <f ca="1" t="shared" si="63"/>
        <v>0</v>
      </c>
      <c r="P1364" s="55">
        <f ca="1" t="shared" si="64"/>
        <v>177</v>
      </c>
      <c r="Q1364" s="22" t="str">
        <f>VLOOKUP(B1364,辅助信息!E:M,9,FALSE)</f>
        <v>ZTWM-CDGS-XS-2024-0248-五冶钢构-南充市医学院项目</v>
      </c>
      <c r="R1364" s="111" t="str">
        <f>_xlfn._xlws.FILTER(辅助信息!D:D,辅助信息!E:E=B1364)</f>
        <v>五冶钢构南充医学科学产业园建设项目</v>
      </c>
    </row>
    <row r="1365" hidden="1" spans="2:18">
      <c r="B1365" s="33" t="s">
        <v>72</v>
      </c>
      <c r="C1365" s="63">
        <v>45782</v>
      </c>
      <c r="D1365" s="33" t="str">
        <f>VLOOKUP(B1365,辅助信息!E:K,7,FALSE)</f>
        <v>JWDDCD2025051000019</v>
      </c>
      <c r="E1365" s="33" t="str">
        <f>VLOOKUP(F1365,辅助信息!A:B,2,FALSE)</f>
        <v>盘螺</v>
      </c>
      <c r="F1365" s="33" t="s">
        <v>40</v>
      </c>
      <c r="G1365" s="29">
        <v>2.5</v>
      </c>
      <c r="H1365" s="29" t="str">
        <f>_xlfn.XLOOKUP(C1365&amp;F1365&amp;I1365&amp;J1365,'[1]2025年已发货'!$F:$F&amp;'[1]2025年已发货'!$C:$C&amp;'[1]2025年已发货'!$G:$G&amp;'[1]2025年已发货'!$H:$H,'[1]2025年已发货'!$E:$E,"未发货")</f>
        <v>未发货</v>
      </c>
      <c r="I1365" s="33" t="str">
        <f>VLOOKUP(B1365,辅助信息!E:I,3,FALSE)</f>
        <v>(五冶钢构医学科学产业园建设项目房建二部-网羽馆（6-5）)四川省南充市顺庆区搬罾街道学府大道二段</v>
      </c>
      <c r="J1365" s="33" t="str">
        <f>VLOOKUP(B1365,辅助信息!E:I,4,FALSE)</f>
        <v>安南</v>
      </c>
      <c r="K1365" s="33">
        <f>VLOOKUP(J1365,辅助信息!H:I,2,FALSE)</f>
        <v>19950525030</v>
      </c>
      <c r="L1365" s="102" t="str">
        <f>VLOOKUP(B1365,辅助信息!E:J,6,FALSE)</f>
        <v>送货单：送货单位：南充思临新材料科技有限公司,收货单位：五冶集团川北(南充)建设有限公司,项目名称：南充医学科学产业园,送货车型13米,装货前联系收货人核实到场规格</v>
      </c>
      <c r="M1365" s="84">
        <v>45780</v>
      </c>
      <c r="O1365" s="55">
        <f ca="1" t="shared" si="63"/>
        <v>0</v>
      </c>
      <c r="P1365" s="55">
        <f ca="1" t="shared" si="64"/>
        <v>177</v>
      </c>
      <c r="Q1365" s="22" t="str">
        <f>VLOOKUP(B1365,辅助信息!E:M,9,FALSE)</f>
        <v>ZTWM-CDGS-XS-2024-0248-五冶钢构-南充市医学院项目</v>
      </c>
      <c r="R1365" s="111" t="str">
        <f>_xlfn._xlws.FILTER(辅助信息!D:D,辅助信息!E:E=B1365)</f>
        <v>五冶钢构南充医学科学产业园建设项目</v>
      </c>
    </row>
    <row r="1366" hidden="1" spans="2:18">
      <c r="B1366" s="33" t="s">
        <v>72</v>
      </c>
      <c r="C1366" s="63">
        <v>45782</v>
      </c>
      <c r="D1366" s="33" t="str">
        <f>VLOOKUP(B1366,辅助信息!E:K,7,FALSE)</f>
        <v>JWDDCD2025051000019</v>
      </c>
      <c r="E1366" s="33" t="str">
        <f>VLOOKUP(F1366,辅助信息!A:B,2,FALSE)</f>
        <v>螺纹钢</v>
      </c>
      <c r="F1366" s="33" t="s">
        <v>27</v>
      </c>
      <c r="G1366" s="29">
        <v>25</v>
      </c>
      <c r="H1366" s="29" t="str">
        <f>_xlfn.XLOOKUP(C1366&amp;F1366&amp;I1366&amp;J1366,'[1]2025年已发货'!$F:$F&amp;'[1]2025年已发货'!$C:$C&amp;'[1]2025年已发货'!$G:$G&amp;'[1]2025年已发货'!$H:$H,'[1]2025年已发货'!$E:$E,"未发货")</f>
        <v>未发货</v>
      </c>
      <c r="I1366" s="33" t="str">
        <f>VLOOKUP(B1366,辅助信息!E:I,3,FALSE)</f>
        <v>(五冶钢构医学科学产业园建设项目房建二部-网羽馆（6-5）)四川省南充市顺庆区搬罾街道学府大道二段</v>
      </c>
      <c r="J1366" s="33" t="str">
        <f>VLOOKUP(B1366,辅助信息!E:I,4,FALSE)</f>
        <v>安南</v>
      </c>
      <c r="K1366" s="33">
        <f>VLOOKUP(J1366,辅助信息!H:I,2,FALSE)</f>
        <v>19950525030</v>
      </c>
      <c r="L1366" s="102" t="str">
        <f>VLOOKUP(B1366,辅助信息!E:J,6,FALSE)</f>
        <v>送货单：送货单位：南充思临新材料科技有限公司,收货单位：五冶集团川北(南充)建设有限公司,项目名称：南充医学科学产业园,送货车型13米,装货前联系收货人核实到场规格</v>
      </c>
      <c r="M1366" s="84">
        <v>45780</v>
      </c>
      <c r="O1366" s="55">
        <f ca="1" t="shared" si="63"/>
        <v>0</v>
      </c>
      <c r="P1366" s="55">
        <f ca="1" t="shared" si="64"/>
        <v>177</v>
      </c>
      <c r="Q1366" s="22" t="str">
        <f>VLOOKUP(B1366,辅助信息!E:M,9,FALSE)</f>
        <v>ZTWM-CDGS-XS-2024-0248-五冶钢构-南充市医学院项目</v>
      </c>
      <c r="R1366" s="111" t="str">
        <f>_xlfn._xlws.FILTER(辅助信息!D:D,辅助信息!E:E=B1366)</f>
        <v>五冶钢构南充医学科学产业园建设项目</v>
      </c>
    </row>
    <row r="1367" hidden="1" spans="2:18">
      <c r="B1367" s="33" t="s">
        <v>81</v>
      </c>
      <c r="C1367" s="63">
        <v>45780</v>
      </c>
      <c r="D1367" s="33" t="str">
        <f>VLOOKUP(B1367,辅助信息!E:K,7,FALSE)</f>
        <v>JWDDCD2025060900080</v>
      </c>
      <c r="E1367" s="33" t="str">
        <f>VLOOKUP(F1367,辅助信息!A:B,2,FALSE)</f>
        <v>盘螺</v>
      </c>
      <c r="F1367" s="33" t="s">
        <v>49</v>
      </c>
      <c r="G1367" s="29">
        <v>2</v>
      </c>
      <c r="H1367" s="29" t="str">
        <f>_xlfn.XLOOKUP(C1367&amp;F1367&amp;I1367&amp;J1367,'[1]2025年已发货'!$F:$F&amp;'[1]2025年已发货'!$C:$C&amp;'[1]2025年已发货'!$G:$G&amp;'[1]2025年已发货'!$H:$H,'[1]2025年已发货'!$E:$E,"未发货")</f>
        <v>未发货</v>
      </c>
      <c r="I1367" s="33" t="str">
        <f>VLOOKUP(B1367,辅助信息!E:I,3,FALSE)</f>
        <v>（华西简阳西城嘉苑）四川省成都市简阳市简城街道高屋村</v>
      </c>
      <c r="J1367" s="33" t="str">
        <f>VLOOKUP(B1367,辅助信息!E:I,4,FALSE)</f>
        <v>张瀚镭</v>
      </c>
      <c r="K1367" s="33">
        <f>VLOOKUP(J1367,辅助信息!H:I,2,FALSE)</f>
        <v>15884666220</v>
      </c>
      <c r="L1367" s="102" t="str">
        <f>VLOOKUP(B1367,辅助信息!E:J,6,FALSE)</f>
        <v>现场禁止使用氢能源挂车！优先威钢发货,我方卸车,新老国标钢厂不加价可直发，因陕钢多次出现磅差，项目拒绝使用</v>
      </c>
      <c r="M1367" s="84">
        <v>45782</v>
      </c>
      <c r="O1367" s="55">
        <f ca="1" t="shared" ref="O1367:O1378" si="65">IF(OR(M1367="",N1367&lt;&gt;""),"",MAX(M1367-TODAY(),0))</f>
        <v>0</v>
      </c>
      <c r="P1367" s="55">
        <f ca="1" t="shared" ref="P1367:P1378" si="66">IF(M1367="","",IF(N1367&lt;&gt;"",MAX(N1367-M1367,0),IF(TODAY()&gt;M1367,TODAY()-M1367,0)))</f>
        <v>175</v>
      </c>
      <c r="Q1367" s="22" t="str">
        <f>VLOOKUP(B1367,辅助信息!E:M,9,FALSE)</f>
        <v>ZTWM-CDGS-XS-2024-0030-华西集采-简州大道</v>
      </c>
      <c r="R1367" s="111" t="str">
        <f>_xlfn._xlws.FILTER(辅助信息!D:D,辅助信息!E:E=B1367)</f>
        <v>华西简阳西城嘉苑</v>
      </c>
    </row>
    <row r="1368" hidden="1" spans="2:18">
      <c r="B1368" s="33" t="s">
        <v>81</v>
      </c>
      <c r="C1368" s="63">
        <v>45780</v>
      </c>
      <c r="D1368" s="33" t="str">
        <f>VLOOKUP(B1368,辅助信息!E:K,7,FALSE)</f>
        <v>JWDDCD2025060900080</v>
      </c>
      <c r="E1368" s="33" t="str">
        <f>VLOOKUP(F1368,辅助信息!A:B,2,FALSE)</f>
        <v>盘螺</v>
      </c>
      <c r="F1368" s="33" t="s">
        <v>40</v>
      </c>
      <c r="G1368" s="29">
        <v>6</v>
      </c>
      <c r="H1368" s="29" t="str">
        <f>_xlfn.XLOOKUP(C1368&amp;F1368&amp;I1368&amp;J1368,'[1]2025年已发货'!$F:$F&amp;'[1]2025年已发货'!$C:$C&amp;'[1]2025年已发货'!$G:$G&amp;'[1]2025年已发货'!$H:$H,'[1]2025年已发货'!$E:$E,"未发货")</f>
        <v>未发货</v>
      </c>
      <c r="I1368" s="33" t="str">
        <f>VLOOKUP(B1368,辅助信息!E:I,3,FALSE)</f>
        <v>（华西简阳西城嘉苑）四川省成都市简阳市简城街道高屋村</v>
      </c>
      <c r="J1368" s="33" t="str">
        <f>VLOOKUP(B1368,辅助信息!E:I,4,FALSE)</f>
        <v>张瀚镭</v>
      </c>
      <c r="K1368" s="33">
        <f>VLOOKUP(J1368,辅助信息!H:I,2,FALSE)</f>
        <v>15884666220</v>
      </c>
      <c r="L1368" s="102" t="str">
        <f>VLOOKUP(B1368,辅助信息!E:J,6,FALSE)</f>
        <v>现场禁止使用氢能源挂车！优先威钢发货,我方卸车,新老国标钢厂不加价可直发，因陕钢多次出现磅差，项目拒绝使用</v>
      </c>
      <c r="M1368" s="84">
        <v>45782</v>
      </c>
      <c r="O1368" s="55">
        <f ca="1" t="shared" si="65"/>
        <v>0</v>
      </c>
      <c r="P1368" s="55">
        <f ca="1" t="shared" si="66"/>
        <v>175</v>
      </c>
      <c r="Q1368" s="22" t="str">
        <f>VLOOKUP(B1368,辅助信息!E:M,9,FALSE)</f>
        <v>ZTWM-CDGS-XS-2024-0030-华西集采-简州大道</v>
      </c>
      <c r="R1368" s="111" t="str">
        <f>_xlfn._xlws.FILTER(辅助信息!D:D,辅助信息!E:E=B1368)</f>
        <v>华西简阳西城嘉苑</v>
      </c>
    </row>
    <row r="1369" hidden="1" spans="2:18">
      <c r="B1369" s="33" t="s">
        <v>81</v>
      </c>
      <c r="C1369" s="63">
        <v>45780</v>
      </c>
      <c r="D1369" s="33" t="str">
        <f>VLOOKUP(B1369,辅助信息!E:K,7,FALSE)</f>
        <v>JWDDCD2025060900080</v>
      </c>
      <c r="E1369" s="33" t="str">
        <f>VLOOKUP(F1369,辅助信息!A:B,2,FALSE)</f>
        <v>盘螺</v>
      </c>
      <c r="F1369" s="33" t="s">
        <v>41</v>
      </c>
      <c r="G1369" s="29">
        <v>35</v>
      </c>
      <c r="H1369" s="29" t="str">
        <f>_xlfn.XLOOKUP(C1369&amp;F1369&amp;I1369&amp;J1369,'[1]2025年已发货'!$F:$F&amp;'[1]2025年已发货'!$C:$C&amp;'[1]2025年已发货'!$G:$G&amp;'[1]2025年已发货'!$H:$H,'[1]2025年已发货'!$E:$E,"未发货")</f>
        <v>未发货</v>
      </c>
      <c r="I1369" s="33" t="str">
        <f>VLOOKUP(B1369,辅助信息!E:I,3,FALSE)</f>
        <v>（华西简阳西城嘉苑）四川省成都市简阳市简城街道高屋村</v>
      </c>
      <c r="J1369" s="33" t="str">
        <f>VLOOKUP(B1369,辅助信息!E:I,4,FALSE)</f>
        <v>张瀚镭</v>
      </c>
      <c r="K1369" s="33">
        <f>VLOOKUP(J1369,辅助信息!H:I,2,FALSE)</f>
        <v>15884666220</v>
      </c>
      <c r="L1369" s="102" t="str">
        <f>VLOOKUP(B1369,辅助信息!E:J,6,FALSE)</f>
        <v>现场禁止使用氢能源挂车！优先威钢发货,我方卸车,新老国标钢厂不加价可直发，因陕钢多次出现磅差，项目拒绝使用</v>
      </c>
      <c r="M1369" s="84">
        <v>45782</v>
      </c>
      <c r="O1369" s="55">
        <f ca="1" t="shared" si="65"/>
        <v>0</v>
      </c>
      <c r="P1369" s="55">
        <f ca="1" t="shared" si="66"/>
        <v>175</v>
      </c>
      <c r="Q1369" s="22" t="str">
        <f>VLOOKUP(B1369,辅助信息!E:M,9,FALSE)</f>
        <v>ZTWM-CDGS-XS-2024-0030-华西集采-简州大道</v>
      </c>
      <c r="R1369" s="111" t="str">
        <f>_xlfn._xlws.FILTER(辅助信息!D:D,辅助信息!E:E=B1369)</f>
        <v>华西简阳西城嘉苑</v>
      </c>
    </row>
    <row r="1370" hidden="1" spans="2:18">
      <c r="B1370" s="33" t="s">
        <v>81</v>
      </c>
      <c r="C1370" s="63">
        <v>45780</v>
      </c>
      <c r="D1370" s="33" t="str">
        <f>VLOOKUP(B1370,辅助信息!E:K,7,FALSE)</f>
        <v>JWDDCD2025060900080</v>
      </c>
      <c r="E1370" s="33" t="str">
        <f>VLOOKUP(F1370,辅助信息!A:B,2,FALSE)</f>
        <v>螺纹钢</v>
      </c>
      <c r="F1370" s="33" t="s">
        <v>27</v>
      </c>
      <c r="G1370" s="29">
        <v>25</v>
      </c>
      <c r="H1370" s="29">
        <f>_xlfn.XLOOKUP(C1370&amp;F1370&amp;I1370&amp;J1370,'[1]2025年已发货'!$F:$F&amp;'[1]2025年已发货'!$C:$C&amp;'[1]2025年已发货'!$G:$G&amp;'[1]2025年已发货'!$H:$H,'[1]2025年已发货'!$E:$E,"未发货")</f>
        <v>21</v>
      </c>
      <c r="I1370" s="33" t="str">
        <f>VLOOKUP(B1370,辅助信息!E:I,3,FALSE)</f>
        <v>（华西简阳西城嘉苑）四川省成都市简阳市简城街道高屋村</v>
      </c>
      <c r="J1370" s="33" t="str">
        <f>VLOOKUP(B1370,辅助信息!E:I,4,FALSE)</f>
        <v>张瀚镭</v>
      </c>
      <c r="K1370" s="33">
        <f>VLOOKUP(J1370,辅助信息!H:I,2,FALSE)</f>
        <v>15884666220</v>
      </c>
      <c r="L1370" s="102" t="str">
        <f>VLOOKUP(B1370,辅助信息!E:J,6,FALSE)</f>
        <v>现场禁止使用氢能源挂车！优先威钢发货,我方卸车,新老国标钢厂不加价可直发，因陕钢多次出现磅差，项目拒绝使用</v>
      </c>
      <c r="M1370" s="84">
        <v>45782</v>
      </c>
      <c r="O1370" s="55">
        <f ca="1" t="shared" si="65"/>
        <v>0</v>
      </c>
      <c r="P1370" s="55">
        <f ca="1" t="shared" si="66"/>
        <v>175</v>
      </c>
      <c r="Q1370" s="22" t="str">
        <f>VLOOKUP(B1370,辅助信息!E:M,9,FALSE)</f>
        <v>ZTWM-CDGS-XS-2024-0030-华西集采-简州大道</v>
      </c>
      <c r="R1370" s="111" t="str">
        <f>_xlfn._xlws.FILTER(辅助信息!D:D,辅助信息!E:E=B1370)</f>
        <v>华西简阳西城嘉苑</v>
      </c>
    </row>
    <row r="1371" hidden="1" spans="2:18">
      <c r="B1371" s="33" t="s">
        <v>81</v>
      </c>
      <c r="C1371" s="63">
        <v>45780</v>
      </c>
      <c r="D1371" s="33" t="str">
        <f>VLOOKUP(B1371,辅助信息!E:K,7,FALSE)</f>
        <v>JWDDCD2025060900080</v>
      </c>
      <c r="E1371" s="33" t="str">
        <f>VLOOKUP(F1371,辅助信息!A:B,2,FALSE)</f>
        <v>螺纹钢</v>
      </c>
      <c r="F1371" s="33" t="s">
        <v>19</v>
      </c>
      <c r="G1371" s="29">
        <v>8</v>
      </c>
      <c r="H1371" s="29">
        <f>_xlfn.XLOOKUP(C1371&amp;F1371&amp;I1371&amp;J1371,'[1]2025年已发货'!$F:$F&amp;'[1]2025年已发货'!$C:$C&amp;'[1]2025年已发货'!$G:$G&amp;'[1]2025年已发货'!$H:$H,'[1]2025年已发货'!$E:$E,"未发货")</f>
        <v>9</v>
      </c>
      <c r="I1371" s="33" t="str">
        <f>VLOOKUP(B1371,辅助信息!E:I,3,FALSE)</f>
        <v>（华西简阳西城嘉苑）四川省成都市简阳市简城街道高屋村</v>
      </c>
      <c r="J1371" s="33" t="str">
        <f>VLOOKUP(B1371,辅助信息!E:I,4,FALSE)</f>
        <v>张瀚镭</v>
      </c>
      <c r="K1371" s="33">
        <f>VLOOKUP(J1371,辅助信息!H:I,2,FALSE)</f>
        <v>15884666220</v>
      </c>
      <c r="L1371" s="102" t="str">
        <f>VLOOKUP(B1371,辅助信息!E:J,6,FALSE)</f>
        <v>现场禁止使用氢能源挂车！优先威钢发货,我方卸车,新老国标钢厂不加价可直发，因陕钢多次出现磅差，项目拒绝使用</v>
      </c>
      <c r="M1371" s="84">
        <v>45782</v>
      </c>
      <c r="O1371" s="55">
        <f ca="1" t="shared" si="65"/>
        <v>0</v>
      </c>
      <c r="P1371" s="55">
        <f ca="1" t="shared" si="66"/>
        <v>175</v>
      </c>
      <c r="Q1371" s="22" t="str">
        <f>VLOOKUP(B1371,辅助信息!E:M,9,FALSE)</f>
        <v>ZTWM-CDGS-XS-2024-0030-华西集采-简州大道</v>
      </c>
      <c r="R1371" s="111" t="str">
        <f>_xlfn._xlws.FILTER(辅助信息!D:D,辅助信息!E:E=B1371)</f>
        <v>华西简阳西城嘉苑</v>
      </c>
    </row>
    <row r="1372" hidden="1" spans="2:18">
      <c r="B1372" s="33" t="s">
        <v>81</v>
      </c>
      <c r="C1372" s="63">
        <v>45780</v>
      </c>
      <c r="D1372" s="33" t="str">
        <f>VLOOKUP(B1372,辅助信息!E:K,7,FALSE)</f>
        <v>JWDDCD2025060900080</v>
      </c>
      <c r="E1372" s="33" t="str">
        <f>VLOOKUP(F1372,辅助信息!A:B,2,FALSE)</f>
        <v>螺纹钢</v>
      </c>
      <c r="F1372" s="33" t="s">
        <v>32</v>
      </c>
      <c r="G1372" s="29">
        <v>78</v>
      </c>
      <c r="H1372" s="29">
        <f>_xlfn.XLOOKUP(C1372&amp;F1372&amp;I1372&amp;J1372,'[1]2025年已发货'!$F:$F&amp;'[1]2025年已发货'!$C:$C&amp;'[1]2025年已发货'!$G:$G&amp;'[1]2025年已发货'!$H:$H,'[1]2025年已发货'!$E:$E,"未发货")</f>
        <v>63</v>
      </c>
      <c r="I1372" s="33" t="str">
        <f>VLOOKUP(B1372,辅助信息!E:I,3,FALSE)</f>
        <v>（华西简阳西城嘉苑）四川省成都市简阳市简城街道高屋村</v>
      </c>
      <c r="J1372" s="33" t="str">
        <f>VLOOKUP(B1372,辅助信息!E:I,4,FALSE)</f>
        <v>张瀚镭</v>
      </c>
      <c r="K1372" s="33">
        <f>VLOOKUP(J1372,辅助信息!H:I,2,FALSE)</f>
        <v>15884666220</v>
      </c>
      <c r="L1372" s="102" t="str">
        <f>VLOOKUP(B1372,辅助信息!E:J,6,FALSE)</f>
        <v>现场禁止使用氢能源挂车！优先威钢发货,我方卸车,新老国标钢厂不加价可直发，因陕钢多次出现磅差，项目拒绝使用</v>
      </c>
      <c r="M1372" s="84">
        <v>45782</v>
      </c>
      <c r="O1372" s="55">
        <f ca="1" t="shared" si="65"/>
        <v>0</v>
      </c>
      <c r="P1372" s="55">
        <f ca="1" t="shared" si="66"/>
        <v>175</v>
      </c>
      <c r="Q1372" s="22" t="str">
        <f>VLOOKUP(B1372,辅助信息!E:M,9,FALSE)</f>
        <v>ZTWM-CDGS-XS-2024-0030-华西集采-简州大道</v>
      </c>
      <c r="R1372" s="111" t="str">
        <f>_xlfn._xlws.FILTER(辅助信息!D:D,辅助信息!E:E=B1372)</f>
        <v>华西简阳西城嘉苑</v>
      </c>
    </row>
    <row r="1373" hidden="1" spans="2:18">
      <c r="B1373" s="33" t="s">
        <v>81</v>
      </c>
      <c r="C1373" s="63">
        <v>45780</v>
      </c>
      <c r="D1373" s="33" t="str">
        <f>VLOOKUP(B1373,辅助信息!E:K,7,FALSE)</f>
        <v>JWDDCD2025060900080</v>
      </c>
      <c r="E1373" s="33" t="str">
        <f>VLOOKUP(F1373,辅助信息!A:B,2,FALSE)</f>
        <v>螺纹钢</v>
      </c>
      <c r="F1373" s="33" t="s">
        <v>30</v>
      </c>
      <c r="G1373" s="29">
        <v>2</v>
      </c>
      <c r="H1373" s="29" t="str">
        <f>_xlfn.XLOOKUP(C1373&amp;F1373&amp;I1373&amp;J1373,'[1]2025年已发货'!$F:$F&amp;'[1]2025年已发货'!$C:$C&amp;'[1]2025年已发货'!$G:$G&amp;'[1]2025年已发货'!$H:$H,'[1]2025年已发货'!$E:$E,"未发货")</f>
        <v>未发货</v>
      </c>
      <c r="I1373" s="33" t="str">
        <f>VLOOKUP(B1373,辅助信息!E:I,3,FALSE)</f>
        <v>（华西简阳西城嘉苑）四川省成都市简阳市简城街道高屋村</v>
      </c>
      <c r="J1373" s="33" t="str">
        <f>VLOOKUP(B1373,辅助信息!E:I,4,FALSE)</f>
        <v>张瀚镭</v>
      </c>
      <c r="K1373" s="33">
        <f>VLOOKUP(J1373,辅助信息!H:I,2,FALSE)</f>
        <v>15884666220</v>
      </c>
      <c r="L1373" s="102" t="str">
        <f>VLOOKUP(B1373,辅助信息!E:J,6,FALSE)</f>
        <v>现场禁止使用氢能源挂车！优先威钢发货,我方卸车,新老国标钢厂不加价可直发，因陕钢多次出现磅差，项目拒绝使用</v>
      </c>
      <c r="M1373" s="84">
        <v>45782</v>
      </c>
      <c r="O1373" s="55">
        <f ca="1" t="shared" si="65"/>
        <v>0</v>
      </c>
      <c r="P1373" s="55">
        <f ca="1" t="shared" si="66"/>
        <v>175</v>
      </c>
      <c r="Q1373" s="22" t="str">
        <f>VLOOKUP(B1373,辅助信息!E:M,9,FALSE)</f>
        <v>ZTWM-CDGS-XS-2024-0030-华西集采-简州大道</v>
      </c>
      <c r="R1373" s="111" t="str">
        <f>_xlfn._xlws.FILTER(辅助信息!D:D,辅助信息!E:E=B1373)</f>
        <v>华西简阳西城嘉苑</v>
      </c>
    </row>
    <row r="1374" hidden="1" spans="2:18">
      <c r="B1374" s="33" t="s">
        <v>81</v>
      </c>
      <c r="C1374" s="63">
        <v>45780</v>
      </c>
      <c r="D1374" s="33" t="str">
        <f>VLOOKUP(B1374,辅助信息!E:K,7,FALSE)</f>
        <v>JWDDCD2025060900080</v>
      </c>
      <c r="E1374" s="33" t="str">
        <f>VLOOKUP(F1374,辅助信息!A:B,2,FALSE)</f>
        <v>螺纹钢</v>
      </c>
      <c r="F1374" s="33" t="s">
        <v>33</v>
      </c>
      <c r="G1374" s="29">
        <v>10</v>
      </c>
      <c r="H1374" s="29">
        <f>_xlfn.XLOOKUP(C1374&amp;F1374&amp;I1374&amp;J1374,'[1]2025年已发货'!$F:$F&amp;'[1]2025年已发货'!$C:$C&amp;'[1]2025年已发货'!$G:$G&amp;'[1]2025年已发货'!$H:$H,'[1]2025年已发货'!$E:$E,"未发货")</f>
        <v>9</v>
      </c>
      <c r="I1374" s="33" t="str">
        <f>VLOOKUP(B1374,辅助信息!E:I,3,FALSE)</f>
        <v>（华西简阳西城嘉苑）四川省成都市简阳市简城街道高屋村</v>
      </c>
      <c r="J1374" s="33" t="str">
        <f>VLOOKUP(B1374,辅助信息!E:I,4,FALSE)</f>
        <v>张瀚镭</v>
      </c>
      <c r="K1374" s="33">
        <f>VLOOKUP(J1374,辅助信息!H:I,2,FALSE)</f>
        <v>15884666220</v>
      </c>
      <c r="L1374" s="102" t="str">
        <f>VLOOKUP(B1374,辅助信息!E:J,6,FALSE)</f>
        <v>现场禁止使用氢能源挂车！优先威钢发货,我方卸车,新老国标钢厂不加价可直发，因陕钢多次出现磅差，项目拒绝使用</v>
      </c>
      <c r="M1374" s="84">
        <v>45782</v>
      </c>
      <c r="O1374" s="55">
        <f ca="1" t="shared" si="65"/>
        <v>0</v>
      </c>
      <c r="P1374" s="55">
        <f ca="1" t="shared" si="66"/>
        <v>175</v>
      </c>
      <c r="Q1374" s="22" t="str">
        <f>VLOOKUP(B1374,辅助信息!E:M,9,FALSE)</f>
        <v>ZTWM-CDGS-XS-2024-0030-华西集采-简州大道</v>
      </c>
      <c r="R1374" s="111" t="str">
        <f>_xlfn._xlws.FILTER(辅助信息!D:D,辅助信息!E:E=B1374)</f>
        <v>华西简阳西城嘉苑</v>
      </c>
    </row>
    <row r="1375" hidden="1" spans="2:18">
      <c r="B1375" s="33" t="s">
        <v>81</v>
      </c>
      <c r="C1375" s="63">
        <v>45780</v>
      </c>
      <c r="D1375" s="33" t="str">
        <f>VLOOKUP(B1375,辅助信息!E:K,7,FALSE)</f>
        <v>JWDDCD2025060900080</v>
      </c>
      <c r="E1375" s="33" t="str">
        <f>VLOOKUP(F1375,辅助信息!A:B,2,FALSE)</f>
        <v>螺纹钢</v>
      </c>
      <c r="F1375" s="33" t="s">
        <v>28</v>
      </c>
      <c r="G1375" s="29">
        <v>6</v>
      </c>
      <c r="H1375" s="29">
        <f>_xlfn.XLOOKUP(C1375&amp;F1375&amp;I1375&amp;J1375,'[1]2025年已发货'!$F:$F&amp;'[1]2025年已发货'!$C:$C&amp;'[1]2025年已发货'!$G:$G&amp;'[1]2025年已发货'!$H:$H,'[1]2025年已发货'!$E:$E,"未发货")</f>
        <v>6</v>
      </c>
      <c r="I1375" s="33" t="str">
        <f>VLOOKUP(B1375,辅助信息!E:I,3,FALSE)</f>
        <v>（华西简阳西城嘉苑）四川省成都市简阳市简城街道高屋村</v>
      </c>
      <c r="J1375" s="33" t="str">
        <f>VLOOKUP(B1375,辅助信息!E:I,4,FALSE)</f>
        <v>张瀚镭</v>
      </c>
      <c r="K1375" s="33">
        <f>VLOOKUP(J1375,辅助信息!H:I,2,FALSE)</f>
        <v>15884666220</v>
      </c>
      <c r="L1375" s="102" t="str">
        <f>VLOOKUP(B1375,辅助信息!E:J,6,FALSE)</f>
        <v>现场禁止使用氢能源挂车！优先威钢发货,我方卸车,新老国标钢厂不加价可直发，因陕钢多次出现磅差，项目拒绝使用</v>
      </c>
      <c r="M1375" s="84">
        <v>45782</v>
      </c>
      <c r="O1375" s="55">
        <f ca="1" t="shared" si="65"/>
        <v>0</v>
      </c>
      <c r="P1375" s="55">
        <f ca="1" t="shared" si="66"/>
        <v>175</v>
      </c>
      <c r="Q1375" s="22" t="str">
        <f>VLOOKUP(B1375,辅助信息!E:M,9,FALSE)</f>
        <v>ZTWM-CDGS-XS-2024-0030-华西集采-简州大道</v>
      </c>
      <c r="R1375" s="111" t="str">
        <f>_xlfn._xlws.FILTER(辅助信息!D:D,辅助信息!E:E=B1375)</f>
        <v>华西简阳西城嘉苑</v>
      </c>
    </row>
    <row r="1376" hidden="1" spans="2:18">
      <c r="B1376" s="33" t="s">
        <v>81</v>
      </c>
      <c r="C1376" s="63">
        <v>45780</v>
      </c>
      <c r="D1376" s="33" t="str">
        <f>VLOOKUP(B1376,辅助信息!E:K,7,FALSE)</f>
        <v>JWDDCD2025060900080</v>
      </c>
      <c r="E1376" s="33" t="str">
        <f>VLOOKUP(F1376,辅助信息!A:B,2,FALSE)</f>
        <v>螺纹钢</v>
      </c>
      <c r="F1376" s="33" t="s">
        <v>18</v>
      </c>
      <c r="G1376" s="29">
        <v>13</v>
      </c>
      <c r="H1376" s="29" t="str">
        <f>_xlfn.XLOOKUP(C1376&amp;F1376&amp;I1376&amp;J1376,'[1]2025年已发货'!$F:$F&amp;'[1]2025年已发货'!$C:$C&amp;'[1]2025年已发货'!$G:$G&amp;'[1]2025年已发货'!$H:$H,'[1]2025年已发货'!$E:$E,"未发货")</f>
        <v>未发货</v>
      </c>
      <c r="I1376" s="33" t="str">
        <f>VLOOKUP(B1376,辅助信息!E:I,3,FALSE)</f>
        <v>（华西简阳西城嘉苑）四川省成都市简阳市简城街道高屋村</v>
      </c>
      <c r="J1376" s="33" t="str">
        <f>VLOOKUP(B1376,辅助信息!E:I,4,FALSE)</f>
        <v>张瀚镭</v>
      </c>
      <c r="K1376" s="33">
        <f>VLOOKUP(J1376,辅助信息!H:I,2,FALSE)</f>
        <v>15884666220</v>
      </c>
      <c r="L1376" s="102" t="str">
        <f>VLOOKUP(B1376,辅助信息!E:J,6,FALSE)</f>
        <v>现场禁止使用氢能源挂车！优先威钢发货,我方卸车,新老国标钢厂不加价可直发，因陕钢多次出现磅差，项目拒绝使用</v>
      </c>
      <c r="M1376" s="84">
        <v>45782</v>
      </c>
      <c r="O1376" s="55">
        <f ca="1" t="shared" si="65"/>
        <v>0</v>
      </c>
      <c r="P1376" s="55">
        <f ca="1" t="shared" si="66"/>
        <v>175</v>
      </c>
      <c r="Q1376" s="22" t="str">
        <f>VLOOKUP(B1376,辅助信息!E:M,9,FALSE)</f>
        <v>ZTWM-CDGS-XS-2024-0030-华西集采-简州大道</v>
      </c>
      <c r="R1376" s="111" t="str">
        <f>_xlfn._xlws.FILTER(辅助信息!D:D,辅助信息!E:E=B1376)</f>
        <v>华西简阳西城嘉苑</v>
      </c>
    </row>
    <row r="1377" hidden="1" spans="2:18">
      <c r="B1377" s="33" t="s">
        <v>106</v>
      </c>
      <c r="C1377" s="63">
        <v>45782</v>
      </c>
      <c r="D1377" s="33" t="str">
        <f>VLOOKUP(B1377,辅助信息!E:K,7,FALSE)</f>
        <v>JWDDCD2024101600133</v>
      </c>
      <c r="E1377" s="33" t="str">
        <f>VLOOKUP(F1377,辅助信息!A:B,2,FALSE)</f>
        <v>盘螺</v>
      </c>
      <c r="F1377" s="33" t="s">
        <v>49</v>
      </c>
      <c r="G1377" s="29">
        <v>15</v>
      </c>
      <c r="H1377" s="29" t="str">
        <f>_xlfn.XLOOKUP(C1377&amp;F1377&amp;I1377&amp;J1377,'[1]2025年已发货'!$F:$F&amp;'[1]2025年已发货'!$C:$C&amp;'[1]2025年已发货'!$G:$G&amp;'[1]2025年已发货'!$H:$H,'[1]2025年已发货'!$E:$E,"未发货")</f>
        <v>未发货</v>
      </c>
      <c r="I1377" s="33" t="str">
        <f>VLOOKUP(B1377,辅助信息!E:I,3,FALSE)</f>
        <v>（五冶钢构宜宾高县月江镇建设项目）  四川省宜宾市高县月江镇刚记超市斜对面(还阳组团沪碳二期项目)</v>
      </c>
      <c r="J1377" s="33" t="str">
        <f>VLOOKUP(B1377,辅助信息!E:I,4,FALSE)</f>
        <v>张朝亮</v>
      </c>
      <c r="K1377" s="33">
        <f>VLOOKUP(J1377,辅助信息!H:I,2,FALSE)</f>
        <v>15228205853</v>
      </c>
      <c r="L1377" s="102" t="str">
        <f>VLOOKUP(B1377,辅助信息!E:J,6,FALSE)</f>
        <v>提前联系到场规格</v>
      </c>
      <c r="M1377" s="84">
        <v>45780</v>
      </c>
      <c r="O1377" s="55">
        <f ca="1" t="shared" si="65"/>
        <v>0</v>
      </c>
      <c r="P1377" s="55">
        <f ca="1" t="shared" si="66"/>
        <v>177</v>
      </c>
      <c r="Q1377" s="22" t="str">
        <f>VLOOKUP(B1377,辅助信息!E:M,9,FALSE)</f>
        <v>ZTWM-CDGS-XS-2024-0169-中冶西部钢构-宜宾市南溪区幸福路东路,高县月江镇建设项目</v>
      </c>
      <c r="R1377" s="111" t="str">
        <f>_xlfn._xlws.FILTER(辅助信息!D:D,辅助信息!E:E=B1377)</f>
        <v>五冶钢构-宜宾市南溪区高县月江镇建设项目</v>
      </c>
    </row>
    <row r="1378" hidden="1" spans="2:18">
      <c r="B1378" s="33" t="s">
        <v>106</v>
      </c>
      <c r="C1378" s="63">
        <v>45782</v>
      </c>
      <c r="D1378" s="33" t="str">
        <f>VLOOKUP(B1378,辅助信息!E:K,7,FALSE)</f>
        <v>JWDDCD2024101600133</v>
      </c>
      <c r="E1378" s="33" t="str">
        <f>VLOOKUP(F1378,辅助信息!A:B,2,FALSE)</f>
        <v>盘螺</v>
      </c>
      <c r="F1378" s="33" t="s">
        <v>40</v>
      </c>
      <c r="G1378" s="29">
        <v>20</v>
      </c>
      <c r="H1378" s="29" t="str">
        <f>_xlfn.XLOOKUP(C1378&amp;F1378&amp;I1378&amp;J1378,'[1]2025年已发货'!$F:$F&amp;'[1]2025年已发货'!$C:$C&amp;'[1]2025年已发货'!$G:$G&amp;'[1]2025年已发货'!$H:$H,'[1]2025年已发货'!$E:$E,"未发货")</f>
        <v>未发货</v>
      </c>
      <c r="I1378" s="33" t="str">
        <f>VLOOKUP(B1378,辅助信息!E:I,3,FALSE)</f>
        <v>（五冶钢构宜宾高县月江镇建设项目）  四川省宜宾市高县月江镇刚记超市斜对面(还阳组团沪碳二期项目)</v>
      </c>
      <c r="J1378" s="33" t="str">
        <f>VLOOKUP(B1378,辅助信息!E:I,4,FALSE)</f>
        <v>张朝亮</v>
      </c>
      <c r="K1378" s="33">
        <f>VLOOKUP(J1378,辅助信息!H:I,2,FALSE)</f>
        <v>15228205853</v>
      </c>
      <c r="L1378" s="102" t="str">
        <f>VLOOKUP(B1378,辅助信息!E:J,6,FALSE)</f>
        <v>提前联系到场规格</v>
      </c>
      <c r="M1378" s="84">
        <v>45780</v>
      </c>
      <c r="O1378" s="55">
        <f ca="1" t="shared" si="65"/>
        <v>0</v>
      </c>
      <c r="P1378" s="55">
        <f ca="1" t="shared" si="66"/>
        <v>177</v>
      </c>
      <c r="Q1378" s="22" t="str">
        <f>VLOOKUP(B1378,辅助信息!E:M,9,FALSE)</f>
        <v>ZTWM-CDGS-XS-2024-0169-中冶西部钢构-宜宾市南溪区幸福路东路,高县月江镇建设项目</v>
      </c>
      <c r="R1378" s="111" t="str">
        <f>_xlfn._xlws.FILTER(辅助信息!D:D,辅助信息!E:E=B1378)</f>
        <v>五冶钢构-宜宾市南溪区高县月江镇建设项目</v>
      </c>
    </row>
    <row r="1379" hidden="1" spans="2:18">
      <c r="B1379" s="33" t="s">
        <v>81</v>
      </c>
      <c r="C1379" s="63">
        <v>45783</v>
      </c>
      <c r="D1379" s="33" t="str">
        <f>VLOOKUP(B1379,辅助信息!E:K,7,FALSE)</f>
        <v>JWDDCD2025060900080</v>
      </c>
      <c r="E1379" s="33" t="str">
        <f>VLOOKUP(F1379,辅助信息!A:B,2,FALSE)</f>
        <v>盘螺</v>
      </c>
      <c r="F1379" s="33" t="s">
        <v>26</v>
      </c>
      <c r="G1379" s="29">
        <v>2</v>
      </c>
      <c r="H1379" s="29" t="str">
        <f>_xlfn.XLOOKUP(C1379&amp;F1379&amp;I1379&amp;J1379,'[1]2025年已发货'!$F:$F&amp;'[1]2025年已发货'!$C:$C&amp;'[1]2025年已发货'!$G:$G&amp;'[1]2025年已发货'!$H:$H,'[1]2025年已发货'!$E:$E,"未发货")</f>
        <v>未发货</v>
      </c>
      <c r="I1379" s="33" t="str">
        <f>VLOOKUP(B1379,辅助信息!E:I,3,FALSE)</f>
        <v>（华西简阳西城嘉苑）四川省成都市简阳市简城街道高屋村</v>
      </c>
      <c r="J1379" s="33" t="str">
        <f>VLOOKUP(B1379,辅助信息!E:I,4,FALSE)</f>
        <v>张瀚镭</v>
      </c>
      <c r="K1379" s="33">
        <f>VLOOKUP(J1379,辅助信息!H:I,2,FALSE)</f>
        <v>15884666220</v>
      </c>
      <c r="L1379" s="102" t="str">
        <f>VLOOKUP(B1379,辅助信息!E:J,6,FALSE)</f>
        <v>现场禁止使用氢能源挂车！优先威钢发货,我方卸车,新老国标钢厂不加价可直发，因陕钢多次出现磅差，项目拒绝使用</v>
      </c>
      <c r="M1379" s="84">
        <v>45784</v>
      </c>
      <c r="O1379" s="55">
        <f ca="1" t="shared" ref="O1379:O1407" si="67">IF(OR(M1379="",N1379&lt;&gt;""),"",MAX(M1379-TODAY(),0))</f>
        <v>0</v>
      </c>
      <c r="P1379" s="55">
        <f ca="1" t="shared" ref="P1379:P1407" si="68">IF(M1379="","",IF(N1379&lt;&gt;"",MAX(N1379-M1379,0),IF(TODAY()&gt;M1379,TODAY()-M1379,0)))</f>
        <v>173</v>
      </c>
      <c r="Q1379" s="22" t="str">
        <f>VLOOKUP(B1379,辅助信息!E:M,9,FALSE)</f>
        <v>ZTWM-CDGS-XS-2024-0030-华西集采-简州大道</v>
      </c>
      <c r="R1379" s="111" t="str">
        <f>_xlfn._xlws.FILTER(辅助信息!D:D,辅助信息!E:E=B1379)</f>
        <v>华西简阳西城嘉苑</v>
      </c>
    </row>
    <row r="1380" hidden="1" spans="2:18">
      <c r="B1380" s="33" t="s">
        <v>81</v>
      </c>
      <c r="C1380" s="63">
        <v>45783</v>
      </c>
      <c r="D1380" s="33" t="str">
        <f>VLOOKUP(B1380,辅助信息!E:K,7,FALSE)</f>
        <v>JWDDCD2025060900080</v>
      </c>
      <c r="E1380" s="33" t="str">
        <f>VLOOKUP(F1380,辅助信息!A:B,2,FALSE)</f>
        <v>螺纹钢</v>
      </c>
      <c r="F1380" s="33" t="s">
        <v>19</v>
      </c>
      <c r="G1380" s="29">
        <v>1</v>
      </c>
      <c r="H1380" s="29" t="str">
        <f>_xlfn.XLOOKUP(C1380&amp;F1380&amp;I1380&amp;J1380,'[1]2025年已发货'!$F:$F&amp;'[1]2025年已发货'!$C:$C&amp;'[1]2025年已发货'!$G:$G&amp;'[1]2025年已发货'!$H:$H,'[1]2025年已发货'!$E:$E,"未发货")</f>
        <v>未发货</v>
      </c>
      <c r="I1380" s="33" t="str">
        <f>VLOOKUP(B1380,辅助信息!E:I,3,FALSE)</f>
        <v>（华西简阳西城嘉苑）四川省成都市简阳市简城街道高屋村</v>
      </c>
      <c r="J1380" s="33" t="str">
        <f>VLOOKUP(B1380,辅助信息!E:I,4,FALSE)</f>
        <v>张瀚镭</v>
      </c>
      <c r="K1380" s="33">
        <f>VLOOKUP(J1380,辅助信息!H:I,2,FALSE)</f>
        <v>15884666220</v>
      </c>
      <c r="L1380" s="102" t="str">
        <f>VLOOKUP(B1380,辅助信息!E:J,6,FALSE)</f>
        <v>现场禁止使用氢能源挂车！优先威钢发货,我方卸车,新老国标钢厂不加价可直发，因陕钢多次出现磅差，项目拒绝使用</v>
      </c>
      <c r="M1380" s="84">
        <v>45784</v>
      </c>
      <c r="O1380" s="55">
        <f ca="1" t="shared" si="67"/>
        <v>0</v>
      </c>
      <c r="P1380" s="55">
        <f ca="1" t="shared" si="68"/>
        <v>173</v>
      </c>
      <c r="Q1380" s="22" t="str">
        <f>VLOOKUP(B1380,辅助信息!E:M,9,FALSE)</f>
        <v>ZTWM-CDGS-XS-2024-0030-华西集采-简州大道</v>
      </c>
      <c r="R1380" s="111" t="str">
        <f>_xlfn._xlws.FILTER(辅助信息!D:D,辅助信息!E:E=B1380)</f>
        <v>华西简阳西城嘉苑</v>
      </c>
    </row>
    <row r="1381" hidden="1" spans="2:18">
      <c r="B1381" s="33" t="s">
        <v>81</v>
      </c>
      <c r="C1381" s="63">
        <v>45783</v>
      </c>
      <c r="D1381" s="33" t="str">
        <f>VLOOKUP(B1381,辅助信息!E:K,7,FALSE)</f>
        <v>JWDDCD2025060900080</v>
      </c>
      <c r="E1381" s="33" t="str">
        <f>VLOOKUP(F1381,辅助信息!A:B,2,FALSE)</f>
        <v>螺纹钢</v>
      </c>
      <c r="F1381" s="33" t="s">
        <v>30</v>
      </c>
      <c r="G1381" s="29">
        <v>67</v>
      </c>
      <c r="H1381" s="29" t="str">
        <f>_xlfn.XLOOKUP(C1381&amp;F1381&amp;I1381&amp;J1381,'[1]2025年已发货'!$F:$F&amp;'[1]2025年已发货'!$C:$C&amp;'[1]2025年已发货'!$G:$G&amp;'[1]2025年已发货'!$H:$H,'[1]2025年已发货'!$E:$E,"未发货")</f>
        <v>未发货</v>
      </c>
      <c r="I1381" s="33" t="str">
        <f>VLOOKUP(B1381,辅助信息!E:I,3,FALSE)</f>
        <v>（华西简阳西城嘉苑）四川省成都市简阳市简城街道高屋村</v>
      </c>
      <c r="J1381" s="33" t="str">
        <f>VLOOKUP(B1381,辅助信息!E:I,4,FALSE)</f>
        <v>张瀚镭</v>
      </c>
      <c r="K1381" s="33">
        <f>VLOOKUP(J1381,辅助信息!H:I,2,FALSE)</f>
        <v>15884666220</v>
      </c>
      <c r="L1381" s="102" t="str">
        <f>VLOOKUP(B1381,辅助信息!E:J,6,FALSE)</f>
        <v>现场禁止使用氢能源挂车！优先威钢发货,我方卸车,新老国标钢厂不加价可直发，因陕钢多次出现磅差，项目拒绝使用</v>
      </c>
      <c r="M1381" s="84">
        <v>45784</v>
      </c>
      <c r="O1381" s="55">
        <f ca="1" t="shared" si="67"/>
        <v>0</v>
      </c>
      <c r="P1381" s="55">
        <f ca="1" t="shared" si="68"/>
        <v>173</v>
      </c>
      <c r="Q1381" s="22" t="str">
        <f>VLOOKUP(B1381,辅助信息!E:M,9,FALSE)</f>
        <v>ZTWM-CDGS-XS-2024-0030-华西集采-简州大道</v>
      </c>
      <c r="R1381" s="111" t="str">
        <f>_xlfn._xlws.FILTER(辅助信息!D:D,辅助信息!E:E=B1381)</f>
        <v>华西简阳西城嘉苑</v>
      </c>
    </row>
    <row r="1382" hidden="1" spans="2:18">
      <c r="B1382" s="33" t="s">
        <v>81</v>
      </c>
      <c r="C1382" s="63">
        <v>45783</v>
      </c>
      <c r="D1382" s="33" t="str">
        <f>VLOOKUP(B1382,辅助信息!E:K,7,FALSE)</f>
        <v>JWDDCD2025060900080</v>
      </c>
      <c r="E1382" s="33" t="str">
        <f>VLOOKUP(F1382,辅助信息!A:B,2,FALSE)</f>
        <v>螺纹钢</v>
      </c>
      <c r="F1382" s="33" t="s">
        <v>58</v>
      </c>
      <c r="G1382" s="29">
        <v>10</v>
      </c>
      <c r="H1382" s="29" t="str">
        <f>_xlfn.XLOOKUP(C1382&amp;F1382&amp;I1382&amp;J1382,'[1]2025年已发货'!$F:$F&amp;'[1]2025年已发货'!$C:$C&amp;'[1]2025年已发货'!$G:$G&amp;'[1]2025年已发货'!$H:$H,'[1]2025年已发货'!$E:$E,"未发货")</f>
        <v>未发货</v>
      </c>
      <c r="I1382" s="33" t="str">
        <f>VLOOKUP(B1382,辅助信息!E:I,3,FALSE)</f>
        <v>（华西简阳西城嘉苑）四川省成都市简阳市简城街道高屋村</v>
      </c>
      <c r="J1382" s="33" t="str">
        <f>VLOOKUP(B1382,辅助信息!E:I,4,FALSE)</f>
        <v>张瀚镭</v>
      </c>
      <c r="K1382" s="33">
        <f>VLOOKUP(J1382,辅助信息!H:I,2,FALSE)</f>
        <v>15884666220</v>
      </c>
      <c r="L1382" s="102" t="str">
        <f>VLOOKUP(B1382,辅助信息!E:J,6,FALSE)</f>
        <v>现场禁止使用氢能源挂车！优先威钢发货,我方卸车,新老国标钢厂不加价可直发，因陕钢多次出现磅差，项目拒绝使用</v>
      </c>
      <c r="M1382" s="84">
        <v>45784</v>
      </c>
      <c r="O1382" s="55">
        <f ca="1" t="shared" si="67"/>
        <v>0</v>
      </c>
      <c r="P1382" s="55">
        <f ca="1" t="shared" si="68"/>
        <v>173</v>
      </c>
      <c r="Q1382" s="22" t="str">
        <f>VLOOKUP(B1382,辅助信息!E:M,9,FALSE)</f>
        <v>ZTWM-CDGS-XS-2024-0030-华西集采-简州大道</v>
      </c>
      <c r="R1382" s="111" t="str">
        <f>_xlfn._xlws.FILTER(辅助信息!D:D,辅助信息!E:E=B1382)</f>
        <v>华西简阳西城嘉苑</v>
      </c>
    </row>
    <row r="1383" hidden="1" spans="2:18">
      <c r="B1383" s="33" t="s">
        <v>81</v>
      </c>
      <c r="C1383" s="63">
        <v>45783</v>
      </c>
      <c r="D1383" s="33" t="str">
        <f>VLOOKUP(B1383,辅助信息!E:K,7,FALSE)</f>
        <v>JWDDCD2025060900080</v>
      </c>
      <c r="E1383" s="33" t="str">
        <f>VLOOKUP(F1383,辅助信息!A:B,2,FALSE)</f>
        <v>螺纹钢</v>
      </c>
      <c r="F1383" s="33" t="s">
        <v>46</v>
      </c>
      <c r="G1383" s="29">
        <v>6</v>
      </c>
      <c r="H1383" s="29" t="str">
        <f>_xlfn.XLOOKUP(C1383&amp;F1383&amp;I1383&amp;J1383,'[1]2025年已发货'!$F:$F&amp;'[1]2025年已发货'!$C:$C&amp;'[1]2025年已发货'!$G:$G&amp;'[1]2025年已发货'!$H:$H,'[1]2025年已发货'!$E:$E,"未发货")</f>
        <v>未发货</v>
      </c>
      <c r="I1383" s="33" t="str">
        <f>VLOOKUP(B1383,辅助信息!E:I,3,FALSE)</f>
        <v>（华西简阳西城嘉苑）四川省成都市简阳市简城街道高屋村</v>
      </c>
      <c r="J1383" s="33" t="str">
        <f>VLOOKUP(B1383,辅助信息!E:I,4,FALSE)</f>
        <v>张瀚镭</v>
      </c>
      <c r="K1383" s="33">
        <f>VLOOKUP(J1383,辅助信息!H:I,2,FALSE)</f>
        <v>15884666220</v>
      </c>
      <c r="L1383" s="102" t="str">
        <f>VLOOKUP(B1383,辅助信息!E:J,6,FALSE)</f>
        <v>现场禁止使用氢能源挂车！优先威钢发货,我方卸车,新老国标钢厂不加价可直发，因陕钢多次出现磅差，项目拒绝使用</v>
      </c>
      <c r="M1383" s="84">
        <v>45784</v>
      </c>
      <c r="O1383" s="55">
        <f ca="1" t="shared" si="67"/>
        <v>0</v>
      </c>
      <c r="P1383" s="55">
        <f ca="1" t="shared" si="68"/>
        <v>173</v>
      </c>
      <c r="Q1383" s="22" t="str">
        <f>VLOOKUP(B1383,辅助信息!E:M,9,FALSE)</f>
        <v>ZTWM-CDGS-XS-2024-0030-华西集采-简州大道</v>
      </c>
      <c r="R1383" s="111" t="str">
        <f>_xlfn._xlws.FILTER(辅助信息!D:D,辅助信息!E:E=B1383)</f>
        <v>华西简阳西城嘉苑</v>
      </c>
    </row>
    <row r="1384" hidden="1" spans="2:18">
      <c r="B1384" s="33" t="s">
        <v>81</v>
      </c>
      <c r="C1384" s="63">
        <v>45783</v>
      </c>
      <c r="D1384" s="33" t="str">
        <f>VLOOKUP(B1384,辅助信息!E:K,7,FALSE)</f>
        <v>JWDDCD2025060900080</v>
      </c>
      <c r="E1384" s="33" t="str">
        <f>VLOOKUP(F1384,辅助信息!A:B,2,FALSE)</f>
        <v>螺纹钢</v>
      </c>
      <c r="F1384" s="33" t="s">
        <v>22</v>
      </c>
      <c r="G1384" s="29">
        <v>13</v>
      </c>
      <c r="H1384" s="29" t="str">
        <f>_xlfn.XLOOKUP(C1384&amp;F1384&amp;I1384&amp;J1384,'[1]2025年已发货'!$F:$F&amp;'[1]2025年已发货'!$C:$C&amp;'[1]2025年已发货'!$G:$G&amp;'[1]2025年已发货'!$H:$H,'[1]2025年已发货'!$E:$E,"未发货")</f>
        <v>未发货</v>
      </c>
      <c r="I1384" s="33" t="str">
        <f>VLOOKUP(B1384,辅助信息!E:I,3,FALSE)</f>
        <v>（华西简阳西城嘉苑）四川省成都市简阳市简城街道高屋村</v>
      </c>
      <c r="J1384" s="33" t="str">
        <f>VLOOKUP(B1384,辅助信息!E:I,4,FALSE)</f>
        <v>张瀚镭</v>
      </c>
      <c r="K1384" s="33">
        <f>VLOOKUP(J1384,辅助信息!H:I,2,FALSE)</f>
        <v>15884666220</v>
      </c>
      <c r="L1384" s="102" t="str">
        <f>VLOOKUP(B1384,辅助信息!E:J,6,FALSE)</f>
        <v>现场禁止使用氢能源挂车！优先威钢发货,我方卸车,新老国标钢厂不加价可直发，因陕钢多次出现磅差，项目拒绝使用</v>
      </c>
      <c r="M1384" s="84">
        <v>45784</v>
      </c>
      <c r="O1384" s="55">
        <f ca="1" t="shared" si="67"/>
        <v>0</v>
      </c>
      <c r="P1384" s="55">
        <f ca="1" t="shared" si="68"/>
        <v>173</v>
      </c>
      <c r="Q1384" s="22" t="str">
        <f>VLOOKUP(B1384,辅助信息!E:M,9,FALSE)</f>
        <v>ZTWM-CDGS-XS-2024-0030-华西集采-简州大道</v>
      </c>
      <c r="R1384" s="111" t="str">
        <f>_xlfn._xlws.FILTER(辅助信息!D:D,辅助信息!E:E=B1384)</f>
        <v>华西简阳西城嘉苑</v>
      </c>
    </row>
    <row r="1385" hidden="1" spans="2:18">
      <c r="B1385" s="33" t="s">
        <v>81</v>
      </c>
      <c r="C1385" s="63">
        <v>45783</v>
      </c>
      <c r="D1385" s="33" t="str">
        <f>VLOOKUP(B1385,辅助信息!E:K,7,FALSE)</f>
        <v>JWDDCD2025060900080</v>
      </c>
      <c r="E1385" s="33" t="str">
        <f>VLOOKUP(F1385,辅助信息!A:B,2,FALSE)</f>
        <v>盘螺</v>
      </c>
      <c r="F1385" s="33" t="s">
        <v>26</v>
      </c>
      <c r="G1385" s="29">
        <v>3</v>
      </c>
      <c r="H1385" s="29" t="str">
        <f>_xlfn.XLOOKUP(C1385&amp;F1385&amp;I1385&amp;J1385,'[1]2025年已发货'!$F:$F&amp;'[1]2025年已发货'!$C:$C&amp;'[1]2025年已发货'!$G:$G&amp;'[1]2025年已发货'!$H:$H,'[1]2025年已发货'!$E:$E,"未发货")</f>
        <v>未发货</v>
      </c>
      <c r="I1385" s="33" t="str">
        <f>VLOOKUP(B1385,辅助信息!E:I,3,FALSE)</f>
        <v>（华西简阳西城嘉苑）四川省成都市简阳市简城街道高屋村</v>
      </c>
      <c r="J1385" s="33" t="str">
        <f>VLOOKUP(B1385,辅助信息!E:I,4,FALSE)</f>
        <v>张瀚镭</v>
      </c>
      <c r="K1385" s="33">
        <f>VLOOKUP(J1385,辅助信息!H:I,2,FALSE)</f>
        <v>15884666220</v>
      </c>
      <c r="L1385" s="102" t="str">
        <f>VLOOKUP(B1385,辅助信息!E:J,6,FALSE)</f>
        <v>现场禁止使用氢能源挂车！优先威钢发货,我方卸车,新老国标钢厂不加价可直发，因陕钢多次出现磅差，项目拒绝使用</v>
      </c>
      <c r="M1385" s="84">
        <v>45784</v>
      </c>
      <c r="O1385" s="55">
        <f ca="1" t="shared" si="67"/>
        <v>0</v>
      </c>
      <c r="P1385" s="55">
        <f ca="1" t="shared" si="68"/>
        <v>173</v>
      </c>
      <c r="Q1385" s="22" t="str">
        <f>VLOOKUP(B1385,辅助信息!E:M,9,FALSE)</f>
        <v>ZTWM-CDGS-XS-2024-0030-华西集采-简州大道</v>
      </c>
      <c r="R1385" s="111" t="str">
        <f>_xlfn._xlws.FILTER(辅助信息!D:D,辅助信息!E:E=B1385)</f>
        <v>华西简阳西城嘉苑</v>
      </c>
    </row>
    <row r="1386" hidden="1" spans="2:18">
      <c r="B1386" s="33" t="s">
        <v>81</v>
      </c>
      <c r="C1386" s="63">
        <v>45783</v>
      </c>
      <c r="D1386" s="33" t="str">
        <f>VLOOKUP(B1386,辅助信息!E:K,7,FALSE)</f>
        <v>JWDDCD2025060900080</v>
      </c>
      <c r="E1386" s="33" t="str">
        <f>VLOOKUP(F1386,辅助信息!A:B,2,FALSE)</f>
        <v>螺纹钢</v>
      </c>
      <c r="F1386" s="33" t="s">
        <v>19</v>
      </c>
      <c r="G1386" s="29">
        <v>71</v>
      </c>
      <c r="H1386" s="29" t="str">
        <f>_xlfn.XLOOKUP(C1386&amp;F1386&amp;I1386&amp;J1386,'[1]2025年已发货'!$F:$F&amp;'[1]2025年已发货'!$C:$C&amp;'[1]2025年已发货'!$G:$G&amp;'[1]2025年已发货'!$H:$H,'[1]2025年已发货'!$E:$E,"未发货")</f>
        <v>未发货</v>
      </c>
      <c r="I1386" s="33" t="str">
        <f>VLOOKUP(B1386,辅助信息!E:I,3,FALSE)</f>
        <v>（华西简阳西城嘉苑）四川省成都市简阳市简城街道高屋村</v>
      </c>
      <c r="J1386" s="33" t="str">
        <f>VLOOKUP(B1386,辅助信息!E:I,4,FALSE)</f>
        <v>张瀚镭</v>
      </c>
      <c r="K1386" s="33">
        <f>VLOOKUP(J1386,辅助信息!H:I,2,FALSE)</f>
        <v>15884666220</v>
      </c>
      <c r="L1386" s="102" t="str">
        <f>VLOOKUP(B1386,辅助信息!E:J,6,FALSE)</f>
        <v>现场禁止使用氢能源挂车！优先威钢发货,我方卸车,新老国标钢厂不加价可直发，因陕钢多次出现磅差，项目拒绝使用</v>
      </c>
      <c r="M1386" s="84">
        <v>45784</v>
      </c>
      <c r="O1386" s="55">
        <f ca="1" t="shared" si="67"/>
        <v>0</v>
      </c>
      <c r="P1386" s="55">
        <f ca="1" t="shared" si="68"/>
        <v>173</v>
      </c>
      <c r="Q1386" s="22" t="str">
        <f>VLOOKUP(B1386,辅助信息!E:M,9,FALSE)</f>
        <v>ZTWM-CDGS-XS-2024-0030-华西集采-简州大道</v>
      </c>
      <c r="R1386" s="111" t="str">
        <f>_xlfn._xlws.FILTER(辅助信息!D:D,辅助信息!E:E=B1386)</f>
        <v>华西简阳西城嘉苑</v>
      </c>
    </row>
    <row r="1387" hidden="1" spans="2:18">
      <c r="B1387" s="33" t="s">
        <v>81</v>
      </c>
      <c r="C1387" s="63">
        <v>45783</v>
      </c>
      <c r="D1387" s="33" t="str">
        <f>VLOOKUP(B1387,辅助信息!E:K,7,FALSE)</f>
        <v>JWDDCD2025060900080</v>
      </c>
      <c r="E1387" s="33" t="str">
        <f>VLOOKUP(F1387,辅助信息!A:B,2,FALSE)</f>
        <v>螺纹钢</v>
      </c>
      <c r="F1387" s="33" t="s">
        <v>32</v>
      </c>
      <c r="G1387" s="29">
        <v>17</v>
      </c>
      <c r="H1387" s="29" t="str">
        <f>_xlfn.XLOOKUP(C1387&amp;F1387&amp;I1387&amp;J1387,'[1]2025年已发货'!$F:$F&amp;'[1]2025年已发货'!$C:$C&amp;'[1]2025年已发货'!$G:$G&amp;'[1]2025年已发货'!$H:$H,'[1]2025年已发货'!$E:$E,"未发货")</f>
        <v>未发货</v>
      </c>
      <c r="I1387" s="33" t="str">
        <f>VLOOKUP(B1387,辅助信息!E:I,3,FALSE)</f>
        <v>（华西简阳西城嘉苑）四川省成都市简阳市简城街道高屋村</v>
      </c>
      <c r="J1387" s="33" t="str">
        <f>VLOOKUP(B1387,辅助信息!E:I,4,FALSE)</f>
        <v>张瀚镭</v>
      </c>
      <c r="K1387" s="33">
        <f>VLOOKUP(J1387,辅助信息!H:I,2,FALSE)</f>
        <v>15884666220</v>
      </c>
      <c r="L1387" s="102" t="str">
        <f>VLOOKUP(B1387,辅助信息!E:J,6,FALSE)</f>
        <v>现场禁止使用氢能源挂车！优先威钢发货,我方卸车,新老国标钢厂不加价可直发，因陕钢多次出现磅差，项目拒绝使用</v>
      </c>
      <c r="M1387" s="84">
        <v>45784</v>
      </c>
      <c r="O1387" s="55">
        <f ca="1" t="shared" si="67"/>
        <v>0</v>
      </c>
      <c r="P1387" s="55">
        <f ca="1" t="shared" si="68"/>
        <v>173</v>
      </c>
      <c r="Q1387" s="22" t="str">
        <f>VLOOKUP(B1387,辅助信息!E:M,9,FALSE)</f>
        <v>ZTWM-CDGS-XS-2024-0030-华西集采-简州大道</v>
      </c>
      <c r="R1387" s="111" t="str">
        <f>_xlfn._xlws.FILTER(辅助信息!D:D,辅助信息!E:E=B1387)</f>
        <v>华西简阳西城嘉苑</v>
      </c>
    </row>
    <row r="1388" hidden="1" spans="2:18">
      <c r="B1388" s="33" t="s">
        <v>81</v>
      </c>
      <c r="C1388" s="63">
        <v>45783</v>
      </c>
      <c r="D1388" s="33" t="str">
        <f>VLOOKUP(B1388,辅助信息!E:K,7,FALSE)</f>
        <v>JWDDCD2025060900080</v>
      </c>
      <c r="E1388" s="33" t="str">
        <f>VLOOKUP(F1388,辅助信息!A:B,2,FALSE)</f>
        <v>螺纹钢</v>
      </c>
      <c r="F1388" s="33" t="s">
        <v>30</v>
      </c>
      <c r="G1388" s="29">
        <v>3</v>
      </c>
      <c r="H1388" s="29" t="str">
        <f>_xlfn.XLOOKUP(C1388&amp;F1388&amp;I1388&amp;J1388,'[1]2025年已发货'!$F:$F&amp;'[1]2025年已发货'!$C:$C&amp;'[1]2025年已发货'!$G:$G&amp;'[1]2025年已发货'!$H:$H,'[1]2025年已发货'!$E:$E,"未发货")</f>
        <v>未发货</v>
      </c>
      <c r="I1388" s="33" t="str">
        <f>VLOOKUP(B1388,辅助信息!E:I,3,FALSE)</f>
        <v>（华西简阳西城嘉苑）四川省成都市简阳市简城街道高屋村</v>
      </c>
      <c r="J1388" s="33" t="str">
        <f>VLOOKUP(B1388,辅助信息!E:I,4,FALSE)</f>
        <v>张瀚镭</v>
      </c>
      <c r="K1388" s="33">
        <f>VLOOKUP(J1388,辅助信息!H:I,2,FALSE)</f>
        <v>15884666220</v>
      </c>
      <c r="L1388" s="102" t="str">
        <f>VLOOKUP(B1388,辅助信息!E:J,6,FALSE)</f>
        <v>现场禁止使用氢能源挂车！优先威钢发货,我方卸车,新老国标钢厂不加价可直发，因陕钢多次出现磅差，项目拒绝使用</v>
      </c>
      <c r="M1388" s="84">
        <v>45784</v>
      </c>
      <c r="O1388" s="55">
        <f ca="1" t="shared" si="67"/>
        <v>0</v>
      </c>
      <c r="P1388" s="55">
        <f ca="1" t="shared" si="68"/>
        <v>173</v>
      </c>
      <c r="Q1388" s="22" t="str">
        <f>VLOOKUP(B1388,辅助信息!E:M,9,FALSE)</f>
        <v>ZTWM-CDGS-XS-2024-0030-华西集采-简州大道</v>
      </c>
      <c r="R1388" s="111" t="str">
        <f>_xlfn._xlws.FILTER(辅助信息!D:D,辅助信息!E:E=B1388)</f>
        <v>华西简阳西城嘉苑</v>
      </c>
    </row>
    <row r="1389" hidden="1" spans="2:18">
      <c r="B1389" s="33" t="s">
        <v>81</v>
      </c>
      <c r="C1389" s="63">
        <v>45783</v>
      </c>
      <c r="D1389" s="33" t="str">
        <f>VLOOKUP(B1389,辅助信息!E:K,7,FALSE)</f>
        <v>JWDDCD2025060900080</v>
      </c>
      <c r="E1389" s="33" t="str">
        <f>VLOOKUP(F1389,辅助信息!A:B,2,FALSE)</f>
        <v>螺纹钢</v>
      </c>
      <c r="F1389" s="33" t="s">
        <v>33</v>
      </c>
      <c r="G1389" s="29">
        <v>3</v>
      </c>
      <c r="H1389" s="29" t="str">
        <f>_xlfn.XLOOKUP(C1389&amp;F1389&amp;I1389&amp;J1389,'[1]2025年已发货'!$F:$F&amp;'[1]2025年已发货'!$C:$C&amp;'[1]2025年已发货'!$G:$G&amp;'[1]2025年已发货'!$H:$H,'[1]2025年已发货'!$E:$E,"未发货")</f>
        <v>未发货</v>
      </c>
      <c r="I1389" s="33" t="str">
        <f>VLOOKUP(B1389,辅助信息!E:I,3,FALSE)</f>
        <v>（华西简阳西城嘉苑）四川省成都市简阳市简城街道高屋村</v>
      </c>
      <c r="J1389" s="33" t="str">
        <f>VLOOKUP(B1389,辅助信息!E:I,4,FALSE)</f>
        <v>张瀚镭</v>
      </c>
      <c r="K1389" s="33">
        <f>VLOOKUP(J1389,辅助信息!H:I,2,FALSE)</f>
        <v>15884666220</v>
      </c>
      <c r="L1389" s="102" t="str">
        <f>VLOOKUP(B1389,辅助信息!E:J,6,FALSE)</f>
        <v>现场禁止使用氢能源挂车！优先威钢发货,我方卸车,新老国标钢厂不加价可直发，因陕钢多次出现磅差，项目拒绝使用</v>
      </c>
      <c r="M1389" s="84">
        <v>45784</v>
      </c>
      <c r="O1389" s="55">
        <f ca="1" t="shared" si="67"/>
        <v>0</v>
      </c>
      <c r="P1389" s="55">
        <f ca="1" t="shared" si="68"/>
        <v>173</v>
      </c>
      <c r="Q1389" s="22" t="str">
        <f>VLOOKUP(B1389,辅助信息!E:M,9,FALSE)</f>
        <v>ZTWM-CDGS-XS-2024-0030-华西集采-简州大道</v>
      </c>
      <c r="R1389" s="111" t="str">
        <f>_xlfn._xlws.FILTER(辅助信息!D:D,辅助信息!E:E=B1389)</f>
        <v>华西简阳西城嘉苑</v>
      </c>
    </row>
    <row r="1390" hidden="1" spans="2:18">
      <c r="B1390" s="33" t="s">
        <v>148</v>
      </c>
      <c r="C1390" s="63">
        <v>45783</v>
      </c>
      <c r="D1390" s="33" t="str">
        <f>VLOOKUP(B1390,辅助信息!E:K,7,FALSE)</f>
        <v>JWDDCD2025050800080</v>
      </c>
      <c r="E1390" s="33" t="str">
        <f>VLOOKUP(F1390,辅助信息!A:B,2,FALSE)</f>
        <v>螺纹钢</v>
      </c>
      <c r="F1390" s="33" t="s">
        <v>30</v>
      </c>
      <c r="G1390" s="29">
        <v>20</v>
      </c>
      <c r="H1390" s="29">
        <f>_xlfn.XLOOKUP(C1390&amp;F1390&amp;I1390&amp;J1390,'[1]2025年已发货'!$F:$F&amp;'[1]2025年已发货'!$C:$C&amp;'[1]2025年已发货'!$G:$G&amp;'[1]2025年已发货'!$H:$H,'[1]2025年已发货'!$E:$E,"未发货")</f>
        <v>20</v>
      </c>
      <c r="I1390" s="33" t="str">
        <f>VLOOKUP(B1390,辅助信息!E:I,3,FALSE)</f>
        <v>(宜宾兴港三江新区长江工业园建设项目-3#8#土建)宜宾市翠屏区宜宾汽车零部件配套产业基地(纬五路南)</v>
      </c>
      <c r="J1390" s="33" t="str">
        <f>VLOOKUP(B1390,辅助信息!E:I,4,FALSE)</f>
        <v>严石林</v>
      </c>
      <c r="K1390" s="33">
        <f>VLOOKUP(J1390,辅助信息!H:I,2,FALSE)</f>
        <v>15924731822</v>
      </c>
      <c r="L1390" s="102" t="str">
        <f>VLOOKUP(B1390,辅助信息!E:J,6,FALSE)</f>
        <v>装货前联系收货人核实到场规格，货物最下面用方木垫下方便卸货</v>
      </c>
      <c r="M1390" s="84">
        <v>45784</v>
      </c>
      <c r="O1390" s="55">
        <f ca="1" t="shared" si="67"/>
        <v>0</v>
      </c>
      <c r="P1390" s="55">
        <f ca="1" t="shared" si="68"/>
        <v>173</v>
      </c>
      <c r="Q1390" s="22" t="str">
        <f>VLOOKUP(B1390,辅助信息!E:M,9,FALSE)</f>
        <v>ZTWM-CDGS-XS-2025-0059-宜宾兴港建材-宜宾冷链项目</v>
      </c>
      <c r="R1390" s="111" t="str">
        <f>_xlfn._xlws.FILTER(辅助信息!D:D,辅助信息!E:E=B1390)</f>
        <v>宜宾兴港三江新区长江工业园建设项目</v>
      </c>
    </row>
    <row r="1391" hidden="1" spans="2:18">
      <c r="B1391" s="33" t="s">
        <v>148</v>
      </c>
      <c r="C1391" s="63">
        <v>45783</v>
      </c>
      <c r="D1391" s="33" t="str">
        <f>VLOOKUP(B1391,辅助信息!E:K,7,FALSE)</f>
        <v>JWDDCD2025050800080</v>
      </c>
      <c r="E1391" s="33" t="str">
        <f>VLOOKUP(F1391,辅助信息!A:B,2,FALSE)</f>
        <v>螺纹钢</v>
      </c>
      <c r="F1391" s="33" t="s">
        <v>141</v>
      </c>
      <c r="G1391" s="29">
        <v>15</v>
      </c>
      <c r="H1391" s="29">
        <f>_xlfn.XLOOKUP(C1391&amp;F1391&amp;I1391&amp;J1391,'[1]2025年已发货'!$F:$F&amp;'[1]2025年已发货'!$C:$C&amp;'[1]2025年已发货'!$G:$G&amp;'[1]2025年已发货'!$H:$H,'[1]2025年已发货'!$E:$E,"未发货")</f>
        <v>15</v>
      </c>
      <c r="I1391" s="33" t="str">
        <f>VLOOKUP(B1391,辅助信息!E:I,3,FALSE)</f>
        <v>(宜宾兴港三江新区长江工业园建设项目-3#8#土建)宜宾市翠屏区宜宾汽车零部件配套产业基地(纬五路南)</v>
      </c>
      <c r="J1391" s="33" t="str">
        <f>VLOOKUP(B1391,辅助信息!E:I,4,FALSE)</f>
        <v>严石林</v>
      </c>
      <c r="K1391" s="33">
        <f>VLOOKUP(J1391,辅助信息!H:I,2,FALSE)</f>
        <v>15924731822</v>
      </c>
      <c r="L1391" s="102" t="str">
        <f>VLOOKUP(B1391,辅助信息!E:J,6,FALSE)</f>
        <v>装货前联系收货人核实到场规格，货物最下面用方木垫下方便卸货</v>
      </c>
      <c r="M1391" s="84">
        <v>45784</v>
      </c>
      <c r="O1391" s="55">
        <f ca="1" t="shared" si="67"/>
        <v>0</v>
      </c>
      <c r="P1391" s="55">
        <f ca="1" t="shared" si="68"/>
        <v>173</v>
      </c>
      <c r="Q1391" s="22" t="str">
        <f>VLOOKUP(B1391,辅助信息!E:M,9,FALSE)</f>
        <v>ZTWM-CDGS-XS-2025-0059-宜宾兴港建材-宜宾冷链项目</v>
      </c>
      <c r="R1391" s="111" t="str">
        <f>_xlfn._xlws.FILTER(辅助信息!D:D,辅助信息!E:E=B1391)</f>
        <v>宜宾兴港三江新区长江工业园建设项目</v>
      </c>
    </row>
    <row r="1392" hidden="1" spans="2:18">
      <c r="B1392" s="33" t="s">
        <v>92</v>
      </c>
      <c r="C1392" s="63">
        <v>45783</v>
      </c>
      <c r="D1392" s="33" t="str">
        <f>VLOOKUP(B1392,辅助信息!E:K,7,FALSE)</f>
        <v>JWDDCD2025051800046</v>
      </c>
      <c r="E1392" s="33" t="str">
        <f>VLOOKUP(F1392,辅助信息!A:B,2,FALSE)</f>
        <v>盘螺</v>
      </c>
      <c r="F1392" s="33" t="s">
        <v>40</v>
      </c>
      <c r="G1392" s="29">
        <v>10</v>
      </c>
      <c r="H1392" s="29">
        <f>_xlfn.XLOOKUP(C1392&amp;F1392&amp;I1392&amp;J1392,'[1]2025年已发货'!$F:$F&amp;'[1]2025年已发货'!$C:$C&amp;'[1]2025年已发货'!$G:$G&amp;'[1]2025年已发货'!$H:$H,'[1]2025年已发货'!$E:$E,"未发货")</f>
        <v>10</v>
      </c>
      <c r="I1392" s="33" t="str">
        <f>VLOOKUP(B1392,辅助信息!E:I,3,FALSE)</f>
        <v>（华西萌海科创农业生态谷）成都市简阳市白金山水库</v>
      </c>
      <c r="J1392" s="33" t="str">
        <f>VLOOKUP(B1392,辅助信息!E:I,4,FALSE)</f>
        <v>石清国</v>
      </c>
      <c r="K1392" s="33">
        <f>VLOOKUP(J1392,辅助信息!H:I,2,FALSE)</f>
        <v>13458642015</v>
      </c>
      <c r="L1392" s="102" t="str">
        <f>VLOOKUP(B1392,辅助信息!E:J,6,FALSE)</f>
        <v>优先威钢,我方卸车,新老国标钢厂不加价可直发</v>
      </c>
      <c r="M1392" s="84">
        <v>45784</v>
      </c>
      <c r="O1392" s="55">
        <f ca="1" t="shared" si="67"/>
        <v>0</v>
      </c>
      <c r="P1392" s="55">
        <f ca="1" t="shared" si="68"/>
        <v>173</v>
      </c>
      <c r="Q1392" s="22" t="str">
        <f>VLOOKUP(B1392,辅助信息!E:M,9,FALSE)</f>
        <v>ZTWM-CDGS-XS-2024-0092-华西-萌海科创农业生态谷</v>
      </c>
      <c r="R1392" s="111" t="str">
        <f>_xlfn._xlws.FILTER(辅助信息!D:D,辅助信息!E:E=B1392)</f>
        <v>华西萌海-科创农业生态谷</v>
      </c>
    </row>
    <row r="1393" hidden="1" spans="2:18">
      <c r="B1393" s="33" t="s">
        <v>92</v>
      </c>
      <c r="C1393" s="63">
        <v>45783</v>
      </c>
      <c r="D1393" s="33" t="str">
        <f>VLOOKUP(B1393,辅助信息!E:K,7,FALSE)</f>
        <v>JWDDCD2025051800046</v>
      </c>
      <c r="E1393" s="33" t="str">
        <f>VLOOKUP(F1393,辅助信息!A:B,2,FALSE)</f>
        <v>盘螺</v>
      </c>
      <c r="F1393" s="33" t="s">
        <v>26</v>
      </c>
      <c r="G1393" s="29">
        <v>10</v>
      </c>
      <c r="H1393" s="29">
        <f>_xlfn.XLOOKUP(C1393&amp;F1393&amp;I1393&amp;J1393,'[1]2025年已发货'!$F:$F&amp;'[1]2025年已发货'!$C:$C&amp;'[1]2025年已发货'!$G:$G&amp;'[1]2025年已发货'!$H:$H,'[1]2025年已发货'!$E:$E,"未发货")</f>
        <v>10</v>
      </c>
      <c r="I1393" s="33" t="str">
        <f>VLOOKUP(B1393,辅助信息!E:I,3,FALSE)</f>
        <v>（华西萌海科创农业生态谷）成都市简阳市白金山水库</v>
      </c>
      <c r="J1393" s="33" t="str">
        <f>VLOOKUP(B1393,辅助信息!E:I,4,FALSE)</f>
        <v>石清国</v>
      </c>
      <c r="K1393" s="33">
        <f>VLOOKUP(J1393,辅助信息!H:I,2,FALSE)</f>
        <v>13458642015</v>
      </c>
      <c r="L1393" s="102" t="str">
        <f>VLOOKUP(B1393,辅助信息!E:J,6,FALSE)</f>
        <v>优先威钢,我方卸车,新老国标钢厂不加价可直发</v>
      </c>
      <c r="M1393" s="84">
        <v>45784</v>
      </c>
      <c r="O1393" s="55">
        <f ca="1" t="shared" si="67"/>
        <v>0</v>
      </c>
      <c r="P1393" s="55">
        <f ca="1" t="shared" si="68"/>
        <v>173</v>
      </c>
      <c r="Q1393" s="22" t="str">
        <f>VLOOKUP(B1393,辅助信息!E:M,9,FALSE)</f>
        <v>ZTWM-CDGS-XS-2024-0092-华西-萌海科创农业生态谷</v>
      </c>
      <c r="R1393" s="111" t="str">
        <f>_xlfn._xlws.FILTER(辅助信息!D:D,辅助信息!E:E=B1393)</f>
        <v>华西萌海-科创农业生态谷</v>
      </c>
    </row>
    <row r="1394" hidden="1" spans="2:18">
      <c r="B1394" s="33" t="s">
        <v>92</v>
      </c>
      <c r="C1394" s="63">
        <v>45783</v>
      </c>
      <c r="D1394" s="33" t="str">
        <f>VLOOKUP(B1394,辅助信息!E:K,7,FALSE)</f>
        <v>JWDDCD2025051800046</v>
      </c>
      <c r="E1394" s="33" t="str">
        <f>VLOOKUP(F1394,辅助信息!A:B,2,FALSE)</f>
        <v>螺纹钢</v>
      </c>
      <c r="F1394" s="33" t="s">
        <v>27</v>
      </c>
      <c r="G1394" s="29">
        <v>8</v>
      </c>
      <c r="H1394" s="29">
        <f>_xlfn.XLOOKUP(C1394&amp;F1394&amp;I1394&amp;J1394,'[1]2025年已发货'!$F:$F&amp;'[1]2025年已发货'!$C:$C&amp;'[1]2025年已发货'!$G:$G&amp;'[1]2025年已发货'!$H:$H,'[1]2025年已发货'!$E:$E,"未发货")</f>
        <v>8</v>
      </c>
      <c r="I1394" s="33" t="str">
        <f>VLOOKUP(B1394,辅助信息!E:I,3,FALSE)</f>
        <v>（华西萌海科创农业生态谷）成都市简阳市白金山水库</v>
      </c>
      <c r="J1394" s="33" t="str">
        <f>VLOOKUP(B1394,辅助信息!E:I,4,FALSE)</f>
        <v>石清国</v>
      </c>
      <c r="K1394" s="33">
        <f>VLOOKUP(J1394,辅助信息!H:I,2,FALSE)</f>
        <v>13458642015</v>
      </c>
      <c r="L1394" s="102" t="str">
        <f>VLOOKUP(B1394,辅助信息!E:J,6,FALSE)</f>
        <v>优先威钢,我方卸车,新老国标钢厂不加价可直发</v>
      </c>
      <c r="M1394" s="84">
        <v>45784</v>
      </c>
      <c r="O1394" s="55">
        <f ca="1" t="shared" si="67"/>
        <v>0</v>
      </c>
      <c r="P1394" s="55">
        <f ca="1" t="shared" si="68"/>
        <v>173</v>
      </c>
      <c r="Q1394" s="22" t="str">
        <f>VLOOKUP(B1394,辅助信息!E:M,9,FALSE)</f>
        <v>ZTWM-CDGS-XS-2024-0092-华西-萌海科创农业生态谷</v>
      </c>
      <c r="R1394" s="111" t="str">
        <f>_xlfn._xlws.FILTER(辅助信息!D:D,辅助信息!E:E=B1394)</f>
        <v>华西萌海-科创农业生态谷</v>
      </c>
    </row>
    <row r="1395" hidden="1" spans="2:18">
      <c r="B1395" s="33" t="s">
        <v>92</v>
      </c>
      <c r="C1395" s="63">
        <v>45783</v>
      </c>
      <c r="D1395" s="33" t="str">
        <f>VLOOKUP(B1395,辅助信息!E:K,7,FALSE)</f>
        <v>JWDDCD2025051800046</v>
      </c>
      <c r="E1395" s="33" t="str">
        <f>VLOOKUP(F1395,辅助信息!A:B,2,FALSE)</f>
        <v>螺纹钢</v>
      </c>
      <c r="F1395" s="33" t="s">
        <v>66</v>
      </c>
      <c r="G1395" s="29">
        <v>3</v>
      </c>
      <c r="H1395" s="29">
        <f>_xlfn.XLOOKUP(C1395&amp;F1395&amp;I1395&amp;J1395,'[1]2025年已发货'!$F:$F&amp;'[1]2025年已发货'!$C:$C&amp;'[1]2025年已发货'!$G:$G&amp;'[1]2025年已发货'!$H:$H,'[1]2025年已发货'!$E:$E,"未发货")</f>
        <v>3</v>
      </c>
      <c r="I1395" s="33" t="str">
        <f>VLOOKUP(B1395,辅助信息!E:I,3,FALSE)</f>
        <v>（华西萌海科创农业生态谷）成都市简阳市白金山水库</v>
      </c>
      <c r="J1395" s="33" t="str">
        <f>VLOOKUP(B1395,辅助信息!E:I,4,FALSE)</f>
        <v>石清国</v>
      </c>
      <c r="K1395" s="33">
        <f>VLOOKUP(J1395,辅助信息!H:I,2,FALSE)</f>
        <v>13458642015</v>
      </c>
      <c r="L1395" s="102" t="str">
        <f>VLOOKUP(B1395,辅助信息!E:J,6,FALSE)</f>
        <v>优先威钢,我方卸车,新老国标钢厂不加价可直发</v>
      </c>
      <c r="M1395" s="84">
        <v>45784</v>
      </c>
      <c r="O1395" s="55">
        <f ca="1" t="shared" si="67"/>
        <v>0</v>
      </c>
      <c r="P1395" s="55">
        <f ca="1" t="shared" si="68"/>
        <v>173</v>
      </c>
      <c r="Q1395" s="22" t="str">
        <f>VLOOKUP(B1395,辅助信息!E:M,9,FALSE)</f>
        <v>ZTWM-CDGS-XS-2024-0092-华西-萌海科创农业生态谷</v>
      </c>
      <c r="R1395" s="111" t="str">
        <f>_xlfn._xlws.FILTER(辅助信息!D:D,辅助信息!E:E=B1395)</f>
        <v>华西萌海-科创农业生态谷</v>
      </c>
    </row>
    <row r="1396" hidden="1" spans="2:18">
      <c r="B1396" s="33" t="s">
        <v>92</v>
      </c>
      <c r="C1396" s="63">
        <v>45783</v>
      </c>
      <c r="D1396" s="33" t="str">
        <f>VLOOKUP(B1396,辅助信息!E:K,7,FALSE)</f>
        <v>JWDDCD2025051800046</v>
      </c>
      <c r="E1396" s="33" t="str">
        <f>VLOOKUP(F1396,辅助信息!A:B,2,FALSE)</f>
        <v>螺纹钢</v>
      </c>
      <c r="F1396" s="33" t="s">
        <v>82</v>
      </c>
      <c r="G1396" s="29">
        <v>3</v>
      </c>
      <c r="H1396" s="29">
        <f>_xlfn.XLOOKUP(C1396&amp;F1396&amp;I1396&amp;J1396,'[1]2025年已发货'!$F:$F&amp;'[1]2025年已发货'!$C:$C&amp;'[1]2025年已发货'!$G:$G&amp;'[1]2025年已发货'!$H:$H,'[1]2025年已发货'!$E:$E,"未发货")</f>
        <v>3</v>
      </c>
      <c r="I1396" s="33" t="str">
        <f>VLOOKUP(B1396,辅助信息!E:I,3,FALSE)</f>
        <v>（华西萌海科创农业生态谷）成都市简阳市白金山水库</v>
      </c>
      <c r="J1396" s="33" t="str">
        <f>VLOOKUP(B1396,辅助信息!E:I,4,FALSE)</f>
        <v>石清国</v>
      </c>
      <c r="K1396" s="33">
        <f>VLOOKUP(J1396,辅助信息!H:I,2,FALSE)</f>
        <v>13458642015</v>
      </c>
      <c r="L1396" s="102" t="str">
        <f>VLOOKUP(B1396,辅助信息!E:J,6,FALSE)</f>
        <v>优先威钢,我方卸车,新老国标钢厂不加价可直发</v>
      </c>
      <c r="M1396" s="84">
        <v>45784</v>
      </c>
      <c r="O1396" s="55">
        <f ca="1" t="shared" si="67"/>
        <v>0</v>
      </c>
      <c r="P1396" s="55">
        <f ca="1" t="shared" si="68"/>
        <v>173</v>
      </c>
      <c r="Q1396" s="22" t="str">
        <f>VLOOKUP(B1396,辅助信息!E:M,9,FALSE)</f>
        <v>ZTWM-CDGS-XS-2024-0092-华西-萌海科创农业生态谷</v>
      </c>
      <c r="R1396" s="111" t="str">
        <f>_xlfn._xlws.FILTER(辅助信息!D:D,辅助信息!E:E=B1396)</f>
        <v>华西萌海-科创农业生态谷</v>
      </c>
    </row>
    <row r="1397" hidden="1" spans="2:18">
      <c r="B1397" s="33" t="s">
        <v>92</v>
      </c>
      <c r="C1397" s="63">
        <v>45783</v>
      </c>
      <c r="D1397" s="33" t="str">
        <f>VLOOKUP(B1397,辅助信息!E:K,7,FALSE)</f>
        <v>JWDDCD2025051800046</v>
      </c>
      <c r="E1397" s="33" t="str">
        <f>VLOOKUP(F1397,辅助信息!A:B,2,FALSE)</f>
        <v>螺纹钢</v>
      </c>
      <c r="F1397" s="33" t="s">
        <v>58</v>
      </c>
      <c r="G1397" s="29">
        <v>3</v>
      </c>
      <c r="H1397" s="29">
        <f>_xlfn.XLOOKUP(C1397&amp;F1397&amp;I1397&amp;J1397,'[1]2025年已发货'!$F:$F&amp;'[1]2025年已发货'!$C:$C&amp;'[1]2025年已发货'!$G:$G&amp;'[1]2025年已发货'!$H:$H,'[1]2025年已发货'!$E:$E,"未发货")</f>
        <v>3</v>
      </c>
      <c r="I1397" s="33" t="str">
        <f>VLOOKUP(B1397,辅助信息!E:I,3,FALSE)</f>
        <v>（华西萌海科创农业生态谷）成都市简阳市白金山水库</v>
      </c>
      <c r="J1397" s="33" t="str">
        <f>VLOOKUP(B1397,辅助信息!E:I,4,FALSE)</f>
        <v>石清国</v>
      </c>
      <c r="K1397" s="33">
        <f>VLOOKUP(J1397,辅助信息!H:I,2,FALSE)</f>
        <v>13458642015</v>
      </c>
      <c r="L1397" s="102" t="str">
        <f>VLOOKUP(B1397,辅助信息!E:J,6,FALSE)</f>
        <v>优先威钢,我方卸车,新老国标钢厂不加价可直发</v>
      </c>
      <c r="M1397" s="84">
        <v>45784</v>
      </c>
      <c r="O1397" s="55">
        <f ca="1" t="shared" si="67"/>
        <v>0</v>
      </c>
      <c r="P1397" s="55">
        <f ca="1" t="shared" si="68"/>
        <v>173</v>
      </c>
      <c r="Q1397" s="22" t="str">
        <f>VLOOKUP(B1397,辅助信息!E:M,9,FALSE)</f>
        <v>ZTWM-CDGS-XS-2024-0092-华西-萌海科创农业生态谷</v>
      </c>
      <c r="R1397" s="111" t="str">
        <f>_xlfn._xlws.FILTER(辅助信息!D:D,辅助信息!E:E=B1397)</f>
        <v>华西萌海-科创农业生态谷</v>
      </c>
    </row>
    <row r="1398" hidden="1" spans="2:18">
      <c r="B1398" s="33" t="s">
        <v>147</v>
      </c>
      <c r="C1398" s="63">
        <v>45783</v>
      </c>
      <c r="D1398" s="33" t="str">
        <f>VLOOKUP(B1398,辅助信息!E:K,7,FALSE)</f>
        <v>JWDDCD2025052800131</v>
      </c>
      <c r="E1398" s="33" t="str">
        <f>VLOOKUP(F1398,辅助信息!A:B,2,FALSE)</f>
        <v>高线</v>
      </c>
      <c r="F1398" s="33" t="s">
        <v>57</v>
      </c>
      <c r="G1398" s="29">
        <v>7.5</v>
      </c>
      <c r="H1398" s="29" t="str">
        <f>_xlfn.XLOOKUP(C1398&amp;F1398&amp;I1398&amp;J1398,'[1]2025年已发货'!$F:$F&amp;'[1]2025年已发货'!$C:$C&amp;'[1]2025年已发货'!$G:$G&amp;'[1]2025年已发货'!$H:$H,'[1]2025年已发货'!$E:$E,"未发货")</f>
        <v>未发货</v>
      </c>
      <c r="I1398" s="33" t="str">
        <f>VLOOKUP(B1398,辅助信息!E:I,3,FALSE)</f>
        <v>（商投建工达州中医药科技园-4工区-11号楼）达州市通川区达州中医药职业学院犀牛大道北段</v>
      </c>
      <c r="J1398" s="33" t="str">
        <f>VLOOKUP(B1398,辅助信息!E:I,4,FALSE)</f>
        <v>张扬</v>
      </c>
      <c r="K1398" s="33">
        <f>VLOOKUP(J1398,辅助信息!H:I,2,FALSE)</f>
        <v>18381904567</v>
      </c>
      <c r="L1398" s="102" t="str">
        <f>VLOOKUP(B1398,辅助信息!E:J,6,FALSE)</f>
        <v>控制炉批号！多了现场不收！,优先安排达钢,提前联系到场规格及数量</v>
      </c>
      <c r="M1398" s="84">
        <v>45784</v>
      </c>
      <c r="O1398" s="55">
        <f ca="1" t="shared" si="67"/>
        <v>0</v>
      </c>
      <c r="P1398" s="55">
        <f ca="1" t="shared" si="68"/>
        <v>173</v>
      </c>
      <c r="Q1398" s="22" t="str">
        <f>VLOOKUP(B1398,辅助信息!E:M,9,FALSE)</f>
        <v>ZTWM-CDGS-XS-2024-0134-商投建工达州中医药科技成果示范园项目</v>
      </c>
      <c r="R1398" s="111" t="str">
        <f>_xlfn._xlws.FILTER(辅助信息!D:D,辅助信息!E:E=B1398)</f>
        <v>商投建工达州中医药科技园</v>
      </c>
    </row>
    <row r="1399" hidden="1" spans="2:18">
      <c r="B1399" s="33" t="s">
        <v>147</v>
      </c>
      <c r="C1399" s="63">
        <v>45783</v>
      </c>
      <c r="D1399" s="33" t="str">
        <f>VLOOKUP(B1399,辅助信息!E:K,7,FALSE)</f>
        <v>JWDDCD2025052800131</v>
      </c>
      <c r="E1399" s="33" t="str">
        <f>VLOOKUP(F1399,辅助信息!A:B,2,FALSE)</f>
        <v>盘螺</v>
      </c>
      <c r="F1399" s="33" t="s">
        <v>41</v>
      </c>
      <c r="G1399" s="29">
        <v>37.5</v>
      </c>
      <c r="H1399" s="29" t="str">
        <f>_xlfn.XLOOKUP(C1399&amp;F1399&amp;I1399&amp;J1399,'[1]2025年已发货'!$F:$F&amp;'[1]2025年已发货'!$C:$C&amp;'[1]2025年已发货'!$G:$G&amp;'[1]2025年已发货'!$H:$H,'[1]2025年已发货'!$E:$E,"未发货")</f>
        <v>未发货</v>
      </c>
      <c r="I1399" s="33" t="str">
        <f>VLOOKUP(B1399,辅助信息!E:I,3,FALSE)</f>
        <v>（商投建工达州中医药科技园-4工区-11号楼）达州市通川区达州中医药职业学院犀牛大道北段</v>
      </c>
      <c r="J1399" s="33" t="str">
        <f>VLOOKUP(B1399,辅助信息!E:I,4,FALSE)</f>
        <v>张扬</v>
      </c>
      <c r="K1399" s="33">
        <f>VLOOKUP(J1399,辅助信息!H:I,2,FALSE)</f>
        <v>18381904567</v>
      </c>
      <c r="L1399" s="102" t="str">
        <f>VLOOKUP(B1399,辅助信息!E:J,6,FALSE)</f>
        <v>控制炉批号！多了现场不收！,优先安排达钢,提前联系到场规格及数量</v>
      </c>
      <c r="M1399" s="84">
        <v>45784</v>
      </c>
      <c r="O1399" s="55">
        <f ca="1" t="shared" si="67"/>
        <v>0</v>
      </c>
      <c r="P1399" s="55">
        <f ca="1" t="shared" si="68"/>
        <v>173</v>
      </c>
      <c r="Q1399" s="22" t="str">
        <f>VLOOKUP(B1399,辅助信息!E:M,9,FALSE)</f>
        <v>ZTWM-CDGS-XS-2024-0134-商投建工达州中医药科技成果示范园项目</v>
      </c>
      <c r="R1399" s="111" t="str">
        <f>_xlfn._xlws.FILTER(辅助信息!D:D,辅助信息!E:E=B1399)</f>
        <v>商投建工达州中医药科技园</v>
      </c>
    </row>
    <row r="1400" hidden="1" spans="2:18">
      <c r="B1400" s="33" t="s">
        <v>147</v>
      </c>
      <c r="C1400" s="63">
        <v>45783</v>
      </c>
      <c r="D1400" s="33" t="str">
        <f>VLOOKUP(B1400,辅助信息!E:K,7,FALSE)</f>
        <v>JWDDCD2025052800131</v>
      </c>
      <c r="E1400" s="33" t="str">
        <f>VLOOKUP(F1400,辅助信息!A:B,2,FALSE)</f>
        <v>螺纹钢</v>
      </c>
      <c r="F1400" s="33" t="s">
        <v>30</v>
      </c>
      <c r="G1400" s="29">
        <v>7</v>
      </c>
      <c r="H1400" s="29" t="str">
        <f>_xlfn.XLOOKUP(C1400&amp;F1400&amp;I1400&amp;J1400,'[1]2025年已发货'!$F:$F&amp;'[1]2025年已发货'!$C:$C&amp;'[1]2025年已发货'!$G:$G&amp;'[1]2025年已发货'!$H:$H,'[1]2025年已发货'!$E:$E,"未发货")</f>
        <v>未发货</v>
      </c>
      <c r="I1400" s="33" t="str">
        <f>VLOOKUP(B1400,辅助信息!E:I,3,FALSE)</f>
        <v>（商投建工达州中医药科技园-4工区-11号楼）达州市通川区达州中医药职业学院犀牛大道北段</v>
      </c>
      <c r="J1400" s="33" t="str">
        <f>VLOOKUP(B1400,辅助信息!E:I,4,FALSE)</f>
        <v>张扬</v>
      </c>
      <c r="K1400" s="33">
        <f>VLOOKUP(J1400,辅助信息!H:I,2,FALSE)</f>
        <v>18381904567</v>
      </c>
      <c r="L1400" s="102" t="str">
        <f>VLOOKUP(B1400,辅助信息!E:J,6,FALSE)</f>
        <v>控制炉批号！多了现场不收！,优先安排达钢,提前联系到场规格及数量</v>
      </c>
      <c r="M1400" s="84">
        <v>45784</v>
      </c>
      <c r="O1400" s="55">
        <f ca="1" t="shared" si="67"/>
        <v>0</v>
      </c>
      <c r="P1400" s="55">
        <f ca="1" t="shared" si="68"/>
        <v>173</v>
      </c>
      <c r="Q1400" s="22" t="str">
        <f>VLOOKUP(B1400,辅助信息!E:M,9,FALSE)</f>
        <v>ZTWM-CDGS-XS-2024-0134-商投建工达州中医药科技成果示范园项目</v>
      </c>
      <c r="R1400" s="111" t="str">
        <f>_xlfn._xlws.FILTER(辅助信息!D:D,辅助信息!E:E=B1400)</f>
        <v>商投建工达州中医药科技园</v>
      </c>
    </row>
    <row r="1401" hidden="1" spans="2:18">
      <c r="B1401" s="33" t="s">
        <v>147</v>
      </c>
      <c r="C1401" s="63">
        <v>45783</v>
      </c>
      <c r="D1401" s="33" t="str">
        <f>VLOOKUP(B1401,辅助信息!E:K,7,FALSE)</f>
        <v>JWDDCD2025052800131</v>
      </c>
      <c r="E1401" s="33" t="str">
        <f>VLOOKUP(F1401,辅助信息!A:B,2,FALSE)</f>
        <v>螺纹钢</v>
      </c>
      <c r="F1401" s="33" t="s">
        <v>18</v>
      </c>
      <c r="G1401" s="29">
        <v>18</v>
      </c>
      <c r="H1401" s="29" t="str">
        <f>_xlfn.XLOOKUP(C1401&amp;F1401&amp;I1401&amp;J1401,'[1]2025年已发货'!$F:$F&amp;'[1]2025年已发货'!$C:$C&amp;'[1]2025年已发货'!$G:$G&amp;'[1]2025年已发货'!$H:$H,'[1]2025年已发货'!$E:$E,"未发货")</f>
        <v>未发货</v>
      </c>
      <c r="I1401" s="33" t="str">
        <f>VLOOKUP(B1401,辅助信息!E:I,3,FALSE)</f>
        <v>（商投建工达州中医药科技园-4工区-11号楼）达州市通川区达州中医药职业学院犀牛大道北段</v>
      </c>
      <c r="J1401" s="33" t="str">
        <f>VLOOKUP(B1401,辅助信息!E:I,4,FALSE)</f>
        <v>张扬</v>
      </c>
      <c r="K1401" s="33">
        <f>VLOOKUP(J1401,辅助信息!H:I,2,FALSE)</f>
        <v>18381904567</v>
      </c>
      <c r="L1401" s="102" t="str">
        <f>VLOOKUP(B1401,辅助信息!E:J,6,FALSE)</f>
        <v>控制炉批号！多了现场不收！,优先安排达钢,提前联系到场规格及数量</v>
      </c>
      <c r="M1401" s="84">
        <v>45784</v>
      </c>
      <c r="O1401" s="55">
        <f ca="1" t="shared" si="67"/>
        <v>0</v>
      </c>
      <c r="P1401" s="55">
        <f ca="1" t="shared" si="68"/>
        <v>173</v>
      </c>
      <c r="Q1401" s="22" t="str">
        <f>VLOOKUP(B1401,辅助信息!E:M,9,FALSE)</f>
        <v>ZTWM-CDGS-XS-2024-0134-商投建工达州中医药科技成果示范园项目</v>
      </c>
      <c r="R1401" s="111" t="str">
        <f>_xlfn._xlws.FILTER(辅助信息!D:D,辅助信息!E:E=B1401)</f>
        <v>商投建工达州中医药科技园</v>
      </c>
    </row>
    <row r="1402" hidden="1" spans="2:18">
      <c r="B1402" s="33" t="s">
        <v>81</v>
      </c>
      <c r="C1402" s="63">
        <v>45785</v>
      </c>
      <c r="D1402" s="33" t="str">
        <f>VLOOKUP(B1402,辅助信息!E:K,7,FALSE)</f>
        <v>JWDDCD2025060900080</v>
      </c>
      <c r="E1402" s="33" t="str">
        <f>VLOOKUP(F1402,辅助信息!A:B,2,FALSE)</f>
        <v>螺纹钢</v>
      </c>
      <c r="F1402" s="33" t="s">
        <v>30</v>
      </c>
      <c r="G1402" s="29">
        <v>50</v>
      </c>
      <c r="H1402" s="29" t="str">
        <f>_xlfn.XLOOKUP(C1402&amp;F1402&amp;I1402&amp;J1402,'[1]2025年已发货'!$F:$F&amp;'[1]2025年已发货'!$C:$C&amp;'[1]2025年已发货'!$G:$G&amp;'[1]2025年已发货'!$H:$H,'[1]2025年已发货'!$E:$E,"未发货")</f>
        <v>未发货</v>
      </c>
      <c r="I1402" s="33" t="str">
        <f>VLOOKUP(B1402,辅助信息!E:I,3,FALSE)</f>
        <v>（华西简阳西城嘉苑）四川省成都市简阳市简城街道高屋村</v>
      </c>
      <c r="J1402" s="33" t="str">
        <f>VLOOKUP(B1402,辅助信息!E:I,4,FALSE)</f>
        <v>张瀚镭</v>
      </c>
      <c r="K1402" s="33">
        <f>VLOOKUP(J1402,辅助信息!H:I,2,FALSE)</f>
        <v>15884666220</v>
      </c>
      <c r="L1402" s="102" t="str">
        <f>VLOOKUP(B1402,辅助信息!E:J,6,FALSE)</f>
        <v>现场禁止使用氢能源挂车！优先威钢发货,我方卸车,新老国标钢厂不加价可直发，因陕钢多次出现磅差，项目拒绝使用</v>
      </c>
      <c r="M1402" s="84">
        <v>45784</v>
      </c>
      <c r="O1402" s="55">
        <f ca="1" t="shared" si="67"/>
        <v>0</v>
      </c>
      <c r="P1402" s="55">
        <f ca="1" t="shared" si="68"/>
        <v>173</v>
      </c>
      <c r="Q1402" s="22" t="str">
        <f>VLOOKUP(B1402,辅助信息!E:M,9,FALSE)</f>
        <v>ZTWM-CDGS-XS-2024-0030-华西集采-简州大道</v>
      </c>
      <c r="R1402" s="22" t="str">
        <f>_xlfn._xlws.FILTER(辅助信息!D:D,辅助信息!E:E=B1402)</f>
        <v>华西简阳西城嘉苑</v>
      </c>
    </row>
    <row r="1403" hidden="1" spans="2:18">
      <c r="B1403" s="33" t="s">
        <v>147</v>
      </c>
      <c r="C1403" s="63">
        <v>45785</v>
      </c>
      <c r="D1403" s="33" t="str">
        <f>VLOOKUP(B1403,辅助信息!E:K,7,FALSE)</f>
        <v>JWDDCD2025052800131</v>
      </c>
      <c r="E1403" s="33" t="str">
        <f>VLOOKUP(F1403,辅助信息!A:B,2,FALSE)</f>
        <v>高线</v>
      </c>
      <c r="F1403" s="33" t="s">
        <v>57</v>
      </c>
      <c r="G1403" s="29">
        <v>7.5</v>
      </c>
      <c r="H1403" s="29" t="str">
        <f>_xlfn.XLOOKUP(C1403&amp;F1403&amp;I1403&amp;J1403,'[1]2025年已发货'!$F:$F&amp;'[1]2025年已发货'!$C:$C&amp;'[1]2025年已发货'!$G:$G&amp;'[1]2025年已发货'!$H:$H,'[1]2025年已发货'!$E:$E,"未发货")</f>
        <v>未发货</v>
      </c>
      <c r="I1403" s="33" t="str">
        <f>VLOOKUP(B1403,辅助信息!E:I,3,FALSE)</f>
        <v>（商投建工达州中医药科技园-4工区-11号楼）达州市通川区达州中医药职业学院犀牛大道北段</v>
      </c>
      <c r="J1403" s="33" t="str">
        <f>VLOOKUP(B1403,辅助信息!E:I,4,FALSE)</f>
        <v>张扬</v>
      </c>
      <c r="K1403" s="33">
        <f>VLOOKUP(J1403,辅助信息!H:I,2,FALSE)</f>
        <v>18381904567</v>
      </c>
      <c r="L1403" s="102" t="str">
        <f>VLOOKUP(B1403,辅助信息!E:J,6,FALSE)</f>
        <v>控制炉批号！多了现场不收！,优先安排达钢,提前联系到场规格及数量</v>
      </c>
      <c r="M1403" s="84">
        <v>45784</v>
      </c>
      <c r="O1403" s="55">
        <f ca="1" t="shared" si="67"/>
        <v>0</v>
      </c>
      <c r="P1403" s="55">
        <f ca="1" t="shared" si="68"/>
        <v>173</v>
      </c>
      <c r="Q1403" s="22" t="str">
        <f>VLOOKUP(B1403,辅助信息!E:M,9,FALSE)</f>
        <v>ZTWM-CDGS-XS-2024-0134-商投建工达州中医药科技成果示范园项目</v>
      </c>
      <c r="R1403" s="22" t="str">
        <f>_xlfn._xlws.FILTER(辅助信息!D:D,辅助信息!E:E=B1403)</f>
        <v>商投建工达州中医药科技园</v>
      </c>
    </row>
    <row r="1404" hidden="1" spans="2:18">
      <c r="B1404" s="33" t="s">
        <v>147</v>
      </c>
      <c r="C1404" s="63">
        <v>45785</v>
      </c>
      <c r="D1404" s="33" t="str">
        <f>VLOOKUP(B1404,辅助信息!E:K,7,FALSE)</f>
        <v>JWDDCD2025052800131</v>
      </c>
      <c r="E1404" s="33" t="str">
        <f>VLOOKUP(F1404,辅助信息!A:B,2,FALSE)</f>
        <v>盘螺</v>
      </c>
      <c r="F1404" s="33" t="s">
        <v>41</v>
      </c>
      <c r="G1404" s="29">
        <v>37.5</v>
      </c>
      <c r="H1404" s="29">
        <f>_xlfn.XLOOKUP(C1404&amp;F1404&amp;I1404&amp;J1404,'[1]2025年已发货'!$F:$F&amp;'[1]2025年已发货'!$C:$C&amp;'[1]2025年已发货'!$G:$G&amp;'[1]2025年已发货'!$H:$H,'[1]2025年已发货'!$E:$E,"未发货")</f>
        <v>20</v>
      </c>
      <c r="I1404" s="33" t="str">
        <f>VLOOKUP(B1404,辅助信息!E:I,3,FALSE)</f>
        <v>（商投建工达州中医药科技园-4工区-11号楼）达州市通川区达州中医药职业学院犀牛大道北段</v>
      </c>
      <c r="J1404" s="33" t="str">
        <f>VLOOKUP(B1404,辅助信息!E:I,4,FALSE)</f>
        <v>张扬</v>
      </c>
      <c r="K1404" s="33">
        <f>VLOOKUP(J1404,辅助信息!H:I,2,FALSE)</f>
        <v>18381904567</v>
      </c>
      <c r="L1404" s="102" t="str">
        <f>VLOOKUP(B1404,辅助信息!E:J,6,FALSE)</f>
        <v>控制炉批号！多了现场不收！,优先安排达钢,提前联系到场规格及数量</v>
      </c>
      <c r="M1404" s="84">
        <v>45784</v>
      </c>
      <c r="O1404" s="55">
        <f ca="1" t="shared" si="67"/>
        <v>0</v>
      </c>
      <c r="P1404" s="55">
        <f ca="1" t="shared" si="68"/>
        <v>173</v>
      </c>
      <c r="Q1404" s="22" t="str">
        <f>VLOOKUP(B1404,辅助信息!E:M,9,FALSE)</f>
        <v>ZTWM-CDGS-XS-2024-0134-商投建工达州中医药科技成果示范园项目</v>
      </c>
      <c r="R1404" s="22" t="str">
        <f>_xlfn._xlws.FILTER(辅助信息!D:D,辅助信息!E:E=B1404)</f>
        <v>商投建工达州中医药科技园</v>
      </c>
    </row>
    <row r="1405" hidden="1" spans="2:18">
      <c r="B1405" s="33" t="s">
        <v>147</v>
      </c>
      <c r="C1405" s="63">
        <v>45785</v>
      </c>
      <c r="D1405" s="33" t="str">
        <f>VLOOKUP(B1405,辅助信息!E:K,7,FALSE)</f>
        <v>JWDDCD2025052800131</v>
      </c>
      <c r="E1405" s="33" t="str">
        <f>VLOOKUP(F1405,辅助信息!A:B,2,FALSE)</f>
        <v>螺纹钢</v>
      </c>
      <c r="F1405" s="33" t="s">
        <v>30</v>
      </c>
      <c r="G1405" s="29">
        <v>7</v>
      </c>
      <c r="H1405" s="29" t="str">
        <f>_xlfn.XLOOKUP(C1405&amp;F1405&amp;I1405&amp;J1405,'[1]2025年已发货'!$F:$F&amp;'[1]2025年已发货'!$C:$C&amp;'[1]2025年已发货'!$G:$G&amp;'[1]2025年已发货'!$H:$H,'[1]2025年已发货'!$E:$E,"未发货")</f>
        <v>未发货</v>
      </c>
      <c r="I1405" s="33" t="str">
        <f>VLOOKUP(B1405,辅助信息!E:I,3,FALSE)</f>
        <v>（商投建工达州中医药科技园-4工区-11号楼）达州市通川区达州中医药职业学院犀牛大道北段</v>
      </c>
      <c r="J1405" s="33" t="str">
        <f>VLOOKUP(B1405,辅助信息!E:I,4,FALSE)</f>
        <v>张扬</v>
      </c>
      <c r="K1405" s="33">
        <f>VLOOKUP(J1405,辅助信息!H:I,2,FALSE)</f>
        <v>18381904567</v>
      </c>
      <c r="L1405" s="102" t="str">
        <f>VLOOKUP(B1405,辅助信息!E:J,6,FALSE)</f>
        <v>控制炉批号！多了现场不收！,优先安排达钢,提前联系到场规格及数量</v>
      </c>
      <c r="M1405" s="84">
        <v>45784</v>
      </c>
      <c r="O1405" s="55">
        <f ca="1" t="shared" si="67"/>
        <v>0</v>
      </c>
      <c r="P1405" s="55">
        <f ca="1" t="shared" si="68"/>
        <v>173</v>
      </c>
      <c r="Q1405" s="22" t="str">
        <f>VLOOKUP(B1405,辅助信息!E:M,9,FALSE)</f>
        <v>ZTWM-CDGS-XS-2024-0134-商投建工达州中医药科技成果示范园项目</v>
      </c>
      <c r="R1405" s="22" t="str">
        <f>_xlfn._xlws.FILTER(辅助信息!D:D,辅助信息!E:E=B1405)</f>
        <v>商投建工达州中医药科技园</v>
      </c>
    </row>
    <row r="1406" hidden="1" spans="2:18">
      <c r="B1406" s="33" t="s">
        <v>147</v>
      </c>
      <c r="C1406" s="63">
        <v>45785</v>
      </c>
      <c r="D1406" s="33" t="str">
        <f>VLOOKUP(B1406,辅助信息!E:K,7,FALSE)</f>
        <v>JWDDCD2025052800131</v>
      </c>
      <c r="E1406" s="33" t="str">
        <f>VLOOKUP(F1406,辅助信息!A:B,2,FALSE)</f>
        <v>螺纹钢</v>
      </c>
      <c r="F1406" s="33" t="s">
        <v>130</v>
      </c>
      <c r="G1406" s="29">
        <v>35</v>
      </c>
      <c r="H1406" s="29">
        <f>_xlfn.XLOOKUP(C1406&amp;F1406&amp;I1406&amp;J1406,'[1]2025年已发货'!$F:$F&amp;'[1]2025年已发货'!$C:$C&amp;'[1]2025年已发货'!$G:$G&amp;'[1]2025年已发货'!$H:$H,'[1]2025年已发货'!$E:$E,"未发货")</f>
        <v>38</v>
      </c>
      <c r="I1406" s="33" t="str">
        <f>VLOOKUP(B1406,辅助信息!E:I,3,FALSE)</f>
        <v>（商投建工达州中医药科技园-4工区-11号楼）达州市通川区达州中医药职业学院犀牛大道北段</v>
      </c>
      <c r="J1406" s="33" t="str">
        <f>VLOOKUP(B1406,辅助信息!E:I,4,FALSE)</f>
        <v>张扬</v>
      </c>
      <c r="K1406" s="33">
        <f>VLOOKUP(J1406,辅助信息!H:I,2,FALSE)</f>
        <v>18381904567</v>
      </c>
      <c r="L1406" s="102" t="str">
        <f>VLOOKUP(B1406,辅助信息!E:J,6,FALSE)</f>
        <v>控制炉批号！多了现场不收！,优先安排达钢,提前联系到场规格及数量</v>
      </c>
      <c r="M1406" s="84">
        <v>45784</v>
      </c>
      <c r="O1406" s="55">
        <f ca="1" t="shared" si="67"/>
        <v>0</v>
      </c>
      <c r="P1406" s="55">
        <f ca="1" t="shared" si="68"/>
        <v>173</v>
      </c>
      <c r="Q1406" s="22" t="str">
        <f>VLOOKUP(B1406,辅助信息!E:M,9,FALSE)</f>
        <v>ZTWM-CDGS-XS-2024-0134-商投建工达州中医药科技成果示范园项目</v>
      </c>
      <c r="R1406" s="22" t="str">
        <f>_xlfn._xlws.FILTER(辅助信息!D:D,辅助信息!E:E=B1406)</f>
        <v>商投建工达州中医药科技园</v>
      </c>
    </row>
    <row r="1407" hidden="1" spans="2:18">
      <c r="B1407" s="33" t="s">
        <v>147</v>
      </c>
      <c r="C1407" s="63">
        <v>45785</v>
      </c>
      <c r="D1407" s="33" t="str">
        <f>VLOOKUP(B1407,辅助信息!E:K,7,FALSE)</f>
        <v>JWDDCD2025052800131</v>
      </c>
      <c r="E1407" s="33" t="str">
        <f>VLOOKUP(F1407,辅助信息!A:B,2,FALSE)</f>
        <v>螺纹钢</v>
      </c>
      <c r="F1407" s="33" t="s">
        <v>18</v>
      </c>
      <c r="G1407" s="29">
        <v>18</v>
      </c>
      <c r="H1407" s="29">
        <f>_xlfn.XLOOKUP(C1407&amp;F1407&amp;I1407&amp;J1407,'[1]2025年已发货'!$F:$F&amp;'[1]2025年已发货'!$C:$C&amp;'[1]2025年已发货'!$G:$G&amp;'[1]2025年已发货'!$H:$H,'[1]2025年已发货'!$E:$E,"未发货")</f>
        <v>18</v>
      </c>
      <c r="I1407" s="33" t="str">
        <f>VLOOKUP(B1407,辅助信息!E:I,3,FALSE)</f>
        <v>（商投建工达州中医药科技园-4工区-11号楼）达州市通川区达州中医药职业学院犀牛大道北段</v>
      </c>
      <c r="J1407" s="33" t="str">
        <f>VLOOKUP(B1407,辅助信息!E:I,4,FALSE)</f>
        <v>张扬</v>
      </c>
      <c r="K1407" s="33">
        <f>VLOOKUP(J1407,辅助信息!H:I,2,FALSE)</f>
        <v>18381904567</v>
      </c>
      <c r="L1407" s="102" t="str">
        <f>VLOOKUP(B1407,辅助信息!E:J,6,FALSE)</f>
        <v>控制炉批号！多了现场不收！,优先安排达钢,提前联系到场规格及数量</v>
      </c>
      <c r="M1407" s="84">
        <v>45784</v>
      </c>
      <c r="O1407" s="55">
        <f ca="1" t="shared" si="67"/>
        <v>0</v>
      </c>
      <c r="P1407" s="55">
        <f ca="1" t="shared" si="68"/>
        <v>173</v>
      </c>
      <c r="Q1407" s="22" t="str">
        <f>VLOOKUP(B1407,辅助信息!E:M,9,FALSE)</f>
        <v>ZTWM-CDGS-XS-2024-0134-商投建工达州中医药科技成果示范园项目</v>
      </c>
      <c r="R1407" s="22" t="str">
        <f>_xlfn._xlws.FILTER(辅助信息!D:D,辅助信息!E:E=B1407)</f>
        <v>商投建工达州中医药科技园</v>
      </c>
    </row>
    <row r="1408" hidden="1" spans="2:18">
      <c r="B1408" s="33" t="s">
        <v>106</v>
      </c>
      <c r="C1408" s="63">
        <v>45785</v>
      </c>
      <c r="D1408" s="33" t="str">
        <f>VLOOKUP(B1408,辅助信息!E:K,7,FALSE)</f>
        <v>JWDDCD2024101600133</v>
      </c>
      <c r="E1408" s="33" t="str">
        <f>VLOOKUP(F1408,辅助信息!A:B,2,FALSE)</f>
        <v>盘螺</v>
      </c>
      <c r="F1408" s="33" t="s">
        <v>40</v>
      </c>
      <c r="G1408" s="29">
        <v>57.5</v>
      </c>
      <c r="H1408" s="29" t="str">
        <f>_xlfn.XLOOKUP(C1408&amp;F1408&amp;I1408&amp;J1408,'[1]2025年已发货'!$F:$F&amp;'[1]2025年已发货'!$C:$C&amp;'[1]2025年已发货'!$G:$G&amp;'[1]2025年已发货'!$H:$H,'[1]2025年已发货'!$E:$E,"未发货")</f>
        <v>未发货</v>
      </c>
      <c r="I1408" s="33" t="str">
        <f>VLOOKUP(B1408,辅助信息!E:I,3,FALSE)</f>
        <v>（五冶钢构宜宾高县月江镇建设项目）  四川省宜宾市高县月江镇刚记超市斜对面(还阳组团沪碳二期项目)</v>
      </c>
      <c r="J1408" s="33" t="str">
        <f>VLOOKUP(B1408,辅助信息!E:I,4,FALSE)</f>
        <v>张朝亮</v>
      </c>
      <c r="K1408" s="33">
        <f>VLOOKUP(J1408,辅助信息!H:I,2,FALSE)</f>
        <v>15228205853</v>
      </c>
      <c r="L1408" s="102" t="str">
        <f>VLOOKUP(B1408,辅助信息!E:J,6,FALSE)</f>
        <v>提前联系到场规格</v>
      </c>
      <c r="M1408" s="84">
        <v>45785</v>
      </c>
      <c r="O1408" s="55">
        <f ca="1" t="shared" ref="O1408:O1413" si="69">IF(OR(M1408="",N1408&lt;&gt;""),"",MAX(M1408-TODAY(),0))</f>
        <v>0</v>
      </c>
      <c r="P1408" s="55">
        <f ca="1" t="shared" ref="P1408:P1486" si="70">IF(M1408="","",IF(N1408&lt;&gt;"",MAX(N1408-M1408,0),IF(TODAY()&gt;M1408,TODAY()-M1408,0)))</f>
        <v>172</v>
      </c>
      <c r="Q1408" s="22" t="str">
        <f>VLOOKUP(B1408,辅助信息!E:M,9,FALSE)</f>
        <v>ZTWM-CDGS-XS-2024-0169-中冶西部钢构-宜宾市南溪区幸福路东路,高县月江镇建设项目</v>
      </c>
      <c r="R1408" s="22" t="str">
        <f>_xlfn._xlws.FILTER(辅助信息!D:D,辅助信息!E:E=B1408)</f>
        <v>五冶钢构-宜宾市南溪区高县月江镇建设项目</v>
      </c>
    </row>
    <row r="1409" hidden="1" spans="2:18">
      <c r="B1409" s="33" t="s">
        <v>106</v>
      </c>
      <c r="C1409" s="63">
        <v>45785</v>
      </c>
      <c r="D1409" s="33" t="str">
        <f>VLOOKUP(B1409,辅助信息!E:K,7,FALSE)</f>
        <v>JWDDCD2024101600133</v>
      </c>
      <c r="E1409" s="33" t="str">
        <f>VLOOKUP(F1409,辅助信息!A:B,2,FALSE)</f>
        <v>螺纹钢</v>
      </c>
      <c r="F1409" s="33" t="s">
        <v>27</v>
      </c>
      <c r="G1409" s="29">
        <v>21</v>
      </c>
      <c r="H1409" s="29">
        <f>_xlfn.XLOOKUP(C1409&amp;F1409&amp;I1409&amp;J1409,'[1]2025年已发货'!$F:$F&amp;'[1]2025年已发货'!$C:$C&amp;'[1]2025年已发货'!$G:$G&amp;'[1]2025年已发货'!$H:$H,'[1]2025年已发货'!$E:$E,"未发货")</f>
        <v>12</v>
      </c>
      <c r="I1409" s="33" t="str">
        <f>VLOOKUP(B1409,辅助信息!E:I,3,FALSE)</f>
        <v>（五冶钢构宜宾高县月江镇建设项目）  四川省宜宾市高县月江镇刚记超市斜对面(还阳组团沪碳二期项目)</v>
      </c>
      <c r="J1409" s="33" t="str">
        <f>VLOOKUP(B1409,辅助信息!E:I,4,FALSE)</f>
        <v>张朝亮</v>
      </c>
      <c r="K1409" s="33">
        <f>VLOOKUP(J1409,辅助信息!H:I,2,FALSE)</f>
        <v>15228205853</v>
      </c>
      <c r="L1409" s="102" t="str">
        <f>VLOOKUP(B1409,辅助信息!E:J,6,FALSE)</f>
        <v>提前联系到场规格</v>
      </c>
      <c r="M1409" s="84">
        <v>45785</v>
      </c>
      <c r="O1409" s="55">
        <f ca="1" t="shared" si="69"/>
        <v>0</v>
      </c>
      <c r="P1409" s="55">
        <f ca="1" t="shared" si="70"/>
        <v>172</v>
      </c>
      <c r="Q1409" s="22" t="str">
        <f>VLOOKUP(B1409,辅助信息!E:M,9,FALSE)</f>
        <v>ZTWM-CDGS-XS-2024-0169-中冶西部钢构-宜宾市南溪区幸福路东路,高县月江镇建设项目</v>
      </c>
      <c r="R1409" s="22" t="str">
        <f>_xlfn._xlws.FILTER(辅助信息!D:D,辅助信息!E:E=B1409)</f>
        <v>五冶钢构-宜宾市南溪区高县月江镇建设项目</v>
      </c>
    </row>
    <row r="1410" hidden="1" spans="2:18">
      <c r="B1410" s="33" t="s">
        <v>106</v>
      </c>
      <c r="C1410" s="63">
        <v>45785</v>
      </c>
      <c r="D1410" s="33" t="str">
        <f>VLOOKUP(B1410,辅助信息!E:K,7,FALSE)</f>
        <v>JWDDCD2024101600133</v>
      </c>
      <c r="E1410" s="33" t="str">
        <f>VLOOKUP(F1410,辅助信息!A:B,2,FALSE)</f>
        <v>螺纹钢</v>
      </c>
      <c r="F1410" s="33" t="s">
        <v>19</v>
      </c>
      <c r="G1410" s="29">
        <v>21</v>
      </c>
      <c r="H1410" s="29">
        <f>_xlfn.XLOOKUP(C1410&amp;F1410&amp;I1410&amp;J1410,'[1]2025年已发货'!$F:$F&amp;'[1]2025年已发货'!$C:$C&amp;'[1]2025年已发货'!$G:$G&amp;'[1]2025年已发货'!$H:$H,'[1]2025年已发货'!$E:$E,"未发货")</f>
        <v>12</v>
      </c>
      <c r="I1410" s="33" t="str">
        <f>VLOOKUP(B1410,辅助信息!E:I,3,FALSE)</f>
        <v>（五冶钢构宜宾高县月江镇建设项目）  四川省宜宾市高县月江镇刚记超市斜对面(还阳组团沪碳二期项目)</v>
      </c>
      <c r="J1410" s="33" t="str">
        <f>VLOOKUP(B1410,辅助信息!E:I,4,FALSE)</f>
        <v>张朝亮</v>
      </c>
      <c r="K1410" s="33">
        <f>VLOOKUP(J1410,辅助信息!H:I,2,FALSE)</f>
        <v>15228205853</v>
      </c>
      <c r="L1410" s="102" t="str">
        <f>VLOOKUP(B1410,辅助信息!E:J,6,FALSE)</f>
        <v>提前联系到场规格</v>
      </c>
      <c r="M1410" s="84">
        <v>45785</v>
      </c>
      <c r="O1410" s="55">
        <f ca="1" t="shared" si="69"/>
        <v>0</v>
      </c>
      <c r="P1410" s="55">
        <f ca="1" t="shared" si="70"/>
        <v>172</v>
      </c>
      <c r="Q1410" s="22" t="str">
        <f>VLOOKUP(B1410,辅助信息!E:M,9,FALSE)</f>
        <v>ZTWM-CDGS-XS-2024-0169-中冶西部钢构-宜宾市南溪区幸福路东路,高县月江镇建设项目</v>
      </c>
      <c r="R1410" s="22" t="str">
        <f>_xlfn._xlws.FILTER(辅助信息!D:D,辅助信息!E:E=B1410)</f>
        <v>五冶钢构-宜宾市南溪区高县月江镇建设项目</v>
      </c>
    </row>
    <row r="1411" hidden="1" spans="2:18">
      <c r="B1411" s="33" t="s">
        <v>106</v>
      </c>
      <c r="C1411" s="63">
        <v>45785</v>
      </c>
      <c r="D1411" s="33" t="str">
        <f>VLOOKUP(B1411,辅助信息!E:K,7,FALSE)</f>
        <v>JWDDCD2024101600133</v>
      </c>
      <c r="E1411" s="33" t="str">
        <f>VLOOKUP(F1411,辅助信息!A:B,2,FALSE)</f>
        <v>螺纹钢</v>
      </c>
      <c r="F1411" s="33" t="s">
        <v>33</v>
      </c>
      <c r="G1411" s="29">
        <v>9</v>
      </c>
      <c r="H1411" s="29" t="str">
        <f>_xlfn.XLOOKUP(C1411&amp;F1411&amp;I1411&amp;J1411,'[1]2025年已发货'!$F:$F&amp;'[1]2025年已发货'!$C:$C&amp;'[1]2025年已发货'!$G:$G&amp;'[1]2025年已发货'!$H:$H,'[1]2025年已发货'!$E:$E,"未发货")</f>
        <v>未发货</v>
      </c>
      <c r="I1411" s="33" t="str">
        <f>VLOOKUP(B1411,辅助信息!E:I,3,FALSE)</f>
        <v>（五冶钢构宜宾高县月江镇建设项目）  四川省宜宾市高县月江镇刚记超市斜对面(还阳组团沪碳二期项目)</v>
      </c>
      <c r="J1411" s="33" t="str">
        <f>VLOOKUP(B1411,辅助信息!E:I,4,FALSE)</f>
        <v>张朝亮</v>
      </c>
      <c r="K1411" s="33">
        <f>VLOOKUP(J1411,辅助信息!H:I,2,FALSE)</f>
        <v>15228205853</v>
      </c>
      <c r="L1411" s="102" t="str">
        <f>VLOOKUP(B1411,辅助信息!E:J,6,FALSE)</f>
        <v>提前联系到场规格</v>
      </c>
      <c r="M1411" s="84">
        <v>45785</v>
      </c>
      <c r="O1411" s="55">
        <f ca="1" t="shared" si="69"/>
        <v>0</v>
      </c>
      <c r="P1411" s="55">
        <f ca="1" t="shared" si="70"/>
        <v>172</v>
      </c>
      <c r="Q1411" s="22" t="str">
        <f>VLOOKUP(B1411,辅助信息!E:M,9,FALSE)</f>
        <v>ZTWM-CDGS-XS-2024-0169-中冶西部钢构-宜宾市南溪区幸福路东路,高县月江镇建设项目</v>
      </c>
      <c r="R1411" s="22" t="str">
        <f>_xlfn._xlws.FILTER(辅助信息!D:D,辅助信息!E:E=B1411)</f>
        <v>五冶钢构-宜宾市南溪区高县月江镇建设项目</v>
      </c>
    </row>
    <row r="1412" hidden="1" spans="2:18">
      <c r="B1412" s="33" t="s">
        <v>106</v>
      </c>
      <c r="C1412" s="63">
        <v>45785</v>
      </c>
      <c r="D1412" s="33" t="str">
        <f>VLOOKUP(B1412,辅助信息!E:K,7,FALSE)</f>
        <v>JWDDCD2024101600133</v>
      </c>
      <c r="E1412" s="33" t="str">
        <f>VLOOKUP(F1412,辅助信息!A:B,2,FALSE)</f>
        <v>螺纹钢</v>
      </c>
      <c r="F1412" s="33" t="s">
        <v>28</v>
      </c>
      <c r="G1412" s="29">
        <v>21</v>
      </c>
      <c r="H1412" s="29" t="str">
        <f>_xlfn.XLOOKUP(C1412&amp;F1412&amp;I1412&amp;J1412,'[1]2025年已发货'!$F:$F&amp;'[1]2025年已发货'!$C:$C&amp;'[1]2025年已发货'!$G:$G&amp;'[1]2025年已发货'!$H:$H,'[1]2025年已发货'!$E:$E,"未发货")</f>
        <v>未发货</v>
      </c>
      <c r="I1412" s="33" t="str">
        <f>VLOOKUP(B1412,辅助信息!E:I,3,FALSE)</f>
        <v>（五冶钢构宜宾高县月江镇建设项目）  四川省宜宾市高县月江镇刚记超市斜对面(还阳组团沪碳二期项目)</v>
      </c>
      <c r="J1412" s="33" t="str">
        <f>VLOOKUP(B1412,辅助信息!E:I,4,FALSE)</f>
        <v>张朝亮</v>
      </c>
      <c r="K1412" s="33">
        <f>VLOOKUP(J1412,辅助信息!H:I,2,FALSE)</f>
        <v>15228205853</v>
      </c>
      <c r="L1412" s="102" t="str">
        <f>VLOOKUP(B1412,辅助信息!E:J,6,FALSE)</f>
        <v>提前联系到场规格</v>
      </c>
      <c r="M1412" s="84">
        <v>45785</v>
      </c>
      <c r="O1412" s="55">
        <f ca="1" t="shared" si="69"/>
        <v>0</v>
      </c>
      <c r="P1412" s="55">
        <f ca="1" t="shared" si="70"/>
        <v>172</v>
      </c>
      <c r="Q1412" s="22" t="str">
        <f>VLOOKUP(B1412,辅助信息!E:M,9,FALSE)</f>
        <v>ZTWM-CDGS-XS-2024-0169-中冶西部钢构-宜宾市南溪区幸福路东路,高县月江镇建设项目</v>
      </c>
      <c r="R1412" s="22" t="str">
        <f>_xlfn._xlws.FILTER(辅助信息!D:D,辅助信息!E:E=B1412)</f>
        <v>五冶钢构-宜宾市南溪区高县月江镇建设项目</v>
      </c>
    </row>
    <row r="1413" hidden="1" spans="2:18">
      <c r="B1413" s="33" t="s">
        <v>106</v>
      </c>
      <c r="C1413" s="63">
        <v>45785</v>
      </c>
      <c r="D1413" s="33" t="str">
        <f>VLOOKUP(B1413,辅助信息!E:K,7,FALSE)</f>
        <v>JWDDCD2024101600133</v>
      </c>
      <c r="E1413" s="33" t="str">
        <f>VLOOKUP(F1413,辅助信息!A:B,2,FALSE)</f>
        <v>螺纹钢</v>
      </c>
      <c r="F1413" s="33" t="s">
        <v>18</v>
      </c>
      <c r="G1413" s="29">
        <v>12</v>
      </c>
      <c r="H1413" s="29">
        <f>_xlfn.XLOOKUP(C1413&amp;F1413&amp;I1413&amp;J1413,'[1]2025年已发货'!$F:$F&amp;'[1]2025年已发货'!$C:$C&amp;'[1]2025年已发货'!$G:$G&amp;'[1]2025年已发货'!$H:$H,'[1]2025年已发货'!$E:$E,"未发货")</f>
        <v>12</v>
      </c>
      <c r="I1413" s="33" t="str">
        <f>VLOOKUP(B1413,辅助信息!E:I,3,FALSE)</f>
        <v>（五冶钢构宜宾高县月江镇建设项目）  四川省宜宾市高县月江镇刚记超市斜对面(还阳组团沪碳二期项目)</v>
      </c>
      <c r="J1413" s="33" t="str">
        <f>VLOOKUP(B1413,辅助信息!E:I,4,FALSE)</f>
        <v>张朝亮</v>
      </c>
      <c r="K1413" s="33">
        <f>VLOOKUP(J1413,辅助信息!H:I,2,FALSE)</f>
        <v>15228205853</v>
      </c>
      <c r="L1413" s="102" t="str">
        <f>VLOOKUP(B1413,辅助信息!E:J,6,FALSE)</f>
        <v>提前联系到场规格</v>
      </c>
      <c r="M1413" s="84">
        <v>45785</v>
      </c>
      <c r="O1413" s="55">
        <f ca="1" t="shared" si="69"/>
        <v>0</v>
      </c>
      <c r="P1413" s="55">
        <f ca="1" t="shared" si="70"/>
        <v>172</v>
      </c>
      <c r="Q1413" s="22" t="str">
        <f>VLOOKUP(B1413,辅助信息!E:M,9,FALSE)</f>
        <v>ZTWM-CDGS-XS-2024-0169-中冶西部钢构-宜宾市南溪区幸福路东路,高县月江镇建设项目</v>
      </c>
      <c r="R1413" s="22" t="str">
        <f>_xlfn._xlws.FILTER(辅助信息!D:D,辅助信息!E:E=B1413)</f>
        <v>五冶钢构-宜宾市南溪区高县月江镇建设项目</v>
      </c>
    </row>
    <row r="1414" hidden="1" spans="2:18">
      <c r="B1414" s="90" t="s">
        <v>127</v>
      </c>
      <c r="C1414" s="63">
        <v>45785</v>
      </c>
      <c r="D1414" s="33" t="str">
        <f>VLOOKUP(B1414,辅助信息!E:K,7,FALSE)</f>
        <v>JWDDCD2025051000019</v>
      </c>
      <c r="E1414" s="33" t="str">
        <f>VLOOKUP(F1414,辅助信息!A:B,2,FALSE)</f>
        <v>盘螺</v>
      </c>
      <c r="F1414" s="33" t="s">
        <v>49</v>
      </c>
      <c r="G1414" s="29">
        <v>12</v>
      </c>
      <c r="H1414" s="29" t="str">
        <f>_xlfn.XLOOKUP(C1414&amp;F1414&amp;I1414&amp;J1414,'[1]2025年已发货'!$F:$F&amp;'[1]2025年已发货'!$C:$C&amp;'[1]2025年已发货'!$G:$G&amp;'[1]2025年已发货'!$H:$H,'[1]2025年已发货'!$E:$E,"未发货")</f>
        <v>未发货</v>
      </c>
      <c r="I1414" s="33" t="str">
        <f>VLOOKUP(B1414,辅助信息!E:I,3,FALSE)</f>
        <v>(五冶钢构医学科学产业园建设项目房建三部-管网总坪)四川省南充市顺庆区搬罾街道学府大道二段</v>
      </c>
      <c r="J1414" s="33" t="str">
        <f>VLOOKUP(B1414,辅助信息!E:I,4,FALSE)</f>
        <v>郑林</v>
      </c>
      <c r="K1414" s="33">
        <f>VLOOKUP(J1414,辅助信息!H:I,2,FALSE)</f>
        <v>18349955455</v>
      </c>
      <c r="L1414" s="102" t="str">
        <f>VLOOKUP(B1414,辅助信息!E:J,6,FALSE)</f>
        <v>送货单：送货单位：南充思临新材料科技有限公司,收货单位：五冶集团川北(南充)建设有限公司,项目名称：南充医学科学产业园,送货车型13米,装货前联系收货人核实到场规格</v>
      </c>
      <c r="M1414" s="84">
        <v>45785</v>
      </c>
      <c r="O1414" s="55">
        <f ca="1" t="shared" ref="O1414:O1420" si="71">IF(OR(M1414="",N1414&lt;&gt;""),"",MAX(M1414-TODAY(),0))</f>
        <v>0</v>
      </c>
      <c r="P1414" s="55">
        <f ca="1" t="shared" si="70"/>
        <v>172</v>
      </c>
      <c r="Q1414" s="22" t="str">
        <f>VLOOKUP(B1414,辅助信息!E:M,9,FALSE)</f>
        <v>ZTWM-CDGS-XS-2024-0248-五冶钢构-南充市医学院项目</v>
      </c>
      <c r="R1414" s="22" t="str">
        <f>_xlfn._xlws.FILTER(辅助信息!D:D,辅助信息!E:E=B1414)</f>
        <v>五冶钢构南充医学科学产业园建设项目</v>
      </c>
    </row>
    <row r="1415" hidden="1" spans="2:18">
      <c r="B1415" s="90" t="s">
        <v>127</v>
      </c>
      <c r="C1415" s="63">
        <v>45785</v>
      </c>
      <c r="D1415" s="33" t="str">
        <f>VLOOKUP(B1415,辅助信息!E:K,7,FALSE)</f>
        <v>JWDDCD2025051000019</v>
      </c>
      <c r="E1415" s="33" t="str">
        <f>VLOOKUP(F1415,辅助信息!A:B,2,FALSE)</f>
        <v>盘螺</v>
      </c>
      <c r="F1415" s="33" t="s">
        <v>41</v>
      </c>
      <c r="G1415" s="29">
        <v>10</v>
      </c>
      <c r="H1415" s="29" t="str">
        <f>_xlfn.XLOOKUP(C1415&amp;F1415&amp;I1415&amp;J1415,'[1]2025年已发货'!$F:$F&amp;'[1]2025年已发货'!$C:$C&amp;'[1]2025年已发货'!$G:$G&amp;'[1]2025年已发货'!$H:$H,'[1]2025年已发货'!$E:$E,"未发货")</f>
        <v>未发货</v>
      </c>
      <c r="I1415" s="33" t="str">
        <f>VLOOKUP(B1415,辅助信息!E:I,3,FALSE)</f>
        <v>(五冶钢构医学科学产业园建设项目房建三部-管网总坪)四川省南充市顺庆区搬罾街道学府大道二段</v>
      </c>
      <c r="J1415" s="33" t="str">
        <f>VLOOKUP(B1415,辅助信息!E:I,4,FALSE)</f>
        <v>郑林</v>
      </c>
      <c r="K1415" s="33">
        <f>VLOOKUP(J1415,辅助信息!H:I,2,FALSE)</f>
        <v>18349955455</v>
      </c>
      <c r="L1415" s="102" t="str">
        <f>VLOOKUP(B1415,辅助信息!E:J,6,FALSE)</f>
        <v>送货单：送货单位：南充思临新材料科技有限公司,收货单位：五冶集团川北(南充)建设有限公司,项目名称：南充医学科学产业园,送货车型13米,装货前联系收货人核实到场规格</v>
      </c>
      <c r="M1415" s="84">
        <v>45785</v>
      </c>
      <c r="O1415" s="55">
        <f ca="1" t="shared" si="71"/>
        <v>0</v>
      </c>
      <c r="P1415" s="55">
        <f ca="1" t="shared" si="70"/>
        <v>172</v>
      </c>
      <c r="Q1415" s="22" t="str">
        <f>VLOOKUP(B1415,辅助信息!E:M,9,FALSE)</f>
        <v>ZTWM-CDGS-XS-2024-0248-五冶钢构-南充市医学院项目</v>
      </c>
      <c r="R1415" s="22" t="str">
        <f>_xlfn._xlws.FILTER(辅助信息!D:D,辅助信息!E:E=B1415)</f>
        <v>五冶钢构南充医学科学产业园建设项目</v>
      </c>
    </row>
    <row r="1416" hidden="1" spans="2:18">
      <c r="B1416" s="90" t="s">
        <v>127</v>
      </c>
      <c r="C1416" s="63">
        <v>45785</v>
      </c>
      <c r="D1416" s="33" t="str">
        <f>VLOOKUP(B1416,辅助信息!E:K,7,FALSE)</f>
        <v>JWDDCD2025051000019</v>
      </c>
      <c r="E1416" s="33" t="str">
        <f>VLOOKUP(F1416,辅助信息!A:B,2,FALSE)</f>
        <v>螺纹钢</v>
      </c>
      <c r="F1416" s="33" t="s">
        <v>27</v>
      </c>
      <c r="G1416" s="29">
        <v>13</v>
      </c>
      <c r="H1416" s="29" t="str">
        <f>_xlfn.XLOOKUP(C1416&amp;F1416&amp;I1416&amp;J1416,'[1]2025年已发货'!$F:$F&amp;'[1]2025年已发货'!$C:$C&amp;'[1]2025年已发货'!$G:$G&amp;'[1]2025年已发货'!$H:$H,'[1]2025年已发货'!$E:$E,"未发货")</f>
        <v>未发货</v>
      </c>
      <c r="I1416" s="33" t="str">
        <f>VLOOKUP(B1416,辅助信息!E:I,3,FALSE)</f>
        <v>(五冶钢构医学科学产业园建设项目房建三部-管网总坪)四川省南充市顺庆区搬罾街道学府大道二段</v>
      </c>
      <c r="J1416" s="33" t="str">
        <f>VLOOKUP(B1416,辅助信息!E:I,4,FALSE)</f>
        <v>郑林</v>
      </c>
      <c r="K1416" s="33">
        <f>VLOOKUP(J1416,辅助信息!H:I,2,FALSE)</f>
        <v>18349955455</v>
      </c>
      <c r="L1416" s="102" t="str">
        <f>VLOOKUP(B1416,辅助信息!E:J,6,FALSE)</f>
        <v>送货单：送货单位：南充思临新材料科技有限公司,收货单位：五冶集团川北(南充)建设有限公司,项目名称：南充医学科学产业园,送货车型13米,装货前联系收货人核实到场规格</v>
      </c>
      <c r="M1416" s="84">
        <v>45785</v>
      </c>
      <c r="O1416" s="55">
        <f ca="1" t="shared" si="71"/>
        <v>0</v>
      </c>
      <c r="P1416" s="55">
        <f ca="1" t="shared" si="70"/>
        <v>172</v>
      </c>
      <c r="Q1416" s="22" t="str">
        <f>VLOOKUP(B1416,辅助信息!E:M,9,FALSE)</f>
        <v>ZTWM-CDGS-XS-2024-0248-五冶钢构-南充市医学院项目</v>
      </c>
      <c r="R1416" s="22" t="str">
        <f>_xlfn._xlws.FILTER(辅助信息!D:D,辅助信息!E:E=B1416)</f>
        <v>五冶钢构南充医学科学产业园建设项目</v>
      </c>
    </row>
    <row r="1417" hidden="1" spans="2:18">
      <c r="B1417" s="90" t="s">
        <v>72</v>
      </c>
      <c r="C1417" s="63">
        <v>45785</v>
      </c>
      <c r="D1417" s="33" t="str">
        <f>VLOOKUP(B1417,辅助信息!E:K,7,FALSE)</f>
        <v>JWDDCD2025051000019</v>
      </c>
      <c r="E1417" s="33" t="str">
        <f>VLOOKUP(F1417,辅助信息!A:B,2,FALSE)</f>
        <v>盘螺</v>
      </c>
      <c r="F1417" s="33" t="s">
        <v>49</v>
      </c>
      <c r="G1417" s="29">
        <v>5</v>
      </c>
      <c r="H1417" s="29" t="str">
        <f>_xlfn.XLOOKUP(C1417&amp;F1417&amp;I1417&amp;J1417,'[1]2025年已发货'!$F:$F&amp;'[1]2025年已发货'!$C:$C&amp;'[1]2025年已发货'!$G:$G&amp;'[1]2025年已发货'!$H:$H,'[1]2025年已发货'!$E:$E,"未发货")</f>
        <v>未发货</v>
      </c>
      <c r="I1417" s="33" t="str">
        <f>VLOOKUP(B1417,辅助信息!E:I,3,FALSE)</f>
        <v>(五冶钢构医学科学产业园建设项目房建二部-网羽馆（6-5）)四川省南充市顺庆区搬罾街道学府大道二段</v>
      </c>
      <c r="J1417" s="33" t="str">
        <f>VLOOKUP(B1417,辅助信息!E:I,4,FALSE)</f>
        <v>安南</v>
      </c>
      <c r="K1417" s="33">
        <f>VLOOKUP(J1417,辅助信息!H:I,2,FALSE)</f>
        <v>19950525030</v>
      </c>
      <c r="L1417" s="102" t="str">
        <f>VLOOKUP(B1417,辅助信息!E:J,6,FALSE)</f>
        <v>送货单：送货单位：南充思临新材料科技有限公司,收货单位：五冶集团川北(南充)建设有限公司,项目名称：南充医学科学产业园,送货车型13米,装货前联系收货人核实到场规格</v>
      </c>
      <c r="M1417" s="84">
        <v>45785</v>
      </c>
      <c r="O1417" s="55">
        <f ca="1" t="shared" si="71"/>
        <v>0</v>
      </c>
      <c r="P1417" s="55">
        <f ca="1" t="shared" si="70"/>
        <v>172</v>
      </c>
      <c r="Q1417" s="22" t="str">
        <f>VLOOKUP(B1417,辅助信息!E:M,9,FALSE)</f>
        <v>ZTWM-CDGS-XS-2024-0248-五冶钢构-南充市医学院项目</v>
      </c>
      <c r="R1417" s="22" t="str">
        <f>_xlfn._xlws.FILTER(辅助信息!D:D,辅助信息!E:E=B1417)</f>
        <v>五冶钢构南充医学科学产业园建设项目</v>
      </c>
    </row>
    <row r="1418" hidden="1" spans="2:18">
      <c r="B1418" s="90" t="s">
        <v>72</v>
      </c>
      <c r="C1418" s="63">
        <v>45785</v>
      </c>
      <c r="D1418" s="33" t="str">
        <f>VLOOKUP(B1418,辅助信息!E:K,7,FALSE)</f>
        <v>JWDDCD2025051000019</v>
      </c>
      <c r="E1418" s="33" t="str">
        <f>VLOOKUP(F1418,辅助信息!A:B,2,FALSE)</f>
        <v>盘螺</v>
      </c>
      <c r="F1418" s="33" t="s">
        <v>40</v>
      </c>
      <c r="G1418" s="29">
        <v>2.5</v>
      </c>
      <c r="H1418" s="29" t="str">
        <f>_xlfn.XLOOKUP(C1418&amp;F1418&amp;I1418&amp;J1418,'[1]2025年已发货'!$F:$F&amp;'[1]2025年已发货'!$C:$C&amp;'[1]2025年已发货'!$G:$G&amp;'[1]2025年已发货'!$H:$H,'[1]2025年已发货'!$E:$E,"未发货")</f>
        <v>未发货</v>
      </c>
      <c r="I1418" s="33" t="str">
        <f>VLOOKUP(B1418,辅助信息!E:I,3,FALSE)</f>
        <v>(五冶钢构医学科学产业园建设项目房建二部-网羽馆（6-5）)四川省南充市顺庆区搬罾街道学府大道二段</v>
      </c>
      <c r="J1418" s="33" t="str">
        <f>VLOOKUP(B1418,辅助信息!E:I,4,FALSE)</f>
        <v>安南</v>
      </c>
      <c r="K1418" s="33">
        <f>VLOOKUP(J1418,辅助信息!H:I,2,FALSE)</f>
        <v>19950525030</v>
      </c>
      <c r="L1418" s="102" t="str">
        <f>VLOOKUP(B1418,辅助信息!E:J,6,FALSE)</f>
        <v>送货单：送货单位：南充思临新材料科技有限公司,收货单位：五冶集团川北(南充)建设有限公司,项目名称：南充医学科学产业园,送货车型13米,装货前联系收货人核实到场规格</v>
      </c>
      <c r="M1418" s="84">
        <v>45785</v>
      </c>
      <c r="O1418" s="55">
        <f ca="1" t="shared" si="71"/>
        <v>0</v>
      </c>
      <c r="P1418" s="55">
        <f ca="1" t="shared" si="70"/>
        <v>172</v>
      </c>
      <c r="Q1418" s="22" t="str">
        <f>VLOOKUP(B1418,辅助信息!E:M,9,FALSE)</f>
        <v>ZTWM-CDGS-XS-2024-0248-五冶钢构-南充市医学院项目</v>
      </c>
      <c r="R1418" s="22" t="str">
        <f>_xlfn._xlws.FILTER(辅助信息!D:D,辅助信息!E:E=B1418)</f>
        <v>五冶钢构南充医学科学产业园建设项目</v>
      </c>
    </row>
    <row r="1419" hidden="1" spans="2:18">
      <c r="B1419" s="90" t="s">
        <v>72</v>
      </c>
      <c r="C1419" s="63">
        <v>45785</v>
      </c>
      <c r="D1419" s="33" t="str">
        <f>VLOOKUP(B1419,辅助信息!E:K,7,FALSE)</f>
        <v>JWDDCD2025051000019</v>
      </c>
      <c r="E1419" s="33" t="str">
        <f>VLOOKUP(F1419,辅助信息!A:B,2,FALSE)</f>
        <v>螺纹钢</v>
      </c>
      <c r="F1419" s="33" t="s">
        <v>27</v>
      </c>
      <c r="G1419" s="29">
        <v>25</v>
      </c>
      <c r="H1419" s="29" t="str">
        <f>_xlfn.XLOOKUP(C1419&amp;F1419&amp;I1419&amp;J1419,'[1]2025年已发货'!$F:$F&amp;'[1]2025年已发货'!$C:$C&amp;'[1]2025年已发货'!$G:$G&amp;'[1]2025年已发货'!$H:$H,'[1]2025年已发货'!$E:$E,"未发货")</f>
        <v>未发货</v>
      </c>
      <c r="I1419" s="33" t="str">
        <f>VLOOKUP(B1419,辅助信息!E:I,3,FALSE)</f>
        <v>(五冶钢构医学科学产业园建设项目房建二部-网羽馆（6-5）)四川省南充市顺庆区搬罾街道学府大道二段</v>
      </c>
      <c r="J1419" s="33" t="str">
        <f>VLOOKUP(B1419,辅助信息!E:I,4,FALSE)</f>
        <v>安南</v>
      </c>
      <c r="K1419" s="33">
        <f>VLOOKUP(J1419,辅助信息!H:I,2,FALSE)</f>
        <v>19950525030</v>
      </c>
      <c r="L1419" s="102" t="str">
        <f>VLOOKUP(B1419,辅助信息!E:J,6,FALSE)</f>
        <v>送货单：送货单位：南充思临新材料科技有限公司,收货单位：五冶集团川北(南充)建设有限公司,项目名称：南充医学科学产业园,送货车型13米,装货前联系收货人核实到场规格</v>
      </c>
      <c r="M1419" s="84">
        <v>45785</v>
      </c>
      <c r="O1419" s="55">
        <f ca="1" t="shared" si="71"/>
        <v>0</v>
      </c>
      <c r="P1419" s="55">
        <f ca="1" t="shared" si="70"/>
        <v>172</v>
      </c>
      <c r="Q1419" s="22" t="str">
        <f>VLOOKUP(B1419,辅助信息!E:M,9,FALSE)</f>
        <v>ZTWM-CDGS-XS-2024-0248-五冶钢构-南充市医学院项目</v>
      </c>
      <c r="R1419" s="22" t="str">
        <f>_xlfn._xlws.FILTER(辅助信息!D:D,辅助信息!E:E=B1419)</f>
        <v>五冶钢构南充医学科学产业园建设项目</v>
      </c>
    </row>
    <row r="1420" hidden="1" spans="1:18">
      <c r="A1420" s="50" t="s">
        <v>100</v>
      </c>
      <c r="B1420" s="33" t="s">
        <v>135</v>
      </c>
      <c r="C1420" s="63">
        <v>45785</v>
      </c>
      <c r="D1420" s="33" t="str">
        <f>VLOOKUP(B1420,辅助信息!E:K,7,FALSE)</f>
        <v>JWDDCD2025050800080</v>
      </c>
      <c r="E1420" s="33" t="str">
        <f>VLOOKUP(F1420,辅助信息!A:B,2,FALSE)</f>
        <v>螺纹钢</v>
      </c>
      <c r="F1420" s="33" t="s">
        <v>130</v>
      </c>
      <c r="G1420" s="29">
        <v>70</v>
      </c>
      <c r="H1420" s="29" t="str">
        <f>_xlfn.XLOOKUP(C1420&amp;F1420&amp;I1420&amp;J1420,'[1]2025年已发货'!$F:$F&amp;'[1]2025年已发货'!$C:$C&amp;'[1]2025年已发货'!$G:$G&amp;'[1]2025年已发货'!$H:$H,'[1]2025年已发货'!$E:$E,"未发货")</f>
        <v>未发货</v>
      </c>
      <c r="I1420" s="33" t="str">
        <f>VLOOKUP(B1420,辅助信息!E:I,3,FALSE)</f>
        <v>(宜宾兴港三江新区长江工业园建设项目-M2-2#厂房)宜宾市翠屏区宜宾汽车零部件配套产业基地(纬五路南)</v>
      </c>
      <c r="J1420" s="33" t="str">
        <f>VLOOKUP(B1420,辅助信息!E:I,4,FALSE)</f>
        <v>李国享</v>
      </c>
      <c r="K1420" s="33">
        <f>VLOOKUP(J1420,辅助信息!H:I,2,FALSE)</f>
        <v>17713876279</v>
      </c>
      <c r="L1420" s="102" t="str">
        <f>VLOOKUP(B1420,辅助信息!E:J,6,FALSE)</f>
        <v>装货前联系收货人核实到场规格，货物最下面用方木垫下方便卸货</v>
      </c>
      <c r="M1420" s="84">
        <v>45785</v>
      </c>
      <c r="O1420" s="55">
        <f ca="1" t="shared" si="71"/>
        <v>0</v>
      </c>
      <c r="P1420" s="55">
        <f ca="1" t="shared" si="70"/>
        <v>172</v>
      </c>
      <c r="Q1420" s="22" t="str">
        <f>VLOOKUP(B1420,辅助信息!E:M,9,FALSE)</f>
        <v>ZTWM-CDGS-XS-2025-0059-宜宾兴港建材-宜宾冷链项目</v>
      </c>
      <c r="R1420" s="22" t="str">
        <f>_xlfn._xlws.FILTER(辅助信息!D:D,辅助信息!E:E=B1420)</f>
        <v>宜宾兴港三江新区长江工业园建设项目</v>
      </c>
    </row>
    <row r="1421" hidden="1" spans="2:18">
      <c r="B1421" s="33" t="s">
        <v>81</v>
      </c>
      <c r="C1421" s="63">
        <v>45785</v>
      </c>
      <c r="D1421" s="33" t="str">
        <f>VLOOKUP(B1421,辅助信息!E:K,7,FALSE)</f>
        <v>JWDDCD2025060900080</v>
      </c>
      <c r="E1421" s="33" t="str">
        <f>VLOOKUP(F1421,辅助信息!A:B,2,FALSE)</f>
        <v>高线</v>
      </c>
      <c r="F1421" s="33" t="s">
        <v>53</v>
      </c>
      <c r="G1421" s="29">
        <v>5</v>
      </c>
      <c r="H1421" s="29" t="str">
        <f>_xlfn.XLOOKUP(C1421&amp;F1421&amp;I1421&amp;J1421,'[1]2025年已发货'!$F:$F&amp;'[1]2025年已发货'!$C:$C&amp;'[1]2025年已发货'!$G:$G&amp;'[1]2025年已发货'!$H:$H,'[1]2025年已发货'!$E:$E,"未发货")</f>
        <v>未发货</v>
      </c>
      <c r="I1421" s="33" t="str">
        <f>VLOOKUP(B1421,辅助信息!E:I,3,FALSE)</f>
        <v>（华西简阳西城嘉苑）四川省成都市简阳市简城街道高屋村</v>
      </c>
      <c r="J1421" s="33" t="str">
        <f>VLOOKUP(B1421,辅助信息!E:I,4,FALSE)</f>
        <v>张瀚镭</v>
      </c>
      <c r="K1421" s="33">
        <f>VLOOKUP(J1421,辅助信息!H:I,2,FALSE)</f>
        <v>15884666220</v>
      </c>
      <c r="L1421" s="102" t="str">
        <f>VLOOKUP(B1421,辅助信息!E:J,6,FALSE)</f>
        <v>现场禁止使用氢能源挂车！优先威钢发货,我方卸车,新老国标钢厂不加价可直发，因陕钢多次出现磅差，项目拒绝使用</v>
      </c>
      <c r="M1421" s="84">
        <v>45787</v>
      </c>
      <c r="O1421" s="55">
        <f ca="1" t="shared" ref="O1421:O1484" si="72">IF(OR(M1421="",N1421&lt;&gt;""),"",MAX(M1421-TODAY(),0))</f>
        <v>0</v>
      </c>
      <c r="P1421" s="55">
        <f ca="1" t="shared" ref="P1421:P1435" si="73">IF(M1421="","",IF(N1421&lt;&gt;"",MAX(N1421-M1421,0),IF(TODAY()&gt;M1421,TODAY()-M1421,0)))</f>
        <v>170</v>
      </c>
      <c r="Q1421" s="22" t="str">
        <f>VLOOKUP(B1421,辅助信息!E:M,9,FALSE)</f>
        <v>ZTWM-CDGS-XS-2024-0030-华西集采-简州大道</v>
      </c>
      <c r="R1421" s="22" t="str">
        <f>_xlfn._xlws.FILTER(辅助信息!D:D,辅助信息!E:E=B1421)</f>
        <v>华西简阳西城嘉苑</v>
      </c>
    </row>
    <row r="1422" hidden="1" spans="2:18">
      <c r="B1422" s="33" t="s">
        <v>81</v>
      </c>
      <c r="C1422" s="63">
        <v>45785</v>
      </c>
      <c r="D1422" s="33" t="str">
        <f>VLOOKUP(B1422,辅助信息!E:K,7,FALSE)</f>
        <v>JWDDCD2025060900080</v>
      </c>
      <c r="E1422" s="33" t="str">
        <f>VLOOKUP(F1422,辅助信息!A:B,2,FALSE)</f>
        <v>盘螺</v>
      </c>
      <c r="F1422" s="33" t="s">
        <v>49</v>
      </c>
      <c r="G1422" s="29">
        <v>2</v>
      </c>
      <c r="H1422" s="29" t="str">
        <f>_xlfn.XLOOKUP(C1422&amp;F1422&amp;I1422&amp;J1422,'[1]2025年已发货'!$F:$F&amp;'[1]2025年已发货'!$C:$C&amp;'[1]2025年已发货'!$G:$G&amp;'[1]2025年已发货'!$H:$H,'[1]2025年已发货'!$E:$E,"未发货")</f>
        <v>未发货</v>
      </c>
      <c r="I1422" s="33" t="str">
        <f>VLOOKUP(B1422,辅助信息!E:I,3,FALSE)</f>
        <v>（华西简阳西城嘉苑）四川省成都市简阳市简城街道高屋村</v>
      </c>
      <c r="J1422" s="33" t="str">
        <f>VLOOKUP(B1422,辅助信息!E:I,4,FALSE)</f>
        <v>张瀚镭</v>
      </c>
      <c r="K1422" s="33">
        <f>VLOOKUP(J1422,辅助信息!H:I,2,FALSE)</f>
        <v>15884666220</v>
      </c>
      <c r="L1422" s="102" t="str">
        <f>VLOOKUP(B1422,辅助信息!E:J,6,FALSE)</f>
        <v>现场禁止使用氢能源挂车！优先威钢发货,我方卸车,新老国标钢厂不加价可直发，因陕钢多次出现磅差，项目拒绝使用</v>
      </c>
      <c r="M1422" s="84">
        <v>45787</v>
      </c>
      <c r="O1422" s="55">
        <f ca="1" t="shared" si="72"/>
        <v>0</v>
      </c>
      <c r="P1422" s="55">
        <f ca="1" t="shared" si="73"/>
        <v>170</v>
      </c>
      <c r="Q1422" s="22" t="str">
        <f>VLOOKUP(B1422,辅助信息!E:M,9,FALSE)</f>
        <v>ZTWM-CDGS-XS-2024-0030-华西集采-简州大道</v>
      </c>
      <c r="R1422" s="22" t="str">
        <f>_xlfn._xlws.FILTER(辅助信息!D:D,辅助信息!E:E=B1422)</f>
        <v>华西简阳西城嘉苑</v>
      </c>
    </row>
    <row r="1423" hidden="1" spans="2:18">
      <c r="B1423" s="33" t="s">
        <v>81</v>
      </c>
      <c r="C1423" s="63">
        <v>45785</v>
      </c>
      <c r="D1423" s="33" t="str">
        <f>VLOOKUP(B1423,辅助信息!E:K,7,FALSE)</f>
        <v>JWDDCD2025060900080</v>
      </c>
      <c r="E1423" s="33" t="str">
        <f>VLOOKUP(F1423,辅助信息!A:B,2,FALSE)</f>
        <v>盘螺</v>
      </c>
      <c r="F1423" s="33" t="s">
        <v>40</v>
      </c>
      <c r="G1423" s="29">
        <v>11</v>
      </c>
      <c r="H1423" s="29" t="str">
        <f>_xlfn.XLOOKUP(C1423&amp;F1423&amp;I1423&amp;J1423,'[1]2025年已发货'!$F:$F&amp;'[1]2025年已发货'!$C:$C&amp;'[1]2025年已发货'!$G:$G&amp;'[1]2025年已发货'!$H:$H,'[1]2025年已发货'!$E:$E,"未发货")</f>
        <v>未发货</v>
      </c>
      <c r="I1423" s="33" t="str">
        <f>VLOOKUP(B1423,辅助信息!E:I,3,FALSE)</f>
        <v>（华西简阳西城嘉苑）四川省成都市简阳市简城街道高屋村</v>
      </c>
      <c r="J1423" s="33" t="str">
        <f>VLOOKUP(B1423,辅助信息!E:I,4,FALSE)</f>
        <v>张瀚镭</v>
      </c>
      <c r="K1423" s="33">
        <f>VLOOKUP(J1423,辅助信息!H:I,2,FALSE)</f>
        <v>15884666220</v>
      </c>
      <c r="L1423" s="102" t="str">
        <f>VLOOKUP(B1423,辅助信息!E:J,6,FALSE)</f>
        <v>现场禁止使用氢能源挂车！优先威钢发货,我方卸车,新老国标钢厂不加价可直发，因陕钢多次出现磅差，项目拒绝使用</v>
      </c>
      <c r="M1423" s="84">
        <v>45787</v>
      </c>
      <c r="O1423" s="55">
        <f ca="1" t="shared" si="72"/>
        <v>0</v>
      </c>
      <c r="P1423" s="55">
        <f ca="1" t="shared" si="73"/>
        <v>170</v>
      </c>
      <c r="Q1423" s="22" t="str">
        <f>VLOOKUP(B1423,辅助信息!E:M,9,FALSE)</f>
        <v>ZTWM-CDGS-XS-2024-0030-华西集采-简州大道</v>
      </c>
      <c r="R1423" s="22" t="str">
        <f>_xlfn._xlws.FILTER(辅助信息!D:D,辅助信息!E:E=B1423)</f>
        <v>华西简阳西城嘉苑</v>
      </c>
    </row>
    <row r="1424" hidden="1" spans="2:18">
      <c r="B1424" s="33" t="s">
        <v>81</v>
      </c>
      <c r="C1424" s="63">
        <v>45785</v>
      </c>
      <c r="D1424" s="33" t="str">
        <f>VLOOKUP(B1424,辅助信息!E:K,7,FALSE)</f>
        <v>JWDDCD2025060900080</v>
      </c>
      <c r="E1424" s="33" t="str">
        <f>VLOOKUP(F1424,辅助信息!A:B,2,FALSE)</f>
        <v>盘螺</v>
      </c>
      <c r="F1424" s="33" t="s">
        <v>41</v>
      </c>
      <c r="G1424" s="29">
        <v>68</v>
      </c>
      <c r="H1424" s="29" t="str">
        <f>_xlfn.XLOOKUP(C1424&amp;F1424&amp;I1424&amp;J1424,'[1]2025年已发货'!$F:$F&amp;'[1]2025年已发货'!$C:$C&amp;'[1]2025年已发货'!$G:$G&amp;'[1]2025年已发货'!$H:$H,'[1]2025年已发货'!$E:$E,"未发货")</f>
        <v>未发货</v>
      </c>
      <c r="I1424" s="33" t="str">
        <f>VLOOKUP(B1424,辅助信息!E:I,3,FALSE)</f>
        <v>（华西简阳西城嘉苑）四川省成都市简阳市简城街道高屋村</v>
      </c>
      <c r="J1424" s="33" t="str">
        <f>VLOOKUP(B1424,辅助信息!E:I,4,FALSE)</f>
        <v>张瀚镭</v>
      </c>
      <c r="K1424" s="33">
        <f>VLOOKUP(J1424,辅助信息!H:I,2,FALSE)</f>
        <v>15884666220</v>
      </c>
      <c r="L1424" s="102" t="str">
        <f>VLOOKUP(B1424,辅助信息!E:J,6,FALSE)</f>
        <v>现场禁止使用氢能源挂车！优先威钢发货,我方卸车,新老国标钢厂不加价可直发，因陕钢多次出现磅差，项目拒绝使用</v>
      </c>
      <c r="M1424" s="84">
        <v>45787</v>
      </c>
      <c r="O1424" s="55">
        <f ca="1" t="shared" si="72"/>
        <v>0</v>
      </c>
      <c r="P1424" s="55">
        <f ca="1" t="shared" si="73"/>
        <v>170</v>
      </c>
      <c r="Q1424" s="22" t="str">
        <f>VLOOKUP(B1424,辅助信息!E:M,9,FALSE)</f>
        <v>ZTWM-CDGS-XS-2024-0030-华西集采-简州大道</v>
      </c>
      <c r="R1424" s="22" t="str">
        <f>_xlfn._xlws.FILTER(辅助信息!D:D,辅助信息!E:E=B1424)</f>
        <v>华西简阳西城嘉苑</v>
      </c>
    </row>
    <row r="1425" hidden="1" spans="2:18">
      <c r="B1425" s="33" t="s">
        <v>81</v>
      </c>
      <c r="C1425" s="63">
        <v>45785</v>
      </c>
      <c r="D1425" s="33" t="str">
        <f>VLOOKUP(B1425,辅助信息!E:K,7,FALSE)</f>
        <v>JWDDCD2025060900080</v>
      </c>
      <c r="E1425" s="33" t="str">
        <f>VLOOKUP(F1425,辅助信息!A:B,2,FALSE)</f>
        <v>盘螺</v>
      </c>
      <c r="F1425" s="33" t="s">
        <v>26</v>
      </c>
      <c r="G1425" s="29">
        <v>5</v>
      </c>
      <c r="H1425" s="29" t="str">
        <f>_xlfn.XLOOKUP(C1425&amp;F1425&amp;I1425&amp;J1425,'[1]2025年已发货'!$F:$F&amp;'[1]2025年已发货'!$C:$C&amp;'[1]2025年已发货'!$G:$G&amp;'[1]2025年已发货'!$H:$H,'[1]2025年已发货'!$E:$E,"未发货")</f>
        <v>未发货</v>
      </c>
      <c r="I1425" s="33" t="str">
        <f>VLOOKUP(B1425,辅助信息!E:I,3,FALSE)</f>
        <v>（华西简阳西城嘉苑）四川省成都市简阳市简城街道高屋村</v>
      </c>
      <c r="J1425" s="33" t="str">
        <f>VLOOKUP(B1425,辅助信息!E:I,4,FALSE)</f>
        <v>张瀚镭</v>
      </c>
      <c r="K1425" s="33">
        <f>VLOOKUP(J1425,辅助信息!H:I,2,FALSE)</f>
        <v>15884666220</v>
      </c>
      <c r="L1425" s="102" t="str">
        <f>VLOOKUP(B1425,辅助信息!E:J,6,FALSE)</f>
        <v>现场禁止使用氢能源挂车！优先威钢发货,我方卸车,新老国标钢厂不加价可直发，因陕钢多次出现磅差，项目拒绝使用</v>
      </c>
      <c r="M1425" s="84">
        <v>45787</v>
      </c>
      <c r="O1425" s="55">
        <f ca="1" t="shared" si="72"/>
        <v>0</v>
      </c>
      <c r="P1425" s="55">
        <f ca="1" t="shared" si="73"/>
        <v>170</v>
      </c>
      <c r="Q1425" s="22" t="str">
        <f>VLOOKUP(B1425,辅助信息!E:M,9,FALSE)</f>
        <v>ZTWM-CDGS-XS-2024-0030-华西集采-简州大道</v>
      </c>
      <c r="R1425" s="22" t="str">
        <f>_xlfn._xlws.FILTER(辅助信息!D:D,辅助信息!E:E=B1425)</f>
        <v>华西简阳西城嘉苑</v>
      </c>
    </row>
    <row r="1426" hidden="1" spans="2:18">
      <c r="B1426" s="33" t="s">
        <v>81</v>
      </c>
      <c r="C1426" s="63">
        <v>45785</v>
      </c>
      <c r="D1426" s="33" t="str">
        <f>VLOOKUP(B1426,辅助信息!E:K,7,FALSE)</f>
        <v>JWDDCD2025060900080</v>
      </c>
      <c r="E1426" s="33" t="str">
        <f>VLOOKUP(F1426,辅助信息!A:B,2,FALSE)</f>
        <v>螺纹钢</v>
      </c>
      <c r="F1426" s="33" t="s">
        <v>19</v>
      </c>
      <c r="G1426" s="29">
        <v>10.5</v>
      </c>
      <c r="H1426" s="29">
        <f>_xlfn.XLOOKUP(C1426&amp;F1426&amp;I1426&amp;J1426,'[1]2025年已发货'!$F:$F&amp;'[1]2025年已发货'!$C:$C&amp;'[1]2025年已发货'!$G:$G&amp;'[1]2025年已发货'!$H:$H,'[1]2025年已发货'!$E:$E,"未发货")</f>
        <v>9</v>
      </c>
      <c r="I1426" s="33" t="str">
        <f>VLOOKUP(B1426,辅助信息!E:I,3,FALSE)</f>
        <v>（华西简阳西城嘉苑）四川省成都市简阳市简城街道高屋村</v>
      </c>
      <c r="J1426" s="33" t="str">
        <f>VLOOKUP(B1426,辅助信息!E:I,4,FALSE)</f>
        <v>张瀚镭</v>
      </c>
      <c r="K1426" s="33">
        <f>VLOOKUP(J1426,辅助信息!H:I,2,FALSE)</f>
        <v>15884666220</v>
      </c>
      <c r="L1426" s="102" t="str">
        <f>VLOOKUP(B1426,辅助信息!E:J,6,FALSE)</f>
        <v>现场禁止使用氢能源挂车！优先威钢发货,我方卸车,新老国标钢厂不加价可直发，因陕钢多次出现磅差，项目拒绝使用</v>
      </c>
      <c r="M1426" s="84">
        <v>45787</v>
      </c>
      <c r="O1426" s="55">
        <f ca="1" t="shared" si="72"/>
        <v>0</v>
      </c>
      <c r="P1426" s="55">
        <f ca="1" t="shared" si="73"/>
        <v>170</v>
      </c>
      <c r="Q1426" s="22" t="str">
        <f>VLOOKUP(B1426,辅助信息!E:M,9,FALSE)</f>
        <v>ZTWM-CDGS-XS-2024-0030-华西集采-简州大道</v>
      </c>
      <c r="R1426" s="22" t="str">
        <f>_xlfn._xlws.FILTER(辅助信息!D:D,辅助信息!E:E=B1426)</f>
        <v>华西简阳西城嘉苑</v>
      </c>
    </row>
    <row r="1427" hidden="1" spans="2:18">
      <c r="B1427" s="33" t="s">
        <v>81</v>
      </c>
      <c r="C1427" s="63">
        <v>45785</v>
      </c>
      <c r="D1427" s="33" t="str">
        <f>VLOOKUP(B1427,辅助信息!E:K,7,FALSE)</f>
        <v>JWDDCD2025060900080</v>
      </c>
      <c r="E1427" s="33" t="str">
        <f>VLOOKUP(F1427,辅助信息!A:B,2,FALSE)</f>
        <v>螺纹钢</v>
      </c>
      <c r="F1427" s="33" t="s">
        <v>32</v>
      </c>
      <c r="G1427" s="29">
        <v>10.5</v>
      </c>
      <c r="H1427" s="29" t="str">
        <f>_xlfn.XLOOKUP(C1427&amp;F1427&amp;I1427&amp;J1427,'[1]2025年已发货'!$F:$F&amp;'[1]2025年已发货'!$C:$C&amp;'[1]2025年已发货'!$G:$G&amp;'[1]2025年已发货'!$H:$H,'[1]2025年已发货'!$E:$E,"未发货")</f>
        <v>未发货</v>
      </c>
      <c r="I1427" s="33" t="str">
        <f>VLOOKUP(B1427,辅助信息!E:I,3,FALSE)</f>
        <v>（华西简阳西城嘉苑）四川省成都市简阳市简城街道高屋村</v>
      </c>
      <c r="J1427" s="33" t="str">
        <f>VLOOKUP(B1427,辅助信息!E:I,4,FALSE)</f>
        <v>张瀚镭</v>
      </c>
      <c r="K1427" s="33">
        <f>VLOOKUP(J1427,辅助信息!H:I,2,FALSE)</f>
        <v>15884666220</v>
      </c>
      <c r="L1427" s="102" t="str">
        <f>VLOOKUP(B1427,辅助信息!E:J,6,FALSE)</f>
        <v>现场禁止使用氢能源挂车！优先威钢发货,我方卸车,新老国标钢厂不加价可直发，因陕钢多次出现磅差，项目拒绝使用</v>
      </c>
      <c r="M1427" s="84">
        <v>45787</v>
      </c>
      <c r="O1427" s="55">
        <f ca="1" t="shared" si="72"/>
        <v>0</v>
      </c>
      <c r="P1427" s="55">
        <f ca="1" t="shared" si="73"/>
        <v>170</v>
      </c>
      <c r="Q1427" s="22" t="str">
        <f>VLOOKUP(B1427,辅助信息!E:M,9,FALSE)</f>
        <v>ZTWM-CDGS-XS-2024-0030-华西集采-简州大道</v>
      </c>
      <c r="R1427" s="22" t="str">
        <f>_xlfn._xlws.FILTER(辅助信息!D:D,辅助信息!E:E=B1427)</f>
        <v>华西简阳西城嘉苑</v>
      </c>
    </row>
    <row r="1428" hidden="1" spans="2:18">
      <c r="B1428" s="33" t="s">
        <v>81</v>
      </c>
      <c r="C1428" s="63">
        <v>45785</v>
      </c>
      <c r="D1428" s="33" t="str">
        <f>VLOOKUP(B1428,辅助信息!E:K,7,FALSE)</f>
        <v>JWDDCD2025060900080</v>
      </c>
      <c r="E1428" s="33" t="str">
        <f>VLOOKUP(F1428,辅助信息!A:B,2,FALSE)</f>
        <v>螺纹钢</v>
      </c>
      <c r="F1428" s="33" t="s">
        <v>30</v>
      </c>
      <c r="G1428" s="29">
        <v>4.5</v>
      </c>
      <c r="H1428" s="29" t="str">
        <f>_xlfn.XLOOKUP(C1428&amp;F1428&amp;I1428&amp;J1428,'[1]2025年已发货'!$F:$F&amp;'[1]2025年已发货'!$C:$C&amp;'[1]2025年已发货'!$G:$G&amp;'[1]2025年已发货'!$H:$H,'[1]2025年已发货'!$E:$E,"未发货")</f>
        <v>未发货</v>
      </c>
      <c r="I1428" s="33" t="str">
        <f>VLOOKUP(B1428,辅助信息!E:I,3,FALSE)</f>
        <v>（华西简阳西城嘉苑）四川省成都市简阳市简城街道高屋村</v>
      </c>
      <c r="J1428" s="33" t="str">
        <f>VLOOKUP(B1428,辅助信息!E:I,4,FALSE)</f>
        <v>张瀚镭</v>
      </c>
      <c r="K1428" s="33">
        <f>VLOOKUP(J1428,辅助信息!H:I,2,FALSE)</f>
        <v>15884666220</v>
      </c>
      <c r="L1428" s="102" t="str">
        <f>VLOOKUP(B1428,辅助信息!E:J,6,FALSE)</f>
        <v>现场禁止使用氢能源挂车！优先威钢发货,我方卸车,新老国标钢厂不加价可直发，因陕钢多次出现磅差，项目拒绝使用</v>
      </c>
      <c r="M1428" s="84">
        <v>45787</v>
      </c>
      <c r="O1428" s="55">
        <f ca="1" t="shared" si="72"/>
        <v>0</v>
      </c>
      <c r="P1428" s="55">
        <f ca="1" t="shared" si="73"/>
        <v>170</v>
      </c>
      <c r="Q1428" s="22" t="str">
        <f>VLOOKUP(B1428,辅助信息!E:M,9,FALSE)</f>
        <v>ZTWM-CDGS-XS-2024-0030-华西集采-简州大道</v>
      </c>
      <c r="R1428" s="22" t="str">
        <f>_xlfn._xlws.FILTER(辅助信息!D:D,辅助信息!E:E=B1428)</f>
        <v>华西简阳西城嘉苑</v>
      </c>
    </row>
    <row r="1429" hidden="1" spans="2:18">
      <c r="B1429" s="33" t="s">
        <v>81</v>
      </c>
      <c r="C1429" s="63">
        <v>45785</v>
      </c>
      <c r="D1429" s="33" t="str">
        <f>VLOOKUP(B1429,辅助信息!E:K,7,FALSE)</f>
        <v>JWDDCD2025060900080</v>
      </c>
      <c r="E1429" s="33" t="str">
        <f>VLOOKUP(F1429,辅助信息!A:B,2,FALSE)</f>
        <v>螺纹钢</v>
      </c>
      <c r="F1429" s="33" t="s">
        <v>33</v>
      </c>
      <c r="G1429" s="29">
        <v>16</v>
      </c>
      <c r="H1429" s="29" t="str">
        <f>_xlfn.XLOOKUP(C1429&amp;F1429&amp;I1429&amp;J1429,'[1]2025年已发货'!$F:$F&amp;'[1]2025年已发货'!$C:$C&amp;'[1]2025年已发货'!$G:$G&amp;'[1]2025年已发货'!$H:$H,'[1]2025年已发货'!$E:$E,"未发货")</f>
        <v>未发货</v>
      </c>
      <c r="I1429" s="33" t="str">
        <f>VLOOKUP(B1429,辅助信息!E:I,3,FALSE)</f>
        <v>（华西简阳西城嘉苑）四川省成都市简阳市简城街道高屋村</v>
      </c>
      <c r="J1429" s="33" t="str">
        <f>VLOOKUP(B1429,辅助信息!E:I,4,FALSE)</f>
        <v>张瀚镭</v>
      </c>
      <c r="K1429" s="33">
        <f>VLOOKUP(J1429,辅助信息!H:I,2,FALSE)</f>
        <v>15884666220</v>
      </c>
      <c r="L1429" s="102" t="str">
        <f>VLOOKUP(B1429,辅助信息!E:J,6,FALSE)</f>
        <v>现场禁止使用氢能源挂车！优先威钢发货,我方卸车,新老国标钢厂不加价可直发，因陕钢多次出现磅差，项目拒绝使用</v>
      </c>
      <c r="M1429" s="84">
        <v>45787</v>
      </c>
      <c r="O1429" s="55">
        <f ca="1" t="shared" si="72"/>
        <v>0</v>
      </c>
      <c r="P1429" s="55">
        <f ca="1" t="shared" si="73"/>
        <v>170</v>
      </c>
      <c r="Q1429" s="22" t="str">
        <f>VLOOKUP(B1429,辅助信息!E:M,9,FALSE)</f>
        <v>ZTWM-CDGS-XS-2024-0030-华西集采-简州大道</v>
      </c>
      <c r="R1429" s="22" t="str">
        <f>_xlfn._xlws.FILTER(辅助信息!D:D,辅助信息!E:E=B1429)</f>
        <v>华西简阳西城嘉苑</v>
      </c>
    </row>
    <row r="1430" hidden="1" spans="2:18">
      <c r="B1430" s="33" t="s">
        <v>81</v>
      </c>
      <c r="C1430" s="63">
        <v>45785</v>
      </c>
      <c r="D1430" s="33" t="str">
        <f>VLOOKUP(B1430,辅助信息!E:K,7,FALSE)</f>
        <v>JWDDCD2025060900080</v>
      </c>
      <c r="E1430" s="33" t="str">
        <f>VLOOKUP(F1430,辅助信息!A:B,2,FALSE)</f>
        <v>螺纹钢</v>
      </c>
      <c r="F1430" s="33" t="s">
        <v>28</v>
      </c>
      <c r="G1430" s="29">
        <v>5</v>
      </c>
      <c r="H1430" s="29" t="str">
        <f>_xlfn.XLOOKUP(C1430&amp;F1430&amp;I1430&amp;J1430,'[1]2025年已发货'!$F:$F&amp;'[1]2025年已发货'!$C:$C&amp;'[1]2025年已发货'!$G:$G&amp;'[1]2025年已发货'!$H:$H,'[1]2025年已发货'!$E:$E,"未发货")</f>
        <v>未发货</v>
      </c>
      <c r="I1430" s="33" t="str">
        <f>VLOOKUP(B1430,辅助信息!E:I,3,FALSE)</f>
        <v>（华西简阳西城嘉苑）四川省成都市简阳市简城街道高屋村</v>
      </c>
      <c r="J1430" s="33" t="str">
        <f>VLOOKUP(B1430,辅助信息!E:I,4,FALSE)</f>
        <v>张瀚镭</v>
      </c>
      <c r="K1430" s="33">
        <f>VLOOKUP(J1430,辅助信息!H:I,2,FALSE)</f>
        <v>15884666220</v>
      </c>
      <c r="L1430" s="102" t="str">
        <f>VLOOKUP(B1430,辅助信息!E:J,6,FALSE)</f>
        <v>现场禁止使用氢能源挂车！优先威钢发货,我方卸车,新老国标钢厂不加价可直发，因陕钢多次出现磅差，项目拒绝使用</v>
      </c>
      <c r="M1430" s="84">
        <v>45787</v>
      </c>
      <c r="O1430" s="55">
        <f ca="1" t="shared" si="72"/>
        <v>0</v>
      </c>
      <c r="P1430" s="55">
        <f ca="1" t="shared" si="73"/>
        <v>170</v>
      </c>
      <c r="Q1430" s="22" t="str">
        <f>VLOOKUP(B1430,辅助信息!E:M,9,FALSE)</f>
        <v>ZTWM-CDGS-XS-2024-0030-华西集采-简州大道</v>
      </c>
      <c r="R1430" s="22" t="str">
        <f>_xlfn._xlws.FILTER(辅助信息!D:D,辅助信息!E:E=B1430)</f>
        <v>华西简阳西城嘉苑</v>
      </c>
    </row>
    <row r="1431" hidden="1" spans="2:18">
      <c r="B1431" s="33" t="s">
        <v>81</v>
      </c>
      <c r="C1431" s="63">
        <v>45785</v>
      </c>
      <c r="D1431" s="33" t="str">
        <f>VLOOKUP(B1431,辅助信息!E:K,7,FALSE)</f>
        <v>JWDDCD2025060900080</v>
      </c>
      <c r="E1431" s="33" t="str">
        <f>VLOOKUP(F1431,辅助信息!A:B,2,FALSE)</f>
        <v>螺纹钢</v>
      </c>
      <c r="F1431" s="33" t="s">
        <v>18</v>
      </c>
      <c r="G1431" s="29">
        <v>5</v>
      </c>
      <c r="H1431" s="29">
        <f>_xlfn.XLOOKUP(C1431&amp;F1431&amp;I1431&amp;J1431,'[1]2025年已发货'!$F:$F&amp;'[1]2025年已发货'!$C:$C&amp;'[1]2025年已发货'!$G:$G&amp;'[1]2025年已发货'!$H:$H,'[1]2025年已发货'!$E:$E,"未发货")</f>
        <v>6</v>
      </c>
      <c r="I1431" s="33" t="str">
        <f>VLOOKUP(B1431,辅助信息!E:I,3,FALSE)</f>
        <v>（华西简阳西城嘉苑）四川省成都市简阳市简城街道高屋村</v>
      </c>
      <c r="J1431" s="33" t="str">
        <f>VLOOKUP(B1431,辅助信息!E:I,4,FALSE)</f>
        <v>张瀚镭</v>
      </c>
      <c r="K1431" s="33">
        <f>VLOOKUP(J1431,辅助信息!H:I,2,FALSE)</f>
        <v>15884666220</v>
      </c>
      <c r="L1431" s="102" t="str">
        <f>VLOOKUP(B1431,辅助信息!E:J,6,FALSE)</f>
        <v>现场禁止使用氢能源挂车！优先威钢发货,我方卸车,新老国标钢厂不加价可直发，因陕钢多次出现磅差，项目拒绝使用</v>
      </c>
      <c r="M1431" s="84">
        <v>45787</v>
      </c>
      <c r="O1431" s="55">
        <f ca="1" t="shared" si="72"/>
        <v>0</v>
      </c>
      <c r="P1431" s="55">
        <f ca="1" t="shared" si="73"/>
        <v>170</v>
      </c>
      <c r="Q1431" s="22" t="str">
        <f>VLOOKUP(B1431,辅助信息!E:M,9,FALSE)</f>
        <v>ZTWM-CDGS-XS-2024-0030-华西集采-简州大道</v>
      </c>
      <c r="R1431" s="22" t="str">
        <f>_xlfn._xlws.FILTER(辅助信息!D:D,辅助信息!E:E=B1431)</f>
        <v>华西简阳西城嘉苑</v>
      </c>
    </row>
    <row r="1432" hidden="1" spans="2:18">
      <c r="B1432" s="33" t="s">
        <v>81</v>
      </c>
      <c r="C1432" s="63">
        <v>45785</v>
      </c>
      <c r="D1432" s="33" t="str">
        <f>VLOOKUP(B1432,辅助信息!E:K,7,FALSE)</f>
        <v>JWDDCD2025060900080</v>
      </c>
      <c r="E1432" s="33" t="str">
        <f>VLOOKUP(F1432,辅助信息!A:B,2,FALSE)</f>
        <v>螺纹钢</v>
      </c>
      <c r="F1432" s="33" t="s">
        <v>58</v>
      </c>
      <c r="G1432" s="29">
        <v>10</v>
      </c>
      <c r="H1432" s="29">
        <f>_xlfn.XLOOKUP(C1432&amp;F1432&amp;I1432&amp;J1432,'[1]2025年已发货'!$F:$F&amp;'[1]2025年已发货'!$C:$C&amp;'[1]2025年已发货'!$G:$G&amp;'[1]2025年已发货'!$H:$H,'[1]2025年已发货'!$E:$E,"未发货")</f>
        <v>9</v>
      </c>
      <c r="I1432" s="33" t="str">
        <f>VLOOKUP(B1432,辅助信息!E:I,3,FALSE)</f>
        <v>（华西简阳西城嘉苑）四川省成都市简阳市简城街道高屋村</v>
      </c>
      <c r="J1432" s="33" t="str">
        <f>VLOOKUP(B1432,辅助信息!E:I,4,FALSE)</f>
        <v>张瀚镭</v>
      </c>
      <c r="K1432" s="33">
        <f>VLOOKUP(J1432,辅助信息!H:I,2,FALSE)</f>
        <v>15884666220</v>
      </c>
      <c r="L1432" s="102" t="str">
        <f>VLOOKUP(B1432,辅助信息!E:J,6,FALSE)</f>
        <v>现场禁止使用氢能源挂车！优先威钢发货,我方卸车,新老国标钢厂不加价可直发，因陕钢多次出现磅差，项目拒绝使用</v>
      </c>
      <c r="M1432" s="84">
        <v>45787</v>
      </c>
      <c r="O1432" s="55">
        <f ca="1" t="shared" si="72"/>
        <v>0</v>
      </c>
      <c r="P1432" s="55">
        <f ca="1" t="shared" si="73"/>
        <v>170</v>
      </c>
      <c r="Q1432" s="22" t="str">
        <f>VLOOKUP(B1432,辅助信息!E:M,9,FALSE)</f>
        <v>ZTWM-CDGS-XS-2024-0030-华西集采-简州大道</v>
      </c>
      <c r="R1432" s="22" t="str">
        <f>_xlfn._xlws.FILTER(辅助信息!D:D,辅助信息!E:E=B1432)</f>
        <v>华西简阳西城嘉苑</v>
      </c>
    </row>
    <row r="1433" hidden="1" spans="2:18">
      <c r="B1433" s="33" t="s">
        <v>81</v>
      </c>
      <c r="C1433" s="63">
        <v>45785</v>
      </c>
      <c r="D1433" s="33" t="str">
        <f>VLOOKUP(B1433,辅助信息!E:K,7,FALSE)</f>
        <v>JWDDCD2025060900080</v>
      </c>
      <c r="E1433" s="33" t="str">
        <f>VLOOKUP(F1433,辅助信息!A:B,2,FALSE)</f>
        <v>螺纹钢</v>
      </c>
      <c r="F1433" s="33" t="s">
        <v>46</v>
      </c>
      <c r="G1433" s="29">
        <v>6</v>
      </c>
      <c r="H1433" s="29" t="str">
        <f>_xlfn.XLOOKUP(C1433&amp;F1433&amp;I1433&amp;J1433,'[1]2025年已发货'!$F:$F&amp;'[1]2025年已发货'!$C:$C&amp;'[1]2025年已发货'!$G:$G&amp;'[1]2025年已发货'!$H:$H,'[1]2025年已发货'!$E:$E,"未发货")</f>
        <v>未发货</v>
      </c>
      <c r="I1433" s="33" t="str">
        <f>VLOOKUP(B1433,辅助信息!E:I,3,FALSE)</f>
        <v>（华西简阳西城嘉苑）四川省成都市简阳市简城街道高屋村</v>
      </c>
      <c r="J1433" s="33" t="str">
        <f>VLOOKUP(B1433,辅助信息!E:I,4,FALSE)</f>
        <v>张瀚镭</v>
      </c>
      <c r="K1433" s="33">
        <f>VLOOKUP(J1433,辅助信息!H:I,2,FALSE)</f>
        <v>15884666220</v>
      </c>
      <c r="L1433" s="102" t="str">
        <f>VLOOKUP(B1433,辅助信息!E:J,6,FALSE)</f>
        <v>现场禁止使用氢能源挂车！优先威钢发货,我方卸车,新老国标钢厂不加价可直发，因陕钢多次出现磅差，项目拒绝使用</v>
      </c>
      <c r="M1433" s="84">
        <v>45787</v>
      </c>
      <c r="O1433" s="55">
        <f ca="1" t="shared" si="72"/>
        <v>0</v>
      </c>
      <c r="P1433" s="55">
        <f ca="1" t="shared" si="73"/>
        <v>170</v>
      </c>
      <c r="Q1433" s="22" t="str">
        <f>VLOOKUP(B1433,辅助信息!E:M,9,FALSE)</f>
        <v>ZTWM-CDGS-XS-2024-0030-华西集采-简州大道</v>
      </c>
      <c r="R1433" s="22" t="str">
        <f>_xlfn._xlws.FILTER(辅助信息!D:D,辅助信息!E:E=B1433)</f>
        <v>华西简阳西城嘉苑</v>
      </c>
    </row>
    <row r="1434" hidden="1" spans="2:18">
      <c r="B1434" s="33" t="s">
        <v>81</v>
      </c>
      <c r="C1434" s="63">
        <v>45785</v>
      </c>
      <c r="D1434" s="33" t="str">
        <f>VLOOKUP(B1434,辅助信息!E:K,7,FALSE)</f>
        <v>JWDDCD2025060900080</v>
      </c>
      <c r="E1434" s="33" t="str">
        <f>VLOOKUP(F1434,辅助信息!A:B,2,FALSE)</f>
        <v>螺纹钢</v>
      </c>
      <c r="F1434" s="33" t="s">
        <v>22</v>
      </c>
      <c r="G1434" s="29">
        <v>13</v>
      </c>
      <c r="H1434" s="29">
        <f>_xlfn.XLOOKUP(C1434&amp;F1434&amp;I1434&amp;J1434,'[1]2025年已发货'!$F:$F&amp;'[1]2025年已发货'!$C:$C&amp;'[1]2025年已发货'!$G:$G&amp;'[1]2025年已发货'!$H:$H,'[1]2025年已发货'!$E:$E,"未发货")</f>
        <v>12</v>
      </c>
      <c r="I1434" s="33" t="str">
        <f>VLOOKUP(B1434,辅助信息!E:I,3,FALSE)</f>
        <v>（华西简阳西城嘉苑）四川省成都市简阳市简城街道高屋村</v>
      </c>
      <c r="J1434" s="33" t="str">
        <f>VLOOKUP(B1434,辅助信息!E:I,4,FALSE)</f>
        <v>张瀚镭</v>
      </c>
      <c r="K1434" s="33">
        <f>VLOOKUP(J1434,辅助信息!H:I,2,FALSE)</f>
        <v>15884666220</v>
      </c>
      <c r="L1434" s="102" t="str">
        <f>VLOOKUP(B1434,辅助信息!E:J,6,FALSE)</f>
        <v>现场禁止使用氢能源挂车！优先威钢发货,我方卸车,新老国标钢厂不加价可直发，因陕钢多次出现磅差，项目拒绝使用</v>
      </c>
      <c r="M1434" s="84">
        <v>45787</v>
      </c>
      <c r="O1434" s="55">
        <f ca="1" t="shared" si="72"/>
        <v>0</v>
      </c>
      <c r="P1434" s="55">
        <f ca="1" t="shared" si="73"/>
        <v>170</v>
      </c>
      <c r="Q1434" s="22" t="str">
        <f>VLOOKUP(B1434,辅助信息!E:M,9,FALSE)</f>
        <v>ZTWM-CDGS-XS-2024-0030-华西集采-简州大道</v>
      </c>
      <c r="R1434" s="22" t="str">
        <f>_xlfn._xlws.FILTER(辅助信息!D:D,辅助信息!E:E=B1434)</f>
        <v>华西简阳西城嘉苑</v>
      </c>
    </row>
    <row r="1435" hidden="1" spans="2:18">
      <c r="B1435" s="33" t="s">
        <v>31</v>
      </c>
      <c r="C1435" s="63">
        <v>45785</v>
      </c>
      <c r="D1435" s="33" t="str">
        <f>VLOOKUP(B1435,辅助信息!E:K,7,FALSE)</f>
        <v>JWDDCD2024121000136</v>
      </c>
      <c r="E1435" s="33" t="str">
        <f>VLOOKUP(F1435,辅助信息!A:B,2,FALSE)</f>
        <v>螺纹钢</v>
      </c>
      <c r="F1435" s="33" t="s">
        <v>22</v>
      </c>
      <c r="G1435" s="29">
        <v>35</v>
      </c>
      <c r="H1435" s="29" t="str">
        <f>_xlfn.XLOOKUP(C1435&amp;F1435&amp;I1435&amp;J1435,'[1]2025年已发货'!$F:$F&amp;'[1]2025年已发货'!$C:$C&amp;'[1]2025年已发货'!$G:$G&amp;'[1]2025年已发货'!$H:$H,'[1]2025年已发货'!$E:$E,"未发货")</f>
        <v>未发货</v>
      </c>
      <c r="I1435" s="33" t="str">
        <f>VLOOKUP(B1435,辅助信息!E:I,3,FALSE)</f>
        <v>（四川商建-射洪城乡一体化项目）遂宁市射洪市忠新幼儿园北侧约220米新溪小区</v>
      </c>
      <c r="J1435" s="33" t="str">
        <f>VLOOKUP(B1435,辅助信息!E:I,4,FALSE)</f>
        <v>柏子刚</v>
      </c>
      <c r="K1435" s="33">
        <f>VLOOKUP(J1435,辅助信息!H:I,2,FALSE)</f>
        <v>15692885305</v>
      </c>
      <c r="L1435" s="102" t="str">
        <f>VLOOKUP(B1435,辅助信息!E:J,6,FALSE)</f>
        <v>提前联系到场规格及数量</v>
      </c>
      <c r="M1435" s="84">
        <v>45787</v>
      </c>
      <c r="O1435" s="55">
        <f ca="1" t="shared" si="72"/>
        <v>0</v>
      </c>
      <c r="P1435" s="55">
        <f ca="1" t="shared" si="73"/>
        <v>170</v>
      </c>
      <c r="Q1435" s="22" t="str">
        <f>VLOOKUP(B1435,辅助信息!E:M,9,FALSE)</f>
        <v>ZTWM-CDGS-XS-2024-0179-四川商投-射洪城乡一体化建设项目</v>
      </c>
      <c r="R1435" s="22" t="str">
        <f>_xlfn._xlws.FILTER(辅助信息!D:D,辅助信息!E:E=B1435)</f>
        <v>四川商建
射洪城乡一体化项目</v>
      </c>
    </row>
    <row r="1436" hidden="1" spans="2:18">
      <c r="B1436" s="33" t="s">
        <v>81</v>
      </c>
      <c r="C1436" s="63">
        <v>45786</v>
      </c>
      <c r="D1436" s="33" t="str">
        <f>VLOOKUP(B1436,辅助信息!E:K,7,FALSE)</f>
        <v>JWDDCD2025060900080</v>
      </c>
      <c r="E1436" s="33" t="str">
        <f>VLOOKUP(F1436,辅助信息!A:B,2,FALSE)</f>
        <v>螺纹钢</v>
      </c>
      <c r="F1436" s="33" t="s">
        <v>30</v>
      </c>
      <c r="G1436" s="29">
        <v>50</v>
      </c>
      <c r="H1436" s="29" t="str">
        <f>_xlfn.XLOOKUP(C1436&amp;F1436&amp;I1436&amp;J1436,'[1]2025年已发货'!$F:$F&amp;'[1]2025年已发货'!$C:$C&amp;'[1]2025年已发货'!$G:$G&amp;'[1]2025年已发货'!$H:$H,'[1]2025年已发货'!$E:$E,"未发货")</f>
        <v>未发货</v>
      </c>
      <c r="I1436" s="33" t="str">
        <f>VLOOKUP(B1436,辅助信息!E:I,3,FALSE)</f>
        <v>（华西简阳西城嘉苑）四川省成都市简阳市简城街道高屋村</v>
      </c>
      <c r="J1436" s="33" t="str">
        <f>VLOOKUP(B1436,辅助信息!E:I,4,FALSE)</f>
        <v>张瀚镭</v>
      </c>
      <c r="K1436" s="33">
        <f>VLOOKUP(J1436,辅助信息!H:I,2,FALSE)</f>
        <v>15884666220</v>
      </c>
      <c r="L1436" s="102" t="str">
        <f>VLOOKUP(B1436,辅助信息!E:J,6,FALSE)</f>
        <v>现场禁止使用氢能源挂车！优先威钢发货,我方卸车,新老国标钢厂不加价可直发，因陕钢多次出现磅差，项目拒绝使用</v>
      </c>
      <c r="M1436" s="84">
        <v>45784</v>
      </c>
      <c r="O1436" s="55">
        <f ca="1" t="shared" si="72"/>
        <v>0</v>
      </c>
      <c r="P1436" s="55">
        <f ca="1" t="shared" si="70"/>
        <v>173</v>
      </c>
      <c r="Q1436" s="22" t="str">
        <f>VLOOKUP(B1436,辅助信息!E:M,9,FALSE)</f>
        <v>ZTWM-CDGS-XS-2024-0030-华西集采-简州大道</v>
      </c>
      <c r="R1436" s="22" t="str">
        <f>_xlfn._xlws.FILTER(辅助信息!D:D,辅助信息!E:E=B1436)</f>
        <v>华西简阳西城嘉苑</v>
      </c>
    </row>
    <row r="1437" hidden="1" spans="2:18">
      <c r="B1437" s="33" t="s">
        <v>147</v>
      </c>
      <c r="C1437" s="63">
        <v>45786</v>
      </c>
      <c r="D1437" s="33" t="str">
        <f>VLOOKUP(B1437,辅助信息!E:K,7,FALSE)</f>
        <v>JWDDCD2025052800131</v>
      </c>
      <c r="E1437" s="33" t="str">
        <f>VLOOKUP(F1437,辅助信息!A:B,2,FALSE)</f>
        <v>高线</v>
      </c>
      <c r="F1437" s="33" t="s">
        <v>57</v>
      </c>
      <c r="G1437" s="29">
        <v>7.5</v>
      </c>
      <c r="H1437" s="29" t="str">
        <f>_xlfn.XLOOKUP(C1437&amp;F1437&amp;I1437&amp;J1437,'[1]2025年已发货'!$F:$F&amp;'[1]2025年已发货'!$C:$C&amp;'[1]2025年已发货'!$G:$G&amp;'[1]2025年已发货'!$H:$H,'[1]2025年已发货'!$E:$E,"未发货")</f>
        <v>未发货</v>
      </c>
      <c r="I1437" s="33" t="str">
        <f>VLOOKUP(B1437,辅助信息!E:I,3,FALSE)</f>
        <v>（商投建工达州中医药科技园-4工区-11号楼）达州市通川区达州中医药职业学院犀牛大道北段</v>
      </c>
      <c r="J1437" s="33" t="str">
        <f>VLOOKUP(B1437,辅助信息!E:I,4,FALSE)</f>
        <v>张扬</v>
      </c>
      <c r="K1437" s="33">
        <f>VLOOKUP(J1437,辅助信息!H:I,2,FALSE)</f>
        <v>18381904567</v>
      </c>
      <c r="L1437" s="102" t="str">
        <f>VLOOKUP(B1437,辅助信息!E:J,6,FALSE)</f>
        <v>控制炉批号！多了现场不收！,优先安排达钢,提前联系到场规格及数量</v>
      </c>
      <c r="M1437" s="84">
        <v>45784</v>
      </c>
      <c r="O1437" s="55">
        <f ca="1" t="shared" si="72"/>
        <v>0</v>
      </c>
      <c r="P1437" s="55">
        <f ca="1" t="shared" si="70"/>
        <v>173</v>
      </c>
      <c r="Q1437" s="22" t="str">
        <f>VLOOKUP(B1437,辅助信息!E:M,9,FALSE)</f>
        <v>ZTWM-CDGS-XS-2024-0134-商投建工达州中医药科技成果示范园项目</v>
      </c>
      <c r="R1437" s="22" t="str">
        <f>_xlfn._xlws.FILTER(辅助信息!D:D,辅助信息!E:E=B1437)</f>
        <v>商投建工达州中医药科技园</v>
      </c>
    </row>
    <row r="1438" hidden="1" spans="2:18">
      <c r="B1438" s="33" t="s">
        <v>147</v>
      </c>
      <c r="C1438" s="63">
        <v>45786</v>
      </c>
      <c r="D1438" s="33" t="str">
        <f>VLOOKUP(B1438,辅助信息!E:K,7,FALSE)</f>
        <v>JWDDCD2025052800131</v>
      </c>
      <c r="E1438" s="33" t="str">
        <f>VLOOKUP(F1438,辅助信息!A:B,2,FALSE)</f>
        <v>盘螺</v>
      </c>
      <c r="F1438" s="33" t="s">
        <v>41</v>
      </c>
      <c r="G1438" s="29">
        <v>17.5</v>
      </c>
      <c r="H1438" s="29">
        <f>_xlfn.XLOOKUP(C1438&amp;F1438&amp;I1438&amp;J1438,'[1]2025年已发货'!$F:$F&amp;'[1]2025年已发货'!$C:$C&amp;'[1]2025年已发货'!$G:$G&amp;'[1]2025年已发货'!$H:$H,'[1]2025年已发货'!$E:$E,"未发货")</f>
        <v>17.5</v>
      </c>
      <c r="I1438" s="33" t="str">
        <f>VLOOKUP(B1438,辅助信息!E:I,3,FALSE)</f>
        <v>（商投建工达州中医药科技园-4工区-11号楼）达州市通川区达州中医药职业学院犀牛大道北段</v>
      </c>
      <c r="J1438" s="33" t="str">
        <f>VLOOKUP(B1438,辅助信息!E:I,4,FALSE)</f>
        <v>张扬</v>
      </c>
      <c r="K1438" s="33">
        <f>VLOOKUP(J1438,辅助信息!H:I,2,FALSE)</f>
        <v>18381904567</v>
      </c>
      <c r="L1438" s="102" t="str">
        <f>VLOOKUP(B1438,辅助信息!E:J,6,FALSE)</f>
        <v>控制炉批号！多了现场不收！,优先安排达钢,提前联系到场规格及数量</v>
      </c>
      <c r="M1438" s="84">
        <v>45784</v>
      </c>
      <c r="O1438" s="55">
        <f ca="1" t="shared" si="72"/>
        <v>0</v>
      </c>
      <c r="P1438" s="55">
        <f ca="1" t="shared" si="70"/>
        <v>173</v>
      </c>
      <c r="Q1438" s="22" t="str">
        <f>VLOOKUP(B1438,辅助信息!E:M,9,FALSE)</f>
        <v>ZTWM-CDGS-XS-2024-0134-商投建工达州中医药科技成果示范园项目</v>
      </c>
      <c r="R1438" s="22" t="str">
        <f>_xlfn._xlws.FILTER(辅助信息!D:D,辅助信息!E:E=B1438)</f>
        <v>商投建工达州中医药科技园</v>
      </c>
    </row>
    <row r="1439" hidden="1" spans="2:18">
      <c r="B1439" s="33" t="s">
        <v>147</v>
      </c>
      <c r="C1439" s="63">
        <v>45786</v>
      </c>
      <c r="D1439" s="33" t="str">
        <f>VLOOKUP(B1439,辅助信息!E:K,7,FALSE)</f>
        <v>JWDDCD2025052800131</v>
      </c>
      <c r="E1439" s="33" t="str">
        <f>VLOOKUP(F1439,辅助信息!A:B,2,FALSE)</f>
        <v>螺纹钢</v>
      </c>
      <c r="F1439" s="33" t="s">
        <v>30</v>
      </c>
      <c r="G1439" s="29">
        <v>7</v>
      </c>
      <c r="H1439" s="29" t="str">
        <f>_xlfn.XLOOKUP(C1439&amp;F1439&amp;I1439&amp;J1439,'[1]2025年已发货'!$F:$F&amp;'[1]2025年已发货'!$C:$C&amp;'[1]2025年已发货'!$G:$G&amp;'[1]2025年已发货'!$H:$H,'[1]2025年已发货'!$E:$E,"未发货")</f>
        <v>未发货</v>
      </c>
      <c r="I1439" s="33" t="str">
        <f>VLOOKUP(B1439,辅助信息!E:I,3,FALSE)</f>
        <v>（商投建工达州中医药科技园-4工区-11号楼）达州市通川区达州中医药职业学院犀牛大道北段</v>
      </c>
      <c r="J1439" s="33" t="str">
        <f>VLOOKUP(B1439,辅助信息!E:I,4,FALSE)</f>
        <v>张扬</v>
      </c>
      <c r="K1439" s="33">
        <f>VLOOKUP(J1439,辅助信息!H:I,2,FALSE)</f>
        <v>18381904567</v>
      </c>
      <c r="L1439" s="102" t="str">
        <f>VLOOKUP(B1439,辅助信息!E:J,6,FALSE)</f>
        <v>控制炉批号！多了现场不收！,优先安排达钢,提前联系到场规格及数量</v>
      </c>
      <c r="M1439" s="84">
        <v>45784</v>
      </c>
      <c r="O1439" s="55">
        <f ca="1" t="shared" si="72"/>
        <v>0</v>
      </c>
      <c r="P1439" s="55">
        <f ca="1" t="shared" si="70"/>
        <v>173</v>
      </c>
      <c r="Q1439" s="22" t="str">
        <f>VLOOKUP(B1439,辅助信息!E:M,9,FALSE)</f>
        <v>ZTWM-CDGS-XS-2024-0134-商投建工达州中医药科技成果示范园项目</v>
      </c>
      <c r="R1439" s="22" t="str">
        <f>_xlfn._xlws.FILTER(辅助信息!D:D,辅助信息!E:E=B1439)</f>
        <v>商投建工达州中医药科技园</v>
      </c>
    </row>
    <row r="1440" hidden="1" spans="2:18">
      <c r="B1440" s="33" t="s">
        <v>106</v>
      </c>
      <c r="C1440" s="63">
        <v>45786</v>
      </c>
      <c r="D1440" s="33" t="str">
        <f>VLOOKUP(B1440,辅助信息!E:K,7,FALSE)</f>
        <v>JWDDCD2024101600133</v>
      </c>
      <c r="E1440" s="33" t="str">
        <f>VLOOKUP(F1440,辅助信息!A:B,2,FALSE)</f>
        <v>盘螺</v>
      </c>
      <c r="F1440" s="33" t="s">
        <v>40</v>
      </c>
      <c r="G1440" s="29">
        <v>57.5</v>
      </c>
      <c r="H1440" s="29" t="str">
        <f>_xlfn.XLOOKUP(C1440&amp;F1440&amp;I1440&amp;J1440,'[1]2025年已发货'!$F:$F&amp;'[1]2025年已发货'!$C:$C&amp;'[1]2025年已发货'!$G:$G&amp;'[1]2025年已发货'!$H:$H,'[1]2025年已发货'!$E:$E,"未发货")</f>
        <v>未发货</v>
      </c>
      <c r="I1440" s="33" t="str">
        <f>VLOOKUP(B1440,辅助信息!E:I,3,FALSE)</f>
        <v>（五冶钢构宜宾高县月江镇建设项目）  四川省宜宾市高县月江镇刚记超市斜对面(还阳组团沪碳二期项目)</v>
      </c>
      <c r="J1440" s="33" t="str">
        <f>VLOOKUP(B1440,辅助信息!E:I,4,FALSE)</f>
        <v>张朝亮</v>
      </c>
      <c r="K1440" s="33">
        <f>VLOOKUP(J1440,辅助信息!H:I,2,FALSE)</f>
        <v>15228205853</v>
      </c>
      <c r="L1440" s="102" t="str">
        <f>VLOOKUP(B1440,辅助信息!E:J,6,FALSE)</f>
        <v>提前联系到场规格</v>
      </c>
      <c r="M1440" s="84">
        <v>45785</v>
      </c>
      <c r="O1440" s="55">
        <f ca="1" t="shared" si="72"/>
        <v>0</v>
      </c>
      <c r="P1440" s="55">
        <f ca="1" t="shared" si="70"/>
        <v>172</v>
      </c>
      <c r="Q1440" s="22" t="str">
        <f>VLOOKUP(B1440,辅助信息!E:M,9,FALSE)</f>
        <v>ZTWM-CDGS-XS-2024-0169-中冶西部钢构-宜宾市南溪区幸福路东路,高县月江镇建设项目</v>
      </c>
      <c r="R1440" s="22" t="str">
        <f>_xlfn._xlws.FILTER(辅助信息!D:D,辅助信息!E:E=B1440)</f>
        <v>五冶钢构-宜宾市南溪区高县月江镇建设项目</v>
      </c>
    </row>
    <row r="1441" hidden="1" spans="2:18">
      <c r="B1441" s="33" t="s">
        <v>106</v>
      </c>
      <c r="C1441" s="63">
        <v>45786</v>
      </c>
      <c r="D1441" s="33" t="str">
        <f>VLOOKUP(B1441,辅助信息!E:K,7,FALSE)</f>
        <v>JWDDCD2024101600133</v>
      </c>
      <c r="E1441" s="33" t="str">
        <f>VLOOKUP(F1441,辅助信息!A:B,2,FALSE)</f>
        <v>螺纹钢</v>
      </c>
      <c r="F1441" s="33" t="s">
        <v>27</v>
      </c>
      <c r="G1441" s="29">
        <v>9</v>
      </c>
      <c r="H1441" s="29" t="str">
        <f>_xlfn.XLOOKUP(C1441&amp;F1441&amp;I1441&amp;J1441,'[1]2025年已发货'!$F:$F&amp;'[1]2025年已发货'!$C:$C&amp;'[1]2025年已发货'!$G:$G&amp;'[1]2025年已发货'!$H:$H,'[1]2025年已发货'!$E:$E,"未发货")</f>
        <v>未发货</v>
      </c>
      <c r="I1441" s="33" t="str">
        <f>VLOOKUP(B1441,辅助信息!E:I,3,FALSE)</f>
        <v>（五冶钢构宜宾高县月江镇建设项目）  四川省宜宾市高县月江镇刚记超市斜对面(还阳组团沪碳二期项目)</v>
      </c>
      <c r="J1441" s="33" t="str">
        <f>VLOOKUP(B1441,辅助信息!E:I,4,FALSE)</f>
        <v>张朝亮</v>
      </c>
      <c r="K1441" s="33">
        <f>VLOOKUP(J1441,辅助信息!H:I,2,FALSE)</f>
        <v>15228205853</v>
      </c>
      <c r="L1441" s="102" t="str">
        <f>VLOOKUP(B1441,辅助信息!E:J,6,FALSE)</f>
        <v>提前联系到场规格</v>
      </c>
      <c r="M1441" s="84">
        <v>45785</v>
      </c>
      <c r="O1441" s="55">
        <f ca="1" t="shared" si="72"/>
        <v>0</v>
      </c>
      <c r="P1441" s="55">
        <f ca="1" t="shared" si="70"/>
        <v>172</v>
      </c>
      <c r="Q1441" s="22" t="str">
        <f>VLOOKUP(B1441,辅助信息!E:M,9,FALSE)</f>
        <v>ZTWM-CDGS-XS-2024-0169-中冶西部钢构-宜宾市南溪区幸福路东路,高县月江镇建设项目</v>
      </c>
      <c r="R1441" s="22" t="str">
        <f>_xlfn._xlws.FILTER(辅助信息!D:D,辅助信息!E:E=B1441)</f>
        <v>五冶钢构-宜宾市南溪区高县月江镇建设项目</v>
      </c>
    </row>
    <row r="1442" hidden="1" spans="2:18">
      <c r="B1442" s="33" t="s">
        <v>106</v>
      </c>
      <c r="C1442" s="63">
        <v>45786</v>
      </c>
      <c r="D1442" s="33" t="str">
        <f>VLOOKUP(B1442,辅助信息!E:K,7,FALSE)</f>
        <v>JWDDCD2024101600133</v>
      </c>
      <c r="E1442" s="33" t="str">
        <f>VLOOKUP(F1442,辅助信息!A:B,2,FALSE)</f>
        <v>螺纹钢</v>
      </c>
      <c r="F1442" s="33" t="s">
        <v>19</v>
      </c>
      <c r="G1442" s="29">
        <v>9</v>
      </c>
      <c r="H1442" s="29" t="str">
        <f>_xlfn.XLOOKUP(C1442&amp;F1442&amp;I1442&amp;J1442,'[1]2025年已发货'!$F:$F&amp;'[1]2025年已发货'!$C:$C&amp;'[1]2025年已发货'!$G:$G&amp;'[1]2025年已发货'!$H:$H,'[1]2025年已发货'!$E:$E,"未发货")</f>
        <v>未发货</v>
      </c>
      <c r="I1442" s="33" t="str">
        <f>VLOOKUP(B1442,辅助信息!E:I,3,FALSE)</f>
        <v>（五冶钢构宜宾高县月江镇建设项目）  四川省宜宾市高县月江镇刚记超市斜对面(还阳组团沪碳二期项目)</v>
      </c>
      <c r="J1442" s="33" t="str">
        <f>VLOOKUP(B1442,辅助信息!E:I,4,FALSE)</f>
        <v>张朝亮</v>
      </c>
      <c r="K1442" s="33">
        <f>VLOOKUP(J1442,辅助信息!H:I,2,FALSE)</f>
        <v>15228205853</v>
      </c>
      <c r="L1442" s="102" t="str">
        <f>VLOOKUP(B1442,辅助信息!E:J,6,FALSE)</f>
        <v>提前联系到场规格</v>
      </c>
      <c r="M1442" s="84">
        <v>45785</v>
      </c>
      <c r="O1442" s="55">
        <f ca="1" t="shared" si="72"/>
        <v>0</v>
      </c>
      <c r="P1442" s="55">
        <f ca="1" t="shared" si="70"/>
        <v>172</v>
      </c>
      <c r="Q1442" s="22" t="str">
        <f>VLOOKUP(B1442,辅助信息!E:M,9,FALSE)</f>
        <v>ZTWM-CDGS-XS-2024-0169-中冶西部钢构-宜宾市南溪区幸福路东路,高县月江镇建设项目</v>
      </c>
      <c r="R1442" s="22" t="str">
        <f>_xlfn._xlws.FILTER(辅助信息!D:D,辅助信息!E:E=B1442)</f>
        <v>五冶钢构-宜宾市南溪区高县月江镇建设项目</v>
      </c>
    </row>
    <row r="1443" hidden="1" spans="2:18">
      <c r="B1443" s="33" t="s">
        <v>106</v>
      </c>
      <c r="C1443" s="63">
        <v>45786</v>
      </c>
      <c r="D1443" s="33" t="str">
        <f>VLOOKUP(B1443,辅助信息!E:K,7,FALSE)</f>
        <v>JWDDCD2024101600133</v>
      </c>
      <c r="E1443" s="33" t="str">
        <f>VLOOKUP(F1443,辅助信息!A:B,2,FALSE)</f>
        <v>螺纹钢</v>
      </c>
      <c r="F1443" s="33" t="s">
        <v>33</v>
      </c>
      <c r="G1443" s="29">
        <v>9</v>
      </c>
      <c r="H1443" s="29" t="str">
        <f>_xlfn.XLOOKUP(C1443&amp;F1443&amp;I1443&amp;J1443,'[1]2025年已发货'!$F:$F&amp;'[1]2025年已发货'!$C:$C&amp;'[1]2025年已发货'!$G:$G&amp;'[1]2025年已发货'!$H:$H,'[1]2025年已发货'!$E:$E,"未发货")</f>
        <v>未发货</v>
      </c>
      <c r="I1443" s="33" t="str">
        <f>VLOOKUP(B1443,辅助信息!E:I,3,FALSE)</f>
        <v>（五冶钢构宜宾高县月江镇建设项目）  四川省宜宾市高县月江镇刚记超市斜对面(还阳组团沪碳二期项目)</v>
      </c>
      <c r="J1443" s="33" t="str">
        <f>VLOOKUP(B1443,辅助信息!E:I,4,FALSE)</f>
        <v>张朝亮</v>
      </c>
      <c r="K1443" s="33">
        <f>VLOOKUP(J1443,辅助信息!H:I,2,FALSE)</f>
        <v>15228205853</v>
      </c>
      <c r="L1443" s="102" t="str">
        <f>VLOOKUP(B1443,辅助信息!E:J,6,FALSE)</f>
        <v>提前联系到场规格</v>
      </c>
      <c r="M1443" s="84">
        <v>45785</v>
      </c>
      <c r="O1443" s="55">
        <f ca="1" t="shared" si="72"/>
        <v>0</v>
      </c>
      <c r="P1443" s="55">
        <f ca="1" t="shared" si="70"/>
        <v>172</v>
      </c>
      <c r="Q1443" s="22" t="str">
        <f>VLOOKUP(B1443,辅助信息!E:M,9,FALSE)</f>
        <v>ZTWM-CDGS-XS-2024-0169-中冶西部钢构-宜宾市南溪区幸福路东路,高县月江镇建设项目</v>
      </c>
      <c r="R1443" s="22" t="str">
        <f>_xlfn._xlws.FILTER(辅助信息!D:D,辅助信息!E:E=B1443)</f>
        <v>五冶钢构-宜宾市南溪区高县月江镇建设项目</v>
      </c>
    </row>
    <row r="1444" hidden="1" spans="2:18">
      <c r="B1444" s="33" t="s">
        <v>106</v>
      </c>
      <c r="C1444" s="63">
        <v>45786</v>
      </c>
      <c r="D1444" s="33" t="str">
        <f>VLOOKUP(B1444,辅助信息!E:K,7,FALSE)</f>
        <v>JWDDCD2024101600133</v>
      </c>
      <c r="E1444" s="33" t="str">
        <f>VLOOKUP(F1444,辅助信息!A:B,2,FALSE)</f>
        <v>螺纹钢</v>
      </c>
      <c r="F1444" s="33" t="s">
        <v>28</v>
      </c>
      <c r="G1444" s="29">
        <v>21</v>
      </c>
      <c r="H1444" s="29" t="str">
        <f>_xlfn.XLOOKUP(C1444&amp;F1444&amp;I1444&amp;J1444,'[1]2025年已发货'!$F:$F&amp;'[1]2025年已发货'!$C:$C&amp;'[1]2025年已发货'!$G:$G&amp;'[1]2025年已发货'!$H:$H,'[1]2025年已发货'!$E:$E,"未发货")</f>
        <v>未发货</v>
      </c>
      <c r="I1444" s="33" t="str">
        <f>VLOOKUP(B1444,辅助信息!E:I,3,FALSE)</f>
        <v>（五冶钢构宜宾高县月江镇建设项目）  四川省宜宾市高县月江镇刚记超市斜对面(还阳组团沪碳二期项目)</v>
      </c>
      <c r="J1444" s="33" t="str">
        <f>VLOOKUP(B1444,辅助信息!E:I,4,FALSE)</f>
        <v>张朝亮</v>
      </c>
      <c r="K1444" s="33">
        <f>VLOOKUP(J1444,辅助信息!H:I,2,FALSE)</f>
        <v>15228205853</v>
      </c>
      <c r="L1444" s="102" t="str">
        <f>VLOOKUP(B1444,辅助信息!E:J,6,FALSE)</f>
        <v>提前联系到场规格</v>
      </c>
      <c r="M1444" s="84">
        <v>45785</v>
      </c>
      <c r="O1444" s="55">
        <f ca="1" t="shared" si="72"/>
        <v>0</v>
      </c>
      <c r="P1444" s="55">
        <f ca="1" t="shared" si="70"/>
        <v>172</v>
      </c>
      <c r="Q1444" s="22" t="str">
        <f>VLOOKUP(B1444,辅助信息!E:M,9,FALSE)</f>
        <v>ZTWM-CDGS-XS-2024-0169-中冶西部钢构-宜宾市南溪区幸福路东路,高县月江镇建设项目</v>
      </c>
      <c r="R1444" s="22" t="str">
        <f>_xlfn._xlws.FILTER(辅助信息!D:D,辅助信息!E:E=B1444)</f>
        <v>五冶钢构-宜宾市南溪区高县月江镇建设项目</v>
      </c>
    </row>
    <row r="1445" hidden="1" spans="2:18">
      <c r="B1445" s="33" t="s">
        <v>127</v>
      </c>
      <c r="C1445" s="63">
        <v>45786</v>
      </c>
      <c r="D1445" s="33" t="str">
        <f>VLOOKUP(B1445,辅助信息!E:K,7,FALSE)</f>
        <v>JWDDCD2025051000019</v>
      </c>
      <c r="E1445" s="33" t="str">
        <f>VLOOKUP(F1445,辅助信息!A:B,2,FALSE)</f>
        <v>盘螺</v>
      </c>
      <c r="F1445" s="33" t="s">
        <v>49</v>
      </c>
      <c r="G1445" s="29">
        <v>12</v>
      </c>
      <c r="H1445" s="29" t="str">
        <f>_xlfn.XLOOKUP(C1445&amp;F1445&amp;I1445&amp;J1445,'[1]2025年已发货'!$F:$F&amp;'[1]2025年已发货'!$C:$C&amp;'[1]2025年已发货'!$G:$G&amp;'[1]2025年已发货'!$H:$H,'[1]2025年已发货'!$E:$E,"未发货")</f>
        <v>未发货</v>
      </c>
      <c r="I1445" s="33" t="str">
        <f>VLOOKUP(B1445,辅助信息!E:I,3,FALSE)</f>
        <v>(五冶钢构医学科学产业园建设项目房建三部-管网总坪)四川省南充市顺庆区搬罾街道学府大道二段</v>
      </c>
      <c r="J1445" s="33" t="str">
        <f>VLOOKUP(B1445,辅助信息!E:I,4,FALSE)</f>
        <v>郑林</v>
      </c>
      <c r="K1445" s="33">
        <f>VLOOKUP(J1445,辅助信息!H:I,2,FALSE)</f>
        <v>18349955455</v>
      </c>
      <c r="L1445" s="102" t="str">
        <f>VLOOKUP(B1445,辅助信息!E:J,6,FALSE)</f>
        <v>送货单：送货单位：南充思临新材料科技有限公司,收货单位：五冶集团川北(南充)建设有限公司,项目名称：南充医学科学产业园,送货车型13米,装货前联系收货人核实到场规格</v>
      </c>
      <c r="M1445" s="84">
        <v>45785</v>
      </c>
      <c r="O1445" s="55">
        <f ca="1" t="shared" si="72"/>
        <v>0</v>
      </c>
      <c r="P1445" s="55">
        <f ca="1" t="shared" si="70"/>
        <v>172</v>
      </c>
      <c r="Q1445" s="22" t="str">
        <f>VLOOKUP(B1445,辅助信息!E:M,9,FALSE)</f>
        <v>ZTWM-CDGS-XS-2024-0248-五冶钢构-南充市医学院项目</v>
      </c>
      <c r="R1445" s="22" t="str">
        <f>_xlfn._xlws.FILTER(辅助信息!D:D,辅助信息!E:E=B1445)</f>
        <v>五冶钢构南充医学科学产业园建设项目</v>
      </c>
    </row>
    <row r="1446" hidden="1" spans="2:18">
      <c r="B1446" s="33" t="s">
        <v>127</v>
      </c>
      <c r="C1446" s="63">
        <v>45786</v>
      </c>
      <c r="D1446" s="33" t="str">
        <f>VLOOKUP(B1446,辅助信息!E:K,7,FALSE)</f>
        <v>JWDDCD2025051000019</v>
      </c>
      <c r="E1446" s="33" t="str">
        <f>VLOOKUP(F1446,辅助信息!A:B,2,FALSE)</f>
        <v>盘螺</v>
      </c>
      <c r="F1446" s="33" t="s">
        <v>41</v>
      </c>
      <c r="G1446" s="29">
        <v>10</v>
      </c>
      <c r="H1446" s="29" t="str">
        <f>_xlfn.XLOOKUP(C1446&amp;F1446&amp;I1446&amp;J1446,'[1]2025年已发货'!$F:$F&amp;'[1]2025年已发货'!$C:$C&amp;'[1]2025年已发货'!$G:$G&amp;'[1]2025年已发货'!$H:$H,'[1]2025年已发货'!$E:$E,"未发货")</f>
        <v>未发货</v>
      </c>
      <c r="I1446" s="33" t="str">
        <f>VLOOKUP(B1446,辅助信息!E:I,3,FALSE)</f>
        <v>(五冶钢构医学科学产业园建设项目房建三部-管网总坪)四川省南充市顺庆区搬罾街道学府大道二段</v>
      </c>
      <c r="J1446" s="33" t="str">
        <f>VLOOKUP(B1446,辅助信息!E:I,4,FALSE)</f>
        <v>郑林</v>
      </c>
      <c r="K1446" s="33">
        <f>VLOOKUP(J1446,辅助信息!H:I,2,FALSE)</f>
        <v>18349955455</v>
      </c>
      <c r="L1446" s="102" t="str">
        <f>VLOOKUP(B1446,辅助信息!E:J,6,FALSE)</f>
        <v>送货单：送货单位：南充思临新材料科技有限公司,收货单位：五冶集团川北(南充)建设有限公司,项目名称：南充医学科学产业园,送货车型13米,装货前联系收货人核实到场规格</v>
      </c>
      <c r="M1446" s="84">
        <v>45785</v>
      </c>
      <c r="O1446" s="55">
        <f ca="1" t="shared" si="72"/>
        <v>0</v>
      </c>
      <c r="P1446" s="55">
        <f ca="1" t="shared" si="70"/>
        <v>172</v>
      </c>
      <c r="Q1446" s="22" t="str">
        <f>VLOOKUP(B1446,辅助信息!E:M,9,FALSE)</f>
        <v>ZTWM-CDGS-XS-2024-0248-五冶钢构-南充市医学院项目</v>
      </c>
      <c r="R1446" s="22" t="str">
        <f>_xlfn._xlws.FILTER(辅助信息!D:D,辅助信息!E:E=B1446)</f>
        <v>五冶钢构南充医学科学产业园建设项目</v>
      </c>
    </row>
    <row r="1447" hidden="1" spans="2:18">
      <c r="B1447" s="33" t="s">
        <v>127</v>
      </c>
      <c r="C1447" s="63">
        <v>45786</v>
      </c>
      <c r="D1447" s="33" t="str">
        <f>VLOOKUP(B1447,辅助信息!E:K,7,FALSE)</f>
        <v>JWDDCD2025051000019</v>
      </c>
      <c r="E1447" s="33" t="str">
        <f>VLOOKUP(F1447,辅助信息!A:B,2,FALSE)</f>
        <v>螺纹钢</v>
      </c>
      <c r="F1447" s="33" t="s">
        <v>27</v>
      </c>
      <c r="G1447" s="29">
        <v>13</v>
      </c>
      <c r="H1447" s="29" t="str">
        <f>_xlfn.XLOOKUP(C1447&amp;F1447&amp;I1447&amp;J1447,'[1]2025年已发货'!$F:$F&amp;'[1]2025年已发货'!$C:$C&amp;'[1]2025年已发货'!$G:$G&amp;'[1]2025年已发货'!$H:$H,'[1]2025年已发货'!$E:$E,"未发货")</f>
        <v>未发货</v>
      </c>
      <c r="I1447" s="33" t="str">
        <f>VLOOKUP(B1447,辅助信息!E:I,3,FALSE)</f>
        <v>(五冶钢构医学科学产业园建设项目房建三部-管网总坪)四川省南充市顺庆区搬罾街道学府大道二段</v>
      </c>
      <c r="J1447" s="33" t="str">
        <f>VLOOKUP(B1447,辅助信息!E:I,4,FALSE)</f>
        <v>郑林</v>
      </c>
      <c r="K1447" s="33">
        <f>VLOOKUP(J1447,辅助信息!H:I,2,FALSE)</f>
        <v>18349955455</v>
      </c>
      <c r="L1447" s="102" t="str">
        <f>VLOOKUP(B1447,辅助信息!E:J,6,FALSE)</f>
        <v>送货单：送货单位：南充思临新材料科技有限公司,收货单位：五冶集团川北(南充)建设有限公司,项目名称：南充医学科学产业园,送货车型13米,装货前联系收货人核实到场规格</v>
      </c>
      <c r="M1447" s="84">
        <v>45785</v>
      </c>
      <c r="O1447" s="55">
        <f ca="1" t="shared" si="72"/>
        <v>0</v>
      </c>
      <c r="P1447" s="55">
        <f ca="1" t="shared" si="70"/>
        <v>172</v>
      </c>
      <c r="Q1447" s="22" t="str">
        <f>VLOOKUP(B1447,辅助信息!E:M,9,FALSE)</f>
        <v>ZTWM-CDGS-XS-2024-0248-五冶钢构-南充市医学院项目</v>
      </c>
      <c r="R1447" s="22" t="str">
        <f>_xlfn._xlws.FILTER(辅助信息!D:D,辅助信息!E:E=B1447)</f>
        <v>五冶钢构南充医学科学产业园建设项目</v>
      </c>
    </row>
    <row r="1448" hidden="1" spans="2:18">
      <c r="B1448" s="33" t="s">
        <v>72</v>
      </c>
      <c r="C1448" s="63">
        <v>45786</v>
      </c>
      <c r="D1448" s="33" t="str">
        <f>VLOOKUP(B1448,辅助信息!E:K,7,FALSE)</f>
        <v>JWDDCD2025051000019</v>
      </c>
      <c r="E1448" s="33" t="str">
        <f>VLOOKUP(F1448,辅助信息!A:B,2,FALSE)</f>
        <v>盘螺</v>
      </c>
      <c r="F1448" s="33" t="s">
        <v>49</v>
      </c>
      <c r="G1448" s="29">
        <v>5</v>
      </c>
      <c r="H1448" s="29" t="str">
        <f>_xlfn.XLOOKUP(C1448&amp;F1448&amp;I1448&amp;J1448,'[1]2025年已发货'!$F:$F&amp;'[1]2025年已发货'!$C:$C&amp;'[1]2025年已发货'!$G:$G&amp;'[1]2025年已发货'!$H:$H,'[1]2025年已发货'!$E:$E,"未发货")</f>
        <v>未发货</v>
      </c>
      <c r="I1448" s="33" t="str">
        <f>VLOOKUP(B1448,辅助信息!E:I,3,FALSE)</f>
        <v>(五冶钢构医学科学产业园建设项目房建二部-网羽馆（6-5）)四川省南充市顺庆区搬罾街道学府大道二段</v>
      </c>
      <c r="J1448" s="33" t="str">
        <f>VLOOKUP(B1448,辅助信息!E:I,4,FALSE)</f>
        <v>安南</v>
      </c>
      <c r="K1448" s="33">
        <f>VLOOKUP(J1448,辅助信息!H:I,2,FALSE)</f>
        <v>19950525030</v>
      </c>
      <c r="L1448" s="102" t="str">
        <f>VLOOKUP(B1448,辅助信息!E:J,6,FALSE)</f>
        <v>送货单：送货单位：南充思临新材料科技有限公司,收货单位：五冶集团川北(南充)建设有限公司,项目名称：南充医学科学产业园,送货车型13米,装货前联系收货人核实到场规格</v>
      </c>
      <c r="M1448" s="84">
        <v>45785</v>
      </c>
      <c r="O1448" s="55">
        <f ca="1" t="shared" si="72"/>
        <v>0</v>
      </c>
      <c r="P1448" s="55">
        <f ca="1" t="shared" si="70"/>
        <v>172</v>
      </c>
      <c r="Q1448" s="22" t="str">
        <f>VLOOKUP(B1448,辅助信息!E:M,9,FALSE)</f>
        <v>ZTWM-CDGS-XS-2024-0248-五冶钢构-南充市医学院项目</v>
      </c>
      <c r="R1448" s="22" t="str">
        <f>_xlfn._xlws.FILTER(辅助信息!D:D,辅助信息!E:E=B1448)</f>
        <v>五冶钢构南充医学科学产业园建设项目</v>
      </c>
    </row>
    <row r="1449" hidden="1" spans="2:18">
      <c r="B1449" s="33" t="s">
        <v>72</v>
      </c>
      <c r="C1449" s="63">
        <v>45786</v>
      </c>
      <c r="D1449" s="33" t="str">
        <f>VLOOKUP(B1449,辅助信息!E:K,7,FALSE)</f>
        <v>JWDDCD2025051000019</v>
      </c>
      <c r="E1449" s="33" t="str">
        <f>VLOOKUP(F1449,辅助信息!A:B,2,FALSE)</f>
        <v>盘螺</v>
      </c>
      <c r="F1449" s="33" t="s">
        <v>40</v>
      </c>
      <c r="G1449" s="29">
        <v>2.5</v>
      </c>
      <c r="H1449" s="29" t="str">
        <f>_xlfn.XLOOKUP(C1449&amp;F1449&amp;I1449&amp;J1449,'[1]2025年已发货'!$F:$F&amp;'[1]2025年已发货'!$C:$C&amp;'[1]2025年已发货'!$G:$G&amp;'[1]2025年已发货'!$H:$H,'[1]2025年已发货'!$E:$E,"未发货")</f>
        <v>未发货</v>
      </c>
      <c r="I1449" s="33" t="str">
        <f>VLOOKUP(B1449,辅助信息!E:I,3,FALSE)</f>
        <v>(五冶钢构医学科学产业园建设项目房建二部-网羽馆（6-5）)四川省南充市顺庆区搬罾街道学府大道二段</v>
      </c>
      <c r="J1449" s="33" t="str">
        <f>VLOOKUP(B1449,辅助信息!E:I,4,FALSE)</f>
        <v>安南</v>
      </c>
      <c r="K1449" s="33">
        <f>VLOOKUP(J1449,辅助信息!H:I,2,FALSE)</f>
        <v>19950525030</v>
      </c>
      <c r="L1449" s="102" t="str">
        <f>VLOOKUP(B1449,辅助信息!E:J,6,FALSE)</f>
        <v>送货单：送货单位：南充思临新材料科技有限公司,收货单位：五冶集团川北(南充)建设有限公司,项目名称：南充医学科学产业园,送货车型13米,装货前联系收货人核实到场规格</v>
      </c>
      <c r="M1449" s="84">
        <v>45785</v>
      </c>
      <c r="O1449" s="55">
        <f ca="1" t="shared" si="72"/>
        <v>0</v>
      </c>
      <c r="P1449" s="55">
        <f ca="1" t="shared" si="70"/>
        <v>172</v>
      </c>
      <c r="Q1449" s="22" t="str">
        <f>VLOOKUP(B1449,辅助信息!E:M,9,FALSE)</f>
        <v>ZTWM-CDGS-XS-2024-0248-五冶钢构-南充市医学院项目</v>
      </c>
      <c r="R1449" s="22" t="str">
        <f>_xlfn._xlws.FILTER(辅助信息!D:D,辅助信息!E:E=B1449)</f>
        <v>五冶钢构南充医学科学产业园建设项目</v>
      </c>
    </row>
    <row r="1450" hidden="1" spans="2:18">
      <c r="B1450" s="33" t="s">
        <v>72</v>
      </c>
      <c r="C1450" s="63">
        <v>45786</v>
      </c>
      <c r="D1450" s="33" t="str">
        <f>VLOOKUP(B1450,辅助信息!E:K,7,FALSE)</f>
        <v>JWDDCD2025051000019</v>
      </c>
      <c r="E1450" s="33" t="str">
        <f>VLOOKUP(F1450,辅助信息!A:B,2,FALSE)</f>
        <v>螺纹钢</v>
      </c>
      <c r="F1450" s="33" t="s">
        <v>27</v>
      </c>
      <c r="G1450" s="29">
        <v>25</v>
      </c>
      <c r="H1450" s="29" t="str">
        <f>_xlfn.XLOOKUP(C1450&amp;F1450&amp;I1450&amp;J1450,'[1]2025年已发货'!$F:$F&amp;'[1]2025年已发货'!$C:$C&amp;'[1]2025年已发货'!$G:$G&amp;'[1]2025年已发货'!$H:$H,'[1]2025年已发货'!$E:$E,"未发货")</f>
        <v>未发货</v>
      </c>
      <c r="I1450" s="33" t="str">
        <f>VLOOKUP(B1450,辅助信息!E:I,3,FALSE)</f>
        <v>(五冶钢构医学科学产业园建设项目房建二部-网羽馆（6-5）)四川省南充市顺庆区搬罾街道学府大道二段</v>
      </c>
      <c r="J1450" s="33" t="str">
        <f>VLOOKUP(B1450,辅助信息!E:I,4,FALSE)</f>
        <v>安南</v>
      </c>
      <c r="K1450" s="33">
        <f>VLOOKUP(J1450,辅助信息!H:I,2,FALSE)</f>
        <v>19950525030</v>
      </c>
      <c r="L1450" s="102" t="str">
        <f>VLOOKUP(B1450,辅助信息!E:J,6,FALSE)</f>
        <v>送货单：送货单位：南充思临新材料科技有限公司,收货单位：五冶集团川北(南充)建设有限公司,项目名称：南充医学科学产业园,送货车型13米,装货前联系收货人核实到场规格</v>
      </c>
      <c r="M1450" s="84">
        <v>45785</v>
      </c>
      <c r="O1450" s="55">
        <f ca="1" t="shared" si="72"/>
        <v>0</v>
      </c>
      <c r="P1450" s="55">
        <f ca="1" t="shared" si="70"/>
        <v>172</v>
      </c>
      <c r="Q1450" s="22" t="str">
        <f>VLOOKUP(B1450,辅助信息!E:M,9,FALSE)</f>
        <v>ZTWM-CDGS-XS-2024-0248-五冶钢构-南充市医学院项目</v>
      </c>
      <c r="R1450" s="22" t="str">
        <f>_xlfn._xlws.FILTER(辅助信息!D:D,辅助信息!E:E=B1450)</f>
        <v>五冶钢构南充医学科学产业园建设项目</v>
      </c>
    </row>
    <row r="1451" hidden="1" spans="1:18">
      <c r="A1451" s="64" t="s">
        <v>100</v>
      </c>
      <c r="B1451" s="33" t="s">
        <v>135</v>
      </c>
      <c r="C1451" s="63">
        <v>45786</v>
      </c>
      <c r="D1451" s="33" t="str">
        <f>VLOOKUP(B1451,辅助信息!E:K,7,FALSE)</f>
        <v>JWDDCD2025050800080</v>
      </c>
      <c r="E1451" s="33" t="str">
        <f>VLOOKUP(F1451,辅助信息!A:B,2,FALSE)</f>
        <v>螺纹钢</v>
      </c>
      <c r="F1451" s="33" t="s">
        <v>130</v>
      </c>
      <c r="G1451" s="29">
        <v>35</v>
      </c>
      <c r="H1451" s="29" t="str">
        <f>_xlfn.XLOOKUP(C1451&amp;F1451&amp;I1451&amp;J1451,'[1]2025年已发货'!$F:$F&amp;'[1]2025年已发货'!$C:$C&amp;'[1]2025年已发货'!$G:$G&amp;'[1]2025年已发货'!$H:$H,'[1]2025年已发货'!$E:$E,"未发货")</f>
        <v>未发货</v>
      </c>
      <c r="I1451" s="33" t="str">
        <f>VLOOKUP(B1451,辅助信息!E:I,3,FALSE)</f>
        <v>(宜宾兴港三江新区长江工业园建设项目-M2-2#厂房)宜宾市翠屏区宜宾汽车零部件配套产业基地(纬五路南)</v>
      </c>
      <c r="J1451" s="33" t="str">
        <f>VLOOKUP(B1451,辅助信息!E:I,4,FALSE)</f>
        <v>李国享</v>
      </c>
      <c r="K1451" s="33">
        <f>VLOOKUP(J1451,辅助信息!H:I,2,FALSE)</f>
        <v>17713876279</v>
      </c>
      <c r="L1451" s="102" t="str">
        <f>VLOOKUP(B1451,辅助信息!E:J,6,FALSE)</f>
        <v>装货前联系收货人核实到场规格，货物最下面用方木垫下方便卸货</v>
      </c>
      <c r="M1451" s="84">
        <v>45785</v>
      </c>
      <c r="O1451" s="55">
        <f ca="1" t="shared" si="72"/>
        <v>0</v>
      </c>
      <c r="P1451" s="55">
        <f ca="1" t="shared" si="70"/>
        <v>172</v>
      </c>
      <c r="Q1451" s="22" t="str">
        <f>VLOOKUP(B1451,辅助信息!E:M,9,FALSE)</f>
        <v>ZTWM-CDGS-XS-2025-0059-宜宾兴港建材-宜宾冷链项目</v>
      </c>
      <c r="R1451" s="22" t="str">
        <f>_xlfn._xlws.FILTER(辅助信息!D:D,辅助信息!E:E=B1451)</f>
        <v>宜宾兴港三江新区长江工业园建设项目</v>
      </c>
    </row>
    <row r="1452" hidden="1" spans="2:18">
      <c r="B1452" s="33" t="s">
        <v>81</v>
      </c>
      <c r="C1452" s="63">
        <v>45786</v>
      </c>
      <c r="D1452" s="33" t="str">
        <f>VLOOKUP(B1452,辅助信息!E:K,7,FALSE)</f>
        <v>JWDDCD2025060900080</v>
      </c>
      <c r="E1452" s="33" t="str">
        <f>VLOOKUP(F1452,辅助信息!A:B,2,FALSE)</f>
        <v>高线</v>
      </c>
      <c r="F1452" s="33" t="s">
        <v>53</v>
      </c>
      <c r="G1452" s="29">
        <v>5</v>
      </c>
      <c r="H1452" s="29" t="str">
        <f>_xlfn.XLOOKUP(C1452&amp;F1452&amp;I1452&amp;J1452,'[1]2025年已发货'!$F:$F&amp;'[1]2025年已发货'!$C:$C&amp;'[1]2025年已发货'!$G:$G&amp;'[1]2025年已发货'!$H:$H,'[1]2025年已发货'!$E:$E,"未发货")</f>
        <v>未发货</v>
      </c>
      <c r="I1452" s="33" t="str">
        <f>VLOOKUP(B1452,辅助信息!E:I,3,FALSE)</f>
        <v>（华西简阳西城嘉苑）四川省成都市简阳市简城街道高屋村</v>
      </c>
      <c r="J1452" s="33" t="str">
        <f>VLOOKUP(B1452,辅助信息!E:I,4,FALSE)</f>
        <v>张瀚镭</v>
      </c>
      <c r="K1452" s="33">
        <f>VLOOKUP(J1452,辅助信息!H:I,2,FALSE)</f>
        <v>15884666220</v>
      </c>
      <c r="L1452" s="102" t="str">
        <f>VLOOKUP(B1452,辅助信息!E:J,6,FALSE)</f>
        <v>现场禁止使用氢能源挂车！优先威钢发货,我方卸车,新老国标钢厂不加价可直发，因陕钢多次出现磅差，项目拒绝使用</v>
      </c>
      <c r="M1452" s="84">
        <v>45787</v>
      </c>
      <c r="O1452" s="55">
        <f ca="1" t="shared" si="72"/>
        <v>0</v>
      </c>
      <c r="P1452" s="55">
        <f ca="1" t="shared" si="70"/>
        <v>170</v>
      </c>
      <c r="Q1452" s="22" t="str">
        <f>VLOOKUP(B1452,辅助信息!E:M,9,FALSE)</f>
        <v>ZTWM-CDGS-XS-2024-0030-华西集采-简州大道</v>
      </c>
      <c r="R1452" s="22" t="str">
        <f>_xlfn._xlws.FILTER(辅助信息!D:D,辅助信息!E:E=B1452)</f>
        <v>华西简阳西城嘉苑</v>
      </c>
    </row>
    <row r="1453" hidden="1" spans="2:18">
      <c r="B1453" s="33" t="s">
        <v>81</v>
      </c>
      <c r="C1453" s="63">
        <v>45786</v>
      </c>
      <c r="D1453" s="33" t="str">
        <f>VLOOKUP(B1453,辅助信息!E:K,7,FALSE)</f>
        <v>JWDDCD2025060900080</v>
      </c>
      <c r="E1453" s="33" t="str">
        <f>VLOOKUP(F1453,辅助信息!A:B,2,FALSE)</f>
        <v>盘螺</v>
      </c>
      <c r="F1453" s="33" t="s">
        <v>49</v>
      </c>
      <c r="G1453" s="29">
        <v>2</v>
      </c>
      <c r="H1453" s="29" t="str">
        <f>_xlfn.XLOOKUP(C1453&amp;F1453&amp;I1453&amp;J1453,'[1]2025年已发货'!$F:$F&amp;'[1]2025年已发货'!$C:$C&amp;'[1]2025年已发货'!$G:$G&amp;'[1]2025年已发货'!$H:$H,'[1]2025年已发货'!$E:$E,"未发货")</f>
        <v>未发货</v>
      </c>
      <c r="I1453" s="33" t="str">
        <f>VLOOKUP(B1453,辅助信息!E:I,3,FALSE)</f>
        <v>（华西简阳西城嘉苑）四川省成都市简阳市简城街道高屋村</v>
      </c>
      <c r="J1453" s="33" t="str">
        <f>VLOOKUP(B1453,辅助信息!E:I,4,FALSE)</f>
        <v>张瀚镭</v>
      </c>
      <c r="K1453" s="33">
        <f>VLOOKUP(J1453,辅助信息!H:I,2,FALSE)</f>
        <v>15884666220</v>
      </c>
      <c r="L1453" s="102" t="str">
        <f>VLOOKUP(B1453,辅助信息!E:J,6,FALSE)</f>
        <v>现场禁止使用氢能源挂车！优先威钢发货,我方卸车,新老国标钢厂不加价可直发，因陕钢多次出现磅差，项目拒绝使用</v>
      </c>
      <c r="M1453" s="84">
        <v>45787</v>
      </c>
      <c r="O1453" s="55">
        <f ca="1" t="shared" si="72"/>
        <v>0</v>
      </c>
      <c r="P1453" s="55">
        <f ca="1" t="shared" si="70"/>
        <v>170</v>
      </c>
      <c r="Q1453" s="22" t="str">
        <f>VLOOKUP(B1453,辅助信息!E:M,9,FALSE)</f>
        <v>ZTWM-CDGS-XS-2024-0030-华西集采-简州大道</v>
      </c>
      <c r="R1453" s="22" t="str">
        <f>_xlfn._xlws.FILTER(辅助信息!D:D,辅助信息!E:E=B1453)</f>
        <v>华西简阳西城嘉苑</v>
      </c>
    </row>
    <row r="1454" hidden="1" spans="2:18">
      <c r="B1454" s="33" t="s">
        <v>81</v>
      </c>
      <c r="C1454" s="63">
        <v>45786</v>
      </c>
      <c r="D1454" s="33" t="str">
        <f>VLOOKUP(B1454,辅助信息!E:K,7,FALSE)</f>
        <v>JWDDCD2025060900080</v>
      </c>
      <c r="E1454" s="33" t="str">
        <f>VLOOKUP(F1454,辅助信息!A:B,2,FALSE)</f>
        <v>盘螺</v>
      </c>
      <c r="F1454" s="33" t="s">
        <v>40</v>
      </c>
      <c r="G1454" s="29">
        <v>11</v>
      </c>
      <c r="H1454" s="29" t="str">
        <f>_xlfn.XLOOKUP(C1454&amp;F1454&amp;I1454&amp;J1454,'[1]2025年已发货'!$F:$F&amp;'[1]2025年已发货'!$C:$C&amp;'[1]2025年已发货'!$G:$G&amp;'[1]2025年已发货'!$H:$H,'[1]2025年已发货'!$E:$E,"未发货")</f>
        <v>未发货</v>
      </c>
      <c r="I1454" s="33" t="str">
        <f>VLOOKUP(B1454,辅助信息!E:I,3,FALSE)</f>
        <v>（华西简阳西城嘉苑）四川省成都市简阳市简城街道高屋村</v>
      </c>
      <c r="J1454" s="33" t="str">
        <f>VLOOKUP(B1454,辅助信息!E:I,4,FALSE)</f>
        <v>张瀚镭</v>
      </c>
      <c r="K1454" s="33">
        <f>VLOOKUP(J1454,辅助信息!H:I,2,FALSE)</f>
        <v>15884666220</v>
      </c>
      <c r="L1454" s="102" t="str">
        <f>VLOOKUP(B1454,辅助信息!E:J,6,FALSE)</f>
        <v>现场禁止使用氢能源挂车！优先威钢发货,我方卸车,新老国标钢厂不加价可直发，因陕钢多次出现磅差，项目拒绝使用</v>
      </c>
      <c r="M1454" s="84">
        <v>45787</v>
      </c>
      <c r="O1454" s="55">
        <f ca="1" t="shared" si="72"/>
        <v>0</v>
      </c>
      <c r="P1454" s="55">
        <f ca="1" t="shared" si="70"/>
        <v>170</v>
      </c>
      <c r="Q1454" s="22" t="str">
        <f>VLOOKUP(B1454,辅助信息!E:M,9,FALSE)</f>
        <v>ZTWM-CDGS-XS-2024-0030-华西集采-简州大道</v>
      </c>
      <c r="R1454" s="22" t="str">
        <f>_xlfn._xlws.FILTER(辅助信息!D:D,辅助信息!E:E=B1454)</f>
        <v>华西简阳西城嘉苑</v>
      </c>
    </row>
    <row r="1455" hidden="1" spans="2:18">
      <c r="B1455" s="33" t="s">
        <v>81</v>
      </c>
      <c r="C1455" s="63">
        <v>45786</v>
      </c>
      <c r="D1455" s="33" t="str">
        <f>VLOOKUP(B1455,辅助信息!E:K,7,FALSE)</f>
        <v>JWDDCD2025060900080</v>
      </c>
      <c r="E1455" s="33" t="str">
        <f>VLOOKUP(F1455,辅助信息!A:B,2,FALSE)</f>
        <v>盘螺</v>
      </c>
      <c r="F1455" s="33" t="s">
        <v>41</v>
      </c>
      <c r="G1455" s="29">
        <v>68</v>
      </c>
      <c r="H1455" s="29" t="str">
        <f>_xlfn.XLOOKUP(C1455&amp;F1455&amp;I1455&amp;J1455,'[1]2025年已发货'!$F:$F&amp;'[1]2025年已发货'!$C:$C&amp;'[1]2025年已发货'!$G:$G&amp;'[1]2025年已发货'!$H:$H,'[1]2025年已发货'!$E:$E,"未发货")</f>
        <v>未发货</v>
      </c>
      <c r="I1455" s="33" t="str">
        <f>VLOOKUP(B1455,辅助信息!E:I,3,FALSE)</f>
        <v>（华西简阳西城嘉苑）四川省成都市简阳市简城街道高屋村</v>
      </c>
      <c r="J1455" s="33" t="str">
        <f>VLOOKUP(B1455,辅助信息!E:I,4,FALSE)</f>
        <v>张瀚镭</v>
      </c>
      <c r="K1455" s="33">
        <f>VLOOKUP(J1455,辅助信息!H:I,2,FALSE)</f>
        <v>15884666220</v>
      </c>
      <c r="L1455" s="102" t="str">
        <f>VLOOKUP(B1455,辅助信息!E:J,6,FALSE)</f>
        <v>现场禁止使用氢能源挂车！优先威钢发货,我方卸车,新老国标钢厂不加价可直发，因陕钢多次出现磅差，项目拒绝使用</v>
      </c>
      <c r="M1455" s="84">
        <v>45787</v>
      </c>
      <c r="O1455" s="55">
        <f ca="1" t="shared" si="72"/>
        <v>0</v>
      </c>
      <c r="P1455" s="55">
        <f ca="1" t="shared" si="70"/>
        <v>170</v>
      </c>
      <c r="Q1455" s="22" t="str">
        <f>VLOOKUP(B1455,辅助信息!E:M,9,FALSE)</f>
        <v>ZTWM-CDGS-XS-2024-0030-华西集采-简州大道</v>
      </c>
      <c r="R1455" s="22" t="str">
        <f>_xlfn._xlws.FILTER(辅助信息!D:D,辅助信息!E:E=B1455)</f>
        <v>华西简阳西城嘉苑</v>
      </c>
    </row>
    <row r="1456" hidden="1" spans="2:18">
      <c r="B1456" s="33" t="s">
        <v>81</v>
      </c>
      <c r="C1456" s="63">
        <v>45786</v>
      </c>
      <c r="D1456" s="33" t="str">
        <f>VLOOKUP(B1456,辅助信息!E:K,7,FALSE)</f>
        <v>JWDDCD2025060900080</v>
      </c>
      <c r="E1456" s="33" t="str">
        <f>VLOOKUP(F1456,辅助信息!A:B,2,FALSE)</f>
        <v>盘螺</v>
      </c>
      <c r="F1456" s="33" t="s">
        <v>26</v>
      </c>
      <c r="G1456" s="29">
        <v>5</v>
      </c>
      <c r="H1456" s="29" t="str">
        <f>_xlfn.XLOOKUP(C1456&amp;F1456&amp;I1456&amp;J1456,'[1]2025年已发货'!$F:$F&amp;'[1]2025年已发货'!$C:$C&amp;'[1]2025年已发货'!$G:$G&amp;'[1]2025年已发货'!$H:$H,'[1]2025年已发货'!$E:$E,"未发货")</f>
        <v>未发货</v>
      </c>
      <c r="I1456" s="33" t="str">
        <f>VLOOKUP(B1456,辅助信息!E:I,3,FALSE)</f>
        <v>（华西简阳西城嘉苑）四川省成都市简阳市简城街道高屋村</v>
      </c>
      <c r="J1456" s="33" t="str">
        <f>VLOOKUP(B1456,辅助信息!E:I,4,FALSE)</f>
        <v>张瀚镭</v>
      </c>
      <c r="K1456" s="33">
        <f>VLOOKUP(J1456,辅助信息!H:I,2,FALSE)</f>
        <v>15884666220</v>
      </c>
      <c r="L1456" s="102" t="str">
        <f>VLOOKUP(B1456,辅助信息!E:J,6,FALSE)</f>
        <v>现场禁止使用氢能源挂车！优先威钢发货,我方卸车,新老国标钢厂不加价可直发，因陕钢多次出现磅差，项目拒绝使用</v>
      </c>
      <c r="M1456" s="84">
        <v>45787</v>
      </c>
      <c r="O1456" s="55">
        <f ca="1" t="shared" si="72"/>
        <v>0</v>
      </c>
      <c r="P1456" s="55">
        <f ca="1" t="shared" si="70"/>
        <v>170</v>
      </c>
      <c r="Q1456" s="22" t="str">
        <f>VLOOKUP(B1456,辅助信息!E:M,9,FALSE)</f>
        <v>ZTWM-CDGS-XS-2024-0030-华西集采-简州大道</v>
      </c>
      <c r="R1456" s="22" t="str">
        <f>_xlfn._xlws.FILTER(辅助信息!D:D,辅助信息!E:E=B1456)</f>
        <v>华西简阳西城嘉苑</v>
      </c>
    </row>
    <row r="1457" hidden="1" spans="2:18">
      <c r="B1457" s="33" t="s">
        <v>81</v>
      </c>
      <c r="C1457" s="63">
        <v>45786</v>
      </c>
      <c r="D1457" s="33" t="str">
        <f>VLOOKUP(B1457,辅助信息!E:K,7,FALSE)</f>
        <v>JWDDCD2025060900080</v>
      </c>
      <c r="E1457" s="33" t="str">
        <f>VLOOKUP(F1457,辅助信息!A:B,2,FALSE)</f>
        <v>螺纹钢</v>
      </c>
      <c r="F1457" s="33" t="s">
        <v>32</v>
      </c>
      <c r="G1457" s="29">
        <v>10.5</v>
      </c>
      <c r="H1457" s="29" t="str">
        <f>_xlfn.XLOOKUP(C1457&amp;F1457&amp;I1457&amp;J1457,'[1]2025年已发货'!$F:$F&amp;'[1]2025年已发货'!$C:$C&amp;'[1]2025年已发货'!$G:$G&amp;'[1]2025年已发货'!$H:$H,'[1]2025年已发货'!$E:$E,"未发货")</f>
        <v>未发货</v>
      </c>
      <c r="I1457" s="33" t="str">
        <f>VLOOKUP(B1457,辅助信息!E:I,3,FALSE)</f>
        <v>（华西简阳西城嘉苑）四川省成都市简阳市简城街道高屋村</v>
      </c>
      <c r="J1457" s="33" t="str">
        <f>VLOOKUP(B1457,辅助信息!E:I,4,FALSE)</f>
        <v>张瀚镭</v>
      </c>
      <c r="K1457" s="33">
        <f>VLOOKUP(J1457,辅助信息!H:I,2,FALSE)</f>
        <v>15884666220</v>
      </c>
      <c r="L1457" s="102" t="str">
        <f>VLOOKUP(B1457,辅助信息!E:J,6,FALSE)</f>
        <v>现场禁止使用氢能源挂车！优先威钢发货,我方卸车,新老国标钢厂不加价可直发，因陕钢多次出现磅差，项目拒绝使用</v>
      </c>
      <c r="M1457" s="84">
        <v>45787</v>
      </c>
      <c r="O1457" s="55">
        <f ca="1" t="shared" si="72"/>
        <v>0</v>
      </c>
      <c r="P1457" s="55">
        <f ca="1" t="shared" si="70"/>
        <v>170</v>
      </c>
      <c r="Q1457" s="22" t="str">
        <f>VLOOKUP(B1457,辅助信息!E:M,9,FALSE)</f>
        <v>ZTWM-CDGS-XS-2024-0030-华西集采-简州大道</v>
      </c>
      <c r="R1457" s="22" t="str">
        <f>_xlfn._xlws.FILTER(辅助信息!D:D,辅助信息!E:E=B1457)</f>
        <v>华西简阳西城嘉苑</v>
      </c>
    </row>
    <row r="1458" hidden="1" spans="2:18">
      <c r="B1458" s="33" t="s">
        <v>81</v>
      </c>
      <c r="C1458" s="63">
        <v>45786</v>
      </c>
      <c r="D1458" s="33" t="str">
        <f>VLOOKUP(B1458,辅助信息!E:K,7,FALSE)</f>
        <v>JWDDCD2025060900080</v>
      </c>
      <c r="E1458" s="33" t="str">
        <f>VLOOKUP(F1458,辅助信息!A:B,2,FALSE)</f>
        <v>螺纹钢</v>
      </c>
      <c r="F1458" s="33" t="s">
        <v>30</v>
      </c>
      <c r="G1458" s="29">
        <v>4.5</v>
      </c>
      <c r="H1458" s="29" t="str">
        <f>_xlfn.XLOOKUP(C1458&amp;F1458&amp;I1458&amp;J1458,'[1]2025年已发货'!$F:$F&amp;'[1]2025年已发货'!$C:$C&amp;'[1]2025年已发货'!$G:$G&amp;'[1]2025年已发货'!$H:$H,'[1]2025年已发货'!$E:$E,"未发货")</f>
        <v>未发货</v>
      </c>
      <c r="I1458" s="33" t="str">
        <f>VLOOKUP(B1458,辅助信息!E:I,3,FALSE)</f>
        <v>（华西简阳西城嘉苑）四川省成都市简阳市简城街道高屋村</v>
      </c>
      <c r="J1458" s="33" t="str">
        <f>VLOOKUP(B1458,辅助信息!E:I,4,FALSE)</f>
        <v>张瀚镭</v>
      </c>
      <c r="K1458" s="33">
        <f>VLOOKUP(J1458,辅助信息!H:I,2,FALSE)</f>
        <v>15884666220</v>
      </c>
      <c r="L1458" s="102" t="str">
        <f>VLOOKUP(B1458,辅助信息!E:J,6,FALSE)</f>
        <v>现场禁止使用氢能源挂车！优先威钢发货,我方卸车,新老国标钢厂不加价可直发，因陕钢多次出现磅差，项目拒绝使用</v>
      </c>
      <c r="M1458" s="84">
        <v>45787</v>
      </c>
      <c r="O1458" s="55">
        <f ca="1" t="shared" si="72"/>
        <v>0</v>
      </c>
      <c r="P1458" s="55">
        <f ca="1" t="shared" si="70"/>
        <v>170</v>
      </c>
      <c r="Q1458" s="22" t="str">
        <f>VLOOKUP(B1458,辅助信息!E:M,9,FALSE)</f>
        <v>ZTWM-CDGS-XS-2024-0030-华西集采-简州大道</v>
      </c>
      <c r="R1458" s="22" t="str">
        <f>_xlfn._xlws.FILTER(辅助信息!D:D,辅助信息!E:E=B1458)</f>
        <v>华西简阳西城嘉苑</v>
      </c>
    </row>
    <row r="1459" hidden="1" spans="2:18">
      <c r="B1459" s="33" t="s">
        <v>81</v>
      </c>
      <c r="C1459" s="63">
        <v>45786</v>
      </c>
      <c r="D1459" s="33" t="str">
        <f>VLOOKUP(B1459,辅助信息!E:K,7,FALSE)</f>
        <v>JWDDCD2025060900080</v>
      </c>
      <c r="E1459" s="33" t="str">
        <f>VLOOKUP(F1459,辅助信息!A:B,2,FALSE)</f>
        <v>螺纹钢</v>
      </c>
      <c r="F1459" s="33" t="s">
        <v>33</v>
      </c>
      <c r="G1459" s="29">
        <v>16</v>
      </c>
      <c r="H1459" s="29" t="str">
        <f>_xlfn.XLOOKUP(C1459&amp;F1459&amp;I1459&amp;J1459,'[1]2025年已发货'!$F:$F&amp;'[1]2025年已发货'!$C:$C&amp;'[1]2025年已发货'!$G:$G&amp;'[1]2025年已发货'!$H:$H,'[1]2025年已发货'!$E:$E,"未发货")</f>
        <v>未发货</v>
      </c>
      <c r="I1459" s="33" t="str">
        <f>VLOOKUP(B1459,辅助信息!E:I,3,FALSE)</f>
        <v>（华西简阳西城嘉苑）四川省成都市简阳市简城街道高屋村</v>
      </c>
      <c r="J1459" s="33" t="str">
        <f>VLOOKUP(B1459,辅助信息!E:I,4,FALSE)</f>
        <v>张瀚镭</v>
      </c>
      <c r="K1459" s="33">
        <f>VLOOKUP(J1459,辅助信息!H:I,2,FALSE)</f>
        <v>15884666220</v>
      </c>
      <c r="L1459" s="102" t="str">
        <f>VLOOKUP(B1459,辅助信息!E:J,6,FALSE)</f>
        <v>现场禁止使用氢能源挂车！优先威钢发货,我方卸车,新老国标钢厂不加价可直发，因陕钢多次出现磅差，项目拒绝使用</v>
      </c>
      <c r="M1459" s="84">
        <v>45787</v>
      </c>
      <c r="O1459" s="55">
        <f ca="1" t="shared" si="72"/>
        <v>0</v>
      </c>
      <c r="P1459" s="55">
        <f ca="1" t="shared" si="70"/>
        <v>170</v>
      </c>
      <c r="Q1459" s="22" t="str">
        <f>VLOOKUP(B1459,辅助信息!E:M,9,FALSE)</f>
        <v>ZTWM-CDGS-XS-2024-0030-华西集采-简州大道</v>
      </c>
      <c r="R1459" s="22" t="str">
        <f>_xlfn._xlws.FILTER(辅助信息!D:D,辅助信息!E:E=B1459)</f>
        <v>华西简阳西城嘉苑</v>
      </c>
    </row>
    <row r="1460" hidden="1" spans="2:18">
      <c r="B1460" s="33" t="s">
        <v>81</v>
      </c>
      <c r="C1460" s="63">
        <v>45786</v>
      </c>
      <c r="D1460" s="33" t="str">
        <f>VLOOKUP(B1460,辅助信息!E:K,7,FALSE)</f>
        <v>JWDDCD2025060900080</v>
      </c>
      <c r="E1460" s="33" t="str">
        <f>VLOOKUP(F1460,辅助信息!A:B,2,FALSE)</f>
        <v>螺纹钢</v>
      </c>
      <c r="F1460" s="33" t="s">
        <v>28</v>
      </c>
      <c r="G1460" s="29">
        <v>5</v>
      </c>
      <c r="H1460" s="29" t="str">
        <f>_xlfn.XLOOKUP(C1460&amp;F1460&amp;I1460&amp;J1460,'[1]2025年已发货'!$F:$F&amp;'[1]2025年已发货'!$C:$C&amp;'[1]2025年已发货'!$G:$G&amp;'[1]2025年已发货'!$H:$H,'[1]2025年已发货'!$E:$E,"未发货")</f>
        <v>未发货</v>
      </c>
      <c r="I1460" s="33" t="str">
        <f>VLOOKUP(B1460,辅助信息!E:I,3,FALSE)</f>
        <v>（华西简阳西城嘉苑）四川省成都市简阳市简城街道高屋村</v>
      </c>
      <c r="J1460" s="33" t="str">
        <f>VLOOKUP(B1460,辅助信息!E:I,4,FALSE)</f>
        <v>张瀚镭</v>
      </c>
      <c r="K1460" s="33">
        <f>VLOOKUP(J1460,辅助信息!H:I,2,FALSE)</f>
        <v>15884666220</v>
      </c>
      <c r="L1460" s="102" t="str">
        <f>VLOOKUP(B1460,辅助信息!E:J,6,FALSE)</f>
        <v>现场禁止使用氢能源挂车！优先威钢发货,我方卸车,新老国标钢厂不加价可直发，因陕钢多次出现磅差，项目拒绝使用</v>
      </c>
      <c r="M1460" s="84">
        <v>45787</v>
      </c>
      <c r="O1460" s="55">
        <f ca="1" t="shared" si="72"/>
        <v>0</v>
      </c>
      <c r="P1460" s="55">
        <f ca="1" t="shared" si="70"/>
        <v>170</v>
      </c>
      <c r="Q1460" s="22" t="str">
        <f>VLOOKUP(B1460,辅助信息!E:M,9,FALSE)</f>
        <v>ZTWM-CDGS-XS-2024-0030-华西集采-简州大道</v>
      </c>
      <c r="R1460" s="22" t="str">
        <f>_xlfn._xlws.FILTER(辅助信息!D:D,辅助信息!E:E=B1460)</f>
        <v>华西简阳西城嘉苑</v>
      </c>
    </row>
    <row r="1461" hidden="1" spans="2:18">
      <c r="B1461" s="33" t="s">
        <v>81</v>
      </c>
      <c r="C1461" s="63">
        <v>45786</v>
      </c>
      <c r="D1461" s="33" t="str">
        <f>VLOOKUP(B1461,辅助信息!E:K,7,FALSE)</f>
        <v>JWDDCD2025060900080</v>
      </c>
      <c r="E1461" s="33" t="str">
        <f>VLOOKUP(F1461,辅助信息!A:B,2,FALSE)</f>
        <v>螺纹钢</v>
      </c>
      <c r="F1461" s="33" t="s">
        <v>46</v>
      </c>
      <c r="G1461" s="29">
        <v>6</v>
      </c>
      <c r="H1461" s="29" t="str">
        <f>_xlfn.XLOOKUP(C1461&amp;F1461&amp;I1461&amp;J1461,'[1]2025年已发货'!$F:$F&amp;'[1]2025年已发货'!$C:$C&amp;'[1]2025年已发货'!$G:$G&amp;'[1]2025年已发货'!$H:$H,'[1]2025年已发货'!$E:$E,"未发货")</f>
        <v>未发货</v>
      </c>
      <c r="I1461" s="33" t="str">
        <f>VLOOKUP(B1461,辅助信息!E:I,3,FALSE)</f>
        <v>（华西简阳西城嘉苑）四川省成都市简阳市简城街道高屋村</v>
      </c>
      <c r="J1461" s="33" t="str">
        <f>VLOOKUP(B1461,辅助信息!E:I,4,FALSE)</f>
        <v>张瀚镭</v>
      </c>
      <c r="K1461" s="33">
        <f>VLOOKUP(J1461,辅助信息!H:I,2,FALSE)</f>
        <v>15884666220</v>
      </c>
      <c r="L1461" s="102" t="str">
        <f>VLOOKUP(B1461,辅助信息!E:J,6,FALSE)</f>
        <v>现场禁止使用氢能源挂车！优先威钢发货,我方卸车,新老国标钢厂不加价可直发，因陕钢多次出现磅差，项目拒绝使用</v>
      </c>
      <c r="M1461" s="84">
        <v>45787</v>
      </c>
      <c r="O1461" s="55">
        <f ca="1" t="shared" si="72"/>
        <v>0</v>
      </c>
      <c r="P1461" s="55">
        <f ca="1" t="shared" si="70"/>
        <v>170</v>
      </c>
      <c r="Q1461" s="22" t="str">
        <f>VLOOKUP(B1461,辅助信息!E:M,9,FALSE)</f>
        <v>ZTWM-CDGS-XS-2024-0030-华西集采-简州大道</v>
      </c>
      <c r="R1461" s="22" t="str">
        <f>_xlfn._xlws.FILTER(辅助信息!D:D,辅助信息!E:E=B1461)</f>
        <v>华西简阳西城嘉苑</v>
      </c>
    </row>
    <row r="1462" hidden="1" spans="2:18">
      <c r="B1462" s="33" t="s">
        <v>31</v>
      </c>
      <c r="C1462" s="63">
        <v>45786</v>
      </c>
      <c r="D1462" s="33" t="str">
        <f>VLOOKUP(B1462,辅助信息!E:K,7,FALSE)</f>
        <v>JWDDCD2024121000136</v>
      </c>
      <c r="E1462" s="33" t="str">
        <f>VLOOKUP(F1462,辅助信息!A:B,2,FALSE)</f>
        <v>螺纹钢</v>
      </c>
      <c r="F1462" s="33" t="s">
        <v>22</v>
      </c>
      <c r="G1462" s="29">
        <v>35</v>
      </c>
      <c r="H1462" s="29">
        <f>_xlfn.XLOOKUP(C1462&amp;F1462&amp;I1462&amp;J1462,'[1]2025年已发货'!$F:$F&amp;'[1]2025年已发货'!$C:$C&amp;'[1]2025年已发货'!$G:$G&amp;'[1]2025年已发货'!$H:$H,'[1]2025年已发货'!$E:$E,"未发货")</f>
        <v>35</v>
      </c>
      <c r="I1462" s="33" t="str">
        <f>VLOOKUP(B1462,辅助信息!E:I,3,FALSE)</f>
        <v>（四川商建-射洪城乡一体化项目）遂宁市射洪市忠新幼儿园北侧约220米新溪小区</v>
      </c>
      <c r="J1462" s="33" t="str">
        <f>VLOOKUP(B1462,辅助信息!E:I,4,FALSE)</f>
        <v>柏子刚</v>
      </c>
      <c r="K1462" s="33">
        <f>VLOOKUP(J1462,辅助信息!H:I,2,FALSE)</f>
        <v>15692885305</v>
      </c>
      <c r="L1462" s="102" t="str">
        <f>VLOOKUP(B1462,辅助信息!E:J,6,FALSE)</f>
        <v>提前联系到场规格及数量</v>
      </c>
      <c r="M1462" s="84">
        <v>45787</v>
      </c>
      <c r="O1462" s="55">
        <f ca="1" t="shared" si="72"/>
        <v>0</v>
      </c>
      <c r="P1462" s="55">
        <f ca="1" t="shared" si="70"/>
        <v>170</v>
      </c>
      <c r="Q1462" s="22" t="str">
        <f>VLOOKUP(B1462,辅助信息!E:M,9,FALSE)</f>
        <v>ZTWM-CDGS-XS-2024-0179-四川商投-射洪城乡一体化建设项目</v>
      </c>
      <c r="R1462" s="22" t="str">
        <f>_xlfn._xlws.FILTER(辅助信息!D:D,辅助信息!E:E=B1462)</f>
        <v>四川商建
射洪城乡一体化项目</v>
      </c>
    </row>
    <row r="1463" hidden="1" spans="1:18">
      <c r="A1463" s="64" t="s">
        <v>149</v>
      </c>
      <c r="B1463" s="33" t="s">
        <v>68</v>
      </c>
      <c r="C1463" s="63">
        <v>45786</v>
      </c>
      <c r="D1463" s="33" t="str">
        <f>VLOOKUP(B1463,辅助信息!E:K,7,FALSE)</f>
        <v>JWDDCD2025052800131</v>
      </c>
      <c r="E1463" s="33" t="str">
        <f>VLOOKUP(F1463,辅助信息!A:B,2,FALSE)</f>
        <v>盘螺</v>
      </c>
      <c r="F1463" s="33" t="s">
        <v>40</v>
      </c>
      <c r="G1463" s="29">
        <v>8</v>
      </c>
      <c r="H1463" s="29">
        <f>_xlfn.XLOOKUP(C1463&amp;F1463&amp;I1463&amp;J1463,'[1]2025年已发货'!$F:$F&amp;'[1]2025年已发货'!$C:$C&amp;'[1]2025年已发货'!$G:$G&amp;'[1]2025年已发货'!$H:$H,'[1]2025年已发货'!$E:$E,"未发货")</f>
        <v>8</v>
      </c>
      <c r="I1463" s="33" t="str">
        <f>VLOOKUP(B1463,辅助信息!E:I,3,FALSE)</f>
        <v>（商投建工达州中医药科技园-2工区-景观桥）达州市通川区达州中医药职业学院犀牛大道北段</v>
      </c>
      <c r="J1463" s="33" t="str">
        <f>VLOOKUP(B1463,辅助信息!E:I,4,FALSE)</f>
        <v>李波</v>
      </c>
      <c r="K1463" s="33">
        <f>VLOOKUP(J1463,辅助信息!H:I,2,FALSE)</f>
        <v>18381899787</v>
      </c>
      <c r="L1463" s="102" t="str">
        <f>VLOOKUP(B1463,辅助信息!E:J,6,FALSE)</f>
        <v>控制炉批号！多了现场不收！,优先安排达钢,提前联系到场规格及数量</v>
      </c>
      <c r="M1463" s="84">
        <v>45787</v>
      </c>
      <c r="O1463" s="55">
        <f ca="1" t="shared" si="72"/>
        <v>0</v>
      </c>
      <c r="P1463" s="55">
        <f ca="1" t="shared" si="70"/>
        <v>170</v>
      </c>
      <c r="Q1463" s="22" t="str">
        <f>VLOOKUP(B1463,辅助信息!E:M,9,FALSE)</f>
        <v>ZTWM-CDGS-XS-2024-0134-商投建工达州中医药科技成果示范园项目</v>
      </c>
      <c r="R1463" s="22" t="str">
        <f>_xlfn._xlws.FILTER(辅助信息!D:D,辅助信息!E:E=B1463)</f>
        <v>商投建工达州中医药科技园</v>
      </c>
    </row>
    <row r="1464" hidden="1" spans="1:18">
      <c r="A1464" s="64"/>
      <c r="B1464" s="33" t="s">
        <v>68</v>
      </c>
      <c r="C1464" s="63">
        <v>45786</v>
      </c>
      <c r="D1464" s="33" t="str">
        <f>VLOOKUP(B1464,辅助信息!E:K,7,FALSE)</f>
        <v>JWDDCD2025052800131</v>
      </c>
      <c r="E1464" s="33" t="str">
        <f>VLOOKUP(F1464,辅助信息!A:B,2,FALSE)</f>
        <v>螺纹钢</v>
      </c>
      <c r="F1464" s="33" t="s">
        <v>27</v>
      </c>
      <c r="G1464" s="29">
        <v>3</v>
      </c>
      <c r="H1464" s="29">
        <f>_xlfn.XLOOKUP(C1464&amp;F1464&amp;I1464&amp;J1464,'[1]2025年已发货'!$F:$F&amp;'[1]2025年已发货'!$C:$C&amp;'[1]2025年已发货'!$G:$G&amp;'[1]2025年已发货'!$H:$H,'[1]2025年已发货'!$E:$E,"未发货")</f>
        <v>3</v>
      </c>
      <c r="I1464" s="33" t="str">
        <f>VLOOKUP(B1464,辅助信息!E:I,3,FALSE)</f>
        <v>（商投建工达州中医药科技园-2工区-景观桥）达州市通川区达州中医药职业学院犀牛大道北段</v>
      </c>
      <c r="J1464" s="33" t="str">
        <f>VLOOKUP(B1464,辅助信息!E:I,4,FALSE)</f>
        <v>李波</v>
      </c>
      <c r="K1464" s="33">
        <f>VLOOKUP(J1464,辅助信息!H:I,2,FALSE)</f>
        <v>18381899787</v>
      </c>
      <c r="L1464" s="102" t="str">
        <f>VLOOKUP(B1464,辅助信息!E:J,6,FALSE)</f>
        <v>控制炉批号！多了现场不收！,优先安排达钢,提前联系到场规格及数量</v>
      </c>
      <c r="M1464" s="84">
        <v>45787</v>
      </c>
      <c r="O1464" s="55">
        <f ca="1" t="shared" si="72"/>
        <v>0</v>
      </c>
      <c r="P1464" s="55">
        <f ca="1" t="shared" si="70"/>
        <v>170</v>
      </c>
      <c r="Q1464" s="22" t="str">
        <f>VLOOKUP(B1464,辅助信息!E:M,9,FALSE)</f>
        <v>ZTWM-CDGS-XS-2024-0134-商投建工达州中医药科技成果示范园项目</v>
      </c>
      <c r="R1464" s="22" t="str">
        <f>_xlfn._xlws.FILTER(辅助信息!D:D,辅助信息!E:E=B1464)</f>
        <v>商投建工达州中医药科技园</v>
      </c>
    </row>
    <row r="1465" hidden="1" spans="1:18">
      <c r="A1465" s="64"/>
      <c r="B1465" s="33" t="s">
        <v>68</v>
      </c>
      <c r="C1465" s="63">
        <v>45786</v>
      </c>
      <c r="D1465" s="33" t="str">
        <f>VLOOKUP(B1465,辅助信息!E:K,7,FALSE)</f>
        <v>JWDDCD2025052800131</v>
      </c>
      <c r="E1465" s="33" t="str">
        <f>VLOOKUP(F1465,辅助信息!A:B,2,FALSE)</f>
        <v>螺纹钢</v>
      </c>
      <c r="F1465" s="33" t="s">
        <v>19</v>
      </c>
      <c r="G1465" s="29">
        <v>10</v>
      </c>
      <c r="H1465" s="29">
        <f>_xlfn.XLOOKUP(C1465&amp;F1465&amp;I1465&amp;J1465,'[1]2025年已发货'!$F:$F&amp;'[1]2025年已发货'!$C:$C&amp;'[1]2025年已发货'!$G:$G&amp;'[1]2025年已发货'!$H:$H,'[1]2025年已发货'!$E:$E,"未发货")</f>
        <v>10</v>
      </c>
      <c r="I1465" s="33" t="str">
        <f>VLOOKUP(B1465,辅助信息!E:I,3,FALSE)</f>
        <v>（商投建工达州中医药科技园-2工区-景观桥）达州市通川区达州中医药职业学院犀牛大道北段</v>
      </c>
      <c r="J1465" s="33" t="str">
        <f>VLOOKUP(B1465,辅助信息!E:I,4,FALSE)</f>
        <v>李波</v>
      </c>
      <c r="K1465" s="33">
        <f>VLOOKUP(J1465,辅助信息!H:I,2,FALSE)</f>
        <v>18381899787</v>
      </c>
      <c r="L1465" s="102" t="str">
        <f>VLOOKUP(B1465,辅助信息!E:J,6,FALSE)</f>
        <v>控制炉批号！多了现场不收！,优先安排达钢,提前联系到场规格及数量</v>
      </c>
      <c r="M1465" s="84">
        <v>45787</v>
      </c>
      <c r="O1465" s="55">
        <f ca="1" t="shared" si="72"/>
        <v>0</v>
      </c>
      <c r="P1465" s="55">
        <f ca="1" t="shared" si="70"/>
        <v>170</v>
      </c>
      <c r="Q1465" s="22" t="str">
        <f>VLOOKUP(B1465,辅助信息!E:M,9,FALSE)</f>
        <v>ZTWM-CDGS-XS-2024-0134-商投建工达州中医药科技成果示范园项目</v>
      </c>
      <c r="R1465" s="22" t="str">
        <f>_xlfn._xlws.FILTER(辅助信息!D:D,辅助信息!E:E=B1465)</f>
        <v>商投建工达州中医药科技园</v>
      </c>
    </row>
    <row r="1466" hidden="1" spans="1:18">
      <c r="A1466" s="64"/>
      <c r="B1466" s="33" t="s">
        <v>68</v>
      </c>
      <c r="C1466" s="63">
        <v>45786</v>
      </c>
      <c r="D1466" s="33" t="str">
        <f>VLOOKUP(B1466,辅助信息!E:K,7,FALSE)</f>
        <v>JWDDCD2025052800131</v>
      </c>
      <c r="E1466" s="33" t="str">
        <f>VLOOKUP(F1466,辅助信息!A:B,2,FALSE)</f>
        <v>螺纹钢</v>
      </c>
      <c r="F1466" s="33" t="s">
        <v>33</v>
      </c>
      <c r="G1466" s="29">
        <v>60</v>
      </c>
      <c r="H1466" s="29">
        <f>_xlfn.XLOOKUP(C1466&amp;F1466&amp;I1466&amp;J1466,'[1]2025年已发货'!$F:$F&amp;'[1]2025年已发货'!$C:$C&amp;'[1]2025年已发货'!$G:$G&amp;'[1]2025年已发货'!$H:$H,'[1]2025年已发货'!$E:$E,"未发货")</f>
        <v>50</v>
      </c>
      <c r="I1466" s="33" t="str">
        <f>VLOOKUP(B1466,辅助信息!E:I,3,FALSE)</f>
        <v>（商投建工达州中医药科技园-2工区-景观桥）达州市通川区达州中医药职业学院犀牛大道北段</v>
      </c>
      <c r="J1466" s="33" t="str">
        <f>VLOOKUP(B1466,辅助信息!E:I,4,FALSE)</f>
        <v>李波</v>
      </c>
      <c r="K1466" s="33">
        <f>VLOOKUP(J1466,辅助信息!H:I,2,FALSE)</f>
        <v>18381899787</v>
      </c>
      <c r="L1466" s="102" t="str">
        <f>VLOOKUP(B1466,辅助信息!E:J,6,FALSE)</f>
        <v>控制炉批号！多了现场不收！,优先安排达钢,提前联系到场规格及数量</v>
      </c>
      <c r="M1466" s="84">
        <v>45787</v>
      </c>
      <c r="O1466" s="55">
        <f ca="1" t="shared" si="72"/>
        <v>0</v>
      </c>
      <c r="P1466" s="55">
        <f ca="1" t="shared" si="70"/>
        <v>170</v>
      </c>
      <c r="Q1466" s="22" t="str">
        <f>VLOOKUP(B1466,辅助信息!E:M,9,FALSE)</f>
        <v>ZTWM-CDGS-XS-2024-0134-商投建工达州中医药科技成果示范园项目</v>
      </c>
      <c r="R1466" s="22" t="str">
        <f>_xlfn._xlws.FILTER(辅助信息!D:D,辅助信息!E:E=B1466)</f>
        <v>商投建工达州中医药科技园</v>
      </c>
    </row>
    <row r="1467" hidden="1" spans="2:18">
      <c r="B1467" s="33" t="s">
        <v>56</v>
      </c>
      <c r="C1467" s="63">
        <v>45786</v>
      </c>
      <c r="D1467" s="33" t="str">
        <f>VLOOKUP(B1467,辅助信息!E:K,7,FALSE)</f>
        <v>JWDDCD2025052800131</v>
      </c>
      <c r="E1467" s="33" t="str">
        <f>VLOOKUP(F1467,辅助信息!A:B,2,FALSE)</f>
        <v>盘螺</v>
      </c>
      <c r="F1467" s="33" t="s">
        <v>40</v>
      </c>
      <c r="G1467" s="29">
        <v>45</v>
      </c>
      <c r="H1467" s="29">
        <f>_xlfn.XLOOKUP(C1467&amp;F1467&amp;I1467&amp;J1467,'[1]2025年已发货'!$F:$F&amp;'[1]2025年已发货'!$C:$C&amp;'[1]2025年已发货'!$G:$G&amp;'[1]2025年已发货'!$H:$H,'[1]2025年已发货'!$E:$E,"未发货")</f>
        <v>45</v>
      </c>
      <c r="I1467" s="33" t="str">
        <f>VLOOKUP(B1467,辅助信息!E:I,3,FALSE)</f>
        <v>（商投建工达州中医药科技园-4工区-7号楼）达州市通川区达州中医药职业学院犀牛大道北段</v>
      </c>
      <c r="J1467" s="33" t="str">
        <f>VLOOKUP(B1467,辅助信息!E:I,4,FALSE)</f>
        <v>张扬</v>
      </c>
      <c r="K1467" s="33">
        <f>VLOOKUP(J1467,辅助信息!H:I,2,FALSE)</f>
        <v>18381904567</v>
      </c>
      <c r="L1467" s="102" t="str">
        <f>VLOOKUP(B1467,辅助信息!E:J,6,FALSE)</f>
        <v>控制炉批号！多了现场不收！,优先安排达钢,提前联系到场规格及数量</v>
      </c>
      <c r="M1467" s="84">
        <v>45787</v>
      </c>
      <c r="O1467" s="55">
        <f ca="1" t="shared" si="72"/>
        <v>0</v>
      </c>
      <c r="P1467" s="55">
        <f ca="1" t="shared" si="70"/>
        <v>170</v>
      </c>
      <c r="Q1467" s="22" t="str">
        <f>VLOOKUP(B1467,辅助信息!E:M,9,FALSE)</f>
        <v>ZTWM-CDGS-XS-2024-0134-商投建工达州中医药科技成果示范园项目</v>
      </c>
      <c r="R1467" s="22" t="str">
        <f>_xlfn._xlws.FILTER(辅助信息!D:D,辅助信息!E:E=B1467)</f>
        <v>商投建工达州中医药科技园</v>
      </c>
    </row>
    <row r="1468" hidden="1" spans="2:18">
      <c r="B1468" s="33" t="s">
        <v>56</v>
      </c>
      <c r="C1468" s="63">
        <v>45786</v>
      </c>
      <c r="D1468" s="33" t="str">
        <f>VLOOKUP(B1468,辅助信息!E:K,7,FALSE)</f>
        <v>JWDDCD2025052800131</v>
      </c>
      <c r="E1468" s="33" t="str">
        <f>VLOOKUP(F1468,辅助信息!A:B,2,FALSE)</f>
        <v>螺纹钢</v>
      </c>
      <c r="F1468" s="33" t="s">
        <v>66</v>
      </c>
      <c r="G1468" s="29">
        <v>15</v>
      </c>
      <c r="H1468" s="29" t="str">
        <f>_xlfn.XLOOKUP(C1468&amp;F1468&amp;I1468&amp;J1468,'[1]2025年已发货'!$F:$F&amp;'[1]2025年已发货'!$C:$C&amp;'[1]2025年已发货'!$G:$G&amp;'[1]2025年已发货'!$H:$H,'[1]2025年已发货'!$E:$E,"未发货")</f>
        <v>未发货</v>
      </c>
      <c r="I1468" s="33" t="str">
        <f>VLOOKUP(B1468,辅助信息!E:I,3,FALSE)</f>
        <v>（商投建工达州中医药科技园-4工区-7号楼）达州市通川区达州中医药职业学院犀牛大道北段</v>
      </c>
      <c r="J1468" s="33" t="str">
        <f>VLOOKUP(B1468,辅助信息!E:I,4,FALSE)</f>
        <v>张扬</v>
      </c>
      <c r="K1468" s="33">
        <f>VLOOKUP(J1468,辅助信息!H:I,2,FALSE)</f>
        <v>18381904567</v>
      </c>
      <c r="L1468" s="102" t="str">
        <f>VLOOKUP(B1468,辅助信息!E:J,6,FALSE)</f>
        <v>控制炉批号！多了现场不收！,优先安排达钢,提前联系到场规格及数量</v>
      </c>
      <c r="M1468" s="84">
        <v>45787</v>
      </c>
      <c r="O1468" s="55">
        <f ca="1" t="shared" si="72"/>
        <v>0</v>
      </c>
      <c r="P1468" s="55">
        <f ca="1" t="shared" si="70"/>
        <v>170</v>
      </c>
      <c r="Q1468" s="22" t="str">
        <f>VLOOKUP(B1468,辅助信息!E:M,9,FALSE)</f>
        <v>ZTWM-CDGS-XS-2024-0134-商投建工达州中医药科技成果示范园项目</v>
      </c>
      <c r="R1468" s="22" t="str">
        <f>_xlfn._xlws.FILTER(辅助信息!D:D,辅助信息!E:E=B1468)</f>
        <v>商投建工达州中医药科技园</v>
      </c>
    </row>
    <row r="1469" hidden="1" spans="2:18">
      <c r="B1469" s="33" t="s">
        <v>56</v>
      </c>
      <c r="C1469" s="63">
        <v>45786</v>
      </c>
      <c r="D1469" s="33" t="str">
        <f>VLOOKUP(B1469,辅助信息!E:K,7,FALSE)</f>
        <v>JWDDCD2025052800131</v>
      </c>
      <c r="E1469" s="33" t="str">
        <f>VLOOKUP(F1469,辅助信息!A:B,2,FALSE)</f>
        <v>螺纹钢</v>
      </c>
      <c r="F1469" s="33" t="s">
        <v>22</v>
      </c>
      <c r="G1469" s="29">
        <v>21</v>
      </c>
      <c r="H1469" s="29" t="str">
        <f>_xlfn.XLOOKUP(C1469&amp;F1469&amp;I1469&amp;J1469,'[1]2025年已发货'!$F:$F&amp;'[1]2025年已发货'!$C:$C&amp;'[1]2025年已发货'!$G:$G&amp;'[1]2025年已发货'!$H:$H,'[1]2025年已发货'!$E:$E,"未发货")</f>
        <v>未发货</v>
      </c>
      <c r="I1469" s="33" t="str">
        <f>VLOOKUP(B1469,辅助信息!E:I,3,FALSE)</f>
        <v>（商投建工达州中医药科技园-4工区-7号楼）达州市通川区达州中医药职业学院犀牛大道北段</v>
      </c>
      <c r="J1469" s="33" t="str">
        <f>VLOOKUP(B1469,辅助信息!E:I,4,FALSE)</f>
        <v>张扬</v>
      </c>
      <c r="K1469" s="33">
        <f>VLOOKUP(J1469,辅助信息!H:I,2,FALSE)</f>
        <v>18381904567</v>
      </c>
      <c r="L1469" s="102" t="str">
        <f>VLOOKUP(B1469,辅助信息!E:J,6,FALSE)</f>
        <v>控制炉批号！多了现场不收！,优先安排达钢,提前联系到场规格及数量</v>
      </c>
      <c r="M1469" s="84">
        <v>45787</v>
      </c>
      <c r="O1469" s="55">
        <f ca="1" t="shared" si="72"/>
        <v>0</v>
      </c>
      <c r="P1469" s="55">
        <f ca="1" t="shared" si="70"/>
        <v>170</v>
      </c>
      <c r="Q1469" s="22" t="str">
        <f>VLOOKUP(B1469,辅助信息!E:M,9,FALSE)</f>
        <v>ZTWM-CDGS-XS-2024-0134-商投建工达州中医药科技成果示范园项目</v>
      </c>
      <c r="R1469" s="22" t="str">
        <f>_xlfn._xlws.FILTER(辅助信息!D:D,辅助信息!E:E=B1469)</f>
        <v>商投建工达州中医药科技园</v>
      </c>
    </row>
    <row r="1470" hidden="1" spans="2:18">
      <c r="B1470" s="33" t="s">
        <v>81</v>
      </c>
      <c r="C1470" s="63">
        <v>45786</v>
      </c>
      <c r="D1470" s="33" t="str">
        <f>VLOOKUP(B1470,辅助信息!E:K,7,FALSE)</f>
        <v>JWDDCD2025060900080</v>
      </c>
      <c r="E1470" s="33" t="str">
        <f>VLOOKUP(F1470,辅助信息!A:B,2,FALSE)</f>
        <v>高线</v>
      </c>
      <c r="F1470" s="33" t="s">
        <v>53</v>
      </c>
      <c r="G1470" s="29">
        <v>2</v>
      </c>
      <c r="H1470" s="29" t="str">
        <f>_xlfn.XLOOKUP(C1470&amp;F1470&amp;I1470&amp;J1470,'[1]2025年已发货'!$F:$F&amp;'[1]2025年已发货'!$C:$C&amp;'[1]2025年已发货'!$G:$G&amp;'[1]2025年已发货'!$H:$H,'[1]2025年已发货'!$E:$E,"未发货")</f>
        <v>未发货</v>
      </c>
      <c r="I1470" s="33" t="str">
        <f>VLOOKUP(B1470,辅助信息!E:I,3,FALSE)</f>
        <v>（华西简阳西城嘉苑）四川省成都市简阳市简城街道高屋村</v>
      </c>
      <c r="J1470" s="33" t="str">
        <f>VLOOKUP(B1470,辅助信息!E:I,4,FALSE)</f>
        <v>张瀚镭</v>
      </c>
      <c r="K1470" s="33">
        <f>VLOOKUP(J1470,辅助信息!H:I,2,FALSE)</f>
        <v>15884666220</v>
      </c>
      <c r="L1470" s="102" t="str">
        <f>VLOOKUP(B1470,辅助信息!E:J,6,FALSE)</f>
        <v>现场禁止使用氢能源挂车！优先威钢发货,我方卸车,新老国标钢厂不加价可直发，因陕钢多次出现磅差，项目拒绝使用</v>
      </c>
      <c r="M1470" s="84">
        <v>45787</v>
      </c>
      <c r="O1470" s="55">
        <f ca="1" t="shared" si="72"/>
        <v>0</v>
      </c>
      <c r="P1470" s="55">
        <f ca="1" t="shared" si="70"/>
        <v>170</v>
      </c>
      <c r="Q1470" s="22" t="str">
        <f>VLOOKUP(B1470,辅助信息!E:M,9,FALSE)</f>
        <v>ZTWM-CDGS-XS-2024-0030-华西集采-简州大道</v>
      </c>
      <c r="R1470" s="22" t="str">
        <f>_xlfn._xlws.FILTER(辅助信息!D:D,辅助信息!E:E=B1470)</f>
        <v>华西简阳西城嘉苑</v>
      </c>
    </row>
    <row r="1471" hidden="1" spans="2:18">
      <c r="B1471" s="33" t="s">
        <v>81</v>
      </c>
      <c r="C1471" s="63">
        <v>45786</v>
      </c>
      <c r="D1471" s="33" t="str">
        <f>VLOOKUP(B1471,辅助信息!E:K,7,FALSE)</f>
        <v>JWDDCD2025060900080</v>
      </c>
      <c r="E1471" s="33" t="str">
        <f>VLOOKUP(F1471,辅助信息!A:B,2,FALSE)</f>
        <v>盘螺</v>
      </c>
      <c r="F1471" s="33" t="s">
        <v>41</v>
      </c>
      <c r="G1471" s="29">
        <v>66.5</v>
      </c>
      <c r="H1471" s="29" t="str">
        <f>_xlfn.XLOOKUP(C1471&amp;F1471&amp;I1471&amp;J1471,'[1]2025年已发货'!$F:$F&amp;'[1]2025年已发货'!$C:$C&amp;'[1]2025年已发货'!$G:$G&amp;'[1]2025年已发货'!$H:$H,'[1]2025年已发货'!$E:$E,"未发货")</f>
        <v>未发货</v>
      </c>
      <c r="I1471" s="33" t="str">
        <f>VLOOKUP(B1471,辅助信息!E:I,3,FALSE)</f>
        <v>（华西简阳西城嘉苑）四川省成都市简阳市简城街道高屋村</v>
      </c>
      <c r="J1471" s="33" t="str">
        <f>VLOOKUP(B1471,辅助信息!E:I,4,FALSE)</f>
        <v>张瀚镭</v>
      </c>
      <c r="K1471" s="33">
        <f>VLOOKUP(J1471,辅助信息!H:I,2,FALSE)</f>
        <v>15884666220</v>
      </c>
      <c r="L1471" s="102" t="str">
        <f>VLOOKUP(B1471,辅助信息!E:J,6,FALSE)</f>
        <v>现场禁止使用氢能源挂车！优先威钢发货,我方卸车,新老国标钢厂不加价可直发，因陕钢多次出现磅差，项目拒绝使用</v>
      </c>
      <c r="M1471" s="84">
        <v>45787</v>
      </c>
      <c r="O1471" s="55">
        <f ca="1" t="shared" si="72"/>
        <v>0</v>
      </c>
      <c r="P1471" s="55">
        <f ca="1" t="shared" si="70"/>
        <v>170</v>
      </c>
      <c r="Q1471" s="22" t="str">
        <f>VLOOKUP(B1471,辅助信息!E:M,9,FALSE)</f>
        <v>ZTWM-CDGS-XS-2024-0030-华西集采-简州大道</v>
      </c>
      <c r="R1471" s="22" t="str">
        <f>_xlfn._xlws.FILTER(辅助信息!D:D,辅助信息!E:E=B1471)</f>
        <v>华西简阳西城嘉苑</v>
      </c>
    </row>
    <row r="1472" hidden="1" spans="2:18">
      <c r="B1472" s="33" t="s">
        <v>81</v>
      </c>
      <c r="C1472" s="63">
        <v>45786</v>
      </c>
      <c r="D1472" s="33" t="str">
        <f>VLOOKUP(B1472,辅助信息!E:K,7,FALSE)</f>
        <v>JWDDCD2025060900080</v>
      </c>
      <c r="E1472" s="33" t="str">
        <f>VLOOKUP(F1472,辅助信息!A:B,2,FALSE)</f>
        <v>盘螺</v>
      </c>
      <c r="F1472" s="33" t="s">
        <v>26</v>
      </c>
      <c r="G1472" s="29">
        <v>52</v>
      </c>
      <c r="H1472" s="29" t="str">
        <f>_xlfn.XLOOKUP(C1472&amp;F1472&amp;I1472&amp;J1472,'[1]2025年已发货'!$F:$F&amp;'[1]2025年已发货'!$C:$C&amp;'[1]2025年已发货'!$G:$G&amp;'[1]2025年已发货'!$H:$H,'[1]2025年已发货'!$E:$E,"未发货")</f>
        <v>未发货</v>
      </c>
      <c r="I1472" s="33" t="str">
        <f>VLOOKUP(B1472,辅助信息!E:I,3,FALSE)</f>
        <v>（华西简阳西城嘉苑）四川省成都市简阳市简城街道高屋村</v>
      </c>
      <c r="J1472" s="33" t="str">
        <f>VLOOKUP(B1472,辅助信息!E:I,4,FALSE)</f>
        <v>张瀚镭</v>
      </c>
      <c r="K1472" s="33">
        <f>VLOOKUP(J1472,辅助信息!H:I,2,FALSE)</f>
        <v>15884666220</v>
      </c>
      <c r="L1472" s="102" t="str">
        <f>VLOOKUP(B1472,辅助信息!E:J,6,FALSE)</f>
        <v>现场禁止使用氢能源挂车！优先威钢发货,我方卸车,新老国标钢厂不加价可直发，因陕钢多次出现磅差，项目拒绝使用</v>
      </c>
      <c r="M1472" s="84">
        <v>45787</v>
      </c>
      <c r="O1472" s="55">
        <f ca="1" t="shared" si="72"/>
        <v>0</v>
      </c>
      <c r="P1472" s="55">
        <f ca="1" t="shared" si="70"/>
        <v>170</v>
      </c>
      <c r="Q1472" s="22" t="str">
        <f>VLOOKUP(B1472,辅助信息!E:M,9,FALSE)</f>
        <v>ZTWM-CDGS-XS-2024-0030-华西集采-简州大道</v>
      </c>
      <c r="R1472" s="22" t="str">
        <f>_xlfn._xlws.FILTER(辅助信息!D:D,辅助信息!E:E=B1472)</f>
        <v>华西简阳西城嘉苑</v>
      </c>
    </row>
    <row r="1473" hidden="1" spans="2:18">
      <c r="B1473" s="33" t="s">
        <v>81</v>
      </c>
      <c r="C1473" s="63">
        <v>45786</v>
      </c>
      <c r="D1473" s="33" t="str">
        <f>VLOOKUP(B1473,辅助信息!E:K,7,FALSE)</f>
        <v>JWDDCD2025060900080</v>
      </c>
      <c r="E1473" s="33" t="str">
        <f>VLOOKUP(F1473,辅助信息!A:B,2,FALSE)</f>
        <v>螺纹钢</v>
      </c>
      <c r="F1473" s="33" t="s">
        <v>19</v>
      </c>
      <c r="G1473" s="29">
        <v>14</v>
      </c>
      <c r="H1473" s="29" t="str">
        <f>_xlfn.XLOOKUP(C1473&amp;F1473&amp;I1473&amp;J1473,'[1]2025年已发货'!$F:$F&amp;'[1]2025年已发货'!$C:$C&amp;'[1]2025年已发货'!$G:$G&amp;'[1]2025年已发货'!$H:$H,'[1]2025年已发货'!$E:$E,"未发货")</f>
        <v>未发货</v>
      </c>
      <c r="I1473" s="33" t="str">
        <f>VLOOKUP(B1473,辅助信息!E:I,3,FALSE)</f>
        <v>（华西简阳西城嘉苑）四川省成都市简阳市简城街道高屋村</v>
      </c>
      <c r="J1473" s="33" t="str">
        <f>VLOOKUP(B1473,辅助信息!E:I,4,FALSE)</f>
        <v>张瀚镭</v>
      </c>
      <c r="K1473" s="33">
        <f>VLOOKUP(J1473,辅助信息!H:I,2,FALSE)</f>
        <v>15884666220</v>
      </c>
      <c r="L1473" s="102" t="str">
        <f>VLOOKUP(B1473,辅助信息!E:J,6,FALSE)</f>
        <v>现场禁止使用氢能源挂车！优先威钢发货,我方卸车,新老国标钢厂不加价可直发，因陕钢多次出现磅差，项目拒绝使用</v>
      </c>
      <c r="M1473" s="84">
        <v>45787</v>
      </c>
      <c r="O1473" s="55">
        <f ca="1" t="shared" si="72"/>
        <v>0</v>
      </c>
      <c r="P1473" s="55">
        <f ca="1" t="shared" si="70"/>
        <v>170</v>
      </c>
      <c r="Q1473" s="22" t="str">
        <f>VLOOKUP(B1473,辅助信息!E:M,9,FALSE)</f>
        <v>ZTWM-CDGS-XS-2024-0030-华西集采-简州大道</v>
      </c>
      <c r="R1473" s="22" t="str">
        <f>_xlfn._xlws.FILTER(辅助信息!D:D,辅助信息!E:E=B1473)</f>
        <v>华西简阳西城嘉苑</v>
      </c>
    </row>
    <row r="1474" hidden="1" spans="2:18">
      <c r="B1474" s="33" t="s">
        <v>81</v>
      </c>
      <c r="C1474" s="63">
        <v>45786</v>
      </c>
      <c r="D1474" s="33" t="str">
        <f>VLOOKUP(B1474,辅助信息!E:K,7,FALSE)</f>
        <v>JWDDCD2025060900080</v>
      </c>
      <c r="E1474" s="33" t="str">
        <f>VLOOKUP(F1474,辅助信息!A:B,2,FALSE)</f>
        <v>螺纹钢</v>
      </c>
      <c r="F1474" s="33" t="s">
        <v>32</v>
      </c>
      <c r="G1474" s="29">
        <v>48</v>
      </c>
      <c r="H1474" s="29" t="str">
        <f>_xlfn.XLOOKUP(C1474&amp;F1474&amp;I1474&amp;J1474,'[1]2025年已发货'!$F:$F&amp;'[1]2025年已发货'!$C:$C&amp;'[1]2025年已发货'!$G:$G&amp;'[1]2025年已发货'!$H:$H,'[1]2025年已发货'!$E:$E,"未发货")</f>
        <v>未发货</v>
      </c>
      <c r="I1474" s="33" t="str">
        <f>VLOOKUP(B1474,辅助信息!E:I,3,FALSE)</f>
        <v>（华西简阳西城嘉苑）四川省成都市简阳市简城街道高屋村</v>
      </c>
      <c r="J1474" s="33" t="str">
        <f>VLOOKUP(B1474,辅助信息!E:I,4,FALSE)</f>
        <v>张瀚镭</v>
      </c>
      <c r="K1474" s="33">
        <f>VLOOKUP(J1474,辅助信息!H:I,2,FALSE)</f>
        <v>15884666220</v>
      </c>
      <c r="L1474" s="102" t="str">
        <f>VLOOKUP(B1474,辅助信息!E:J,6,FALSE)</f>
        <v>现场禁止使用氢能源挂车！优先威钢发货,我方卸车,新老国标钢厂不加价可直发，因陕钢多次出现磅差，项目拒绝使用</v>
      </c>
      <c r="M1474" s="84">
        <v>45787</v>
      </c>
      <c r="O1474" s="55">
        <f ca="1" t="shared" si="72"/>
        <v>0</v>
      </c>
      <c r="P1474" s="55">
        <f ca="1" t="shared" si="70"/>
        <v>170</v>
      </c>
      <c r="Q1474" s="22" t="str">
        <f>VLOOKUP(B1474,辅助信息!E:M,9,FALSE)</f>
        <v>ZTWM-CDGS-XS-2024-0030-华西集采-简州大道</v>
      </c>
      <c r="R1474" s="22" t="str">
        <f>_xlfn._xlws.FILTER(辅助信息!D:D,辅助信息!E:E=B1474)</f>
        <v>华西简阳西城嘉苑</v>
      </c>
    </row>
    <row r="1475" hidden="1" spans="2:18">
      <c r="B1475" s="33" t="s">
        <v>81</v>
      </c>
      <c r="C1475" s="63">
        <v>45786</v>
      </c>
      <c r="D1475" s="33" t="str">
        <f>VLOOKUP(B1475,辅助信息!E:K,7,FALSE)</f>
        <v>JWDDCD2025060900080</v>
      </c>
      <c r="E1475" s="33" t="str">
        <f>VLOOKUP(F1475,辅助信息!A:B,2,FALSE)</f>
        <v>螺纹钢</v>
      </c>
      <c r="F1475" s="33" t="s">
        <v>30</v>
      </c>
      <c r="G1475" s="29">
        <v>4.5</v>
      </c>
      <c r="H1475" s="29" t="str">
        <f>_xlfn.XLOOKUP(C1475&amp;F1475&amp;I1475&amp;J1475,'[1]2025年已发货'!$F:$F&amp;'[1]2025年已发货'!$C:$C&amp;'[1]2025年已发货'!$G:$G&amp;'[1]2025年已发货'!$H:$H,'[1]2025年已发货'!$E:$E,"未发货")</f>
        <v>未发货</v>
      </c>
      <c r="I1475" s="33" t="str">
        <f>VLOOKUP(B1475,辅助信息!E:I,3,FALSE)</f>
        <v>（华西简阳西城嘉苑）四川省成都市简阳市简城街道高屋村</v>
      </c>
      <c r="J1475" s="33" t="str">
        <f>VLOOKUP(B1475,辅助信息!E:I,4,FALSE)</f>
        <v>张瀚镭</v>
      </c>
      <c r="K1475" s="33">
        <f>VLOOKUP(J1475,辅助信息!H:I,2,FALSE)</f>
        <v>15884666220</v>
      </c>
      <c r="L1475" s="102" t="str">
        <f>VLOOKUP(B1475,辅助信息!E:J,6,FALSE)</f>
        <v>现场禁止使用氢能源挂车！优先威钢发货,我方卸车,新老国标钢厂不加价可直发，因陕钢多次出现磅差，项目拒绝使用</v>
      </c>
      <c r="M1475" s="84">
        <v>45787</v>
      </c>
      <c r="O1475" s="55">
        <f ca="1" t="shared" si="72"/>
        <v>0</v>
      </c>
      <c r="P1475" s="55">
        <f ca="1" t="shared" si="70"/>
        <v>170</v>
      </c>
      <c r="Q1475" s="22" t="str">
        <f>VLOOKUP(B1475,辅助信息!E:M,9,FALSE)</f>
        <v>ZTWM-CDGS-XS-2024-0030-华西集采-简州大道</v>
      </c>
      <c r="R1475" s="22" t="str">
        <f>_xlfn._xlws.FILTER(辅助信息!D:D,辅助信息!E:E=B1475)</f>
        <v>华西简阳西城嘉苑</v>
      </c>
    </row>
    <row r="1476" hidden="1" spans="2:18">
      <c r="B1476" s="33" t="s">
        <v>81</v>
      </c>
      <c r="C1476" s="63">
        <v>45786</v>
      </c>
      <c r="D1476" s="33" t="str">
        <f>VLOOKUP(B1476,辅助信息!E:K,7,FALSE)</f>
        <v>JWDDCD2025060900080</v>
      </c>
      <c r="E1476" s="33" t="str">
        <f>VLOOKUP(F1476,辅助信息!A:B,2,FALSE)</f>
        <v>螺纹钢</v>
      </c>
      <c r="F1476" s="33" t="s">
        <v>33</v>
      </c>
      <c r="G1476" s="29">
        <v>9.5</v>
      </c>
      <c r="H1476" s="29" t="str">
        <f>_xlfn.XLOOKUP(C1476&amp;F1476&amp;I1476&amp;J1476,'[1]2025年已发货'!$F:$F&amp;'[1]2025年已发货'!$C:$C&amp;'[1]2025年已发货'!$G:$G&amp;'[1]2025年已发货'!$H:$H,'[1]2025年已发货'!$E:$E,"未发货")</f>
        <v>未发货</v>
      </c>
      <c r="I1476" s="33" t="str">
        <f>VLOOKUP(B1476,辅助信息!E:I,3,FALSE)</f>
        <v>（华西简阳西城嘉苑）四川省成都市简阳市简城街道高屋村</v>
      </c>
      <c r="J1476" s="33" t="str">
        <f>VLOOKUP(B1476,辅助信息!E:I,4,FALSE)</f>
        <v>张瀚镭</v>
      </c>
      <c r="K1476" s="33">
        <f>VLOOKUP(J1476,辅助信息!H:I,2,FALSE)</f>
        <v>15884666220</v>
      </c>
      <c r="L1476" s="102" t="str">
        <f>VLOOKUP(B1476,辅助信息!E:J,6,FALSE)</f>
        <v>现场禁止使用氢能源挂车！优先威钢发货,我方卸车,新老国标钢厂不加价可直发，因陕钢多次出现磅差，项目拒绝使用</v>
      </c>
      <c r="M1476" s="84">
        <v>45787</v>
      </c>
      <c r="O1476" s="55">
        <f ca="1" t="shared" si="72"/>
        <v>0</v>
      </c>
      <c r="P1476" s="55">
        <f ca="1" t="shared" si="70"/>
        <v>170</v>
      </c>
      <c r="Q1476" s="22" t="str">
        <f>VLOOKUP(B1476,辅助信息!E:M,9,FALSE)</f>
        <v>ZTWM-CDGS-XS-2024-0030-华西集采-简州大道</v>
      </c>
      <c r="R1476" s="22" t="str">
        <f>_xlfn._xlws.FILTER(辅助信息!D:D,辅助信息!E:E=B1476)</f>
        <v>华西简阳西城嘉苑</v>
      </c>
    </row>
    <row r="1477" hidden="1" spans="2:18">
      <c r="B1477" s="33" t="s">
        <v>81</v>
      </c>
      <c r="C1477" s="63">
        <v>45786</v>
      </c>
      <c r="D1477" s="33" t="str">
        <f>VLOOKUP(B1477,辅助信息!E:K,7,FALSE)</f>
        <v>JWDDCD2025060900080</v>
      </c>
      <c r="E1477" s="33" t="str">
        <f>VLOOKUP(F1477,辅助信息!A:B,2,FALSE)</f>
        <v>螺纹钢</v>
      </c>
      <c r="F1477" s="33" t="s">
        <v>28</v>
      </c>
      <c r="G1477" s="29">
        <v>2</v>
      </c>
      <c r="H1477" s="29" t="str">
        <f>_xlfn.XLOOKUP(C1477&amp;F1477&amp;I1477&amp;J1477,'[1]2025年已发货'!$F:$F&amp;'[1]2025年已发货'!$C:$C&amp;'[1]2025年已发货'!$G:$G&amp;'[1]2025年已发货'!$H:$H,'[1]2025年已发货'!$E:$E,"未发货")</f>
        <v>未发货</v>
      </c>
      <c r="I1477" s="33" t="str">
        <f>VLOOKUP(B1477,辅助信息!E:I,3,FALSE)</f>
        <v>（华西简阳西城嘉苑）四川省成都市简阳市简城街道高屋村</v>
      </c>
      <c r="J1477" s="33" t="str">
        <f>VLOOKUP(B1477,辅助信息!E:I,4,FALSE)</f>
        <v>张瀚镭</v>
      </c>
      <c r="K1477" s="33">
        <f>VLOOKUP(J1477,辅助信息!H:I,2,FALSE)</f>
        <v>15884666220</v>
      </c>
      <c r="L1477" s="102" t="str">
        <f>VLOOKUP(B1477,辅助信息!E:J,6,FALSE)</f>
        <v>现场禁止使用氢能源挂车！优先威钢发货,我方卸车,新老国标钢厂不加价可直发，因陕钢多次出现磅差，项目拒绝使用</v>
      </c>
      <c r="M1477" s="84">
        <v>45787</v>
      </c>
      <c r="O1477" s="55">
        <f ca="1" t="shared" si="72"/>
        <v>0</v>
      </c>
      <c r="P1477" s="55">
        <f ca="1" t="shared" si="70"/>
        <v>170</v>
      </c>
      <c r="Q1477" s="22" t="str">
        <f>VLOOKUP(B1477,辅助信息!E:M,9,FALSE)</f>
        <v>ZTWM-CDGS-XS-2024-0030-华西集采-简州大道</v>
      </c>
      <c r="R1477" s="22" t="str">
        <f>_xlfn._xlws.FILTER(辅助信息!D:D,辅助信息!E:E=B1477)</f>
        <v>华西简阳西城嘉苑</v>
      </c>
    </row>
    <row r="1478" hidden="1" spans="2:18">
      <c r="B1478" s="33" t="s">
        <v>81</v>
      </c>
      <c r="C1478" s="63">
        <v>45786</v>
      </c>
      <c r="D1478" s="33" t="str">
        <f>VLOOKUP(B1478,辅助信息!E:K,7,FALSE)</f>
        <v>JWDDCD2025060900080</v>
      </c>
      <c r="E1478" s="33" t="str">
        <f>VLOOKUP(F1478,辅助信息!A:B,2,FALSE)</f>
        <v>螺纹钢</v>
      </c>
      <c r="F1478" s="33" t="s">
        <v>18</v>
      </c>
      <c r="G1478" s="29">
        <v>14.5</v>
      </c>
      <c r="H1478" s="29" t="str">
        <f>_xlfn.XLOOKUP(C1478&amp;F1478&amp;I1478&amp;J1478,'[1]2025年已发货'!$F:$F&amp;'[1]2025年已发货'!$C:$C&amp;'[1]2025年已发货'!$G:$G&amp;'[1]2025年已发货'!$H:$H,'[1]2025年已发货'!$E:$E,"未发货")</f>
        <v>未发货</v>
      </c>
      <c r="I1478" s="33" t="str">
        <f>VLOOKUP(B1478,辅助信息!E:I,3,FALSE)</f>
        <v>（华西简阳西城嘉苑）四川省成都市简阳市简城街道高屋村</v>
      </c>
      <c r="J1478" s="33" t="str">
        <f>VLOOKUP(B1478,辅助信息!E:I,4,FALSE)</f>
        <v>张瀚镭</v>
      </c>
      <c r="K1478" s="33">
        <f>VLOOKUP(J1478,辅助信息!H:I,2,FALSE)</f>
        <v>15884666220</v>
      </c>
      <c r="L1478" s="102" t="str">
        <f>VLOOKUP(B1478,辅助信息!E:J,6,FALSE)</f>
        <v>现场禁止使用氢能源挂车！优先威钢发货,我方卸车,新老国标钢厂不加价可直发，因陕钢多次出现磅差，项目拒绝使用</v>
      </c>
      <c r="M1478" s="84">
        <v>45787</v>
      </c>
      <c r="O1478" s="55">
        <f ca="1" t="shared" si="72"/>
        <v>0</v>
      </c>
      <c r="P1478" s="55">
        <f ca="1" t="shared" si="70"/>
        <v>170</v>
      </c>
      <c r="Q1478" s="22" t="str">
        <f>VLOOKUP(B1478,辅助信息!E:M,9,FALSE)</f>
        <v>ZTWM-CDGS-XS-2024-0030-华西集采-简州大道</v>
      </c>
      <c r="R1478" s="22" t="str">
        <f>_xlfn._xlws.FILTER(辅助信息!D:D,辅助信息!E:E=B1478)</f>
        <v>华西简阳西城嘉苑</v>
      </c>
    </row>
    <row r="1479" hidden="1" spans="2:18">
      <c r="B1479" s="33" t="s">
        <v>81</v>
      </c>
      <c r="C1479" s="63">
        <v>45786</v>
      </c>
      <c r="D1479" s="33" t="str">
        <f>VLOOKUP(B1479,辅助信息!E:K,7,FALSE)</f>
        <v>JWDDCD2025060900080</v>
      </c>
      <c r="E1479" s="33" t="str">
        <f>VLOOKUP(F1479,辅助信息!A:B,2,FALSE)</f>
        <v>盘螺</v>
      </c>
      <c r="F1479" s="33" t="s">
        <v>49</v>
      </c>
      <c r="G1479" s="29">
        <v>2</v>
      </c>
      <c r="H1479" s="29" t="str">
        <f>_xlfn.XLOOKUP(C1479&amp;F1479&amp;I1479&amp;J1479,'[1]2025年已发货'!$F:$F&amp;'[1]2025年已发货'!$C:$C&amp;'[1]2025年已发货'!$G:$G&amp;'[1]2025年已发货'!$H:$H,'[1]2025年已发货'!$E:$E,"未发货")</f>
        <v>未发货</v>
      </c>
      <c r="I1479" s="33" t="str">
        <f>VLOOKUP(B1479,辅助信息!E:I,3,FALSE)</f>
        <v>（华西简阳西城嘉苑）四川省成都市简阳市简城街道高屋村</v>
      </c>
      <c r="J1479" s="33" t="str">
        <f>VLOOKUP(B1479,辅助信息!E:I,4,FALSE)</f>
        <v>张瀚镭</v>
      </c>
      <c r="K1479" s="33">
        <f>VLOOKUP(J1479,辅助信息!H:I,2,FALSE)</f>
        <v>15884666220</v>
      </c>
      <c r="L1479" s="102" t="str">
        <f>VLOOKUP(B1479,辅助信息!E:J,6,FALSE)</f>
        <v>现场禁止使用氢能源挂车！优先威钢发货,我方卸车,新老国标钢厂不加价可直发，因陕钢多次出现磅差，项目拒绝使用</v>
      </c>
      <c r="M1479" s="84">
        <v>45787</v>
      </c>
      <c r="O1479" s="55">
        <f ca="1" t="shared" si="72"/>
        <v>0</v>
      </c>
      <c r="P1479" s="55">
        <f ca="1" t="shared" si="70"/>
        <v>170</v>
      </c>
      <c r="Q1479" s="22" t="str">
        <f>VLOOKUP(B1479,辅助信息!E:M,9,FALSE)</f>
        <v>ZTWM-CDGS-XS-2024-0030-华西集采-简州大道</v>
      </c>
      <c r="R1479" s="22" t="str">
        <f>_xlfn._xlws.FILTER(辅助信息!D:D,辅助信息!E:E=B1479)</f>
        <v>华西简阳西城嘉苑</v>
      </c>
    </row>
    <row r="1480" hidden="1" spans="2:18">
      <c r="B1480" s="33" t="s">
        <v>81</v>
      </c>
      <c r="C1480" s="63">
        <v>45786</v>
      </c>
      <c r="D1480" s="33" t="str">
        <f>VLOOKUP(B1480,辅助信息!E:K,7,FALSE)</f>
        <v>JWDDCD2025060900080</v>
      </c>
      <c r="E1480" s="33" t="str">
        <f>VLOOKUP(F1480,辅助信息!A:B,2,FALSE)</f>
        <v>盘螺</v>
      </c>
      <c r="F1480" s="33" t="s">
        <v>40</v>
      </c>
      <c r="G1480" s="29">
        <v>51</v>
      </c>
      <c r="H1480" s="29" t="str">
        <f>_xlfn.XLOOKUP(C1480&amp;F1480&amp;I1480&amp;J1480,'[1]2025年已发货'!$F:$F&amp;'[1]2025年已发货'!$C:$C&amp;'[1]2025年已发货'!$G:$G&amp;'[1]2025年已发货'!$H:$H,'[1]2025年已发货'!$E:$E,"未发货")</f>
        <v>未发货</v>
      </c>
      <c r="I1480" s="33" t="str">
        <f>VLOOKUP(B1480,辅助信息!E:I,3,FALSE)</f>
        <v>（华西简阳西城嘉苑）四川省成都市简阳市简城街道高屋村</v>
      </c>
      <c r="J1480" s="33" t="str">
        <f>VLOOKUP(B1480,辅助信息!E:I,4,FALSE)</f>
        <v>张瀚镭</v>
      </c>
      <c r="K1480" s="33">
        <f>VLOOKUP(J1480,辅助信息!H:I,2,FALSE)</f>
        <v>15884666220</v>
      </c>
      <c r="L1480" s="102" t="str">
        <f>VLOOKUP(B1480,辅助信息!E:J,6,FALSE)</f>
        <v>现场禁止使用氢能源挂车！优先威钢发货,我方卸车,新老国标钢厂不加价可直发，因陕钢多次出现磅差，项目拒绝使用</v>
      </c>
      <c r="M1480" s="84">
        <v>45787</v>
      </c>
      <c r="O1480" s="55">
        <f ca="1" t="shared" si="72"/>
        <v>0</v>
      </c>
      <c r="P1480" s="55">
        <f ca="1" t="shared" si="70"/>
        <v>170</v>
      </c>
      <c r="Q1480" s="22" t="str">
        <f>VLOOKUP(B1480,辅助信息!E:M,9,FALSE)</f>
        <v>ZTWM-CDGS-XS-2024-0030-华西集采-简州大道</v>
      </c>
      <c r="R1480" s="22" t="str">
        <f>_xlfn._xlws.FILTER(辅助信息!D:D,辅助信息!E:E=B1480)</f>
        <v>华西简阳西城嘉苑</v>
      </c>
    </row>
    <row r="1481" hidden="1" spans="2:18">
      <c r="B1481" s="33" t="s">
        <v>81</v>
      </c>
      <c r="C1481" s="63">
        <v>45786</v>
      </c>
      <c r="D1481" s="33" t="str">
        <f>VLOOKUP(B1481,辅助信息!E:K,7,FALSE)</f>
        <v>JWDDCD2025060900080</v>
      </c>
      <c r="E1481" s="33" t="str">
        <f>VLOOKUP(F1481,辅助信息!A:B,2,FALSE)</f>
        <v>螺纹钢</v>
      </c>
      <c r="F1481" s="33" t="s">
        <v>66</v>
      </c>
      <c r="G1481" s="29">
        <v>2.5</v>
      </c>
      <c r="H1481" s="29" t="str">
        <f>_xlfn.XLOOKUP(C1481&amp;F1481&amp;I1481&amp;J1481,'[1]2025年已发货'!$F:$F&amp;'[1]2025年已发货'!$C:$C&amp;'[1]2025年已发货'!$G:$G&amp;'[1]2025年已发货'!$H:$H,'[1]2025年已发货'!$E:$E,"未发货")</f>
        <v>未发货</v>
      </c>
      <c r="I1481" s="33" t="str">
        <f>VLOOKUP(B1481,辅助信息!E:I,3,FALSE)</f>
        <v>（华西简阳西城嘉苑）四川省成都市简阳市简城街道高屋村</v>
      </c>
      <c r="J1481" s="33" t="str">
        <f>VLOOKUP(B1481,辅助信息!E:I,4,FALSE)</f>
        <v>张瀚镭</v>
      </c>
      <c r="K1481" s="33">
        <f>VLOOKUP(J1481,辅助信息!H:I,2,FALSE)</f>
        <v>15884666220</v>
      </c>
      <c r="L1481" s="102" t="str">
        <f>VLOOKUP(B1481,辅助信息!E:J,6,FALSE)</f>
        <v>现场禁止使用氢能源挂车！优先威钢发货,我方卸车,新老国标钢厂不加价可直发，因陕钢多次出现磅差，项目拒绝使用</v>
      </c>
      <c r="M1481" s="84">
        <v>45787</v>
      </c>
      <c r="O1481" s="55">
        <f ca="1" t="shared" si="72"/>
        <v>0</v>
      </c>
      <c r="P1481" s="55">
        <f ca="1" t="shared" si="70"/>
        <v>170</v>
      </c>
      <c r="Q1481" s="22" t="str">
        <f>VLOOKUP(B1481,辅助信息!E:M,9,FALSE)</f>
        <v>ZTWM-CDGS-XS-2024-0030-华西集采-简州大道</v>
      </c>
      <c r="R1481" s="22" t="str">
        <f>_xlfn._xlws.FILTER(辅助信息!D:D,辅助信息!E:E=B1481)</f>
        <v>华西简阳西城嘉苑</v>
      </c>
    </row>
    <row r="1482" hidden="1" spans="2:18">
      <c r="B1482" s="33" t="s">
        <v>81</v>
      </c>
      <c r="C1482" s="63">
        <v>45786</v>
      </c>
      <c r="D1482" s="33" t="str">
        <f>VLOOKUP(B1482,辅助信息!E:K,7,FALSE)</f>
        <v>JWDDCD2025060900080</v>
      </c>
      <c r="E1482" s="33" t="str">
        <f>VLOOKUP(F1482,辅助信息!A:B,2,FALSE)</f>
        <v>螺纹钢</v>
      </c>
      <c r="F1482" s="33" t="s">
        <v>82</v>
      </c>
      <c r="G1482" s="29">
        <v>2.5</v>
      </c>
      <c r="H1482" s="29" t="str">
        <f>_xlfn.XLOOKUP(C1482&amp;F1482&amp;I1482&amp;J1482,'[1]2025年已发货'!$F:$F&amp;'[1]2025年已发货'!$C:$C&amp;'[1]2025年已发货'!$G:$G&amp;'[1]2025年已发货'!$H:$H,'[1]2025年已发货'!$E:$E,"未发货")</f>
        <v>未发货</v>
      </c>
      <c r="I1482" s="33" t="str">
        <f>VLOOKUP(B1482,辅助信息!E:I,3,FALSE)</f>
        <v>（华西简阳西城嘉苑）四川省成都市简阳市简城街道高屋村</v>
      </c>
      <c r="J1482" s="33" t="str">
        <f>VLOOKUP(B1482,辅助信息!E:I,4,FALSE)</f>
        <v>张瀚镭</v>
      </c>
      <c r="K1482" s="33">
        <f>VLOOKUP(J1482,辅助信息!H:I,2,FALSE)</f>
        <v>15884666220</v>
      </c>
      <c r="L1482" s="102" t="str">
        <f>VLOOKUP(B1482,辅助信息!E:J,6,FALSE)</f>
        <v>现场禁止使用氢能源挂车！优先威钢发货,我方卸车,新老国标钢厂不加价可直发，因陕钢多次出现磅差，项目拒绝使用</v>
      </c>
      <c r="M1482" s="84">
        <v>45787</v>
      </c>
      <c r="O1482" s="55">
        <f ca="1" t="shared" si="72"/>
        <v>0</v>
      </c>
      <c r="P1482" s="55">
        <f ca="1" t="shared" si="70"/>
        <v>170</v>
      </c>
      <c r="Q1482" s="22" t="str">
        <f>VLOOKUP(B1482,辅助信息!E:M,9,FALSE)</f>
        <v>ZTWM-CDGS-XS-2024-0030-华西集采-简州大道</v>
      </c>
      <c r="R1482" s="22" t="str">
        <f>_xlfn._xlws.FILTER(辅助信息!D:D,辅助信息!E:E=B1482)</f>
        <v>华西简阳西城嘉苑</v>
      </c>
    </row>
    <row r="1483" hidden="1" spans="2:18">
      <c r="B1483" s="33" t="s">
        <v>81</v>
      </c>
      <c r="C1483" s="63">
        <v>45786</v>
      </c>
      <c r="D1483" s="33" t="str">
        <f>VLOOKUP(B1483,辅助信息!E:K,7,FALSE)</f>
        <v>JWDDCD2025060900080</v>
      </c>
      <c r="E1483" s="33" t="str">
        <f>VLOOKUP(F1483,辅助信息!A:B,2,FALSE)</f>
        <v>螺纹钢</v>
      </c>
      <c r="F1483" s="33" t="s">
        <v>45</v>
      </c>
      <c r="G1483" s="29">
        <v>2.5</v>
      </c>
      <c r="H1483" s="29" t="str">
        <f>_xlfn.XLOOKUP(C1483&amp;F1483&amp;I1483&amp;J1483,'[1]2025年已发货'!$F:$F&amp;'[1]2025年已发货'!$C:$C&amp;'[1]2025年已发货'!$G:$G&amp;'[1]2025年已发货'!$H:$H,'[1]2025年已发货'!$E:$E,"未发货")</f>
        <v>未发货</v>
      </c>
      <c r="I1483" s="33" t="str">
        <f>VLOOKUP(B1483,辅助信息!E:I,3,FALSE)</f>
        <v>（华西简阳西城嘉苑）四川省成都市简阳市简城街道高屋村</v>
      </c>
      <c r="J1483" s="33" t="str">
        <f>VLOOKUP(B1483,辅助信息!E:I,4,FALSE)</f>
        <v>张瀚镭</v>
      </c>
      <c r="K1483" s="33">
        <f>VLOOKUP(J1483,辅助信息!H:I,2,FALSE)</f>
        <v>15884666220</v>
      </c>
      <c r="L1483" s="102" t="str">
        <f>VLOOKUP(B1483,辅助信息!E:J,6,FALSE)</f>
        <v>现场禁止使用氢能源挂车！优先威钢发货,我方卸车,新老国标钢厂不加价可直发，因陕钢多次出现磅差，项目拒绝使用</v>
      </c>
      <c r="M1483" s="84">
        <v>45787</v>
      </c>
      <c r="O1483" s="55">
        <f ca="1" t="shared" si="72"/>
        <v>0</v>
      </c>
      <c r="P1483" s="55">
        <f ca="1" t="shared" si="70"/>
        <v>170</v>
      </c>
      <c r="Q1483" s="22" t="str">
        <f>VLOOKUP(B1483,辅助信息!E:M,9,FALSE)</f>
        <v>ZTWM-CDGS-XS-2024-0030-华西集采-简州大道</v>
      </c>
      <c r="R1483" s="22" t="str">
        <f>_xlfn._xlws.FILTER(辅助信息!D:D,辅助信息!E:E=B1483)</f>
        <v>华西简阳西城嘉苑</v>
      </c>
    </row>
    <row r="1484" hidden="1" spans="2:18">
      <c r="B1484" s="33" t="s">
        <v>81</v>
      </c>
      <c r="C1484" s="63">
        <v>45786</v>
      </c>
      <c r="D1484" s="33" t="str">
        <f>VLOOKUP(B1484,辅助信息!E:K,7,FALSE)</f>
        <v>JWDDCD2025060900080</v>
      </c>
      <c r="E1484" s="33" t="str">
        <f>VLOOKUP(F1484,辅助信息!A:B,2,FALSE)</f>
        <v>螺纹钢</v>
      </c>
      <c r="F1484" s="33" t="s">
        <v>21</v>
      </c>
      <c r="G1484" s="29">
        <v>2.5</v>
      </c>
      <c r="H1484" s="29" t="str">
        <f>_xlfn.XLOOKUP(C1484&amp;F1484&amp;I1484&amp;J1484,'[1]2025年已发货'!$F:$F&amp;'[1]2025年已发货'!$C:$C&amp;'[1]2025年已发货'!$G:$G&amp;'[1]2025年已发货'!$H:$H,'[1]2025年已发货'!$E:$E,"未发货")</f>
        <v>未发货</v>
      </c>
      <c r="I1484" s="33" t="str">
        <f>VLOOKUP(B1484,辅助信息!E:I,3,FALSE)</f>
        <v>（华西简阳西城嘉苑）四川省成都市简阳市简城街道高屋村</v>
      </c>
      <c r="J1484" s="33" t="str">
        <f>VLOOKUP(B1484,辅助信息!E:I,4,FALSE)</f>
        <v>张瀚镭</v>
      </c>
      <c r="K1484" s="33">
        <f>VLOOKUP(J1484,辅助信息!H:I,2,FALSE)</f>
        <v>15884666220</v>
      </c>
      <c r="L1484" s="102" t="str">
        <f>VLOOKUP(B1484,辅助信息!E:J,6,FALSE)</f>
        <v>现场禁止使用氢能源挂车！优先威钢发货,我方卸车,新老国标钢厂不加价可直发，因陕钢多次出现磅差，项目拒绝使用</v>
      </c>
      <c r="M1484" s="84">
        <v>45787</v>
      </c>
      <c r="O1484" s="55">
        <f ca="1" t="shared" si="72"/>
        <v>0</v>
      </c>
      <c r="P1484" s="55">
        <f ca="1" t="shared" si="70"/>
        <v>170</v>
      </c>
      <c r="Q1484" s="22" t="str">
        <f>VLOOKUP(B1484,辅助信息!E:M,9,FALSE)</f>
        <v>ZTWM-CDGS-XS-2024-0030-华西集采-简州大道</v>
      </c>
      <c r="R1484" s="22" t="str">
        <f>_xlfn._xlws.FILTER(辅助信息!D:D,辅助信息!E:E=B1484)</f>
        <v>华西简阳西城嘉苑</v>
      </c>
    </row>
    <row r="1485" hidden="1" spans="2:18">
      <c r="B1485" s="33" t="s">
        <v>81</v>
      </c>
      <c r="C1485" s="63">
        <v>45786</v>
      </c>
      <c r="D1485" s="33" t="str">
        <f>VLOOKUP(B1485,辅助信息!E:K,7,FALSE)</f>
        <v>JWDDCD2025060900080</v>
      </c>
      <c r="E1485" s="33" t="str">
        <f>VLOOKUP(F1485,辅助信息!A:B,2,FALSE)</f>
        <v>螺纹钢</v>
      </c>
      <c r="F1485" s="33" t="s">
        <v>58</v>
      </c>
      <c r="G1485" s="29">
        <v>3.5</v>
      </c>
      <c r="H1485" s="29" t="str">
        <f>_xlfn.XLOOKUP(C1485&amp;F1485&amp;I1485&amp;J1485,'[1]2025年已发货'!$F:$F&amp;'[1]2025年已发货'!$C:$C&amp;'[1]2025年已发货'!$G:$G&amp;'[1]2025年已发货'!$H:$H,'[1]2025年已发货'!$E:$E,"未发货")</f>
        <v>未发货</v>
      </c>
      <c r="I1485" s="33" t="str">
        <f>VLOOKUP(B1485,辅助信息!E:I,3,FALSE)</f>
        <v>（华西简阳西城嘉苑）四川省成都市简阳市简城街道高屋村</v>
      </c>
      <c r="J1485" s="33" t="str">
        <f>VLOOKUP(B1485,辅助信息!E:I,4,FALSE)</f>
        <v>张瀚镭</v>
      </c>
      <c r="K1485" s="33">
        <f>VLOOKUP(J1485,辅助信息!H:I,2,FALSE)</f>
        <v>15884666220</v>
      </c>
      <c r="L1485" s="102" t="str">
        <f>VLOOKUP(B1485,辅助信息!E:J,6,FALSE)</f>
        <v>现场禁止使用氢能源挂车！优先威钢发货,我方卸车,新老国标钢厂不加价可直发，因陕钢多次出现磅差，项目拒绝使用</v>
      </c>
      <c r="M1485" s="84">
        <v>45787</v>
      </c>
      <c r="O1485" s="55">
        <f ca="1" t="shared" ref="O1485:O1502" si="74">IF(OR(M1485="",N1485&lt;&gt;""),"",MAX(M1485-TODAY(),0))</f>
        <v>0</v>
      </c>
      <c r="P1485" s="55">
        <f ca="1" t="shared" si="70"/>
        <v>170</v>
      </c>
      <c r="Q1485" s="22" t="str">
        <f>VLOOKUP(B1485,辅助信息!E:M,9,FALSE)</f>
        <v>ZTWM-CDGS-XS-2024-0030-华西集采-简州大道</v>
      </c>
      <c r="R1485" s="22" t="str">
        <f>_xlfn._xlws.FILTER(辅助信息!D:D,辅助信息!E:E=B1485)</f>
        <v>华西简阳西城嘉苑</v>
      </c>
    </row>
    <row r="1486" hidden="1" spans="2:18">
      <c r="B1486" s="33" t="s">
        <v>81</v>
      </c>
      <c r="C1486" s="63">
        <v>45786</v>
      </c>
      <c r="D1486" s="33" t="str">
        <f>VLOOKUP(B1486,辅助信息!E:K,7,FALSE)</f>
        <v>JWDDCD2025060900080</v>
      </c>
      <c r="E1486" s="33" t="str">
        <f>VLOOKUP(F1486,辅助信息!A:B,2,FALSE)</f>
        <v>螺纹钢</v>
      </c>
      <c r="F1486" s="33" t="s">
        <v>46</v>
      </c>
      <c r="G1486" s="29">
        <v>2.5</v>
      </c>
      <c r="H1486" s="29" t="str">
        <f>_xlfn.XLOOKUP(C1486&amp;F1486&amp;I1486&amp;J1486,'[1]2025年已发货'!$F:$F&amp;'[1]2025年已发货'!$C:$C&amp;'[1]2025年已发货'!$G:$G&amp;'[1]2025年已发货'!$H:$H,'[1]2025年已发货'!$E:$E,"未发货")</f>
        <v>未发货</v>
      </c>
      <c r="I1486" s="33" t="str">
        <f>VLOOKUP(B1486,辅助信息!E:I,3,FALSE)</f>
        <v>（华西简阳西城嘉苑）四川省成都市简阳市简城街道高屋村</v>
      </c>
      <c r="J1486" s="33" t="str">
        <f>VLOOKUP(B1486,辅助信息!E:I,4,FALSE)</f>
        <v>张瀚镭</v>
      </c>
      <c r="K1486" s="33">
        <f>VLOOKUP(J1486,辅助信息!H:I,2,FALSE)</f>
        <v>15884666220</v>
      </c>
      <c r="L1486" s="102" t="str">
        <f>VLOOKUP(B1486,辅助信息!E:J,6,FALSE)</f>
        <v>现场禁止使用氢能源挂车！优先威钢发货,我方卸车,新老国标钢厂不加价可直发，因陕钢多次出现磅差，项目拒绝使用</v>
      </c>
      <c r="M1486" s="84">
        <v>45787</v>
      </c>
      <c r="O1486" s="55">
        <f ca="1" t="shared" si="74"/>
        <v>0</v>
      </c>
      <c r="P1486" s="55">
        <f ca="1" t="shared" si="70"/>
        <v>170</v>
      </c>
      <c r="Q1486" s="22" t="str">
        <f>VLOOKUP(B1486,辅助信息!E:M,9,FALSE)</f>
        <v>ZTWM-CDGS-XS-2024-0030-华西集采-简州大道</v>
      </c>
      <c r="R1486" s="22" t="str">
        <f>_xlfn._xlws.FILTER(辅助信息!D:D,辅助信息!E:E=B1486)</f>
        <v>华西简阳西城嘉苑</v>
      </c>
    </row>
    <row r="1487" hidden="1" spans="2:18">
      <c r="B1487" s="33" t="s">
        <v>81</v>
      </c>
      <c r="C1487" s="63">
        <v>45786</v>
      </c>
      <c r="D1487" s="33" t="str">
        <f>VLOOKUP(B1487,辅助信息!E:K,7,FALSE)</f>
        <v>JWDDCD2025060900080</v>
      </c>
      <c r="E1487" s="33" t="str">
        <f>VLOOKUP(F1487,辅助信息!A:B,2,FALSE)</f>
        <v>螺纹钢</v>
      </c>
      <c r="F1487" s="33" t="s">
        <v>22</v>
      </c>
      <c r="G1487" s="29">
        <v>4.5</v>
      </c>
      <c r="H1487" s="29" t="str">
        <f>_xlfn.XLOOKUP(C1487&amp;F1487&amp;I1487&amp;J1487,'[1]2025年已发货'!$F:$F&amp;'[1]2025年已发货'!$C:$C&amp;'[1]2025年已发货'!$G:$G&amp;'[1]2025年已发货'!$H:$H,'[1]2025年已发货'!$E:$E,"未发货")</f>
        <v>未发货</v>
      </c>
      <c r="I1487" s="33" t="str">
        <f>VLOOKUP(B1487,辅助信息!E:I,3,FALSE)</f>
        <v>（华西简阳西城嘉苑）四川省成都市简阳市简城街道高屋村</v>
      </c>
      <c r="J1487" s="33" t="str">
        <f>VLOOKUP(B1487,辅助信息!E:I,4,FALSE)</f>
        <v>张瀚镭</v>
      </c>
      <c r="K1487" s="33">
        <f>VLOOKUP(J1487,辅助信息!H:I,2,FALSE)</f>
        <v>15884666220</v>
      </c>
      <c r="L1487" s="102" t="str">
        <f>VLOOKUP(B1487,辅助信息!E:J,6,FALSE)</f>
        <v>现场禁止使用氢能源挂车！优先威钢发货,我方卸车,新老国标钢厂不加价可直发，因陕钢多次出现磅差，项目拒绝使用</v>
      </c>
      <c r="M1487" s="84">
        <v>45787</v>
      </c>
      <c r="O1487" s="55">
        <f ca="1" t="shared" si="74"/>
        <v>0</v>
      </c>
      <c r="P1487" s="55">
        <f ca="1" t="shared" ref="P1487:P1519" si="75">IF(M1487="","",IF(N1487&lt;&gt;"",MAX(N1487-M1487,0),IF(TODAY()&gt;M1487,TODAY()-M1487,0)))</f>
        <v>170</v>
      </c>
      <c r="Q1487" s="22" t="str">
        <f>VLOOKUP(B1487,辅助信息!E:M,9,FALSE)</f>
        <v>ZTWM-CDGS-XS-2024-0030-华西集采-简州大道</v>
      </c>
      <c r="R1487" s="22" t="str">
        <f>_xlfn._xlws.FILTER(辅助信息!D:D,辅助信息!E:E=B1487)</f>
        <v>华西简阳西城嘉苑</v>
      </c>
    </row>
    <row r="1488" hidden="1" spans="2:18">
      <c r="B1488" s="33" t="s">
        <v>147</v>
      </c>
      <c r="C1488" s="63">
        <v>45787</v>
      </c>
      <c r="D1488" s="33" t="str">
        <f>VLOOKUP(B1488,辅助信息!E:K,7,FALSE)</f>
        <v>JWDDCD2025052800131</v>
      </c>
      <c r="E1488" s="33" t="str">
        <f>VLOOKUP(F1488,辅助信息!A:B,2,FALSE)</f>
        <v>高线</v>
      </c>
      <c r="F1488" s="33" t="s">
        <v>57</v>
      </c>
      <c r="G1488" s="29">
        <v>7.5</v>
      </c>
      <c r="H1488" s="29" t="str">
        <f>_xlfn.XLOOKUP(C1488&amp;F1488&amp;I1488&amp;J1488,'[1]2025年已发货'!$F:$F&amp;'[1]2025年已发货'!$C:$C&amp;'[1]2025年已发货'!$G:$G&amp;'[1]2025年已发货'!$H:$H,'[1]2025年已发货'!$E:$E,"未发货")</f>
        <v>未发货</v>
      </c>
      <c r="I1488" s="33" t="str">
        <f>VLOOKUP(B1488,辅助信息!E:I,3,FALSE)</f>
        <v>（商投建工达州中医药科技园-4工区-11号楼）达州市通川区达州中医药职业学院犀牛大道北段</v>
      </c>
      <c r="J1488" s="33" t="str">
        <f>VLOOKUP(B1488,辅助信息!E:I,4,FALSE)</f>
        <v>张扬</v>
      </c>
      <c r="K1488" s="33">
        <f>VLOOKUP(J1488,辅助信息!H:I,2,FALSE)</f>
        <v>18381904567</v>
      </c>
      <c r="L1488" s="102" t="str">
        <f>VLOOKUP(B1488,辅助信息!E:J,6,FALSE)</f>
        <v>控制炉批号！多了现场不收！,优先安排达钢,提前联系到场规格及数量</v>
      </c>
      <c r="M1488" s="84">
        <v>45784</v>
      </c>
      <c r="O1488" s="55">
        <f ca="1" t="shared" si="74"/>
        <v>0</v>
      </c>
      <c r="P1488" s="55">
        <f ca="1" t="shared" si="75"/>
        <v>173</v>
      </c>
      <c r="Q1488" s="22" t="str">
        <f>VLOOKUP(B1488,辅助信息!E:M,9,FALSE)</f>
        <v>ZTWM-CDGS-XS-2024-0134-商投建工达州中医药科技成果示范园项目</v>
      </c>
      <c r="R1488" s="22" t="str">
        <f>_xlfn._xlws.FILTER(辅助信息!D:D,辅助信息!E:E=B1488)</f>
        <v>商投建工达州中医药科技园</v>
      </c>
    </row>
    <row r="1489" hidden="1" spans="2:18">
      <c r="B1489" s="33" t="s">
        <v>147</v>
      </c>
      <c r="C1489" s="63">
        <v>45787</v>
      </c>
      <c r="D1489" s="33" t="str">
        <f>VLOOKUP(B1489,辅助信息!E:K,7,FALSE)</f>
        <v>JWDDCD2025052800131</v>
      </c>
      <c r="E1489" s="33" t="str">
        <f>VLOOKUP(F1489,辅助信息!A:B,2,FALSE)</f>
        <v>螺纹钢</v>
      </c>
      <c r="F1489" s="33" t="s">
        <v>30</v>
      </c>
      <c r="G1489" s="29">
        <v>7</v>
      </c>
      <c r="H1489" s="29" t="str">
        <f>_xlfn.XLOOKUP(C1489&amp;F1489&amp;I1489&amp;J1489,'[1]2025年已发货'!$F:$F&amp;'[1]2025年已发货'!$C:$C&amp;'[1]2025年已发货'!$G:$G&amp;'[1]2025年已发货'!$H:$H,'[1]2025年已发货'!$E:$E,"未发货")</f>
        <v>未发货</v>
      </c>
      <c r="I1489" s="33" t="str">
        <f>VLOOKUP(B1489,辅助信息!E:I,3,FALSE)</f>
        <v>（商投建工达州中医药科技园-4工区-11号楼）达州市通川区达州中医药职业学院犀牛大道北段</v>
      </c>
      <c r="J1489" s="33" t="str">
        <f>VLOOKUP(B1489,辅助信息!E:I,4,FALSE)</f>
        <v>张扬</v>
      </c>
      <c r="K1489" s="33">
        <f>VLOOKUP(J1489,辅助信息!H:I,2,FALSE)</f>
        <v>18381904567</v>
      </c>
      <c r="L1489" s="102" t="str">
        <f>VLOOKUP(B1489,辅助信息!E:J,6,FALSE)</f>
        <v>控制炉批号！多了现场不收！,优先安排达钢,提前联系到场规格及数量</v>
      </c>
      <c r="M1489" s="84">
        <v>45784</v>
      </c>
      <c r="O1489" s="55">
        <f ca="1" t="shared" si="74"/>
        <v>0</v>
      </c>
      <c r="P1489" s="55">
        <f ca="1" t="shared" si="75"/>
        <v>173</v>
      </c>
      <c r="Q1489" s="22" t="str">
        <f>VLOOKUP(B1489,辅助信息!E:M,9,FALSE)</f>
        <v>ZTWM-CDGS-XS-2024-0134-商投建工达州中医药科技成果示范园项目</v>
      </c>
      <c r="R1489" s="22" t="str">
        <f>_xlfn._xlws.FILTER(辅助信息!D:D,辅助信息!E:E=B1489)</f>
        <v>商投建工达州中医药科技园</v>
      </c>
    </row>
    <row r="1490" hidden="1" spans="1:18">
      <c r="A1490" s="75" t="s">
        <v>100</v>
      </c>
      <c r="B1490" s="33" t="s">
        <v>106</v>
      </c>
      <c r="C1490" s="63">
        <v>45787</v>
      </c>
      <c r="D1490" s="33" t="str">
        <f>VLOOKUP(B1490,辅助信息!E:K,7,FALSE)</f>
        <v>JWDDCD2024101600133</v>
      </c>
      <c r="E1490" s="33" t="str">
        <f>VLOOKUP(F1490,辅助信息!A:B,2,FALSE)</f>
        <v>盘螺</v>
      </c>
      <c r="F1490" s="33" t="s">
        <v>40</v>
      </c>
      <c r="G1490" s="29">
        <v>57.5</v>
      </c>
      <c r="H1490" s="29" t="str">
        <f>_xlfn.XLOOKUP(C1490&amp;F1490&amp;I1490&amp;J1490,'[1]2025年已发货'!$F:$F&amp;'[1]2025年已发货'!$C:$C&amp;'[1]2025年已发货'!$G:$G&amp;'[1]2025年已发货'!$H:$H,'[1]2025年已发货'!$E:$E,"未发货")</f>
        <v>未发货</v>
      </c>
      <c r="I1490" s="33" t="str">
        <f>VLOOKUP(B1490,辅助信息!E:I,3,FALSE)</f>
        <v>（五冶钢构宜宾高县月江镇建设项目）  四川省宜宾市高县月江镇刚记超市斜对面(还阳组团沪碳二期项目)</v>
      </c>
      <c r="J1490" s="33" t="str">
        <f>VLOOKUP(B1490,辅助信息!E:I,4,FALSE)</f>
        <v>张朝亮</v>
      </c>
      <c r="K1490" s="33">
        <f>VLOOKUP(J1490,辅助信息!H:I,2,FALSE)</f>
        <v>15228205853</v>
      </c>
      <c r="L1490" s="102" t="str">
        <f>VLOOKUP(B1490,辅助信息!E:J,6,FALSE)</f>
        <v>提前联系到场规格</v>
      </c>
      <c r="M1490" s="84">
        <v>45785</v>
      </c>
      <c r="O1490" s="55">
        <f ca="1" t="shared" si="74"/>
        <v>0</v>
      </c>
      <c r="P1490" s="55">
        <f ca="1" t="shared" si="75"/>
        <v>172</v>
      </c>
      <c r="Q1490" s="22" t="str">
        <f>VLOOKUP(B1490,辅助信息!E:M,9,FALSE)</f>
        <v>ZTWM-CDGS-XS-2024-0169-中冶西部钢构-宜宾市南溪区幸福路东路,高县月江镇建设项目</v>
      </c>
      <c r="R1490" s="22" t="str">
        <f>_xlfn._xlws.FILTER(辅助信息!D:D,辅助信息!E:E=B1490)</f>
        <v>五冶钢构-宜宾市南溪区高县月江镇建设项目</v>
      </c>
    </row>
    <row r="1491" hidden="1" spans="1:18">
      <c r="A1491" s="75"/>
      <c r="B1491" s="33" t="s">
        <v>106</v>
      </c>
      <c r="C1491" s="63">
        <v>45787</v>
      </c>
      <c r="D1491" s="33" t="str">
        <f>VLOOKUP(B1491,辅助信息!E:K,7,FALSE)</f>
        <v>JWDDCD2024101600133</v>
      </c>
      <c r="E1491" s="33" t="str">
        <f>VLOOKUP(F1491,辅助信息!A:B,2,FALSE)</f>
        <v>螺纹钢</v>
      </c>
      <c r="F1491" s="33" t="s">
        <v>27</v>
      </c>
      <c r="G1491" s="29">
        <v>9</v>
      </c>
      <c r="H1491" s="29" t="str">
        <f>_xlfn.XLOOKUP(C1491&amp;F1491&amp;I1491&amp;J1491,'[1]2025年已发货'!$F:$F&amp;'[1]2025年已发货'!$C:$C&amp;'[1]2025年已发货'!$G:$G&amp;'[1]2025年已发货'!$H:$H,'[1]2025年已发货'!$E:$E,"未发货")</f>
        <v>未发货</v>
      </c>
      <c r="I1491" s="33" t="str">
        <f>VLOOKUP(B1491,辅助信息!E:I,3,FALSE)</f>
        <v>（五冶钢构宜宾高县月江镇建设项目）  四川省宜宾市高县月江镇刚记超市斜对面(还阳组团沪碳二期项目)</v>
      </c>
      <c r="J1491" s="33" t="str">
        <f>VLOOKUP(B1491,辅助信息!E:I,4,FALSE)</f>
        <v>张朝亮</v>
      </c>
      <c r="K1491" s="33">
        <f>VLOOKUP(J1491,辅助信息!H:I,2,FALSE)</f>
        <v>15228205853</v>
      </c>
      <c r="L1491" s="102" t="str">
        <f>VLOOKUP(B1491,辅助信息!E:J,6,FALSE)</f>
        <v>提前联系到场规格</v>
      </c>
      <c r="M1491" s="84">
        <v>45785</v>
      </c>
      <c r="O1491" s="55">
        <f ca="1" t="shared" si="74"/>
        <v>0</v>
      </c>
      <c r="P1491" s="55">
        <f ca="1" t="shared" si="75"/>
        <v>172</v>
      </c>
      <c r="Q1491" s="22" t="str">
        <f>VLOOKUP(B1491,辅助信息!E:M,9,FALSE)</f>
        <v>ZTWM-CDGS-XS-2024-0169-中冶西部钢构-宜宾市南溪区幸福路东路,高县月江镇建设项目</v>
      </c>
      <c r="R1491" s="22" t="str">
        <f>_xlfn._xlws.FILTER(辅助信息!D:D,辅助信息!E:E=B1491)</f>
        <v>五冶钢构-宜宾市南溪区高县月江镇建设项目</v>
      </c>
    </row>
    <row r="1492" hidden="1" spans="1:18">
      <c r="A1492" s="75"/>
      <c r="B1492" s="33" t="s">
        <v>106</v>
      </c>
      <c r="C1492" s="63">
        <v>45787</v>
      </c>
      <c r="D1492" s="33" t="str">
        <f>VLOOKUP(B1492,辅助信息!E:K,7,FALSE)</f>
        <v>JWDDCD2024101600133</v>
      </c>
      <c r="E1492" s="33" t="str">
        <f>VLOOKUP(F1492,辅助信息!A:B,2,FALSE)</f>
        <v>螺纹钢</v>
      </c>
      <c r="F1492" s="33" t="s">
        <v>19</v>
      </c>
      <c r="G1492" s="29">
        <v>9</v>
      </c>
      <c r="H1492" s="29" t="str">
        <f>_xlfn.XLOOKUP(C1492&amp;F1492&amp;I1492&amp;J1492,'[1]2025年已发货'!$F:$F&amp;'[1]2025年已发货'!$C:$C&amp;'[1]2025年已发货'!$G:$G&amp;'[1]2025年已发货'!$H:$H,'[1]2025年已发货'!$E:$E,"未发货")</f>
        <v>未发货</v>
      </c>
      <c r="I1492" s="33" t="str">
        <f>VLOOKUP(B1492,辅助信息!E:I,3,FALSE)</f>
        <v>（五冶钢构宜宾高县月江镇建设项目）  四川省宜宾市高县月江镇刚记超市斜对面(还阳组团沪碳二期项目)</v>
      </c>
      <c r="J1492" s="33" t="str">
        <f>VLOOKUP(B1492,辅助信息!E:I,4,FALSE)</f>
        <v>张朝亮</v>
      </c>
      <c r="K1492" s="33">
        <f>VLOOKUP(J1492,辅助信息!H:I,2,FALSE)</f>
        <v>15228205853</v>
      </c>
      <c r="L1492" s="102" t="str">
        <f>VLOOKUP(B1492,辅助信息!E:J,6,FALSE)</f>
        <v>提前联系到场规格</v>
      </c>
      <c r="M1492" s="84">
        <v>45785</v>
      </c>
      <c r="O1492" s="55">
        <f ca="1" t="shared" si="74"/>
        <v>0</v>
      </c>
      <c r="P1492" s="55">
        <f ca="1" t="shared" si="75"/>
        <v>172</v>
      </c>
      <c r="Q1492" s="22" t="str">
        <f>VLOOKUP(B1492,辅助信息!E:M,9,FALSE)</f>
        <v>ZTWM-CDGS-XS-2024-0169-中冶西部钢构-宜宾市南溪区幸福路东路,高县月江镇建设项目</v>
      </c>
      <c r="R1492" s="22" t="str">
        <f>_xlfn._xlws.FILTER(辅助信息!D:D,辅助信息!E:E=B1492)</f>
        <v>五冶钢构-宜宾市南溪区高县月江镇建设项目</v>
      </c>
    </row>
    <row r="1493" hidden="1" spans="1:18">
      <c r="A1493" s="75"/>
      <c r="B1493" s="33" t="s">
        <v>106</v>
      </c>
      <c r="C1493" s="63">
        <v>45787</v>
      </c>
      <c r="D1493" s="33" t="str">
        <f>VLOOKUP(B1493,辅助信息!E:K,7,FALSE)</f>
        <v>JWDDCD2024101600133</v>
      </c>
      <c r="E1493" s="33" t="str">
        <f>VLOOKUP(F1493,辅助信息!A:B,2,FALSE)</f>
        <v>螺纹钢</v>
      </c>
      <c r="F1493" s="33" t="s">
        <v>33</v>
      </c>
      <c r="G1493" s="29">
        <v>9</v>
      </c>
      <c r="H1493" s="29" t="str">
        <f>_xlfn.XLOOKUP(C1493&amp;F1493&amp;I1493&amp;J1493,'[1]2025年已发货'!$F:$F&amp;'[1]2025年已发货'!$C:$C&amp;'[1]2025年已发货'!$G:$G&amp;'[1]2025年已发货'!$H:$H,'[1]2025年已发货'!$E:$E,"未发货")</f>
        <v>未发货</v>
      </c>
      <c r="I1493" s="33" t="str">
        <f>VLOOKUP(B1493,辅助信息!E:I,3,FALSE)</f>
        <v>（五冶钢构宜宾高县月江镇建设项目）  四川省宜宾市高县月江镇刚记超市斜对面(还阳组团沪碳二期项目)</v>
      </c>
      <c r="J1493" s="33" t="str">
        <f>VLOOKUP(B1493,辅助信息!E:I,4,FALSE)</f>
        <v>张朝亮</v>
      </c>
      <c r="K1493" s="33">
        <f>VLOOKUP(J1493,辅助信息!H:I,2,FALSE)</f>
        <v>15228205853</v>
      </c>
      <c r="L1493" s="102" t="str">
        <f>VLOOKUP(B1493,辅助信息!E:J,6,FALSE)</f>
        <v>提前联系到场规格</v>
      </c>
      <c r="M1493" s="84">
        <v>45785</v>
      </c>
      <c r="O1493" s="55">
        <f ca="1" t="shared" si="74"/>
        <v>0</v>
      </c>
      <c r="P1493" s="55">
        <f ca="1" t="shared" si="75"/>
        <v>172</v>
      </c>
      <c r="Q1493" s="22" t="str">
        <f>VLOOKUP(B1493,辅助信息!E:M,9,FALSE)</f>
        <v>ZTWM-CDGS-XS-2024-0169-中冶西部钢构-宜宾市南溪区幸福路东路,高县月江镇建设项目</v>
      </c>
      <c r="R1493" s="22" t="str">
        <f>_xlfn._xlws.FILTER(辅助信息!D:D,辅助信息!E:E=B1493)</f>
        <v>五冶钢构-宜宾市南溪区高县月江镇建设项目</v>
      </c>
    </row>
    <row r="1494" hidden="1" spans="1:18">
      <c r="A1494" s="75"/>
      <c r="B1494" s="33" t="s">
        <v>106</v>
      </c>
      <c r="C1494" s="63">
        <v>45787</v>
      </c>
      <c r="D1494" s="33" t="str">
        <f>VLOOKUP(B1494,辅助信息!E:K,7,FALSE)</f>
        <v>JWDDCD2024101600133</v>
      </c>
      <c r="E1494" s="33" t="str">
        <f>VLOOKUP(F1494,辅助信息!A:B,2,FALSE)</f>
        <v>螺纹钢</v>
      </c>
      <c r="F1494" s="33" t="s">
        <v>28</v>
      </c>
      <c r="G1494" s="29">
        <v>21</v>
      </c>
      <c r="H1494" s="29" t="str">
        <f>_xlfn.XLOOKUP(C1494&amp;F1494&amp;I1494&amp;J1494,'[1]2025年已发货'!$F:$F&amp;'[1]2025年已发货'!$C:$C&amp;'[1]2025年已发货'!$G:$G&amp;'[1]2025年已发货'!$H:$H,'[1]2025年已发货'!$E:$E,"未发货")</f>
        <v>未发货</v>
      </c>
      <c r="I1494" s="33" t="str">
        <f>VLOOKUP(B1494,辅助信息!E:I,3,FALSE)</f>
        <v>（五冶钢构宜宾高县月江镇建设项目）  四川省宜宾市高县月江镇刚记超市斜对面(还阳组团沪碳二期项目)</v>
      </c>
      <c r="J1494" s="33" t="str">
        <f>VLOOKUP(B1494,辅助信息!E:I,4,FALSE)</f>
        <v>张朝亮</v>
      </c>
      <c r="K1494" s="33">
        <f>VLOOKUP(J1494,辅助信息!H:I,2,FALSE)</f>
        <v>15228205853</v>
      </c>
      <c r="L1494" s="102" t="str">
        <f>VLOOKUP(B1494,辅助信息!E:J,6,FALSE)</f>
        <v>提前联系到场规格</v>
      </c>
      <c r="M1494" s="84">
        <v>45785</v>
      </c>
      <c r="O1494" s="55">
        <f ca="1" t="shared" si="74"/>
        <v>0</v>
      </c>
      <c r="P1494" s="55">
        <f ca="1" t="shared" si="75"/>
        <v>172</v>
      </c>
      <c r="Q1494" s="22" t="str">
        <f>VLOOKUP(B1494,辅助信息!E:M,9,FALSE)</f>
        <v>ZTWM-CDGS-XS-2024-0169-中冶西部钢构-宜宾市南溪区幸福路东路,高县月江镇建设项目</v>
      </c>
      <c r="R1494" s="22" t="str">
        <f>_xlfn._xlws.FILTER(辅助信息!D:D,辅助信息!E:E=B1494)</f>
        <v>五冶钢构-宜宾市南溪区高县月江镇建设项目</v>
      </c>
    </row>
    <row r="1495" hidden="1" spans="1:18">
      <c r="A1495" s="75" t="s">
        <v>100</v>
      </c>
      <c r="B1495" s="33" t="s">
        <v>127</v>
      </c>
      <c r="C1495" s="63">
        <v>45787</v>
      </c>
      <c r="D1495" s="33" t="str">
        <f>VLOOKUP(B1495,辅助信息!E:K,7,FALSE)</f>
        <v>JWDDCD2025051000019</v>
      </c>
      <c r="E1495" s="33" t="str">
        <f>VLOOKUP(F1495,辅助信息!A:B,2,FALSE)</f>
        <v>盘螺</v>
      </c>
      <c r="F1495" s="33" t="s">
        <v>49</v>
      </c>
      <c r="G1495" s="29">
        <v>12</v>
      </c>
      <c r="H1495" s="29">
        <f>_xlfn.XLOOKUP(C1495&amp;F1495&amp;I1495&amp;J1495,'[1]2025年已发货'!$F:$F&amp;'[1]2025年已发货'!$C:$C&amp;'[1]2025年已发货'!$G:$G&amp;'[1]2025年已发货'!$H:$H,'[1]2025年已发货'!$E:$E,"未发货")</f>
        <v>12</v>
      </c>
      <c r="I1495" s="33" t="str">
        <f>VLOOKUP(B1495,辅助信息!E:I,3,FALSE)</f>
        <v>(五冶钢构医学科学产业园建设项目房建三部-管网总坪)四川省南充市顺庆区搬罾街道学府大道二段</v>
      </c>
      <c r="J1495" s="33" t="str">
        <f>VLOOKUP(B1495,辅助信息!E:I,4,FALSE)</f>
        <v>郑林</v>
      </c>
      <c r="K1495" s="33">
        <f>VLOOKUP(J1495,辅助信息!H:I,2,FALSE)</f>
        <v>18349955455</v>
      </c>
      <c r="L1495" s="102" t="str">
        <f>VLOOKUP(B1495,辅助信息!E:J,6,FALSE)</f>
        <v>送货单：送货单位：南充思临新材料科技有限公司,收货单位：五冶集团川北(南充)建设有限公司,项目名称：南充医学科学产业园,送货车型13米,装货前联系收货人核实到场规格</v>
      </c>
      <c r="M1495" s="84">
        <v>45785</v>
      </c>
      <c r="O1495" s="55">
        <f ca="1" t="shared" si="74"/>
        <v>0</v>
      </c>
      <c r="P1495" s="55">
        <f ca="1" t="shared" si="75"/>
        <v>172</v>
      </c>
      <c r="Q1495" s="22" t="str">
        <f>VLOOKUP(B1495,辅助信息!E:M,9,FALSE)</f>
        <v>ZTWM-CDGS-XS-2024-0248-五冶钢构-南充市医学院项目</v>
      </c>
      <c r="R1495" s="22" t="str">
        <f>_xlfn._xlws.FILTER(辅助信息!D:D,辅助信息!E:E=B1495)</f>
        <v>五冶钢构南充医学科学产业园建设项目</v>
      </c>
    </row>
    <row r="1496" hidden="1" spans="1:18">
      <c r="A1496" s="75"/>
      <c r="B1496" s="33" t="s">
        <v>127</v>
      </c>
      <c r="C1496" s="63">
        <v>45787</v>
      </c>
      <c r="D1496" s="33" t="str">
        <f>VLOOKUP(B1496,辅助信息!E:K,7,FALSE)</f>
        <v>JWDDCD2025051000019</v>
      </c>
      <c r="E1496" s="33" t="str">
        <f>VLOOKUP(F1496,辅助信息!A:B,2,FALSE)</f>
        <v>盘螺</v>
      </c>
      <c r="F1496" s="33" t="s">
        <v>41</v>
      </c>
      <c r="G1496" s="29">
        <v>10</v>
      </c>
      <c r="H1496" s="29">
        <f>_xlfn.XLOOKUP(C1496&amp;F1496&amp;I1496&amp;J1496,'[1]2025年已发货'!$F:$F&amp;'[1]2025年已发货'!$C:$C&amp;'[1]2025年已发货'!$G:$G&amp;'[1]2025年已发货'!$H:$H,'[1]2025年已发货'!$E:$E,"未发货")</f>
        <v>10</v>
      </c>
      <c r="I1496" s="33" t="str">
        <f>VLOOKUP(B1496,辅助信息!E:I,3,FALSE)</f>
        <v>(五冶钢构医学科学产业园建设项目房建三部-管网总坪)四川省南充市顺庆区搬罾街道学府大道二段</v>
      </c>
      <c r="J1496" s="33" t="str">
        <f>VLOOKUP(B1496,辅助信息!E:I,4,FALSE)</f>
        <v>郑林</v>
      </c>
      <c r="K1496" s="33">
        <f>VLOOKUP(J1496,辅助信息!H:I,2,FALSE)</f>
        <v>18349955455</v>
      </c>
      <c r="L1496" s="102" t="str">
        <f>VLOOKUP(B1496,辅助信息!E:J,6,FALSE)</f>
        <v>送货单：送货单位：南充思临新材料科技有限公司,收货单位：五冶集团川北(南充)建设有限公司,项目名称：南充医学科学产业园,送货车型13米,装货前联系收货人核实到场规格</v>
      </c>
      <c r="M1496" s="84">
        <v>45785</v>
      </c>
      <c r="O1496" s="55">
        <f ca="1" t="shared" si="74"/>
        <v>0</v>
      </c>
      <c r="P1496" s="55">
        <f ca="1" t="shared" si="75"/>
        <v>172</v>
      </c>
      <c r="Q1496" s="22" t="str">
        <f>VLOOKUP(B1496,辅助信息!E:M,9,FALSE)</f>
        <v>ZTWM-CDGS-XS-2024-0248-五冶钢构-南充市医学院项目</v>
      </c>
      <c r="R1496" s="22" t="str">
        <f>_xlfn._xlws.FILTER(辅助信息!D:D,辅助信息!E:E=B1496)</f>
        <v>五冶钢构南充医学科学产业园建设项目</v>
      </c>
    </row>
    <row r="1497" hidden="1" spans="1:18">
      <c r="A1497" s="75"/>
      <c r="B1497" s="33" t="s">
        <v>127</v>
      </c>
      <c r="C1497" s="63">
        <v>45787</v>
      </c>
      <c r="D1497" s="33" t="str">
        <f>VLOOKUP(B1497,辅助信息!E:K,7,FALSE)</f>
        <v>JWDDCD2025051000019</v>
      </c>
      <c r="E1497" s="33" t="str">
        <f>VLOOKUP(F1497,辅助信息!A:B,2,FALSE)</f>
        <v>螺纹钢</v>
      </c>
      <c r="F1497" s="33" t="s">
        <v>27</v>
      </c>
      <c r="G1497" s="29">
        <v>13</v>
      </c>
      <c r="H1497" s="29">
        <f>_xlfn.XLOOKUP(C1497&amp;F1497&amp;I1497&amp;J1497,'[1]2025年已发货'!$F:$F&amp;'[1]2025年已发货'!$C:$C&amp;'[1]2025年已发货'!$G:$G&amp;'[1]2025年已发货'!$H:$H,'[1]2025年已发货'!$E:$E,"未发货")</f>
        <v>13</v>
      </c>
      <c r="I1497" s="33" t="str">
        <f>VLOOKUP(B1497,辅助信息!E:I,3,FALSE)</f>
        <v>(五冶钢构医学科学产业园建设项目房建三部-管网总坪)四川省南充市顺庆区搬罾街道学府大道二段</v>
      </c>
      <c r="J1497" s="33" t="str">
        <f>VLOOKUP(B1497,辅助信息!E:I,4,FALSE)</f>
        <v>郑林</v>
      </c>
      <c r="K1497" s="33">
        <f>VLOOKUP(J1497,辅助信息!H:I,2,FALSE)</f>
        <v>18349955455</v>
      </c>
      <c r="L1497" s="102" t="str">
        <f>VLOOKUP(B1497,辅助信息!E:J,6,FALSE)</f>
        <v>送货单：送货单位：南充思临新材料科技有限公司,收货单位：五冶集团川北(南充)建设有限公司,项目名称：南充医学科学产业园,送货车型13米,装货前联系收货人核实到场规格</v>
      </c>
      <c r="M1497" s="84">
        <v>45785</v>
      </c>
      <c r="O1497" s="55">
        <f ca="1" t="shared" si="74"/>
        <v>0</v>
      </c>
      <c r="P1497" s="55">
        <f ca="1" t="shared" si="75"/>
        <v>172</v>
      </c>
      <c r="Q1497" s="22" t="str">
        <f>VLOOKUP(B1497,辅助信息!E:M,9,FALSE)</f>
        <v>ZTWM-CDGS-XS-2024-0248-五冶钢构-南充市医学院项目</v>
      </c>
      <c r="R1497" s="22" t="str">
        <f>_xlfn._xlws.FILTER(辅助信息!D:D,辅助信息!E:E=B1497)</f>
        <v>五冶钢构南充医学科学产业园建设项目</v>
      </c>
    </row>
    <row r="1498" hidden="1" spans="1:18">
      <c r="A1498" s="75" t="s">
        <v>100</v>
      </c>
      <c r="B1498" s="33" t="s">
        <v>68</v>
      </c>
      <c r="C1498" s="63">
        <v>45787</v>
      </c>
      <c r="D1498" s="33" t="str">
        <f>VLOOKUP(B1498,辅助信息!E:K,7,FALSE)</f>
        <v>JWDDCD2025052800131</v>
      </c>
      <c r="E1498" s="33" t="str">
        <f>VLOOKUP(F1498,辅助信息!A:B,2,FALSE)</f>
        <v>盘螺</v>
      </c>
      <c r="F1498" s="33" t="s">
        <v>41</v>
      </c>
      <c r="G1498" s="29">
        <v>8</v>
      </c>
      <c r="H1498" s="29">
        <f>_xlfn.XLOOKUP(C1498&amp;F1498&amp;I1498&amp;J1498,'[1]2025年已发货'!$F:$F&amp;'[1]2025年已发货'!$C:$C&amp;'[1]2025年已发货'!$G:$G&amp;'[1]2025年已发货'!$H:$H,'[1]2025年已发货'!$E:$E,"未发货")</f>
        <v>8</v>
      </c>
      <c r="I1498" s="33" t="str">
        <f>VLOOKUP(B1498,辅助信息!E:I,3,FALSE)</f>
        <v>（商投建工达州中医药科技园-2工区-景观桥）达州市通川区达州中医药职业学院犀牛大道北段</v>
      </c>
      <c r="J1498" s="33" t="str">
        <f>VLOOKUP(B1498,辅助信息!E:I,4,FALSE)</f>
        <v>李波</v>
      </c>
      <c r="K1498" s="33">
        <f>VLOOKUP(J1498,辅助信息!H:I,2,FALSE)</f>
        <v>18381899787</v>
      </c>
      <c r="L1498" s="102" t="str">
        <f>VLOOKUP(B1498,辅助信息!E:J,6,FALSE)</f>
        <v>控制炉批号！多了现场不收！,优先安排达钢,提前联系到场规格及数量</v>
      </c>
      <c r="M1498" s="84">
        <v>45785</v>
      </c>
      <c r="O1498" s="55">
        <f ca="1" t="shared" si="74"/>
        <v>0</v>
      </c>
      <c r="P1498" s="55">
        <f ca="1" t="shared" si="75"/>
        <v>172</v>
      </c>
      <c r="Q1498" s="22" t="str">
        <f>VLOOKUP(B1498,辅助信息!E:M,9,FALSE)</f>
        <v>ZTWM-CDGS-XS-2024-0134-商投建工达州中医药科技成果示范园项目</v>
      </c>
      <c r="R1498" s="22" t="str">
        <f>_xlfn._xlws.FILTER(辅助信息!D:D,辅助信息!E:E=B1498)</f>
        <v>商投建工达州中医药科技园</v>
      </c>
    </row>
    <row r="1499" hidden="1" spans="1:18">
      <c r="A1499" s="75"/>
      <c r="B1499" s="33" t="s">
        <v>68</v>
      </c>
      <c r="C1499" s="63">
        <v>45787</v>
      </c>
      <c r="D1499" s="33" t="str">
        <f>VLOOKUP(B1499,辅助信息!E:K,7,FALSE)</f>
        <v>JWDDCD2025052800131</v>
      </c>
      <c r="E1499" s="33" t="str">
        <f>VLOOKUP(F1499,辅助信息!A:B,2,FALSE)</f>
        <v>螺纹钢</v>
      </c>
      <c r="F1499" s="33" t="s">
        <v>52</v>
      </c>
      <c r="G1499" s="29">
        <v>17</v>
      </c>
      <c r="H1499" s="29">
        <f>_xlfn.XLOOKUP(C1499&amp;F1499&amp;I1499&amp;J1499,'[1]2025年已发货'!$F:$F&amp;'[1]2025年已发货'!$C:$C&amp;'[1]2025年已发货'!$G:$G&amp;'[1]2025年已发货'!$H:$H,'[1]2025年已发货'!$E:$E,"未发货")</f>
        <v>17</v>
      </c>
      <c r="I1499" s="33" t="str">
        <f>VLOOKUP(B1499,辅助信息!E:I,3,FALSE)</f>
        <v>（商投建工达州中医药科技园-2工区-景观桥）达州市通川区达州中医药职业学院犀牛大道北段</v>
      </c>
      <c r="J1499" s="33" t="str">
        <f>VLOOKUP(B1499,辅助信息!E:I,4,FALSE)</f>
        <v>李波</v>
      </c>
      <c r="K1499" s="33">
        <f>VLOOKUP(J1499,辅助信息!H:I,2,FALSE)</f>
        <v>18381899787</v>
      </c>
      <c r="L1499" s="102" t="str">
        <f>VLOOKUP(B1499,辅助信息!E:J,6,FALSE)</f>
        <v>控制炉批号！多了现场不收！,优先安排达钢,提前联系到场规格及数量</v>
      </c>
      <c r="M1499" s="84">
        <v>45785</v>
      </c>
      <c r="O1499" s="55">
        <f ca="1" t="shared" si="74"/>
        <v>0</v>
      </c>
      <c r="P1499" s="55">
        <f ca="1" t="shared" si="75"/>
        <v>172</v>
      </c>
      <c r="Q1499" s="22" t="str">
        <f>VLOOKUP(B1499,辅助信息!E:M,9,FALSE)</f>
        <v>ZTWM-CDGS-XS-2024-0134-商投建工达州中医药科技成果示范园项目</v>
      </c>
      <c r="R1499" s="22" t="str">
        <f>_xlfn._xlws.FILTER(辅助信息!D:D,辅助信息!E:E=B1499)</f>
        <v>商投建工达州中医药科技园</v>
      </c>
    </row>
    <row r="1500" hidden="1" spans="1:18">
      <c r="A1500" s="75"/>
      <c r="B1500" s="33" t="s">
        <v>68</v>
      </c>
      <c r="C1500" s="63">
        <v>45787</v>
      </c>
      <c r="D1500" s="33" t="str">
        <f>VLOOKUP(B1500,辅助信息!E:K,7,FALSE)</f>
        <v>JWDDCD2025052800131</v>
      </c>
      <c r="E1500" s="33" t="str">
        <f>VLOOKUP(F1500,辅助信息!A:B,2,FALSE)</f>
        <v>螺纹钢</v>
      </c>
      <c r="F1500" s="33" t="s">
        <v>33</v>
      </c>
      <c r="G1500" s="29">
        <v>10</v>
      </c>
      <c r="H1500" s="29">
        <f>_xlfn.XLOOKUP(C1500&amp;F1500&amp;I1500&amp;J1500,'[1]2025年已发货'!$F:$F&amp;'[1]2025年已发货'!$C:$C&amp;'[1]2025年已发货'!$G:$G&amp;'[1]2025年已发货'!$H:$H,'[1]2025年已发货'!$E:$E,"未发货")</f>
        <v>10</v>
      </c>
      <c r="I1500" s="33" t="str">
        <f>VLOOKUP(B1500,辅助信息!E:I,3,FALSE)</f>
        <v>（商投建工达州中医药科技园-2工区-景观桥）达州市通川区达州中医药职业学院犀牛大道北段</v>
      </c>
      <c r="J1500" s="33" t="str">
        <f>VLOOKUP(B1500,辅助信息!E:I,4,FALSE)</f>
        <v>李波</v>
      </c>
      <c r="K1500" s="33">
        <f>VLOOKUP(J1500,辅助信息!H:I,2,FALSE)</f>
        <v>18381899787</v>
      </c>
      <c r="L1500" s="102" t="str">
        <f>VLOOKUP(B1500,辅助信息!E:J,6,FALSE)</f>
        <v>控制炉批号！多了现场不收！,优先安排达钢,提前联系到场规格及数量</v>
      </c>
      <c r="M1500" s="84">
        <v>45787</v>
      </c>
      <c r="O1500" s="55">
        <f ca="1" t="shared" si="74"/>
        <v>0</v>
      </c>
      <c r="P1500" s="55">
        <f ca="1" t="shared" si="75"/>
        <v>170</v>
      </c>
      <c r="Q1500" s="22" t="str">
        <f>VLOOKUP(B1500,辅助信息!E:M,9,FALSE)</f>
        <v>ZTWM-CDGS-XS-2024-0134-商投建工达州中医药科技成果示范园项目</v>
      </c>
      <c r="R1500" s="22" t="str">
        <f>_xlfn._xlws.FILTER(辅助信息!D:D,辅助信息!E:E=B1500)</f>
        <v>商投建工达州中医药科技园</v>
      </c>
    </row>
    <row r="1501" hidden="1" spans="2:18">
      <c r="B1501" s="33" t="s">
        <v>56</v>
      </c>
      <c r="C1501" s="63">
        <v>45787</v>
      </c>
      <c r="D1501" s="33" t="str">
        <f>VLOOKUP(B1501,辅助信息!E:K,7,FALSE)</f>
        <v>JWDDCD2025052800131</v>
      </c>
      <c r="E1501" s="33" t="str">
        <f>VLOOKUP(F1501,辅助信息!A:B,2,FALSE)</f>
        <v>螺纹钢</v>
      </c>
      <c r="F1501" s="33" t="s">
        <v>66</v>
      </c>
      <c r="G1501" s="29">
        <v>15</v>
      </c>
      <c r="H1501" s="29">
        <f>_xlfn.XLOOKUP(C1501&amp;F1501&amp;I1501&amp;J1501,'[1]2025年已发货'!$F:$F&amp;'[1]2025年已发货'!$C:$C&amp;'[1]2025年已发货'!$G:$G&amp;'[1]2025年已发货'!$H:$H,'[1]2025年已发货'!$E:$E,"未发货")</f>
        <v>20</v>
      </c>
      <c r="I1501" s="33" t="str">
        <f>VLOOKUP(B1501,辅助信息!E:I,3,FALSE)</f>
        <v>（商投建工达州中医药科技园-4工区-7号楼）达州市通川区达州中医药职业学院犀牛大道北段</v>
      </c>
      <c r="J1501" s="33" t="str">
        <f>VLOOKUP(B1501,辅助信息!E:I,4,FALSE)</f>
        <v>张扬</v>
      </c>
      <c r="K1501" s="33">
        <f>VLOOKUP(J1501,辅助信息!H:I,2,FALSE)</f>
        <v>18381904567</v>
      </c>
      <c r="L1501" s="102" t="str">
        <f>VLOOKUP(B1501,辅助信息!E:J,6,FALSE)</f>
        <v>控制炉批号！多了现场不收！,优先安排达钢,提前联系到场规格及数量</v>
      </c>
      <c r="M1501" s="84">
        <v>45787</v>
      </c>
      <c r="O1501" s="55">
        <f ca="1" t="shared" si="74"/>
        <v>0</v>
      </c>
      <c r="P1501" s="55">
        <f ca="1" t="shared" si="75"/>
        <v>170</v>
      </c>
      <c r="Q1501" s="22" t="str">
        <f>VLOOKUP(B1501,辅助信息!E:M,9,FALSE)</f>
        <v>ZTWM-CDGS-XS-2024-0134-商投建工达州中医药科技成果示范园项目</v>
      </c>
      <c r="R1501" s="22" t="str">
        <f>_xlfn._xlws.FILTER(辅助信息!D:D,辅助信息!E:E=B1501)</f>
        <v>商投建工达州中医药科技园</v>
      </c>
    </row>
    <row r="1502" hidden="1" spans="2:18">
      <c r="B1502" s="33" t="s">
        <v>56</v>
      </c>
      <c r="C1502" s="63">
        <v>45787</v>
      </c>
      <c r="D1502" s="33" t="str">
        <f>VLOOKUP(B1502,辅助信息!E:K,7,FALSE)</f>
        <v>JWDDCD2025052800131</v>
      </c>
      <c r="E1502" s="33" t="str">
        <f>VLOOKUP(F1502,辅助信息!A:B,2,FALSE)</f>
        <v>螺纹钢</v>
      </c>
      <c r="F1502" s="33" t="s">
        <v>22</v>
      </c>
      <c r="G1502" s="29">
        <v>21</v>
      </c>
      <c r="H1502" s="29">
        <f>_xlfn.XLOOKUP(C1502&amp;F1502&amp;I1502&amp;J1502,'[1]2025年已发货'!$F:$F&amp;'[1]2025年已发货'!$C:$C&amp;'[1]2025年已发货'!$G:$G&amp;'[1]2025年已发货'!$H:$H,'[1]2025年已发货'!$E:$E,"未发货")</f>
        <v>25</v>
      </c>
      <c r="I1502" s="33" t="str">
        <f>VLOOKUP(B1502,辅助信息!E:I,3,FALSE)</f>
        <v>（商投建工达州中医药科技园-4工区-7号楼）达州市通川区达州中医药职业学院犀牛大道北段</v>
      </c>
      <c r="J1502" s="33" t="str">
        <f>VLOOKUP(B1502,辅助信息!E:I,4,FALSE)</f>
        <v>张扬</v>
      </c>
      <c r="K1502" s="33">
        <f>VLOOKUP(J1502,辅助信息!H:I,2,FALSE)</f>
        <v>18381904567</v>
      </c>
      <c r="L1502" s="102" t="str">
        <f>VLOOKUP(B1502,辅助信息!E:J,6,FALSE)</f>
        <v>控制炉批号！多了现场不收！,优先安排达钢,提前联系到场规格及数量</v>
      </c>
      <c r="M1502" s="84">
        <v>45787</v>
      </c>
      <c r="O1502" s="55">
        <f ca="1" t="shared" si="74"/>
        <v>0</v>
      </c>
      <c r="P1502" s="55">
        <f ca="1" t="shared" si="75"/>
        <v>170</v>
      </c>
      <c r="Q1502" s="22" t="str">
        <f>VLOOKUP(B1502,辅助信息!E:M,9,FALSE)</f>
        <v>ZTWM-CDGS-XS-2024-0134-商投建工达州中医药科技成果示范园项目</v>
      </c>
      <c r="R1502" s="22" t="str">
        <f>_xlfn._xlws.FILTER(辅助信息!D:D,辅助信息!E:E=B1502)</f>
        <v>商投建工达州中医药科技园</v>
      </c>
    </row>
    <row r="1503" hidden="1" spans="1:18">
      <c r="A1503" s="75" t="s">
        <v>100</v>
      </c>
      <c r="B1503" s="33" t="s">
        <v>81</v>
      </c>
      <c r="C1503" s="63">
        <v>45787</v>
      </c>
      <c r="D1503" s="33" t="str">
        <f>VLOOKUP(B1503,辅助信息!E:K,7,FALSE)</f>
        <v>JWDDCD2025060900080</v>
      </c>
      <c r="E1503" s="33" t="str">
        <f>VLOOKUP(F1503,辅助信息!A:B,2,FALSE)</f>
        <v>高线</v>
      </c>
      <c r="F1503" s="33" t="s">
        <v>53</v>
      </c>
      <c r="G1503" s="29">
        <v>7</v>
      </c>
      <c r="H1503" s="29" t="str">
        <f>_xlfn.XLOOKUP(C1503&amp;F1503&amp;I1503&amp;J1503,'[1]2025年已发货'!$F:$F&amp;'[1]2025年已发货'!$C:$C&amp;'[1]2025年已发货'!$G:$G&amp;'[1]2025年已发货'!$H:$H,'[1]2025年已发货'!$E:$E,"未发货")</f>
        <v>未发货</v>
      </c>
      <c r="I1503" s="33" t="str">
        <f>VLOOKUP(B1503,辅助信息!E:I,3,FALSE)</f>
        <v>（华西简阳西城嘉苑）四川省成都市简阳市简城街道高屋村</v>
      </c>
      <c r="J1503" s="33" t="str">
        <f>VLOOKUP(B1503,辅助信息!E:I,4,FALSE)</f>
        <v>张瀚镭</v>
      </c>
      <c r="K1503" s="33">
        <f>VLOOKUP(J1503,辅助信息!H:I,2,FALSE)</f>
        <v>15884666220</v>
      </c>
      <c r="L1503" s="102" t="str">
        <f>VLOOKUP(B1503,辅助信息!E:J,6,FALSE)</f>
        <v>现场禁止使用氢能源挂车！优先威钢发货,我方卸车,新老国标钢厂不加价可直发，因陕钢多次出现磅差，项目拒绝使用</v>
      </c>
      <c r="M1503" s="84">
        <v>45787</v>
      </c>
      <c r="O1503" s="55">
        <f ca="1" t="shared" ref="O1503:O1521" si="76">IF(OR(M1503="",N1503&lt;&gt;""),"",MAX(M1503-TODAY(),0))</f>
        <v>0</v>
      </c>
      <c r="P1503" s="55">
        <f ca="1" t="shared" si="75"/>
        <v>170</v>
      </c>
      <c r="Q1503" s="22" t="str">
        <f>VLOOKUP(B1503,辅助信息!E:M,9,FALSE)</f>
        <v>ZTWM-CDGS-XS-2024-0030-华西集采-简州大道</v>
      </c>
      <c r="R1503" s="22" t="str">
        <f>_xlfn._xlws.FILTER(辅助信息!D:D,辅助信息!E:E=B1503)</f>
        <v>华西简阳西城嘉苑</v>
      </c>
    </row>
    <row r="1504" hidden="1" spans="1:18">
      <c r="A1504" s="75"/>
      <c r="B1504" s="33" t="s">
        <v>81</v>
      </c>
      <c r="C1504" s="63">
        <v>45787</v>
      </c>
      <c r="D1504" s="33" t="str">
        <f>VLOOKUP(B1504,辅助信息!E:K,7,FALSE)</f>
        <v>JWDDCD2025060900080</v>
      </c>
      <c r="E1504" s="33" t="str">
        <f>VLOOKUP(F1504,辅助信息!A:B,2,FALSE)</f>
        <v>盘螺</v>
      </c>
      <c r="F1504" s="33" t="s">
        <v>49</v>
      </c>
      <c r="G1504" s="29">
        <v>4</v>
      </c>
      <c r="H1504" s="29" t="str">
        <f>_xlfn.XLOOKUP(C1504&amp;F1504&amp;I1504&amp;J1504,'[1]2025年已发货'!$F:$F&amp;'[1]2025年已发货'!$C:$C&amp;'[1]2025年已发货'!$G:$G&amp;'[1]2025年已发货'!$H:$H,'[1]2025年已发货'!$E:$E,"未发货")</f>
        <v>未发货</v>
      </c>
      <c r="I1504" s="33" t="str">
        <f>VLOOKUP(B1504,辅助信息!E:I,3,FALSE)</f>
        <v>（华西简阳西城嘉苑）四川省成都市简阳市简城街道高屋村</v>
      </c>
      <c r="J1504" s="33" t="str">
        <f>VLOOKUP(B1504,辅助信息!E:I,4,FALSE)</f>
        <v>张瀚镭</v>
      </c>
      <c r="K1504" s="33">
        <f>VLOOKUP(J1504,辅助信息!H:I,2,FALSE)</f>
        <v>15884666220</v>
      </c>
      <c r="L1504" s="102" t="str">
        <f>VLOOKUP(B1504,辅助信息!E:J,6,FALSE)</f>
        <v>现场禁止使用氢能源挂车！优先威钢发货,我方卸车,新老国标钢厂不加价可直发，因陕钢多次出现磅差，项目拒绝使用</v>
      </c>
      <c r="M1504" s="84">
        <v>45788</v>
      </c>
      <c r="O1504" s="55">
        <f ca="1" t="shared" si="76"/>
        <v>0</v>
      </c>
      <c r="P1504" s="55">
        <f ca="1" t="shared" si="75"/>
        <v>169</v>
      </c>
      <c r="Q1504" s="22" t="str">
        <f>VLOOKUP(B1504,辅助信息!E:M,9,FALSE)</f>
        <v>ZTWM-CDGS-XS-2024-0030-华西集采-简州大道</v>
      </c>
      <c r="R1504" s="22" t="str">
        <f>_xlfn._xlws.FILTER(辅助信息!D:D,辅助信息!E:E=B1504)</f>
        <v>华西简阳西城嘉苑</v>
      </c>
    </row>
    <row r="1505" hidden="1" spans="1:18">
      <c r="A1505" s="75"/>
      <c r="B1505" s="33" t="s">
        <v>81</v>
      </c>
      <c r="C1505" s="63">
        <v>45787</v>
      </c>
      <c r="D1505" s="33" t="str">
        <f>VLOOKUP(B1505,辅助信息!E:K,7,FALSE)</f>
        <v>JWDDCD2025060900080</v>
      </c>
      <c r="E1505" s="33" t="str">
        <f>VLOOKUP(F1505,辅助信息!A:B,2,FALSE)</f>
        <v>盘螺</v>
      </c>
      <c r="F1505" s="33" t="s">
        <v>40</v>
      </c>
      <c r="G1505" s="29">
        <v>62</v>
      </c>
      <c r="H1505" s="29" t="str">
        <f>_xlfn.XLOOKUP(C1505&amp;F1505&amp;I1505&amp;J1505,'[1]2025年已发货'!$F:$F&amp;'[1]2025年已发货'!$C:$C&amp;'[1]2025年已发货'!$G:$G&amp;'[1]2025年已发货'!$H:$H,'[1]2025年已发货'!$E:$E,"未发货")</f>
        <v>未发货</v>
      </c>
      <c r="I1505" s="33" t="str">
        <f>VLOOKUP(B1505,辅助信息!E:I,3,FALSE)</f>
        <v>（华西简阳西城嘉苑）四川省成都市简阳市简城街道高屋村</v>
      </c>
      <c r="J1505" s="33" t="str">
        <f>VLOOKUP(B1505,辅助信息!E:I,4,FALSE)</f>
        <v>张瀚镭</v>
      </c>
      <c r="K1505" s="33">
        <f>VLOOKUP(J1505,辅助信息!H:I,2,FALSE)</f>
        <v>15884666220</v>
      </c>
      <c r="L1505" s="102" t="str">
        <f>VLOOKUP(B1505,辅助信息!E:J,6,FALSE)</f>
        <v>现场禁止使用氢能源挂车！优先威钢发货,我方卸车,新老国标钢厂不加价可直发，因陕钢多次出现磅差，项目拒绝使用</v>
      </c>
      <c r="M1505" s="84">
        <v>45788</v>
      </c>
      <c r="O1505" s="55">
        <f ca="1" t="shared" si="76"/>
        <v>0</v>
      </c>
      <c r="P1505" s="55">
        <f ca="1" t="shared" si="75"/>
        <v>169</v>
      </c>
      <c r="Q1505" s="22" t="str">
        <f>VLOOKUP(B1505,辅助信息!E:M,9,FALSE)</f>
        <v>ZTWM-CDGS-XS-2024-0030-华西集采-简州大道</v>
      </c>
      <c r="R1505" s="22" t="str">
        <f>_xlfn._xlws.FILTER(辅助信息!D:D,辅助信息!E:E=B1505)</f>
        <v>华西简阳西城嘉苑</v>
      </c>
    </row>
    <row r="1506" hidden="1" spans="1:18">
      <c r="A1506" s="75"/>
      <c r="B1506" s="33" t="s">
        <v>81</v>
      </c>
      <c r="C1506" s="63">
        <v>45787</v>
      </c>
      <c r="D1506" s="33" t="str">
        <f>VLOOKUP(B1506,辅助信息!E:K,7,FALSE)</f>
        <v>JWDDCD2025060900080</v>
      </c>
      <c r="E1506" s="33" t="str">
        <f>VLOOKUP(F1506,辅助信息!A:B,2,FALSE)</f>
        <v>盘螺</v>
      </c>
      <c r="F1506" s="33" t="s">
        <v>41</v>
      </c>
      <c r="G1506" s="29">
        <v>134.5</v>
      </c>
      <c r="H1506" s="29" t="str">
        <f>_xlfn.XLOOKUP(C1506&amp;F1506&amp;I1506&amp;J1506,'[1]2025年已发货'!$F:$F&amp;'[1]2025年已发货'!$C:$C&amp;'[1]2025年已发货'!$G:$G&amp;'[1]2025年已发货'!$H:$H,'[1]2025年已发货'!$E:$E,"未发货")</f>
        <v>未发货</v>
      </c>
      <c r="I1506" s="33" t="str">
        <f>VLOOKUP(B1506,辅助信息!E:I,3,FALSE)</f>
        <v>（华西简阳西城嘉苑）四川省成都市简阳市简城街道高屋村</v>
      </c>
      <c r="J1506" s="33" t="str">
        <f>VLOOKUP(B1506,辅助信息!E:I,4,FALSE)</f>
        <v>张瀚镭</v>
      </c>
      <c r="K1506" s="33">
        <f>VLOOKUP(J1506,辅助信息!H:I,2,FALSE)</f>
        <v>15884666220</v>
      </c>
      <c r="L1506" s="102" t="str">
        <f>VLOOKUP(B1506,辅助信息!E:J,6,FALSE)</f>
        <v>现场禁止使用氢能源挂车！优先威钢发货,我方卸车,新老国标钢厂不加价可直发，因陕钢多次出现磅差，项目拒绝使用</v>
      </c>
      <c r="M1506" s="84">
        <v>45787</v>
      </c>
      <c r="O1506" s="55">
        <f ca="1" t="shared" si="76"/>
        <v>0</v>
      </c>
      <c r="P1506" s="55">
        <f ca="1" t="shared" si="75"/>
        <v>170</v>
      </c>
      <c r="Q1506" s="22" t="str">
        <f>VLOOKUP(B1506,辅助信息!E:M,9,FALSE)</f>
        <v>ZTWM-CDGS-XS-2024-0030-华西集采-简州大道</v>
      </c>
      <c r="R1506" s="22" t="str">
        <f>_xlfn._xlws.FILTER(辅助信息!D:D,辅助信息!E:E=B1506)</f>
        <v>华西简阳西城嘉苑</v>
      </c>
    </row>
    <row r="1507" hidden="1" spans="1:18">
      <c r="A1507" s="75"/>
      <c r="B1507" s="33" t="s">
        <v>81</v>
      </c>
      <c r="C1507" s="63">
        <v>45787</v>
      </c>
      <c r="D1507" s="33" t="str">
        <f>VLOOKUP(B1507,辅助信息!E:K,7,FALSE)</f>
        <v>JWDDCD2025060900080</v>
      </c>
      <c r="E1507" s="33" t="str">
        <f>VLOOKUP(F1507,辅助信息!A:B,2,FALSE)</f>
        <v>盘螺</v>
      </c>
      <c r="F1507" s="33" t="s">
        <v>26</v>
      </c>
      <c r="G1507" s="29">
        <v>57</v>
      </c>
      <c r="H1507" s="29">
        <f>_xlfn.XLOOKUP(C1507&amp;F1507&amp;I1507&amp;J1507,'[1]2025年已发货'!$F:$F&amp;'[1]2025年已发货'!$C:$C&amp;'[1]2025年已发货'!$G:$G&amp;'[1]2025年已发货'!$H:$H,'[1]2025年已发货'!$E:$E,"未发货")</f>
        <v>57</v>
      </c>
      <c r="I1507" s="33" t="str">
        <f>VLOOKUP(B1507,辅助信息!E:I,3,FALSE)</f>
        <v>（华西简阳西城嘉苑）四川省成都市简阳市简城街道高屋村</v>
      </c>
      <c r="J1507" s="33" t="str">
        <f>VLOOKUP(B1507,辅助信息!E:I,4,FALSE)</f>
        <v>张瀚镭</v>
      </c>
      <c r="K1507" s="33">
        <f>VLOOKUP(J1507,辅助信息!H:I,2,FALSE)</f>
        <v>15884666220</v>
      </c>
      <c r="L1507" s="102" t="str">
        <f>VLOOKUP(B1507,辅助信息!E:J,6,FALSE)</f>
        <v>现场禁止使用氢能源挂车！优先威钢发货,我方卸车,新老国标钢厂不加价可直发，因陕钢多次出现磅差，项目拒绝使用</v>
      </c>
      <c r="M1507" s="84">
        <v>45787</v>
      </c>
      <c r="O1507" s="55">
        <f ca="1" t="shared" si="76"/>
        <v>0</v>
      </c>
      <c r="P1507" s="55">
        <f ca="1" t="shared" si="75"/>
        <v>170</v>
      </c>
      <c r="Q1507" s="22" t="str">
        <f>VLOOKUP(B1507,辅助信息!E:M,9,FALSE)</f>
        <v>ZTWM-CDGS-XS-2024-0030-华西集采-简州大道</v>
      </c>
      <c r="R1507" s="22" t="str">
        <f>_xlfn._xlws.FILTER(辅助信息!D:D,辅助信息!E:E=B1507)</f>
        <v>华西简阳西城嘉苑</v>
      </c>
    </row>
    <row r="1508" hidden="1" spans="1:18">
      <c r="A1508" s="75"/>
      <c r="B1508" s="33" t="s">
        <v>81</v>
      </c>
      <c r="C1508" s="63">
        <v>45787</v>
      </c>
      <c r="D1508" s="33" t="str">
        <f>VLOOKUP(B1508,辅助信息!E:K,7,FALSE)</f>
        <v>JWDDCD2025060900080</v>
      </c>
      <c r="E1508" s="33" t="str">
        <f>VLOOKUP(F1508,辅助信息!A:B,2,FALSE)</f>
        <v>螺纹钢</v>
      </c>
      <c r="F1508" s="33" t="s">
        <v>19</v>
      </c>
      <c r="G1508" s="29">
        <v>14</v>
      </c>
      <c r="H1508" s="29">
        <f>_xlfn.XLOOKUP(C1508&amp;F1508&amp;I1508&amp;J1508,'[1]2025年已发货'!$F:$F&amp;'[1]2025年已发货'!$C:$C&amp;'[1]2025年已发货'!$G:$G&amp;'[1]2025年已发货'!$H:$H,'[1]2025年已发货'!$E:$E,"未发货")</f>
        <v>14</v>
      </c>
      <c r="I1508" s="33" t="str">
        <f>VLOOKUP(B1508,辅助信息!E:I,3,FALSE)</f>
        <v>（华西简阳西城嘉苑）四川省成都市简阳市简城街道高屋村</v>
      </c>
      <c r="J1508" s="33" t="str">
        <f>VLOOKUP(B1508,辅助信息!E:I,4,FALSE)</f>
        <v>张瀚镭</v>
      </c>
      <c r="K1508" s="33">
        <f>VLOOKUP(J1508,辅助信息!H:I,2,FALSE)</f>
        <v>15884666220</v>
      </c>
      <c r="L1508" s="102" t="str">
        <f>VLOOKUP(B1508,辅助信息!E:J,6,FALSE)</f>
        <v>现场禁止使用氢能源挂车！优先威钢发货,我方卸车,新老国标钢厂不加价可直发，因陕钢多次出现磅差，项目拒绝使用</v>
      </c>
      <c r="M1508" s="84">
        <v>45787</v>
      </c>
      <c r="O1508" s="55">
        <f ca="1" t="shared" si="76"/>
        <v>0</v>
      </c>
      <c r="P1508" s="55">
        <f ca="1" t="shared" si="75"/>
        <v>170</v>
      </c>
      <c r="Q1508" s="22" t="str">
        <f>VLOOKUP(B1508,辅助信息!E:M,9,FALSE)</f>
        <v>ZTWM-CDGS-XS-2024-0030-华西集采-简州大道</v>
      </c>
      <c r="R1508" s="22" t="str">
        <f>_xlfn._xlws.FILTER(辅助信息!D:D,辅助信息!E:E=B1508)</f>
        <v>华西简阳西城嘉苑</v>
      </c>
    </row>
    <row r="1509" hidden="1" spans="1:18">
      <c r="A1509" s="75"/>
      <c r="B1509" s="33" t="s">
        <v>81</v>
      </c>
      <c r="C1509" s="63">
        <v>45787</v>
      </c>
      <c r="D1509" s="33" t="str">
        <f>VLOOKUP(B1509,辅助信息!E:K,7,FALSE)</f>
        <v>JWDDCD2025060900080</v>
      </c>
      <c r="E1509" s="33" t="str">
        <f>VLOOKUP(F1509,辅助信息!A:B,2,FALSE)</f>
        <v>螺纹钢</v>
      </c>
      <c r="F1509" s="33" t="s">
        <v>32</v>
      </c>
      <c r="G1509" s="29">
        <v>58.5</v>
      </c>
      <c r="H1509" s="29">
        <f>_xlfn.XLOOKUP(C1509&amp;F1509&amp;I1509&amp;J1509,'[1]2025年已发货'!$F:$F&amp;'[1]2025年已发货'!$C:$C&amp;'[1]2025年已发货'!$G:$G&amp;'[1]2025年已发货'!$H:$H,'[1]2025年已发货'!$E:$E,"未发货")</f>
        <v>57</v>
      </c>
      <c r="I1509" s="33" t="str">
        <f>VLOOKUP(B1509,辅助信息!E:I,3,FALSE)</f>
        <v>（华西简阳西城嘉苑）四川省成都市简阳市简城街道高屋村</v>
      </c>
      <c r="J1509" s="33" t="str">
        <f>VLOOKUP(B1509,辅助信息!E:I,4,FALSE)</f>
        <v>张瀚镭</v>
      </c>
      <c r="K1509" s="33">
        <f>VLOOKUP(J1509,辅助信息!H:I,2,FALSE)</f>
        <v>15884666220</v>
      </c>
      <c r="L1509" s="102" t="str">
        <f>VLOOKUP(B1509,辅助信息!E:J,6,FALSE)</f>
        <v>现场禁止使用氢能源挂车！优先威钢发货,我方卸车,新老国标钢厂不加价可直发，因陕钢多次出现磅差，项目拒绝使用</v>
      </c>
      <c r="M1509" s="84">
        <v>45787</v>
      </c>
      <c r="O1509" s="55">
        <f ca="1" t="shared" si="76"/>
        <v>0</v>
      </c>
      <c r="P1509" s="55">
        <f ca="1" t="shared" si="75"/>
        <v>170</v>
      </c>
      <c r="Q1509" s="22" t="str">
        <f>VLOOKUP(B1509,辅助信息!E:M,9,FALSE)</f>
        <v>ZTWM-CDGS-XS-2024-0030-华西集采-简州大道</v>
      </c>
      <c r="R1509" s="22" t="str">
        <f>_xlfn._xlws.FILTER(辅助信息!D:D,辅助信息!E:E=B1509)</f>
        <v>华西简阳西城嘉苑</v>
      </c>
    </row>
    <row r="1510" hidden="1" spans="1:18">
      <c r="A1510" s="75"/>
      <c r="B1510" s="33" t="s">
        <v>81</v>
      </c>
      <c r="C1510" s="63">
        <v>45787</v>
      </c>
      <c r="D1510" s="33" t="str">
        <f>VLOOKUP(B1510,辅助信息!E:K,7,FALSE)</f>
        <v>JWDDCD2025060900080</v>
      </c>
      <c r="E1510" s="33" t="str">
        <f>VLOOKUP(F1510,辅助信息!A:B,2,FALSE)</f>
        <v>螺纹钢</v>
      </c>
      <c r="F1510" s="33" t="s">
        <v>30</v>
      </c>
      <c r="G1510" s="29">
        <v>59</v>
      </c>
      <c r="H1510" s="29" t="str">
        <f>_xlfn.XLOOKUP(C1510&amp;F1510&amp;I1510&amp;J1510,'[1]2025年已发货'!$F:$F&amp;'[1]2025年已发货'!$C:$C&amp;'[1]2025年已发货'!$G:$G&amp;'[1]2025年已发货'!$H:$H,'[1]2025年已发货'!$E:$E,"未发货")</f>
        <v>未发货</v>
      </c>
      <c r="I1510" s="33" t="str">
        <f>VLOOKUP(B1510,辅助信息!E:I,3,FALSE)</f>
        <v>（华西简阳西城嘉苑）四川省成都市简阳市简城街道高屋村</v>
      </c>
      <c r="J1510" s="33" t="str">
        <f>VLOOKUP(B1510,辅助信息!E:I,4,FALSE)</f>
        <v>张瀚镭</v>
      </c>
      <c r="K1510" s="33">
        <f>VLOOKUP(J1510,辅助信息!H:I,2,FALSE)</f>
        <v>15884666220</v>
      </c>
      <c r="L1510" s="102" t="str">
        <f>VLOOKUP(B1510,辅助信息!E:J,6,FALSE)</f>
        <v>现场禁止使用氢能源挂车！优先威钢发货,我方卸车,新老国标钢厂不加价可直发，因陕钢多次出现磅差，项目拒绝使用</v>
      </c>
      <c r="M1510" s="84">
        <v>45787</v>
      </c>
      <c r="O1510" s="55">
        <f ca="1" t="shared" si="76"/>
        <v>0</v>
      </c>
      <c r="P1510" s="55">
        <f ca="1" t="shared" si="75"/>
        <v>170</v>
      </c>
      <c r="Q1510" s="22" t="str">
        <f>VLOOKUP(B1510,辅助信息!E:M,9,FALSE)</f>
        <v>ZTWM-CDGS-XS-2024-0030-华西集采-简州大道</v>
      </c>
      <c r="R1510" s="22" t="str">
        <f>_xlfn._xlws.FILTER(辅助信息!D:D,辅助信息!E:E=B1510)</f>
        <v>华西简阳西城嘉苑</v>
      </c>
    </row>
    <row r="1511" hidden="1" spans="1:18">
      <c r="A1511" s="75"/>
      <c r="B1511" s="33" t="s">
        <v>81</v>
      </c>
      <c r="C1511" s="63">
        <v>45787</v>
      </c>
      <c r="D1511" s="33" t="str">
        <f>VLOOKUP(B1511,辅助信息!E:K,7,FALSE)</f>
        <v>JWDDCD2025060900080</v>
      </c>
      <c r="E1511" s="33" t="str">
        <f>VLOOKUP(F1511,辅助信息!A:B,2,FALSE)</f>
        <v>螺纹钢</v>
      </c>
      <c r="F1511" s="33" t="s">
        <v>33</v>
      </c>
      <c r="G1511" s="29">
        <v>25.5</v>
      </c>
      <c r="H1511" s="29" t="str">
        <f>_xlfn.XLOOKUP(C1511&amp;F1511&amp;I1511&amp;J1511,'[1]2025年已发货'!$F:$F&amp;'[1]2025年已发货'!$C:$C&amp;'[1]2025年已发货'!$G:$G&amp;'[1]2025年已发货'!$H:$H,'[1]2025年已发货'!$E:$E,"未发货")</f>
        <v>未发货</v>
      </c>
      <c r="I1511" s="33" t="str">
        <f>VLOOKUP(B1511,辅助信息!E:I,3,FALSE)</f>
        <v>（华西简阳西城嘉苑）四川省成都市简阳市简城街道高屋村</v>
      </c>
      <c r="J1511" s="33" t="str">
        <f>VLOOKUP(B1511,辅助信息!E:I,4,FALSE)</f>
        <v>张瀚镭</v>
      </c>
      <c r="K1511" s="33">
        <f>VLOOKUP(J1511,辅助信息!H:I,2,FALSE)</f>
        <v>15884666220</v>
      </c>
      <c r="L1511" s="102" t="str">
        <f>VLOOKUP(B1511,辅助信息!E:J,6,FALSE)</f>
        <v>现场禁止使用氢能源挂车！优先威钢发货,我方卸车,新老国标钢厂不加价可直发，因陕钢多次出现磅差，项目拒绝使用</v>
      </c>
      <c r="M1511" s="84">
        <v>45787</v>
      </c>
      <c r="O1511" s="55">
        <f ca="1" t="shared" si="76"/>
        <v>0</v>
      </c>
      <c r="P1511" s="55">
        <f ca="1" t="shared" si="75"/>
        <v>170</v>
      </c>
      <c r="Q1511" s="22" t="str">
        <f>VLOOKUP(B1511,辅助信息!E:M,9,FALSE)</f>
        <v>ZTWM-CDGS-XS-2024-0030-华西集采-简州大道</v>
      </c>
      <c r="R1511" s="22" t="str">
        <f>_xlfn._xlws.FILTER(辅助信息!D:D,辅助信息!E:E=B1511)</f>
        <v>华西简阳西城嘉苑</v>
      </c>
    </row>
    <row r="1512" hidden="1" spans="1:18">
      <c r="A1512" s="75"/>
      <c r="B1512" s="33" t="s">
        <v>81</v>
      </c>
      <c r="C1512" s="63">
        <v>45787</v>
      </c>
      <c r="D1512" s="33" t="str">
        <f>VLOOKUP(B1512,辅助信息!E:K,7,FALSE)</f>
        <v>JWDDCD2025060900080</v>
      </c>
      <c r="E1512" s="33" t="str">
        <f>VLOOKUP(F1512,辅助信息!A:B,2,FALSE)</f>
        <v>螺纹钢</v>
      </c>
      <c r="F1512" s="33" t="s">
        <v>28</v>
      </c>
      <c r="G1512" s="29">
        <v>7</v>
      </c>
      <c r="H1512" s="29" t="str">
        <f>_xlfn.XLOOKUP(C1512&amp;F1512&amp;I1512&amp;J1512,'[1]2025年已发货'!$F:$F&amp;'[1]2025年已发货'!$C:$C&amp;'[1]2025年已发货'!$G:$G&amp;'[1]2025年已发货'!$H:$H,'[1]2025年已发货'!$E:$E,"未发货")</f>
        <v>未发货</v>
      </c>
      <c r="I1512" s="33" t="str">
        <f>VLOOKUP(B1512,辅助信息!E:I,3,FALSE)</f>
        <v>（华西简阳西城嘉苑）四川省成都市简阳市简城街道高屋村</v>
      </c>
      <c r="J1512" s="33" t="str">
        <f>VLOOKUP(B1512,辅助信息!E:I,4,FALSE)</f>
        <v>张瀚镭</v>
      </c>
      <c r="K1512" s="33">
        <f>VLOOKUP(J1512,辅助信息!H:I,2,FALSE)</f>
        <v>15884666220</v>
      </c>
      <c r="L1512" s="102" t="str">
        <f>VLOOKUP(B1512,辅助信息!E:J,6,FALSE)</f>
        <v>现场禁止使用氢能源挂车！优先威钢发货,我方卸车,新老国标钢厂不加价可直发，因陕钢多次出现磅差，项目拒绝使用</v>
      </c>
      <c r="M1512" s="84">
        <v>45787</v>
      </c>
      <c r="O1512" s="55">
        <f ca="1" t="shared" si="76"/>
        <v>0</v>
      </c>
      <c r="P1512" s="55">
        <f ca="1" t="shared" si="75"/>
        <v>170</v>
      </c>
      <c r="Q1512" s="22" t="str">
        <f>VLOOKUP(B1512,辅助信息!E:M,9,FALSE)</f>
        <v>ZTWM-CDGS-XS-2024-0030-华西集采-简州大道</v>
      </c>
      <c r="R1512" s="22" t="str">
        <f>_xlfn._xlws.FILTER(辅助信息!D:D,辅助信息!E:E=B1512)</f>
        <v>华西简阳西城嘉苑</v>
      </c>
    </row>
    <row r="1513" hidden="1" spans="1:18">
      <c r="A1513" s="75"/>
      <c r="B1513" s="33" t="s">
        <v>81</v>
      </c>
      <c r="C1513" s="63">
        <v>45787</v>
      </c>
      <c r="D1513" s="33" t="str">
        <f>VLOOKUP(B1513,辅助信息!E:K,7,FALSE)</f>
        <v>JWDDCD2025060900080</v>
      </c>
      <c r="E1513" s="33" t="str">
        <f>VLOOKUP(F1513,辅助信息!A:B,2,FALSE)</f>
        <v>螺纹钢</v>
      </c>
      <c r="F1513" s="33" t="s">
        <v>18</v>
      </c>
      <c r="G1513" s="29">
        <v>14.5</v>
      </c>
      <c r="H1513" s="29" t="str">
        <f>_xlfn.XLOOKUP(C1513&amp;F1513&amp;I1513&amp;J1513,'[1]2025年已发货'!$F:$F&amp;'[1]2025年已发货'!$C:$C&amp;'[1]2025年已发货'!$G:$G&amp;'[1]2025年已发货'!$H:$H,'[1]2025年已发货'!$E:$E,"未发货")</f>
        <v>未发货</v>
      </c>
      <c r="I1513" s="33" t="str">
        <f>VLOOKUP(B1513,辅助信息!E:I,3,FALSE)</f>
        <v>（华西简阳西城嘉苑）四川省成都市简阳市简城街道高屋村</v>
      </c>
      <c r="J1513" s="33" t="str">
        <f>VLOOKUP(B1513,辅助信息!E:I,4,FALSE)</f>
        <v>张瀚镭</v>
      </c>
      <c r="K1513" s="33">
        <f>VLOOKUP(J1513,辅助信息!H:I,2,FALSE)</f>
        <v>15884666220</v>
      </c>
      <c r="L1513" s="102" t="str">
        <f>VLOOKUP(B1513,辅助信息!E:J,6,FALSE)</f>
        <v>现场禁止使用氢能源挂车！优先威钢发货,我方卸车,新老国标钢厂不加价可直发，因陕钢多次出现磅差，项目拒绝使用</v>
      </c>
      <c r="M1513" s="84">
        <v>45787</v>
      </c>
      <c r="O1513" s="55">
        <f ca="1" t="shared" si="76"/>
        <v>0</v>
      </c>
      <c r="P1513" s="55">
        <f ca="1" t="shared" si="75"/>
        <v>170</v>
      </c>
      <c r="Q1513" s="22" t="str">
        <f>VLOOKUP(B1513,辅助信息!E:M,9,FALSE)</f>
        <v>ZTWM-CDGS-XS-2024-0030-华西集采-简州大道</v>
      </c>
      <c r="R1513" s="22" t="str">
        <f>_xlfn._xlws.FILTER(辅助信息!D:D,辅助信息!E:E=B1513)</f>
        <v>华西简阳西城嘉苑</v>
      </c>
    </row>
    <row r="1514" hidden="1" spans="1:18">
      <c r="A1514" s="75"/>
      <c r="B1514" s="33" t="s">
        <v>81</v>
      </c>
      <c r="C1514" s="63">
        <v>45787</v>
      </c>
      <c r="D1514" s="33" t="str">
        <f>VLOOKUP(B1514,辅助信息!E:K,7,FALSE)</f>
        <v>JWDDCD2025060900080</v>
      </c>
      <c r="E1514" s="33" t="str">
        <f>VLOOKUP(F1514,辅助信息!A:B,2,FALSE)</f>
        <v>螺纹钢</v>
      </c>
      <c r="F1514" s="33" t="s">
        <v>66</v>
      </c>
      <c r="G1514" s="29">
        <v>2.5</v>
      </c>
      <c r="H1514" s="29">
        <f>_xlfn.XLOOKUP(C1514&amp;F1514&amp;I1514&amp;J1514,'[1]2025年已发货'!$F:$F&amp;'[1]2025年已发货'!$C:$C&amp;'[1]2025年已发货'!$G:$G&amp;'[1]2025年已发货'!$H:$H,'[1]2025年已发货'!$E:$E,"未发货")</f>
        <v>3</v>
      </c>
      <c r="I1514" s="33" t="str">
        <f>VLOOKUP(B1514,辅助信息!E:I,3,FALSE)</f>
        <v>（华西简阳西城嘉苑）四川省成都市简阳市简城街道高屋村</v>
      </c>
      <c r="J1514" s="33" t="str">
        <f>VLOOKUP(B1514,辅助信息!E:I,4,FALSE)</f>
        <v>张瀚镭</v>
      </c>
      <c r="K1514" s="33">
        <f>VLOOKUP(J1514,辅助信息!H:I,2,FALSE)</f>
        <v>15884666220</v>
      </c>
      <c r="L1514" s="102" t="str">
        <f>VLOOKUP(B1514,辅助信息!E:J,6,FALSE)</f>
        <v>现场禁止使用氢能源挂车！优先威钢发货,我方卸车,新老国标钢厂不加价可直发，因陕钢多次出现磅差，项目拒绝使用</v>
      </c>
      <c r="M1514" s="84">
        <v>45788</v>
      </c>
      <c r="O1514" s="55">
        <f ca="1" t="shared" si="76"/>
        <v>0</v>
      </c>
      <c r="P1514" s="55">
        <f ca="1" t="shared" si="75"/>
        <v>169</v>
      </c>
      <c r="Q1514" s="22" t="str">
        <f>VLOOKUP(B1514,辅助信息!E:M,9,FALSE)</f>
        <v>ZTWM-CDGS-XS-2024-0030-华西集采-简州大道</v>
      </c>
      <c r="R1514" s="22" t="str">
        <f>_xlfn._xlws.FILTER(辅助信息!D:D,辅助信息!E:E=B1514)</f>
        <v>华西简阳西城嘉苑</v>
      </c>
    </row>
    <row r="1515" hidden="1" spans="1:18">
      <c r="A1515" s="75"/>
      <c r="B1515" s="33" t="s">
        <v>81</v>
      </c>
      <c r="C1515" s="63">
        <v>45787</v>
      </c>
      <c r="D1515" s="33" t="str">
        <f>VLOOKUP(B1515,辅助信息!E:K,7,FALSE)</f>
        <v>JWDDCD2025060900080</v>
      </c>
      <c r="E1515" s="33" t="str">
        <f>VLOOKUP(F1515,辅助信息!A:B,2,FALSE)</f>
        <v>螺纹钢</v>
      </c>
      <c r="F1515" s="33" t="s">
        <v>82</v>
      </c>
      <c r="G1515" s="29">
        <v>2.5</v>
      </c>
      <c r="H1515" s="29">
        <f>_xlfn.XLOOKUP(C1515&amp;F1515&amp;I1515&amp;J1515,'[1]2025年已发货'!$F:$F&amp;'[1]2025年已发货'!$C:$C&amp;'[1]2025年已发货'!$G:$G&amp;'[1]2025年已发货'!$H:$H,'[1]2025年已发货'!$E:$E,"未发货")</f>
        <v>3</v>
      </c>
      <c r="I1515" s="33" t="str">
        <f>VLOOKUP(B1515,辅助信息!E:I,3,FALSE)</f>
        <v>（华西简阳西城嘉苑）四川省成都市简阳市简城街道高屋村</v>
      </c>
      <c r="J1515" s="33" t="str">
        <f>VLOOKUP(B1515,辅助信息!E:I,4,FALSE)</f>
        <v>张瀚镭</v>
      </c>
      <c r="K1515" s="33">
        <f>VLOOKUP(J1515,辅助信息!H:I,2,FALSE)</f>
        <v>15884666220</v>
      </c>
      <c r="L1515" s="102" t="str">
        <f>VLOOKUP(B1515,辅助信息!E:J,6,FALSE)</f>
        <v>现场禁止使用氢能源挂车！优先威钢发货,我方卸车,新老国标钢厂不加价可直发，因陕钢多次出现磅差，项目拒绝使用</v>
      </c>
      <c r="M1515" s="84">
        <v>45788</v>
      </c>
      <c r="O1515" s="55">
        <f ca="1" t="shared" si="76"/>
        <v>0</v>
      </c>
      <c r="P1515" s="55">
        <f ca="1" t="shared" si="75"/>
        <v>169</v>
      </c>
      <c r="Q1515" s="22" t="str">
        <f>VLOOKUP(B1515,辅助信息!E:M,9,FALSE)</f>
        <v>ZTWM-CDGS-XS-2024-0030-华西集采-简州大道</v>
      </c>
      <c r="R1515" s="22" t="str">
        <f>_xlfn._xlws.FILTER(辅助信息!D:D,辅助信息!E:E=B1515)</f>
        <v>华西简阳西城嘉苑</v>
      </c>
    </row>
    <row r="1516" hidden="1" spans="1:18">
      <c r="A1516" s="75"/>
      <c r="B1516" s="33" t="s">
        <v>81</v>
      </c>
      <c r="C1516" s="63">
        <v>45787</v>
      </c>
      <c r="D1516" s="33" t="str">
        <f>VLOOKUP(B1516,辅助信息!E:K,7,FALSE)</f>
        <v>JWDDCD2025060900080</v>
      </c>
      <c r="E1516" s="33" t="str">
        <f>VLOOKUP(F1516,辅助信息!A:B,2,FALSE)</f>
        <v>螺纹钢</v>
      </c>
      <c r="F1516" s="33" t="s">
        <v>45</v>
      </c>
      <c r="G1516" s="29">
        <v>2.5</v>
      </c>
      <c r="H1516" s="29">
        <f>_xlfn.XLOOKUP(C1516&amp;F1516&amp;I1516&amp;J1516,'[1]2025年已发货'!$F:$F&amp;'[1]2025年已发货'!$C:$C&amp;'[1]2025年已发货'!$G:$G&amp;'[1]2025年已发货'!$H:$H,'[1]2025年已发货'!$E:$E,"未发货")</f>
        <v>3</v>
      </c>
      <c r="I1516" s="33" t="str">
        <f>VLOOKUP(B1516,辅助信息!E:I,3,FALSE)</f>
        <v>（华西简阳西城嘉苑）四川省成都市简阳市简城街道高屋村</v>
      </c>
      <c r="J1516" s="33" t="str">
        <f>VLOOKUP(B1516,辅助信息!E:I,4,FALSE)</f>
        <v>张瀚镭</v>
      </c>
      <c r="K1516" s="33">
        <f>VLOOKUP(J1516,辅助信息!H:I,2,FALSE)</f>
        <v>15884666220</v>
      </c>
      <c r="L1516" s="102" t="str">
        <f>VLOOKUP(B1516,辅助信息!E:J,6,FALSE)</f>
        <v>现场禁止使用氢能源挂车！优先威钢发货,我方卸车,新老国标钢厂不加价可直发，因陕钢多次出现磅差，项目拒绝使用</v>
      </c>
      <c r="M1516" s="84">
        <v>45788</v>
      </c>
      <c r="O1516" s="55">
        <f ca="1" t="shared" si="76"/>
        <v>0</v>
      </c>
      <c r="P1516" s="55">
        <f ca="1" t="shared" si="75"/>
        <v>169</v>
      </c>
      <c r="Q1516" s="22" t="str">
        <f>VLOOKUP(B1516,辅助信息!E:M,9,FALSE)</f>
        <v>ZTWM-CDGS-XS-2024-0030-华西集采-简州大道</v>
      </c>
      <c r="R1516" s="22" t="str">
        <f>_xlfn._xlws.FILTER(辅助信息!D:D,辅助信息!E:E=B1516)</f>
        <v>华西简阳西城嘉苑</v>
      </c>
    </row>
    <row r="1517" hidden="1" spans="1:18">
      <c r="A1517" s="75"/>
      <c r="B1517" s="33" t="s">
        <v>81</v>
      </c>
      <c r="C1517" s="63">
        <v>45787</v>
      </c>
      <c r="D1517" s="33" t="str">
        <f>VLOOKUP(B1517,辅助信息!E:K,7,FALSE)</f>
        <v>JWDDCD2025060900080</v>
      </c>
      <c r="E1517" s="33" t="str">
        <f>VLOOKUP(F1517,辅助信息!A:B,2,FALSE)</f>
        <v>螺纹钢</v>
      </c>
      <c r="F1517" s="33" t="s">
        <v>21</v>
      </c>
      <c r="G1517" s="29">
        <v>2.5</v>
      </c>
      <c r="H1517" s="29" t="str">
        <f>_xlfn.XLOOKUP(C1517&amp;F1517&amp;I1517&amp;J1517,'[1]2025年已发货'!$F:$F&amp;'[1]2025年已发货'!$C:$C&amp;'[1]2025年已发货'!$G:$G&amp;'[1]2025年已发货'!$H:$H,'[1]2025年已发货'!$E:$E,"未发货")</f>
        <v>未发货</v>
      </c>
      <c r="I1517" s="33" t="str">
        <f>VLOOKUP(B1517,辅助信息!E:I,3,FALSE)</f>
        <v>（华西简阳西城嘉苑）四川省成都市简阳市简城街道高屋村</v>
      </c>
      <c r="J1517" s="33" t="str">
        <f>VLOOKUP(B1517,辅助信息!E:I,4,FALSE)</f>
        <v>张瀚镭</v>
      </c>
      <c r="K1517" s="33">
        <f>VLOOKUP(J1517,辅助信息!H:I,2,FALSE)</f>
        <v>15884666220</v>
      </c>
      <c r="L1517" s="102" t="str">
        <f>VLOOKUP(B1517,辅助信息!E:J,6,FALSE)</f>
        <v>现场禁止使用氢能源挂车！优先威钢发货,我方卸车,新老国标钢厂不加价可直发，因陕钢多次出现磅差，项目拒绝使用</v>
      </c>
      <c r="M1517" s="84">
        <v>45788</v>
      </c>
      <c r="O1517" s="55">
        <f ca="1" t="shared" si="76"/>
        <v>0</v>
      </c>
      <c r="P1517" s="55">
        <f ca="1" t="shared" si="75"/>
        <v>169</v>
      </c>
      <c r="Q1517" s="22" t="str">
        <f>VLOOKUP(B1517,辅助信息!E:M,9,FALSE)</f>
        <v>ZTWM-CDGS-XS-2024-0030-华西集采-简州大道</v>
      </c>
      <c r="R1517" s="22" t="str">
        <f>_xlfn._xlws.FILTER(辅助信息!D:D,辅助信息!E:E=B1517)</f>
        <v>华西简阳西城嘉苑</v>
      </c>
    </row>
    <row r="1518" hidden="1" spans="1:18">
      <c r="A1518" s="75"/>
      <c r="B1518" s="33" t="s">
        <v>81</v>
      </c>
      <c r="C1518" s="63">
        <v>45787</v>
      </c>
      <c r="D1518" s="33" t="str">
        <f>VLOOKUP(B1518,辅助信息!E:K,7,FALSE)</f>
        <v>JWDDCD2025060900080</v>
      </c>
      <c r="E1518" s="33" t="str">
        <f>VLOOKUP(F1518,辅助信息!A:B,2,FALSE)</f>
        <v>螺纹钢</v>
      </c>
      <c r="F1518" s="33" t="s">
        <v>58</v>
      </c>
      <c r="G1518" s="29">
        <v>3.5</v>
      </c>
      <c r="H1518" s="29">
        <f>_xlfn.XLOOKUP(C1518&amp;F1518&amp;I1518&amp;J1518,'[1]2025年已发货'!$F:$F&amp;'[1]2025年已发货'!$C:$C&amp;'[1]2025年已发货'!$G:$G&amp;'[1]2025年已发货'!$H:$H,'[1]2025年已发货'!$E:$E,"未发货")</f>
        <v>3</v>
      </c>
      <c r="I1518" s="33" t="str">
        <f>VLOOKUP(B1518,辅助信息!E:I,3,FALSE)</f>
        <v>（华西简阳西城嘉苑）四川省成都市简阳市简城街道高屋村</v>
      </c>
      <c r="J1518" s="33" t="str">
        <f>VLOOKUP(B1518,辅助信息!E:I,4,FALSE)</f>
        <v>张瀚镭</v>
      </c>
      <c r="K1518" s="33">
        <f>VLOOKUP(J1518,辅助信息!H:I,2,FALSE)</f>
        <v>15884666220</v>
      </c>
      <c r="L1518" s="102" t="str">
        <f>VLOOKUP(B1518,辅助信息!E:J,6,FALSE)</f>
        <v>现场禁止使用氢能源挂车！优先威钢发货,我方卸车,新老国标钢厂不加价可直发，因陕钢多次出现磅差，项目拒绝使用</v>
      </c>
      <c r="M1518" s="84">
        <v>45788</v>
      </c>
      <c r="O1518" s="55">
        <f ca="1" t="shared" si="76"/>
        <v>0</v>
      </c>
      <c r="P1518" s="55">
        <f ca="1" t="shared" si="75"/>
        <v>169</v>
      </c>
      <c r="Q1518" s="22" t="str">
        <f>VLOOKUP(B1518,辅助信息!E:M,9,FALSE)</f>
        <v>ZTWM-CDGS-XS-2024-0030-华西集采-简州大道</v>
      </c>
      <c r="R1518" s="22" t="str">
        <f>_xlfn._xlws.FILTER(辅助信息!D:D,辅助信息!E:E=B1518)</f>
        <v>华西简阳西城嘉苑</v>
      </c>
    </row>
    <row r="1519" hidden="1" spans="1:18">
      <c r="A1519" s="75"/>
      <c r="B1519" s="33" t="s">
        <v>81</v>
      </c>
      <c r="C1519" s="63">
        <v>45787</v>
      </c>
      <c r="D1519" s="33" t="str">
        <f>VLOOKUP(B1519,辅助信息!E:K,7,FALSE)</f>
        <v>JWDDCD2025060900080</v>
      </c>
      <c r="E1519" s="33" t="str">
        <f>VLOOKUP(F1519,辅助信息!A:B,2,FALSE)</f>
        <v>螺纹钢</v>
      </c>
      <c r="F1519" s="33" t="s">
        <v>46</v>
      </c>
      <c r="G1519" s="29">
        <v>8.5</v>
      </c>
      <c r="H1519" s="29" t="str">
        <f>_xlfn.XLOOKUP(C1519&amp;F1519&amp;I1519&amp;J1519,'[1]2025年已发货'!$F:$F&amp;'[1]2025年已发货'!$C:$C&amp;'[1]2025年已发货'!$G:$G&amp;'[1]2025年已发货'!$H:$H,'[1]2025年已发货'!$E:$E,"未发货")</f>
        <v>未发货</v>
      </c>
      <c r="I1519" s="33" t="str">
        <f>VLOOKUP(B1519,辅助信息!E:I,3,FALSE)</f>
        <v>（华西简阳西城嘉苑）四川省成都市简阳市简城街道高屋村</v>
      </c>
      <c r="J1519" s="33" t="str">
        <f>VLOOKUP(B1519,辅助信息!E:I,4,FALSE)</f>
        <v>张瀚镭</v>
      </c>
      <c r="K1519" s="33">
        <f>VLOOKUP(J1519,辅助信息!H:I,2,FALSE)</f>
        <v>15884666220</v>
      </c>
      <c r="L1519" s="102" t="str">
        <f>VLOOKUP(B1519,辅助信息!E:J,6,FALSE)</f>
        <v>现场禁止使用氢能源挂车！优先威钢发货,我方卸车,新老国标钢厂不加价可直发，因陕钢多次出现磅差，项目拒绝使用</v>
      </c>
      <c r="M1519" s="84">
        <v>45788</v>
      </c>
      <c r="O1519" s="55">
        <f ca="1" t="shared" si="76"/>
        <v>0</v>
      </c>
      <c r="P1519" s="55">
        <f ca="1" t="shared" si="75"/>
        <v>169</v>
      </c>
      <c r="Q1519" s="22" t="str">
        <f>VLOOKUP(B1519,辅助信息!E:M,9,FALSE)</f>
        <v>ZTWM-CDGS-XS-2024-0030-华西集采-简州大道</v>
      </c>
      <c r="R1519" s="22" t="str">
        <f>_xlfn._xlws.FILTER(辅助信息!D:D,辅助信息!E:E=B1519)</f>
        <v>华西简阳西城嘉苑</v>
      </c>
    </row>
    <row r="1520" hidden="1" spans="1:18">
      <c r="A1520" s="75"/>
      <c r="B1520" s="33" t="s">
        <v>81</v>
      </c>
      <c r="C1520" s="63">
        <v>45787</v>
      </c>
      <c r="D1520" s="33" t="str">
        <f>VLOOKUP(B1520,辅助信息!E:K,7,FALSE)</f>
        <v>JWDDCD2025060900080</v>
      </c>
      <c r="E1520" s="33" t="str">
        <f>VLOOKUP(F1520,辅助信息!A:B,2,FALSE)</f>
        <v>螺纹钢</v>
      </c>
      <c r="F1520" s="33" t="s">
        <v>22</v>
      </c>
      <c r="G1520" s="29">
        <v>4.5</v>
      </c>
      <c r="H1520" s="29">
        <f>_xlfn.XLOOKUP(C1520&amp;F1520&amp;I1520&amp;J1520,'[1]2025年已发货'!$F:$F&amp;'[1]2025年已发货'!$C:$C&amp;'[1]2025年已发货'!$G:$G&amp;'[1]2025年已发货'!$H:$H,'[1]2025年已发货'!$E:$E,"未发货")</f>
        <v>3</v>
      </c>
      <c r="I1520" s="33" t="str">
        <f>VLOOKUP(B1520,辅助信息!E:I,3,FALSE)</f>
        <v>（华西简阳西城嘉苑）四川省成都市简阳市简城街道高屋村</v>
      </c>
      <c r="J1520" s="33" t="str">
        <f>VLOOKUP(B1520,辅助信息!E:I,4,FALSE)</f>
        <v>张瀚镭</v>
      </c>
      <c r="K1520" s="33">
        <f>VLOOKUP(J1520,辅助信息!H:I,2,FALSE)</f>
        <v>15884666220</v>
      </c>
      <c r="L1520" s="102" t="str">
        <f>VLOOKUP(B1520,辅助信息!E:J,6,FALSE)</f>
        <v>现场禁止使用氢能源挂车！优先威钢发货,我方卸车,新老国标钢厂不加价可直发，因陕钢多次出现磅差，项目拒绝使用</v>
      </c>
      <c r="M1520" s="84">
        <v>45788</v>
      </c>
      <c r="O1520" s="55">
        <f ca="1" t="shared" si="76"/>
        <v>0</v>
      </c>
      <c r="P1520" s="55">
        <f ca="1" t="shared" ref="P1520:P1570" si="77">IF(M1520="","",IF(N1520&lt;&gt;"",MAX(N1520-M1520,0),IF(TODAY()&gt;M1520,TODAY()-M1520,0)))</f>
        <v>169</v>
      </c>
      <c r="Q1520" s="22" t="str">
        <f>VLOOKUP(B1520,辅助信息!E:M,9,FALSE)</f>
        <v>ZTWM-CDGS-XS-2024-0030-华西集采-简州大道</v>
      </c>
      <c r="R1520" s="22" t="str">
        <f>_xlfn._xlws.FILTER(辅助信息!D:D,辅助信息!E:E=B1520)</f>
        <v>华西简阳西城嘉苑</v>
      </c>
    </row>
    <row r="1521" hidden="1" spans="1:18">
      <c r="A1521" s="75" t="s">
        <v>100</v>
      </c>
      <c r="B1521" s="33" t="s">
        <v>31</v>
      </c>
      <c r="C1521" s="63">
        <v>45787</v>
      </c>
      <c r="D1521" s="33" t="str">
        <f>VLOOKUP(B1521,辅助信息!E:K,7,FALSE)</f>
        <v>JWDDCD2024121000136</v>
      </c>
      <c r="E1521" s="33" t="str">
        <f>VLOOKUP(F1521,辅助信息!A:B,2,FALSE)</f>
        <v>盘螺</v>
      </c>
      <c r="F1521" s="33" t="s">
        <v>49</v>
      </c>
      <c r="G1521" s="29">
        <v>35</v>
      </c>
      <c r="H1521" s="29" t="str">
        <f>_xlfn.XLOOKUP(C1521&amp;F1521&amp;I1521&amp;J1521,'[1]2025年已发货'!$F:$F&amp;'[1]2025年已发货'!$C:$C&amp;'[1]2025年已发货'!$G:$G&amp;'[1]2025年已发货'!$H:$H,'[1]2025年已发货'!$E:$E,"未发货")</f>
        <v>未发货</v>
      </c>
      <c r="I1521" s="33" t="str">
        <f>VLOOKUP(B1521,辅助信息!E:I,3,FALSE)</f>
        <v>（四川商建-射洪城乡一体化项目）遂宁市射洪市忠新幼儿园北侧约220米新溪小区</v>
      </c>
      <c r="J1521" s="33" t="str">
        <f>VLOOKUP(B1521,辅助信息!E:I,4,FALSE)</f>
        <v>柏子刚</v>
      </c>
      <c r="K1521" s="33">
        <f>VLOOKUP(J1521,辅助信息!H:I,2,FALSE)</f>
        <v>15692885305</v>
      </c>
      <c r="L1521" s="102" t="str">
        <f>VLOOKUP(B1521,辅助信息!E:J,6,FALSE)</f>
        <v>提前联系到场规格及数量</v>
      </c>
      <c r="M1521" s="84">
        <v>45788</v>
      </c>
      <c r="O1521" s="55">
        <f ca="1" t="shared" si="76"/>
        <v>0</v>
      </c>
      <c r="P1521" s="55">
        <f ca="1" t="shared" si="77"/>
        <v>169</v>
      </c>
      <c r="Q1521" s="22" t="str">
        <f>VLOOKUP(B1521,辅助信息!E:M,9,FALSE)</f>
        <v>ZTWM-CDGS-XS-2024-0179-四川商投-射洪城乡一体化建设项目</v>
      </c>
      <c r="R1521" s="22" t="str">
        <f>_xlfn._xlws.FILTER(辅助信息!D:D,辅助信息!E:E=B1521)</f>
        <v>四川商建
射洪城乡一体化项目</v>
      </c>
    </row>
    <row r="1522" hidden="1" spans="2:18">
      <c r="B1522" s="33" t="s">
        <v>150</v>
      </c>
      <c r="C1522" s="63">
        <v>45787</v>
      </c>
      <c r="D1522" s="33" t="str">
        <f>VLOOKUP(B1522,辅助信息!E:K,7,FALSE)</f>
        <v>JWDDCD2025050800101</v>
      </c>
      <c r="E1522" s="33" t="str">
        <f>VLOOKUP(F1522,辅助信息!A:B,2,FALSE)</f>
        <v>螺纹钢</v>
      </c>
      <c r="F1522" s="33" t="s">
        <v>28</v>
      </c>
      <c r="G1522" s="29">
        <v>27</v>
      </c>
      <c r="H1522" s="29" t="str">
        <f>_xlfn.XLOOKUP(C1522&amp;F1522&amp;I1522&amp;J1522,'[1]2025年已发货'!$F:$F&amp;'[1]2025年已发货'!$C:$C&amp;'[1]2025年已发货'!$G:$G&amp;'[1]2025年已发货'!$H:$H,'[1]2025年已发货'!$E:$E,"未发货")</f>
        <v>未发货</v>
      </c>
      <c r="I1522" s="33" t="str">
        <f>VLOOKUP(B1522,辅助信息!E:I,3,FALSE)</f>
        <v>(中铁科研院宜宾泥溪项目)中铁科研院集团有限公司宜宾市泥溪东互通式立交下穿成贵客专铁路工程项目钢筋加工厂</v>
      </c>
      <c r="J1522" s="33" t="str">
        <f>VLOOKUP(B1522,辅助信息!E:I,4,FALSE)</f>
        <v>蔡鹏</v>
      </c>
      <c r="K1522" s="33">
        <f>VLOOKUP(J1522,辅助信息!H:I,2,FALSE)</f>
        <v>19130850820</v>
      </c>
      <c r="L1522" s="102" t="str">
        <f>VLOOKUP(B1522,辅助信息!E:J,6,FALSE)</f>
        <v>装货前联系收货人核实到场规格，货物最下面用方木垫下方便卸货</v>
      </c>
      <c r="M1522" s="84">
        <v>45792</v>
      </c>
      <c r="O1522" s="55">
        <f ca="1" t="shared" ref="O1522:O1570" si="78">IF(OR(M1522="",N1522&lt;&gt;""),"",MAX(M1522-TODAY(),0))</f>
        <v>0</v>
      </c>
      <c r="P1522" s="55">
        <f ca="1" t="shared" si="77"/>
        <v>165</v>
      </c>
      <c r="Q1522" s="22" t="str">
        <f>VLOOKUP(B1522,辅助信息!E:M,9,FALSE)</f>
        <v>ZTWM-CDGS-XS-2025-0050-中铁科研院-宜宾泥溪项目</v>
      </c>
      <c r="R1522" s="22" t="str">
        <f>_xlfn._xlws.FILTER(辅助信息!D:D,辅助信息!E:E=B1522)</f>
        <v>中铁科研院宜宾泥溪项目</v>
      </c>
    </row>
    <row r="1523" hidden="1" spans="2:18">
      <c r="B1523" s="33" t="s">
        <v>150</v>
      </c>
      <c r="C1523" s="63">
        <v>45787</v>
      </c>
      <c r="D1523" s="33" t="str">
        <f>VLOOKUP(B1523,辅助信息!E:K,7,FALSE)</f>
        <v>JWDDCD2025050800101</v>
      </c>
      <c r="E1523" s="33" t="str">
        <f>VLOOKUP(F1523,辅助信息!A:B,2,FALSE)</f>
        <v>螺纹钢</v>
      </c>
      <c r="F1523" s="33" t="s">
        <v>65</v>
      </c>
      <c r="G1523" s="29">
        <v>36</v>
      </c>
      <c r="H1523" s="29" t="str">
        <f>_xlfn.XLOOKUP(C1523&amp;F1523&amp;I1523&amp;J1523,'[1]2025年已发货'!$F:$F&amp;'[1]2025年已发货'!$C:$C&amp;'[1]2025年已发货'!$G:$G&amp;'[1]2025年已发货'!$H:$H,'[1]2025年已发货'!$E:$E,"未发货")</f>
        <v>未发货</v>
      </c>
      <c r="I1523" s="33" t="str">
        <f>VLOOKUP(B1523,辅助信息!E:I,3,FALSE)</f>
        <v>(中铁科研院宜宾泥溪项目)中铁科研院集团有限公司宜宾市泥溪东互通式立交下穿成贵客专铁路工程项目钢筋加工厂</v>
      </c>
      <c r="J1523" s="33" t="str">
        <f>VLOOKUP(B1523,辅助信息!E:I,4,FALSE)</f>
        <v>蔡鹏</v>
      </c>
      <c r="K1523" s="33">
        <f>VLOOKUP(J1523,辅助信息!H:I,2,FALSE)</f>
        <v>19130850820</v>
      </c>
      <c r="L1523" s="102" t="str">
        <f>VLOOKUP(B1523,辅助信息!E:J,6,FALSE)</f>
        <v>装货前联系收货人核实到场规格，货物最下面用方木垫下方便卸货</v>
      </c>
      <c r="M1523" s="84">
        <v>45792</v>
      </c>
      <c r="O1523" s="55">
        <f ca="1" t="shared" si="78"/>
        <v>0</v>
      </c>
      <c r="P1523" s="55">
        <f ca="1" t="shared" si="77"/>
        <v>165</v>
      </c>
      <c r="Q1523" s="22" t="str">
        <f>VLOOKUP(B1523,辅助信息!E:M,9,FALSE)</f>
        <v>ZTWM-CDGS-XS-2025-0050-中铁科研院-宜宾泥溪项目</v>
      </c>
      <c r="R1523" s="22" t="str">
        <f>_xlfn._xlws.FILTER(辅助信息!D:D,辅助信息!E:E=B1523)</f>
        <v>中铁科研院宜宾泥溪项目</v>
      </c>
    </row>
    <row r="1524" hidden="1" spans="2:18">
      <c r="B1524" s="33" t="s">
        <v>150</v>
      </c>
      <c r="C1524" s="63">
        <v>45787</v>
      </c>
      <c r="D1524" s="33" t="str">
        <f>VLOOKUP(B1524,辅助信息!E:K,7,FALSE)</f>
        <v>JWDDCD2025050800101</v>
      </c>
      <c r="E1524" s="33" t="str">
        <f>VLOOKUP(F1524,辅助信息!A:B,2,FALSE)</f>
        <v>螺纹钢</v>
      </c>
      <c r="F1524" s="33" t="s">
        <v>32</v>
      </c>
      <c r="G1524" s="29">
        <v>6</v>
      </c>
      <c r="H1524" s="29" t="str">
        <f>_xlfn.XLOOKUP(C1524&amp;F1524&amp;I1524&amp;J1524,'[1]2025年已发货'!$F:$F&amp;'[1]2025年已发货'!$C:$C&amp;'[1]2025年已发货'!$G:$G&amp;'[1]2025年已发货'!$H:$H,'[1]2025年已发货'!$E:$E,"未发货")</f>
        <v>未发货</v>
      </c>
      <c r="I1524" s="33" t="str">
        <f>VLOOKUP(B1524,辅助信息!E:I,3,FALSE)</f>
        <v>(中铁科研院宜宾泥溪项目)中铁科研院集团有限公司宜宾市泥溪东互通式立交下穿成贵客专铁路工程项目钢筋加工厂</v>
      </c>
      <c r="J1524" s="33" t="str">
        <f>VLOOKUP(B1524,辅助信息!E:I,4,FALSE)</f>
        <v>蔡鹏</v>
      </c>
      <c r="K1524" s="33">
        <f>VLOOKUP(J1524,辅助信息!H:I,2,FALSE)</f>
        <v>19130850820</v>
      </c>
      <c r="L1524" s="102" t="str">
        <f>VLOOKUP(B1524,辅助信息!E:J,6,FALSE)</f>
        <v>装货前联系收货人核实到场规格，货物最下面用方木垫下方便卸货</v>
      </c>
      <c r="M1524" s="84">
        <v>45792</v>
      </c>
      <c r="O1524" s="55">
        <f ca="1" t="shared" si="78"/>
        <v>0</v>
      </c>
      <c r="P1524" s="55">
        <f ca="1" t="shared" si="77"/>
        <v>165</v>
      </c>
      <c r="Q1524" s="22" t="str">
        <f>VLOOKUP(B1524,辅助信息!E:M,9,FALSE)</f>
        <v>ZTWM-CDGS-XS-2025-0050-中铁科研院-宜宾泥溪项目</v>
      </c>
      <c r="R1524" s="22" t="str">
        <f>_xlfn._xlws.FILTER(辅助信息!D:D,辅助信息!E:E=B1524)</f>
        <v>中铁科研院宜宾泥溪项目</v>
      </c>
    </row>
    <row r="1525" hidden="1" spans="2:18">
      <c r="B1525" s="33" t="s">
        <v>147</v>
      </c>
      <c r="C1525" s="63">
        <v>45788</v>
      </c>
      <c r="D1525" s="33" t="str">
        <f>VLOOKUP(B1525,辅助信息!E:K,7,FALSE)</f>
        <v>JWDDCD2025052800131</v>
      </c>
      <c r="E1525" s="33" t="str">
        <f>VLOOKUP(F1525,辅助信息!A:B,2,FALSE)</f>
        <v>高线</v>
      </c>
      <c r="F1525" s="33" t="s">
        <v>57</v>
      </c>
      <c r="G1525" s="29">
        <v>7.5</v>
      </c>
      <c r="H1525" s="29" t="str">
        <f>_xlfn.XLOOKUP(C1525&amp;F1525&amp;I1525&amp;J1525,'[1]2025年已发货'!$F:$F&amp;'[1]2025年已发货'!$C:$C&amp;'[1]2025年已发货'!$G:$G&amp;'[1]2025年已发货'!$H:$H,'[1]2025年已发货'!$E:$E,"未发货")</f>
        <v>未发货</v>
      </c>
      <c r="I1525" s="33" t="str">
        <f>VLOOKUP(B1525,辅助信息!E:I,3,FALSE)</f>
        <v>（商投建工达州中医药科技园-4工区-11号楼）达州市通川区达州中医药职业学院犀牛大道北段</v>
      </c>
      <c r="J1525" s="33" t="str">
        <f>VLOOKUP(B1525,辅助信息!E:I,4,FALSE)</f>
        <v>张扬</v>
      </c>
      <c r="K1525" s="33">
        <f>VLOOKUP(J1525,辅助信息!H:I,2,FALSE)</f>
        <v>18381904567</v>
      </c>
      <c r="L1525" s="102" t="str">
        <f>VLOOKUP(B1525,辅助信息!E:J,6,FALSE)</f>
        <v>控制炉批号！多了现场不收！,优先安排达钢,提前联系到场规格及数量</v>
      </c>
      <c r="M1525" s="84">
        <v>45784</v>
      </c>
      <c r="O1525" s="55">
        <f ca="1" t="shared" si="78"/>
        <v>0</v>
      </c>
      <c r="P1525" s="55">
        <f ca="1" t="shared" si="77"/>
        <v>173</v>
      </c>
      <c r="Q1525" s="22" t="str">
        <f>VLOOKUP(B1525,辅助信息!E:M,9,FALSE)</f>
        <v>ZTWM-CDGS-XS-2024-0134-商投建工达州中医药科技成果示范园项目</v>
      </c>
      <c r="R1525" s="22" t="str">
        <f>_xlfn._xlws.FILTER(辅助信息!D:D,辅助信息!E:E=B1525)</f>
        <v>商投建工达州中医药科技园</v>
      </c>
    </row>
    <row r="1526" hidden="1" spans="2:18">
      <c r="B1526" s="33" t="s">
        <v>147</v>
      </c>
      <c r="C1526" s="63">
        <v>45788</v>
      </c>
      <c r="D1526" s="33" t="str">
        <f>VLOOKUP(B1526,辅助信息!E:K,7,FALSE)</f>
        <v>JWDDCD2025052800131</v>
      </c>
      <c r="E1526" s="33" t="str">
        <f>VLOOKUP(F1526,辅助信息!A:B,2,FALSE)</f>
        <v>螺纹钢</v>
      </c>
      <c r="F1526" s="33" t="s">
        <v>30</v>
      </c>
      <c r="G1526" s="29">
        <v>7</v>
      </c>
      <c r="H1526" s="29" t="str">
        <f>_xlfn.XLOOKUP(C1526&amp;F1526&amp;I1526&amp;J1526,'[1]2025年已发货'!$F:$F&amp;'[1]2025年已发货'!$C:$C&amp;'[1]2025年已发货'!$G:$G&amp;'[1]2025年已发货'!$H:$H,'[1]2025年已发货'!$E:$E,"未发货")</f>
        <v>未发货</v>
      </c>
      <c r="I1526" s="33" t="str">
        <f>VLOOKUP(B1526,辅助信息!E:I,3,FALSE)</f>
        <v>（商投建工达州中医药科技园-4工区-11号楼）达州市通川区达州中医药职业学院犀牛大道北段</v>
      </c>
      <c r="J1526" s="33" t="str">
        <f>VLOOKUP(B1526,辅助信息!E:I,4,FALSE)</f>
        <v>张扬</v>
      </c>
      <c r="K1526" s="33">
        <f>VLOOKUP(J1526,辅助信息!H:I,2,FALSE)</f>
        <v>18381904567</v>
      </c>
      <c r="L1526" s="102" t="str">
        <f>VLOOKUP(B1526,辅助信息!E:J,6,FALSE)</f>
        <v>控制炉批号！多了现场不收！,优先安排达钢,提前联系到场规格及数量</v>
      </c>
      <c r="M1526" s="84">
        <v>45784</v>
      </c>
      <c r="O1526" s="55">
        <f ca="1" t="shared" si="78"/>
        <v>0</v>
      </c>
      <c r="P1526" s="55">
        <f ca="1" t="shared" si="77"/>
        <v>173</v>
      </c>
      <c r="Q1526" s="22" t="str">
        <f>VLOOKUP(B1526,辅助信息!E:M,9,FALSE)</f>
        <v>ZTWM-CDGS-XS-2024-0134-商投建工达州中医药科技成果示范园项目</v>
      </c>
      <c r="R1526" s="22" t="str">
        <f>_xlfn._xlws.FILTER(辅助信息!D:D,辅助信息!E:E=B1526)</f>
        <v>商投建工达州中医药科技园</v>
      </c>
    </row>
    <row r="1527" hidden="1" spans="1:18">
      <c r="A1527" s="50" t="s">
        <v>100</v>
      </c>
      <c r="B1527" s="33" t="s">
        <v>106</v>
      </c>
      <c r="C1527" s="63">
        <v>45788</v>
      </c>
      <c r="D1527" s="33" t="str">
        <f>VLOOKUP(B1527,辅助信息!E:K,7,FALSE)</f>
        <v>JWDDCD2024101600133</v>
      </c>
      <c r="E1527" s="33" t="str">
        <f>VLOOKUP(F1527,辅助信息!A:B,2,FALSE)</f>
        <v>盘螺</v>
      </c>
      <c r="F1527" s="33" t="s">
        <v>40</v>
      </c>
      <c r="G1527" s="29">
        <v>57.5</v>
      </c>
      <c r="H1527" s="29">
        <f>_xlfn.XLOOKUP(C1527&amp;F1527&amp;I1527&amp;J1527,'[1]2025年已发货'!$F:$F&amp;'[1]2025年已发货'!$C:$C&amp;'[1]2025年已发货'!$G:$G&amp;'[1]2025年已发货'!$H:$H,'[1]2025年已发货'!$E:$E,"未发货")</f>
        <v>35</v>
      </c>
      <c r="I1527" s="33" t="str">
        <f>VLOOKUP(B1527,辅助信息!E:I,3,FALSE)</f>
        <v>（五冶钢构宜宾高县月江镇建设项目）  四川省宜宾市高县月江镇刚记超市斜对面(还阳组团沪碳二期项目)</v>
      </c>
      <c r="J1527" s="33" t="str">
        <f>VLOOKUP(B1527,辅助信息!E:I,4,FALSE)</f>
        <v>张朝亮</v>
      </c>
      <c r="K1527" s="33">
        <f>VLOOKUP(J1527,辅助信息!H:I,2,FALSE)</f>
        <v>15228205853</v>
      </c>
      <c r="L1527" s="102" t="str">
        <f>VLOOKUP(B1527,辅助信息!E:J,6,FALSE)</f>
        <v>提前联系到场规格</v>
      </c>
      <c r="M1527" s="84">
        <v>45785</v>
      </c>
      <c r="O1527" s="55">
        <f ca="1" t="shared" si="78"/>
        <v>0</v>
      </c>
      <c r="P1527" s="55">
        <f ca="1" t="shared" si="77"/>
        <v>172</v>
      </c>
      <c r="Q1527" s="22" t="str">
        <f>VLOOKUP(B1527,辅助信息!E:M,9,FALSE)</f>
        <v>ZTWM-CDGS-XS-2024-0169-中冶西部钢构-宜宾市南溪区幸福路东路,高县月江镇建设项目</v>
      </c>
      <c r="R1527" s="22" t="str">
        <f>_xlfn._xlws.FILTER(辅助信息!D:D,辅助信息!E:E=B1527)</f>
        <v>五冶钢构-宜宾市南溪区高县月江镇建设项目</v>
      </c>
    </row>
    <row r="1528" hidden="1" spans="2:18">
      <c r="B1528" s="33" t="s">
        <v>106</v>
      </c>
      <c r="C1528" s="63">
        <v>45788</v>
      </c>
      <c r="D1528" s="33" t="str">
        <f>VLOOKUP(B1528,辅助信息!E:K,7,FALSE)</f>
        <v>JWDDCD2024101600133</v>
      </c>
      <c r="E1528" s="33" t="str">
        <f>VLOOKUP(F1528,辅助信息!A:B,2,FALSE)</f>
        <v>螺纹钢</v>
      </c>
      <c r="F1528" s="33" t="s">
        <v>27</v>
      </c>
      <c r="G1528" s="29">
        <v>9</v>
      </c>
      <c r="H1528" s="29">
        <f>_xlfn.XLOOKUP(C1528&amp;F1528&amp;I1528&amp;J1528,'[1]2025年已发货'!$F:$F&amp;'[1]2025年已发货'!$C:$C&amp;'[1]2025年已发货'!$G:$G&amp;'[1]2025年已发货'!$H:$H,'[1]2025年已发货'!$E:$E,"未发货")</f>
        <v>9</v>
      </c>
      <c r="I1528" s="33" t="str">
        <f>VLOOKUP(B1528,辅助信息!E:I,3,FALSE)</f>
        <v>（五冶钢构宜宾高县月江镇建设项目）  四川省宜宾市高县月江镇刚记超市斜对面(还阳组团沪碳二期项目)</v>
      </c>
      <c r="J1528" s="33" t="str">
        <f>VLOOKUP(B1528,辅助信息!E:I,4,FALSE)</f>
        <v>张朝亮</v>
      </c>
      <c r="K1528" s="33">
        <f>VLOOKUP(J1528,辅助信息!H:I,2,FALSE)</f>
        <v>15228205853</v>
      </c>
      <c r="L1528" s="102" t="str">
        <f>VLOOKUP(B1528,辅助信息!E:J,6,FALSE)</f>
        <v>提前联系到场规格</v>
      </c>
      <c r="M1528" s="84">
        <v>45785</v>
      </c>
      <c r="O1528" s="55">
        <f ca="1" t="shared" si="78"/>
        <v>0</v>
      </c>
      <c r="P1528" s="55">
        <f ca="1" t="shared" si="77"/>
        <v>172</v>
      </c>
      <c r="Q1528" s="22" t="str">
        <f>VLOOKUP(B1528,辅助信息!E:M,9,FALSE)</f>
        <v>ZTWM-CDGS-XS-2024-0169-中冶西部钢构-宜宾市南溪区幸福路东路,高县月江镇建设项目</v>
      </c>
      <c r="R1528" s="22" t="str">
        <f>_xlfn._xlws.FILTER(辅助信息!D:D,辅助信息!E:E=B1528)</f>
        <v>五冶钢构-宜宾市南溪区高县月江镇建设项目</v>
      </c>
    </row>
    <row r="1529" hidden="1" spans="2:18">
      <c r="B1529" s="33" t="s">
        <v>106</v>
      </c>
      <c r="C1529" s="63">
        <v>45788</v>
      </c>
      <c r="D1529" s="33" t="str">
        <f>VLOOKUP(B1529,辅助信息!E:K,7,FALSE)</f>
        <v>JWDDCD2024101600133</v>
      </c>
      <c r="E1529" s="33" t="str">
        <f>VLOOKUP(F1529,辅助信息!A:B,2,FALSE)</f>
        <v>螺纹钢</v>
      </c>
      <c r="F1529" s="33" t="s">
        <v>19</v>
      </c>
      <c r="G1529" s="29">
        <v>9</v>
      </c>
      <c r="H1529" s="29">
        <f>_xlfn.XLOOKUP(C1529&amp;F1529&amp;I1529&amp;J1529,'[1]2025年已发货'!$F:$F&amp;'[1]2025年已发货'!$C:$C&amp;'[1]2025年已发货'!$G:$G&amp;'[1]2025年已发货'!$H:$H,'[1]2025年已发货'!$E:$E,"未发货")</f>
        <v>9</v>
      </c>
      <c r="I1529" s="33" t="str">
        <f>VLOOKUP(B1529,辅助信息!E:I,3,FALSE)</f>
        <v>（五冶钢构宜宾高县月江镇建设项目）  四川省宜宾市高县月江镇刚记超市斜对面(还阳组团沪碳二期项目)</v>
      </c>
      <c r="J1529" s="33" t="str">
        <f>VLOOKUP(B1529,辅助信息!E:I,4,FALSE)</f>
        <v>张朝亮</v>
      </c>
      <c r="K1529" s="33">
        <f>VLOOKUP(J1529,辅助信息!H:I,2,FALSE)</f>
        <v>15228205853</v>
      </c>
      <c r="L1529" s="102" t="str">
        <f>VLOOKUP(B1529,辅助信息!E:J,6,FALSE)</f>
        <v>提前联系到场规格</v>
      </c>
      <c r="M1529" s="84">
        <v>45785</v>
      </c>
      <c r="O1529" s="55">
        <f ca="1" t="shared" si="78"/>
        <v>0</v>
      </c>
      <c r="P1529" s="55">
        <f ca="1" t="shared" si="77"/>
        <v>172</v>
      </c>
      <c r="Q1529" s="22" t="str">
        <f>VLOOKUP(B1529,辅助信息!E:M,9,FALSE)</f>
        <v>ZTWM-CDGS-XS-2024-0169-中冶西部钢构-宜宾市南溪区幸福路东路,高县月江镇建设项目</v>
      </c>
      <c r="R1529" s="22" t="str">
        <f>_xlfn._xlws.FILTER(辅助信息!D:D,辅助信息!E:E=B1529)</f>
        <v>五冶钢构-宜宾市南溪区高县月江镇建设项目</v>
      </c>
    </row>
    <row r="1530" hidden="1" spans="2:18">
      <c r="B1530" s="33" t="s">
        <v>106</v>
      </c>
      <c r="C1530" s="63">
        <v>45788</v>
      </c>
      <c r="D1530" s="33" t="str">
        <f>VLOOKUP(B1530,辅助信息!E:K,7,FALSE)</f>
        <v>JWDDCD2024101600133</v>
      </c>
      <c r="E1530" s="33" t="str">
        <f>VLOOKUP(F1530,辅助信息!A:B,2,FALSE)</f>
        <v>螺纹钢</v>
      </c>
      <c r="F1530" s="33" t="s">
        <v>33</v>
      </c>
      <c r="G1530" s="29">
        <v>9</v>
      </c>
      <c r="H1530" s="29" t="str">
        <f>_xlfn.XLOOKUP(C1530&amp;F1530&amp;I1530&amp;J1530,'[1]2025年已发货'!$F:$F&amp;'[1]2025年已发货'!$C:$C&amp;'[1]2025年已发货'!$G:$G&amp;'[1]2025年已发货'!$H:$H,'[1]2025年已发货'!$E:$E,"未发货")</f>
        <v>未发货</v>
      </c>
      <c r="I1530" s="33" t="str">
        <f>VLOOKUP(B1530,辅助信息!E:I,3,FALSE)</f>
        <v>（五冶钢构宜宾高县月江镇建设项目）  四川省宜宾市高县月江镇刚记超市斜对面(还阳组团沪碳二期项目)</v>
      </c>
      <c r="J1530" s="33" t="str">
        <f>VLOOKUP(B1530,辅助信息!E:I,4,FALSE)</f>
        <v>张朝亮</v>
      </c>
      <c r="K1530" s="33">
        <f>VLOOKUP(J1530,辅助信息!H:I,2,FALSE)</f>
        <v>15228205853</v>
      </c>
      <c r="L1530" s="102" t="str">
        <f>VLOOKUP(B1530,辅助信息!E:J,6,FALSE)</f>
        <v>提前联系到场规格</v>
      </c>
      <c r="M1530" s="84">
        <v>45785</v>
      </c>
      <c r="O1530" s="55">
        <f ca="1" t="shared" si="78"/>
        <v>0</v>
      </c>
      <c r="P1530" s="55">
        <f ca="1" t="shared" si="77"/>
        <v>172</v>
      </c>
      <c r="Q1530" s="22" t="str">
        <f>VLOOKUP(B1530,辅助信息!E:M,9,FALSE)</f>
        <v>ZTWM-CDGS-XS-2024-0169-中冶西部钢构-宜宾市南溪区幸福路东路,高县月江镇建设项目</v>
      </c>
      <c r="R1530" s="22" t="str">
        <f>_xlfn._xlws.FILTER(辅助信息!D:D,辅助信息!E:E=B1530)</f>
        <v>五冶钢构-宜宾市南溪区高县月江镇建设项目</v>
      </c>
    </row>
    <row r="1531" hidden="1" spans="2:18">
      <c r="B1531" s="33" t="s">
        <v>106</v>
      </c>
      <c r="C1531" s="63">
        <v>45788</v>
      </c>
      <c r="D1531" s="33" t="str">
        <f>VLOOKUP(B1531,辅助信息!E:K,7,FALSE)</f>
        <v>JWDDCD2024101600133</v>
      </c>
      <c r="E1531" s="33" t="str">
        <f>VLOOKUP(F1531,辅助信息!A:B,2,FALSE)</f>
        <v>螺纹钢</v>
      </c>
      <c r="F1531" s="33" t="s">
        <v>28</v>
      </c>
      <c r="G1531" s="29">
        <v>21</v>
      </c>
      <c r="H1531" s="29">
        <f>_xlfn.XLOOKUP(C1531&amp;F1531&amp;I1531&amp;J1531,'[1]2025年已发货'!$F:$F&amp;'[1]2025年已发货'!$C:$C&amp;'[1]2025年已发货'!$G:$G&amp;'[1]2025年已发货'!$H:$H,'[1]2025年已发货'!$E:$E,"未发货")</f>
        <v>18</v>
      </c>
      <c r="I1531" s="33" t="str">
        <f>VLOOKUP(B1531,辅助信息!E:I,3,FALSE)</f>
        <v>（五冶钢构宜宾高县月江镇建设项目）  四川省宜宾市高县月江镇刚记超市斜对面(还阳组团沪碳二期项目)</v>
      </c>
      <c r="J1531" s="33" t="str">
        <f>VLOOKUP(B1531,辅助信息!E:I,4,FALSE)</f>
        <v>张朝亮</v>
      </c>
      <c r="K1531" s="33">
        <f>VLOOKUP(J1531,辅助信息!H:I,2,FALSE)</f>
        <v>15228205853</v>
      </c>
      <c r="L1531" s="102" t="str">
        <f>VLOOKUP(B1531,辅助信息!E:J,6,FALSE)</f>
        <v>提前联系到场规格</v>
      </c>
      <c r="M1531" s="84">
        <v>45785</v>
      </c>
      <c r="O1531" s="55">
        <f ca="1" t="shared" si="78"/>
        <v>0</v>
      </c>
      <c r="P1531" s="55">
        <f ca="1" t="shared" si="77"/>
        <v>172</v>
      </c>
      <c r="Q1531" s="22" t="str">
        <f>VLOOKUP(B1531,辅助信息!E:M,9,FALSE)</f>
        <v>ZTWM-CDGS-XS-2024-0169-中冶西部钢构-宜宾市南溪区幸福路东路,高县月江镇建设项目</v>
      </c>
      <c r="R1531" s="22" t="str">
        <f>_xlfn._xlws.FILTER(辅助信息!D:D,辅助信息!E:E=B1531)</f>
        <v>五冶钢构-宜宾市南溪区高县月江镇建设项目</v>
      </c>
    </row>
    <row r="1532" hidden="1" spans="1:18">
      <c r="A1532" s="50" t="s">
        <v>100</v>
      </c>
      <c r="B1532" s="33" t="s">
        <v>81</v>
      </c>
      <c r="C1532" s="63">
        <v>45788</v>
      </c>
      <c r="D1532" s="33" t="str">
        <f>VLOOKUP(B1532,辅助信息!E:K,7,FALSE)</f>
        <v>JWDDCD2025060900080</v>
      </c>
      <c r="E1532" s="33" t="str">
        <f>VLOOKUP(F1532,辅助信息!A:B,2,FALSE)</f>
        <v>高线</v>
      </c>
      <c r="F1532" s="33" t="s">
        <v>53</v>
      </c>
      <c r="G1532" s="29">
        <v>7</v>
      </c>
      <c r="H1532" s="29" t="str">
        <f>_xlfn.XLOOKUP(C1532&amp;F1532&amp;I1532&amp;J1532,'[1]2025年已发货'!$F:$F&amp;'[1]2025年已发货'!$C:$C&amp;'[1]2025年已发货'!$G:$G&amp;'[1]2025年已发货'!$H:$H,'[1]2025年已发货'!$E:$E,"未发货")</f>
        <v>未发货</v>
      </c>
      <c r="I1532" s="33" t="str">
        <f>VLOOKUP(B1532,辅助信息!E:I,3,FALSE)</f>
        <v>（华西简阳西城嘉苑）四川省成都市简阳市简城街道高屋村</v>
      </c>
      <c r="J1532" s="33" t="str">
        <f>VLOOKUP(B1532,辅助信息!E:I,4,FALSE)</f>
        <v>张瀚镭</v>
      </c>
      <c r="K1532" s="33">
        <f>VLOOKUP(J1532,辅助信息!H:I,2,FALSE)</f>
        <v>15884666220</v>
      </c>
      <c r="L1532" s="102" t="str">
        <f>VLOOKUP(B1532,辅助信息!E:J,6,FALSE)</f>
        <v>现场禁止使用氢能源挂车！优先威钢发货,我方卸车,新老国标钢厂不加价可直发，因陕钢多次出现磅差，项目拒绝使用</v>
      </c>
      <c r="M1532" s="84">
        <v>45787</v>
      </c>
      <c r="O1532" s="55">
        <f ca="1" t="shared" si="78"/>
        <v>0</v>
      </c>
      <c r="P1532" s="55">
        <f ca="1" t="shared" si="77"/>
        <v>170</v>
      </c>
      <c r="Q1532" s="22" t="str">
        <f>VLOOKUP(B1532,辅助信息!E:M,9,FALSE)</f>
        <v>ZTWM-CDGS-XS-2024-0030-华西集采-简州大道</v>
      </c>
      <c r="R1532" s="22" t="str">
        <f>_xlfn._xlws.FILTER(辅助信息!D:D,辅助信息!E:E=B1532)</f>
        <v>华西简阳西城嘉苑</v>
      </c>
    </row>
    <row r="1533" hidden="1" spans="2:18">
      <c r="B1533" s="33" t="s">
        <v>81</v>
      </c>
      <c r="C1533" s="63">
        <v>45788</v>
      </c>
      <c r="D1533" s="33" t="str">
        <f>VLOOKUP(B1533,辅助信息!E:K,7,FALSE)</f>
        <v>JWDDCD2025060900080</v>
      </c>
      <c r="E1533" s="33" t="str">
        <f>VLOOKUP(F1533,辅助信息!A:B,2,FALSE)</f>
        <v>盘螺</v>
      </c>
      <c r="F1533" s="33" t="s">
        <v>49</v>
      </c>
      <c r="G1533" s="29">
        <v>4</v>
      </c>
      <c r="H1533" s="29" t="str">
        <f>_xlfn.XLOOKUP(C1533&amp;F1533&amp;I1533&amp;J1533,'[1]2025年已发货'!$F:$F&amp;'[1]2025年已发货'!$C:$C&amp;'[1]2025年已发货'!$G:$G&amp;'[1]2025年已发货'!$H:$H,'[1]2025年已发货'!$E:$E,"未发货")</f>
        <v>未发货</v>
      </c>
      <c r="I1533" s="33" t="str">
        <f>VLOOKUP(B1533,辅助信息!E:I,3,FALSE)</f>
        <v>（华西简阳西城嘉苑）四川省成都市简阳市简城街道高屋村</v>
      </c>
      <c r="J1533" s="33" t="str">
        <f>VLOOKUP(B1533,辅助信息!E:I,4,FALSE)</f>
        <v>张瀚镭</v>
      </c>
      <c r="K1533" s="33">
        <f>VLOOKUP(J1533,辅助信息!H:I,2,FALSE)</f>
        <v>15884666220</v>
      </c>
      <c r="L1533" s="102" t="str">
        <f>VLOOKUP(B1533,辅助信息!E:J,6,FALSE)</f>
        <v>现场禁止使用氢能源挂车！优先威钢发货,我方卸车,新老国标钢厂不加价可直发，因陕钢多次出现磅差，项目拒绝使用</v>
      </c>
      <c r="M1533" s="84">
        <v>45788</v>
      </c>
      <c r="O1533" s="55">
        <f ca="1" t="shared" si="78"/>
        <v>0</v>
      </c>
      <c r="P1533" s="55">
        <f ca="1" t="shared" si="77"/>
        <v>169</v>
      </c>
      <c r="Q1533" s="22" t="str">
        <f>VLOOKUP(B1533,辅助信息!E:M,9,FALSE)</f>
        <v>ZTWM-CDGS-XS-2024-0030-华西集采-简州大道</v>
      </c>
      <c r="R1533" s="22" t="str">
        <f>_xlfn._xlws.FILTER(辅助信息!D:D,辅助信息!E:E=B1533)</f>
        <v>华西简阳西城嘉苑</v>
      </c>
    </row>
    <row r="1534" hidden="1" spans="2:18">
      <c r="B1534" s="33" t="s">
        <v>81</v>
      </c>
      <c r="C1534" s="63">
        <v>45788</v>
      </c>
      <c r="D1534" s="33" t="str">
        <f>VLOOKUP(B1534,辅助信息!E:K,7,FALSE)</f>
        <v>JWDDCD2025060900080</v>
      </c>
      <c r="E1534" s="33" t="str">
        <f>VLOOKUP(F1534,辅助信息!A:B,2,FALSE)</f>
        <v>盘螺</v>
      </c>
      <c r="F1534" s="33" t="s">
        <v>40</v>
      </c>
      <c r="G1534" s="29">
        <v>62</v>
      </c>
      <c r="H1534" s="29" t="str">
        <f>_xlfn.XLOOKUP(C1534&amp;F1534&amp;I1534&amp;J1534,'[1]2025年已发货'!$F:$F&amp;'[1]2025年已发货'!$C:$C&amp;'[1]2025年已发货'!$G:$G&amp;'[1]2025年已发货'!$H:$H,'[1]2025年已发货'!$E:$E,"未发货")</f>
        <v>未发货</v>
      </c>
      <c r="I1534" s="33" t="str">
        <f>VLOOKUP(B1534,辅助信息!E:I,3,FALSE)</f>
        <v>（华西简阳西城嘉苑）四川省成都市简阳市简城街道高屋村</v>
      </c>
      <c r="J1534" s="33" t="str">
        <f>VLOOKUP(B1534,辅助信息!E:I,4,FALSE)</f>
        <v>张瀚镭</v>
      </c>
      <c r="K1534" s="33">
        <f>VLOOKUP(J1534,辅助信息!H:I,2,FALSE)</f>
        <v>15884666220</v>
      </c>
      <c r="L1534" s="102" t="str">
        <f>VLOOKUP(B1534,辅助信息!E:J,6,FALSE)</f>
        <v>现场禁止使用氢能源挂车！优先威钢发货,我方卸车,新老国标钢厂不加价可直发，因陕钢多次出现磅差，项目拒绝使用</v>
      </c>
      <c r="M1534" s="84">
        <v>45788</v>
      </c>
      <c r="O1534" s="55">
        <f ca="1" t="shared" si="78"/>
        <v>0</v>
      </c>
      <c r="P1534" s="55">
        <f ca="1" t="shared" si="77"/>
        <v>169</v>
      </c>
      <c r="Q1534" s="22" t="str">
        <f>VLOOKUP(B1534,辅助信息!E:M,9,FALSE)</f>
        <v>ZTWM-CDGS-XS-2024-0030-华西集采-简州大道</v>
      </c>
      <c r="R1534" s="22" t="str">
        <f>_xlfn._xlws.FILTER(辅助信息!D:D,辅助信息!E:E=B1534)</f>
        <v>华西简阳西城嘉苑</v>
      </c>
    </row>
    <row r="1535" hidden="1" spans="2:18">
      <c r="B1535" s="33" t="s">
        <v>81</v>
      </c>
      <c r="C1535" s="63">
        <v>45788</v>
      </c>
      <c r="D1535" s="33" t="str">
        <f>VLOOKUP(B1535,辅助信息!E:K,7,FALSE)</f>
        <v>JWDDCD2025060900080</v>
      </c>
      <c r="E1535" s="33" t="str">
        <f>VLOOKUP(F1535,辅助信息!A:B,2,FALSE)</f>
        <v>盘螺</v>
      </c>
      <c r="F1535" s="33" t="s">
        <v>41</v>
      </c>
      <c r="G1535" s="29">
        <v>134.5</v>
      </c>
      <c r="H1535" s="29" t="str">
        <f>_xlfn.XLOOKUP(C1535&amp;F1535&amp;I1535&amp;J1535,'[1]2025年已发货'!$F:$F&amp;'[1]2025年已发货'!$C:$C&amp;'[1]2025年已发货'!$G:$G&amp;'[1]2025年已发货'!$H:$H,'[1]2025年已发货'!$E:$E,"未发货")</f>
        <v>未发货</v>
      </c>
      <c r="I1535" s="33" t="str">
        <f>VLOOKUP(B1535,辅助信息!E:I,3,FALSE)</f>
        <v>（华西简阳西城嘉苑）四川省成都市简阳市简城街道高屋村</v>
      </c>
      <c r="J1535" s="33" t="str">
        <f>VLOOKUP(B1535,辅助信息!E:I,4,FALSE)</f>
        <v>张瀚镭</v>
      </c>
      <c r="K1535" s="33">
        <f>VLOOKUP(J1535,辅助信息!H:I,2,FALSE)</f>
        <v>15884666220</v>
      </c>
      <c r="L1535" s="102" t="str">
        <f>VLOOKUP(B1535,辅助信息!E:J,6,FALSE)</f>
        <v>现场禁止使用氢能源挂车！优先威钢发货,我方卸车,新老国标钢厂不加价可直发，因陕钢多次出现磅差，项目拒绝使用</v>
      </c>
      <c r="M1535" s="84">
        <v>45787</v>
      </c>
      <c r="O1535" s="55">
        <f ca="1" t="shared" si="78"/>
        <v>0</v>
      </c>
      <c r="P1535" s="55">
        <f ca="1" t="shared" si="77"/>
        <v>170</v>
      </c>
      <c r="Q1535" s="22" t="str">
        <f>VLOOKUP(B1535,辅助信息!E:M,9,FALSE)</f>
        <v>ZTWM-CDGS-XS-2024-0030-华西集采-简州大道</v>
      </c>
      <c r="R1535" s="22" t="str">
        <f>_xlfn._xlws.FILTER(辅助信息!D:D,辅助信息!E:E=B1535)</f>
        <v>华西简阳西城嘉苑</v>
      </c>
    </row>
    <row r="1536" hidden="1" spans="2:18">
      <c r="B1536" s="33" t="s">
        <v>81</v>
      </c>
      <c r="C1536" s="63">
        <v>45788</v>
      </c>
      <c r="D1536" s="33" t="str">
        <f>VLOOKUP(B1536,辅助信息!E:K,7,FALSE)</f>
        <v>JWDDCD2025060900080</v>
      </c>
      <c r="E1536" s="33" t="str">
        <f>VLOOKUP(F1536,辅助信息!A:B,2,FALSE)</f>
        <v>螺纹钢</v>
      </c>
      <c r="F1536" s="33" t="s">
        <v>30</v>
      </c>
      <c r="G1536" s="29">
        <v>59</v>
      </c>
      <c r="H1536" s="29" t="str">
        <f>_xlfn.XLOOKUP(C1536&amp;F1536&amp;I1536&amp;J1536,'[1]2025年已发货'!$F:$F&amp;'[1]2025年已发货'!$C:$C&amp;'[1]2025年已发货'!$G:$G&amp;'[1]2025年已发货'!$H:$H,'[1]2025年已发货'!$E:$E,"未发货")</f>
        <v>未发货</v>
      </c>
      <c r="I1536" s="33" t="str">
        <f>VLOOKUP(B1536,辅助信息!E:I,3,FALSE)</f>
        <v>（华西简阳西城嘉苑）四川省成都市简阳市简城街道高屋村</v>
      </c>
      <c r="J1536" s="33" t="str">
        <f>VLOOKUP(B1536,辅助信息!E:I,4,FALSE)</f>
        <v>张瀚镭</v>
      </c>
      <c r="K1536" s="33">
        <f>VLOOKUP(J1536,辅助信息!H:I,2,FALSE)</f>
        <v>15884666220</v>
      </c>
      <c r="L1536" s="102" t="str">
        <f>VLOOKUP(B1536,辅助信息!E:J,6,FALSE)</f>
        <v>现场禁止使用氢能源挂车！优先威钢发货,我方卸车,新老国标钢厂不加价可直发，因陕钢多次出现磅差，项目拒绝使用</v>
      </c>
      <c r="M1536" s="84">
        <v>45787</v>
      </c>
      <c r="O1536" s="55">
        <f ca="1" t="shared" si="78"/>
        <v>0</v>
      </c>
      <c r="P1536" s="55">
        <f ca="1" t="shared" si="77"/>
        <v>170</v>
      </c>
      <c r="Q1536" s="22" t="str">
        <f>VLOOKUP(B1536,辅助信息!E:M,9,FALSE)</f>
        <v>ZTWM-CDGS-XS-2024-0030-华西集采-简州大道</v>
      </c>
      <c r="R1536" s="22" t="str">
        <f>_xlfn._xlws.FILTER(辅助信息!D:D,辅助信息!E:E=B1536)</f>
        <v>华西简阳西城嘉苑</v>
      </c>
    </row>
    <row r="1537" hidden="1" spans="2:18">
      <c r="B1537" s="33" t="s">
        <v>81</v>
      </c>
      <c r="C1537" s="63">
        <v>45788</v>
      </c>
      <c r="D1537" s="33" t="str">
        <f>VLOOKUP(B1537,辅助信息!E:K,7,FALSE)</f>
        <v>JWDDCD2025060900080</v>
      </c>
      <c r="E1537" s="33" t="str">
        <f>VLOOKUP(F1537,辅助信息!A:B,2,FALSE)</f>
        <v>螺纹钢</v>
      </c>
      <c r="F1537" s="33" t="s">
        <v>33</v>
      </c>
      <c r="G1537" s="29">
        <v>25.5</v>
      </c>
      <c r="H1537" s="29" t="str">
        <f>_xlfn.XLOOKUP(C1537&amp;F1537&amp;I1537&amp;J1537,'[1]2025年已发货'!$F:$F&amp;'[1]2025年已发货'!$C:$C&amp;'[1]2025年已发货'!$G:$G&amp;'[1]2025年已发货'!$H:$H,'[1]2025年已发货'!$E:$E,"未发货")</f>
        <v>未发货</v>
      </c>
      <c r="I1537" s="33" t="str">
        <f>VLOOKUP(B1537,辅助信息!E:I,3,FALSE)</f>
        <v>（华西简阳西城嘉苑）四川省成都市简阳市简城街道高屋村</v>
      </c>
      <c r="J1537" s="33" t="str">
        <f>VLOOKUP(B1537,辅助信息!E:I,4,FALSE)</f>
        <v>张瀚镭</v>
      </c>
      <c r="K1537" s="33">
        <f>VLOOKUP(J1537,辅助信息!H:I,2,FALSE)</f>
        <v>15884666220</v>
      </c>
      <c r="L1537" s="102" t="str">
        <f>VLOOKUP(B1537,辅助信息!E:J,6,FALSE)</f>
        <v>现场禁止使用氢能源挂车！优先威钢发货,我方卸车,新老国标钢厂不加价可直发，因陕钢多次出现磅差，项目拒绝使用</v>
      </c>
      <c r="M1537" s="84">
        <v>45787</v>
      </c>
      <c r="O1537" s="55">
        <f ca="1" t="shared" si="78"/>
        <v>0</v>
      </c>
      <c r="P1537" s="55">
        <f ca="1" t="shared" si="77"/>
        <v>170</v>
      </c>
      <c r="Q1537" s="22" t="str">
        <f>VLOOKUP(B1537,辅助信息!E:M,9,FALSE)</f>
        <v>ZTWM-CDGS-XS-2024-0030-华西集采-简州大道</v>
      </c>
      <c r="R1537" s="22" t="str">
        <f>_xlfn._xlws.FILTER(辅助信息!D:D,辅助信息!E:E=B1537)</f>
        <v>华西简阳西城嘉苑</v>
      </c>
    </row>
    <row r="1538" hidden="1" spans="2:18">
      <c r="B1538" s="33" t="s">
        <v>81</v>
      </c>
      <c r="C1538" s="63">
        <v>45788</v>
      </c>
      <c r="D1538" s="33" t="str">
        <f>VLOOKUP(B1538,辅助信息!E:K,7,FALSE)</f>
        <v>JWDDCD2025060900080</v>
      </c>
      <c r="E1538" s="33" t="str">
        <f>VLOOKUP(F1538,辅助信息!A:B,2,FALSE)</f>
        <v>螺纹钢</v>
      </c>
      <c r="F1538" s="33" t="s">
        <v>28</v>
      </c>
      <c r="G1538" s="29">
        <v>7</v>
      </c>
      <c r="H1538" s="29" t="str">
        <f>_xlfn.XLOOKUP(C1538&amp;F1538&amp;I1538&amp;J1538,'[1]2025年已发货'!$F:$F&amp;'[1]2025年已发货'!$C:$C&amp;'[1]2025年已发货'!$G:$G&amp;'[1]2025年已发货'!$H:$H,'[1]2025年已发货'!$E:$E,"未发货")</f>
        <v>未发货</v>
      </c>
      <c r="I1538" s="33" t="str">
        <f>VLOOKUP(B1538,辅助信息!E:I,3,FALSE)</f>
        <v>（华西简阳西城嘉苑）四川省成都市简阳市简城街道高屋村</v>
      </c>
      <c r="J1538" s="33" t="str">
        <f>VLOOKUP(B1538,辅助信息!E:I,4,FALSE)</f>
        <v>张瀚镭</v>
      </c>
      <c r="K1538" s="33">
        <f>VLOOKUP(J1538,辅助信息!H:I,2,FALSE)</f>
        <v>15884666220</v>
      </c>
      <c r="L1538" s="102" t="str">
        <f>VLOOKUP(B1538,辅助信息!E:J,6,FALSE)</f>
        <v>现场禁止使用氢能源挂车！优先威钢发货,我方卸车,新老国标钢厂不加价可直发，因陕钢多次出现磅差，项目拒绝使用</v>
      </c>
      <c r="M1538" s="84">
        <v>45787</v>
      </c>
      <c r="O1538" s="55">
        <f ca="1" t="shared" si="78"/>
        <v>0</v>
      </c>
      <c r="P1538" s="55">
        <f ca="1" t="shared" si="77"/>
        <v>170</v>
      </c>
      <c r="Q1538" s="22" t="str">
        <f>VLOOKUP(B1538,辅助信息!E:M,9,FALSE)</f>
        <v>ZTWM-CDGS-XS-2024-0030-华西集采-简州大道</v>
      </c>
      <c r="R1538" s="22" t="str">
        <f>_xlfn._xlws.FILTER(辅助信息!D:D,辅助信息!E:E=B1538)</f>
        <v>华西简阳西城嘉苑</v>
      </c>
    </row>
    <row r="1539" hidden="1" spans="2:18">
      <c r="B1539" s="33" t="s">
        <v>81</v>
      </c>
      <c r="C1539" s="63">
        <v>45788</v>
      </c>
      <c r="D1539" s="33" t="str">
        <f>VLOOKUP(B1539,辅助信息!E:K,7,FALSE)</f>
        <v>JWDDCD2025060900080</v>
      </c>
      <c r="E1539" s="33" t="str">
        <f>VLOOKUP(F1539,辅助信息!A:B,2,FALSE)</f>
        <v>螺纹钢</v>
      </c>
      <c r="F1539" s="33" t="s">
        <v>18</v>
      </c>
      <c r="G1539" s="29">
        <v>14.5</v>
      </c>
      <c r="H1539" s="29" t="str">
        <f>_xlfn.XLOOKUP(C1539&amp;F1539&amp;I1539&amp;J1539,'[1]2025年已发货'!$F:$F&amp;'[1]2025年已发货'!$C:$C&amp;'[1]2025年已发货'!$G:$G&amp;'[1]2025年已发货'!$H:$H,'[1]2025年已发货'!$E:$E,"未发货")</f>
        <v>未发货</v>
      </c>
      <c r="I1539" s="33" t="str">
        <f>VLOOKUP(B1539,辅助信息!E:I,3,FALSE)</f>
        <v>（华西简阳西城嘉苑）四川省成都市简阳市简城街道高屋村</v>
      </c>
      <c r="J1539" s="33" t="str">
        <f>VLOOKUP(B1539,辅助信息!E:I,4,FALSE)</f>
        <v>张瀚镭</v>
      </c>
      <c r="K1539" s="33">
        <f>VLOOKUP(J1539,辅助信息!H:I,2,FALSE)</f>
        <v>15884666220</v>
      </c>
      <c r="L1539" s="102" t="str">
        <f>VLOOKUP(B1539,辅助信息!E:J,6,FALSE)</f>
        <v>现场禁止使用氢能源挂车！优先威钢发货,我方卸车,新老国标钢厂不加价可直发，因陕钢多次出现磅差，项目拒绝使用</v>
      </c>
      <c r="M1539" s="84">
        <v>45787</v>
      </c>
      <c r="O1539" s="55">
        <f ca="1" t="shared" si="78"/>
        <v>0</v>
      </c>
      <c r="P1539" s="55">
        <f ca="1" t="shared" si="77"/>
        <v>170</v>
      </c>
      <c r="Q1539" s="22" t="str">
        <f>VLOOKUP(B1539,辅助信息!E:M,9,FALSE)</f>
        <v>ZTWM-CDGS-XS-2024-0030-华西集采-简州大道</v>
      </c>
      <c r="R1539" s="22" t="str">
        <f>_xlfn._xlws.FILTER(辅助信息!D:D,辅助信息!E:E=B1539)</f>
        <v>华西简阳西城嘉苑</v>
      </c>
    </row>
    <row r="1540" hidden="1" spans="2:18">
      <c r="B1540" s="33" t="s">
        <v>81</v>
      </c>
      <c r="C1540" s="63">
        <v>45788</v>
      </c>
      <c r="D1540" s="33" t="str">
        <f>VLOOKUP(B1540,辅助信息!E:K,7,FALSE)</f>
        <v>JWDDCD2025060900080</v>
      </c>
      <c r="E1540" s="33" t="str">
        <f>VLOOKUP(F1540,辅助信息!A:B,2,FALSE)</f>
        <v>螺纹钢</v>
      </c>
      <c r="F1540" s="33" t="s">
        <v>21</v>
      </c>
      <c r="G1540" s="29">
        <v>2.5</v>
      </c>
      <c r="H1540" s="29" t="str">
        <f>_xlfn.XLOOKUP(C1540&amp;F1540&amp;I1540&amp;J1540,'[1]2025年已发货'!$F:$F&amp;'[1]2025年已发货'!$C:$C&amp;'[1]2025年已发货'!$G:$G&amp;'[1]2025年已发货'!$H:$H,'[1]2025年已发货'!$E:$E,"未发货")</f>
        <v>未发货</v>
      </c>
      <c r="I1540" s="33" t="str">
        <f>VLOOKUP(B1540,辅助信息!E:I,3,FALSE)</f>
        <v>（华西简阳西城嘉苑）四川省成都市简阳市简城街道高屋村</v>
      </c>
      <c r="J1540" s="33" t="str">
        <f>VLOOKUP(B1540,辅助信息!E:I,4,FALSE)</f>
        <v>张瀚镭</v>
      </c>
      <c r="K1540" s="33">
        <f>VLOOKUP(J1540,辅助信息!H:I,2,FALSE)</f>
        <v>15884666220</v>
      </c>
      <c r="L1540" s="102" t="str">
        <f>VLOOKUP(B1540,辅助信息!E:J,6,FALSE)</f>
        <v>现场禁止使用氢能源挂车！优先威钢发货,我方卸车,新老国标钢厂不加价可直发，因陕钢多次出现磅差，项目拒绝使用</v>
      </c>
      <c r="M1540" s="84">
        <v>45788</v>
      </c>
      <c r="O1540" s="55">
        <f ca="1" t="shared" si="78"/>
        <v>0</v>
      </c>
      <c r="P1540" s="55">
        <f ca="1" t="shared" si="77"/>
        <v>169</v>
      </c>
      <c r="Q1540" s="22" t="str">
        <f>VLOOKUP(B1540,辅助信息!E:M,9,FALSE)</f>
        <v>ZTWM-CDGS-XS-2024-0030-华西集采-简州大道</v>
      </c>
      <c r="R1540" s="22" t="str">
        <f>_xlfn._xlws.FILTER(辅助信息!D:D,辅助信息!E:E=B1540)</f>
        <v>华西简阳西城嘉苑</v>
      </c>
    </row>
    <row r="1541" hidden="1" spans="2:18">
      <c r="B1541" s="33" t="s">
        <v>81</v>
      </c>
      <c r="C1541" s="63">
        <v>45788</v>
      </c>
      <c r="D1541" s="33" t="str">
        <f>VLOOKUP(B1541,辅助信息!E:K,7,FALSE)</f>
        <v>JWDDCD2025060900080</v>
      </c>
      <c r="E1541" s="33" t="str">
        <f>VLOOKUP(F1541,辅助信息!A:B,2,FALSE)</f>
        <v>螺纹钢</v>
      </c>
      <c r="F1541" s="33" t="s">
        <v>46</v>
      </c>
      <c r="G1541" s="29">
        <v>8.5</v>
      </c>
      <c r="H1541" s="29" t="str">
        <f>_xlfn.XLOOKUP(C1541&amp;F1541&amp;I1541&amp;J1541,'[1]2025年已发货'!$F:$F&amp;'[1]2025年已发货'!$C:$C&amp;'[1]2025年已发货'!$G:$G&amp;'[1]2025年已发货'!$H:$H,'[1]2025年已发货'!$E:$E,"未发货")</f>
        <v>未发货</v>
      </c>
      <c r="I1541" s="33" t="str">
        <f>VLOOKUP(B1541,辅助信息!E:I,3,FALSE)</f>
        <v>（华西简阳西城嘉苑）四川省成都市简阳市简城街道高屋村</v>
      </c>
      <c r="J1541" s="33" t="str">
        <f>VLOOKUP(B1541,辅助信息!E:I,4,FALSE)</f>
        <v>张瀚镭</v>
      </c>
      <c r="K1541" s="33">
        <f>VLOOKUP(J1541,辅助信息!H:I,2,FALSE)</f>
        <v>15884666220</v>
      </c>
      <c r="L1541" s="102" t="str">
        <f>VLOOKUP(B1541,辅助信息!E:J,6,FALSE)</f>
        <v>现场禁止使用氢能源挂车！优先威钢发货,我方卸车,新老国标钢厂不加价可直发，因陕钢多次出现磅差，项目拒绝使用</v>
      </c>
      <c r="M1541" s="84">
        <v>45788</v>
      </c>
      <c r="O1541" s="55">
        <f ca="1" t="shared" si="78"/>
        <v>0</v>
      </c>
      <c r="P1541" s="55">
        <f ca="1" t="shared" si="77"/>
        <v>169</v>
      </c>
      <c r="Q1541" s="22" t="str">
        <f>VLOOKUP(B1541,辅助信息!E:M,9,FALSE)</f>
        <v>ZTWM-CDGS-XS-2024-0030-华西集采-简州大道</v>
      </c>
      <c r="R1541" s="22" t="str">
        <f>_xlfn._xlws.FILTER(辅助信息!D:D,辅助信息!E:E=B1541)</f>
        <v>华西简阳西城嘉苑</v>
      </c>
    </row>
    <row r="1542" hidden="1" spans="1:18">
      <c r="A1542" s="50" t="s">
        <v>100</v>
      </c>
      <c r="B1542" s="33" t="s">
        <v>31</v>
      </c>
      <c r="C1542" s="63">
        <v>45788</v>
      </c>
      <c r="D1542" s="33" t="str">
        <f>VLOOKUP(B1542,辅助信息!E:K,7,FALSE)</f>
        <v>JWDDCD2024121000136</v>
      </c>
      <c r="E1542" s="33" t="str">
        <f>VLOOKUP(F1542,辅助信息!A:B,2,FALSE)</f>
        <v>盘螺</v>
      </c>
      <c r="F1542" s="33" t="s">
        <v>49</v>
      </c>
      <c r="G1542" s="29">
        <v>35</v>
      </c>
      <c r="H1542" s="29">
        <f>_xlfn.XLOOKUP(C1542&amp;F1542&amp;I1542&amp;J1542,'[1]2025年已发货'!$F:$F&amp;'[1]2025年已发货'!$C:$C&amp;'[1]2025年已发货'!$G:$G&amp;'[1]2025年已发货'!$H:$H,'[1]2025年已发货'!$E:$E,"未发货")</f>
        <v>35</v>
      </c>
      <c r="I1542" s="33" t="str">
        <f>VLOOKUP(B1542,辅助信息!E:I,3,FALSE)</f>
        <v>（四川商建-射洪城乡一体化项目）遂宁市射洪市忠新幼儿园北侧约220米新溪小区</v>
      </c>
      <c r="J1542" s="33" t="str">
        <f>VLOOKUP(B1542,辅助信息!E:I,4,FALSE)</f>
        <v>柏子刚</v>
      </c>
      <c r="K1542" s="33">
        <f>VLOOKUP(J1542,辅助信息!H:I,2,FALSE)</f>
        <v>15692885305</v>
      </c>
      <c r="L1542" s="102" t="str">
        <f>VLOOKUP(B1542,辅助信息!E:J,6,FALSE)</f>
        <v>提前联系到场规格及数量</v>
      </c>
      <c r="M1542" s="84">
        <v>45788</v>
      </c>
      <c r="O1542" s="55">
        <f ca="1" t="shared" si="78"/>
        <v>0</v>
      </c>
      <c r="P1542" s="55">
        <f ca="1" t="shared" si="77"/>
        <v>169</v>
      </c>
      <c r="Q1542" s="22" t="str">
        <f>VLOOKUP(B1542,辅助信息!E:M,9,FALSE)</f>
        <v>ZTWM-CDGS-XS-2024-0179-四川商投-射洪城乡一体化建设项目</v>
      </c>
      <c r="R1542" s="22" t="str">
        <f>_xlfn._xlws.FILTER(辅助信息!D:D,辅助信息!E:E=B1542)</f>
        <v>四川商建
射洪城乡一体化项目</v>
      </c>
    </row>
    <row r="1543" hidden="1" spans="2:18">
      <c r="B1543" s="33" t="s">
        <v>150</v>
      </c>
      <c r="C1543" s="63">
        <v>45788</v>
      </c>
      <c r="D1543" s="33" t="str">
        <f>VLOOKUP(B1543,辅助信息!E:K,7,FALSE)</f>
        <v>JWDDCD2025050800101</v>
      </c>
      <c r="E1543" s="33" t="str">
        <f>VLOOKUP(F1543,辅助信息!A:B,2,FALSE)</f>
        <v>螺纹钢</v>
      </c>
      <c r="F1543" s="33" t="s">
        <v>28</v>
      </c>
      <c r="G1543" s="29">
        <v>27</v>
      </c>
      <c r="H1543" s="29" t="str">
        <f>_xlfn.XLOOKUP(C1543&amp;F1543&amp;I1543&amp;J1543,'[1]2025年已发货'!$F:$F&amp;'[1]2025年已发货'!$C:$C&amp;'[1]2025年已发货'!$G:$G&amp;'[1]2025年已发货'!$H:$H,'[1]2025年已发货'!$E:$E,"未发货")</f>
        <v>未发货</v>
      </c>
      <c r="I1543" s="33" t="str">
        <f>VLOOKUP(B1543,辅助信息!E:I,3,FALSE)</f>
        <v>(中铁科研院宜宾泥溪项目)中铁科研院集团有限公司宜宾市泥溪东互通式立交下穿成贵客专铁路工程项目钢筋加工厂</v>
      </c>
      <c r="J1543" s="33" t="str">
        <f>VLOOKUP(B1543,辅助信息!E:I,4,FALSE)</f>
        <v>蔡鹏</v>
      </c>
      <c r="K1543" s="33">
        <f>VLOOKUP(J1543,辅助信息!H:I,2,FALSE)</f>
        <v>19130850820</v>
      </c>
      <c r="L1543" s="102" t="str">
        <f>VLOOKUP(B1543,辅助信息!E:J,6,FALSE)</f>
        <v>装货前联系收货人核实到场规格，货物最下面用方木垫下方便卸货</v>
      </c>
      <c r="M1543" s="84">
        <v>45792</v>
      </c>
      <c r="O1543" s="55">
        <f ca="1" t="shared" si="78"/>
        <v>0</v>
      </c>
      <c r="P1543" s="55">
        <f ca="1" t="shared" si="77"/>
        <v>165</v>
      </c>
      <c r="Q1543" s="22" t="str">
        <f>VLOOKUP(B1543,辅助信息!E:M,9,FALSE)</f>
        <v>ZTWM-CDGS-XS-2025-0050-中铁科研院-宜宾泥溪项目</v>
      </c>
      <c r="R1543" s="22" t="str">
        <f>_xlfn._xlws.FILTER(辅助信息!D:D,辅助信息!E:E=B1543)</f>
        <v>中铁科研院宜宾泥溪项目</v>
      </c>
    </row>
    <row r="1544" hidden="1" spans="2:18">
      <c r="B1544" s="33" t="s">
        <v>150</v>
      </c>
      <c r="C1544" s="63">
        <v>45788</v>
      </c>
      <c r="D1544" s="33" t="str">
        <f>VLOOKUP(B1544,辅助信息!E:K,7,FALSE)</f>
        <v>JWDDCD2025050800101</v>
      </c>
      <c r="E1544" s="33" t="str">
        <f>VLOOKUP(F1544,辅助信息!A:B,2,FALSE)</f>
        <v>螺纹钢</v>
      </c>
      <c r="F1544" s="33" t="s">
        <v>65</v>
      </c>
      <c r="G1544" s="29">
        <v>36</v>
      </c>
      <c r="H1544" s="29" t="str">
        <f>_xlfn.XLOOKUP(C1544&amp;F1544&amp;I1544&amp;J1544,'[1]2025年已发货'!$F:$F&amp;'[1]2025年已发货'!$C:$C&amp;'[1]2025年已发货'!$G:$G&amp;'[1]2025年已发货'!$H:$H,'[1]2025年已发货'!$E:$E,"未发货")</f>
        <v>未发货</v>
      </c>
      <c r="I1544" s="33" t="str">
        <f>VLOOKUP(B1544,辅助信息!E:I,3,FALSE)</f>
        <v>(中铁科研院宜宾泥溪项目)中铁科研院集团有限公司宜宾市泥溪东互通式立交下穿成贵客专铁路工程项目钢筋加工厂</v>
      </c>
      <c r="J1544" s="33" t="str">
        <f>VLOOKUP(B1544,辅助信息!E:I,4,FALSE)</f>
        <v>蔡鹏</v>
      </c>
      <c r="K1544" s="33">
        <f>VLOOKUP(J1544,辅助信息!H:I,2,FALSE)</f>
        <v>19130850820</v>
      </c>
      <c r="L1544" s="102" t="str">
        <f>VLOOKUP(B1544,辅助信息!E:J,6,FALSE)</f>
        <v>装货前联系收货人核实到场规格，货物最下面用方木垫下方便卸货</v>
      </c>
      <c r="M1544" s="84">
        <v>45792</v>
      </c>
      <c r="O1544" s="55">
        <f ca="1" t="shared" si="78"/>
        <v>0</v>
      </c>
      <c r="P1544" s="55">
        <f ca="1" t="shared" si="77"/>
        <v>165</v>
      </c>
      <c r="Q1544" s="22" t="str">
        <f>VLOOKUP(B1544,辅助信息!E:M,9,FALSE)</f>
        <v>ZTWM-CDGS-XS-2025-0050-中铁科研院-宜宾泥溪项目</v>
      </c>
      <c r="R1544" s="22" t="str">
        <f>_xlfn._xlws.FILTER(辅助信息!D:D,辅助信息!E:E=B1544)</f>
        <v>中铁科研院宜宾泥溪项目</v>
      </c>
    </row>
    <row r="1545" hidden="1" spans="2:18">
      <c r="B1545" s="33" t="s">
        <v>150</v>
      </c>
      <c r="C1545" s="63">
        <v>45788</v>
      </c>
      <c r="D1545" s="33" t="str">
        <f>VLOOKUP(B1545,辅助信息!E:K,7,FALSE)</f>
        <v>JWDDCD2025050800101</v>
      </c>
      <c r="E1545" s="33" t="str">
        <f>VLOOKUP(F1545,辅助信息!A:B,2,FALSE)</f>
        <v>螺纹钢</v>
      </c>
      <c r="F1545" s="33" t="s">
        <v>32</v>
      </c>
      <c r="G1545" s="29">
        <v>6</v>
      </c>
      <c r="H1545" s="29" t="str">
        <f>_xlfn.XLOOKUP(C1545&amp;F1545&amp;I1545&amp;J1545,'[1]2025年已发货'!$F:$F&amp;'[1]2025年已发货'!$C:$C&amp;'[1]2025年已发货'!$G:$G&amp;'[1]2025年已发货'!$H:$H,'[1]2025年已发货'!$E:$E,"未发货")</f>
        <v>未发货</v>
      </c>
      <c r="I1545" s="33" t="str">
        <f>VLOOKUP(B1545,辅助信息!E:I,3,FALSE)</f>
        <v>(中铁科研院宜宾泥溪项目)中铁科研院集团有限公司宜宾市泥溪东互通式立交下穿成贵客专铁路工程项目钢筋加工厂</v>
      </c>
      <c r="J1545" s="33" t="str">
        <f>VLOOKUP(B1545,辅助信息!E:I,4,FALSE)</f>
        <v>蔡鹏</v>
      </c>
      <c r="K1545" s="33">
        <f>VLOOKUP(J1545,辅助信息!H:I,2,FALSE)</f>
        <v>19130850820</v>
      </c>
      <c r="L1545" s="102" t="str">
        <f>VLOOKUP(B1545,辅助信息!E:J,6,FALSE)</f>
        <v>装货前联系收货人核实到场规格，货物最下面用方木垫下方便卸货</v>
      </c>
      <c r="M1545" s="84">
        <v>45792</v>
      </c>
      <c r="O1545" s="55">
        <f ca="1" t="shared" si="78"/>
        <v>0</v>
      </c>
      <c r="P1545" s="55">
        <f ca="1" t="shared" si="77"/>
        <v>165</v>
      </c>
      <c r="Q1545" s="22" t="str">
        <f>VLOOKUP(B1545,辅助信息!E:M,9,FALSE)</f>
        <v>ZTWM-CDGS-XS-2025-0050-中铁科研院-宜宾泥溪项目</v>
      </c>
      <c r="R1545" s="22" t="str">
        <f>_xlfn._xlws.FILTER(辅助信息!D:D,辅助信息!E:E=B1545)</f>
        <v>中铁科研院宜宾泥溪项目</v>
      </c>
    </row>
    <row r="1546" hidden="1" spans="2:18">
      <c r="B1546" s="33" t="s">
        <v>147</v>
      </c>
      <c r="C1546" s="63">
        <v>45789</v>
      </c>
      <c r="D1546" s="33" t="str">
        <f>VLOOKUP(B1546,辅助信息!E:K,7,FALSE)</f>
        <v>JWDDCD2025052800131</v>
      </c>
      <c r="E1546" s="33" t="str">
        <f>VLOOKUP(F1546,辅助信息!A:B,2,FALSE)</f>
        <v>高线</v>
      </c>
      <c r="F1546" s="33" t="s">
        <v>57</v>
      </c>
      <c r="G1546" s="29">
        <v>7.5</v>
      </c>
      <c r="H1546" s="29" t="str">
        <f>_xlfn.XLOOKUP(C1546&amp;F1546&amp;I1546&amp;J1546,'[1]2025年已发货'!$F:$F&amp;'[1]2025年已发货'!$C:$C&amp;'[1]2025年已发货'!$G:$G&amp;'[1]2025年已发货'!$H:$H,'[1]2025年已发货'!$E:$E,"未发货")</f>
        <v>未发货</v>
      </c>
      <c r="I1546" s="33" t="str">
        <f>VLOOKUP(B1546,辅助信息!E:I,3,FALSE)</f>
        <v>（商投建工达州中医药科技园-4工区-11号楼）达州市通川区达州中医药职业学院犀牛大道北段</v>
      </c>
      <c r="J1546" s="33" t="str">
        <f>VLOOKUP(B1546,辅助信息!E:I,4,FALSE)</f>
        <v>张扬</v>
      </c>
      <c r="K1546" s="33">
        <f>VLOOKUP(J1546,辅助信息!H:I,2,FALSE)</f>
        <v>18381904567</v>
      </c>
      <c r="L1546" s="102" t="str">
        <f>VLOOKUP(B1546,辅助信息!E:J,6,FALSE)</f>
        <v>控制炉批号！多了现场不收！,优先安排达钢,提前联系到场规格及数量</v>
      </c>
      <c r="M1546" s="84">
        <v>45784</v>
      </c>
      <c r="O1546" s="55">
        <f ca="1" t="shared" si="78"/>
        <v>0</v>
      </c>
      <c r="P1546" s="55">
        <f ca="1" t="shared" si="77"/>
        <v>173</v>
      </c>
      <c r="Q1546" s="22" t="str">
        <f>VLOOKUP(B1546,辅助信息!E:M,9,FALSE)</f>
        <v>ZTWM-CDGS-XS-2024-0134-商投建工达州中医药科技成果示范园项目</v>
      </c>
      <c r="R1546" s="22" t="str">
        <f>_xlfn._xlws.FILTER(辅助信息!D:D,辅助信息!E:E=B1546)</f>
        <v>商投建工达州中医药科技园</v>
      </c>
    </row>
    <row r="1547" hidden="1" spans="2:18">
      <c r="B1547" s="33" t="s">
        <v>147</v>
      </c>
      <c r="C1547" s="63">
        <v>45789</v>
      </c>
      <c r="D1547" s="33" t="str">
        <f>VLOOKUP(B1547,辅助信息!E:K,7,FALSE)</f>
        <v>JWDDCD2025052800131</v>
      </c>
      <c r="E1547" s="33" t="str">
        <f>VLOOKUP(F1547,辅助信息!A:B,2,FALSE)</f>
        <v>螺纹钢</v>
      </c>
      <c r="F1547" s="33" t="s">
        <v>30</v>
      </c>
      <c r="G1547" s="29">
        <v>7</v>
      </c>
      <c r="H1547" s="29" t="str">
        <f>_xlfn.XLOOKUP(C1547&amp;F1547&amp;I1547&amp;J1547,'[1]2025年已发货'!$F:$F&amp;'[1]2025年已发货'!$C:$C&amp;'[1]2025年已发货'!$G:$G&amp;'[1]2025年已发货'!$H:$H,'[1]2025年已发货'!$E:$E,"未发货")</f>
        <v>未发货</v>
      </c>
      <c r="I1547" s="33" t="str">
        <f>VLOOKUP(B1547,辅助信息!E:I,3,FALSE)</f>
        <v>（商投建工达州中医药科技园-4工区-11号楼）达州市通川区达州中医药职业学院犀牛大道北段</v>
      </c>
      <c r="J1547" s="33" t="str">
        <f>VLOOKUP(B1547,辅助信息!E:I,4,FALSE)</f>
        <v>张扬</v>
      </c>
      <c r="K1547" s="33">
        <f>VLOOKUP(J1547,辅助信息!H:I,2,FALSE)</f>
        <v>18381904567</v>
      </c>
      <c r="L1547" s="102" t="str">
        <f>VLOOKUP(B1547,辅助信息!E:J,6,FALSE)</f>
        <v>控制炉批号！多了现场不收！,优先安排达钢,提前联系到场规格及数量</v>
      </c>
      <c r="M1547" s="84">
        <v>45784</v>
      </c>
      <c r="O1547" s="55">
        <f ca="1" t="shared" si="78"/>
        <v>0</v>
      </c>
      <c r="P1547" s="55">
        <f ca="1" t="shared" si="77"/>
        <v>173</v>
      </c>
      <c r="Q1547" s="22" t="str">
        <f>VLOOKUP(B1547,辅助信息!E:M,9,FALSE)</f>
        <v>ZTWM-CDGS-XS-2024-0134-商投建工达州中医药科技成果示范园项目</v>
      </c>
      <c r="R1547" s="22" t="str">
        <f>_xlfn._xlws.FILTER(辅助信息!D:D,辅助信息!E:E=B1547)</f>
        <v>商投建工达州中医药科技园</v>
      </c>
    </row>
    <row r="1548" hidden="1" spans="1:18">
      <c r="A1548" s="75" t="s">
        <v>100</v>
      </c>
      <c r="B1548" s="33" t="s">
        <v>106</v>
      </c>
      <c r="C1548" s="63">
        <v>45789</v>
      </c>
      <c r="D1548" s="33" t="str">
        <f>VLOOKUP(B1548,辅助信息!E:K,7,FALSE)</f>
        <v>JWDDCD2024101600133</v>
      </c>
      <c r="E1548" s="33" t="str">
        <f>VLOOKUP(F1548,辅助信息!A:B,2,FALSE)</f>
        <v>盘螺</v>
      </c>
      <c r="F1548" s="33" t="s">
        <v>40</v>
      </c>
      <c r="G1548" s="29">
        <v>22.5</v>
      </c>
      <c r="H1548" s="29">
        <f>_xlfn.XLOOKUP(C1548&amp;F1548&amp;I1548&amp;J1548,'[1]2025年已发货'!$F:$F&amp;'[1]2025年已发货'!$C:$C&amp;'[1]2025年已发货'!$G:$G&amp;'[1]2025年已发货'!$H:$H,'[1]2025年已发货'!$E:$E,"未发货")</f>
        <v>23</v>
      </c>
      <c r="I1548" s="33" t="str">
        <f>VLOOKUP(B1548,辅助信息!E:I,3,FALSE)</f>
        <v>（五冶钢构宜宾高县月江镇建设项目）  四川省宜宾市高县月江镇刚记超市斜对面(还阳组团沪碳二期项目)</v>
      </c>
      <c r="J1548" s="33" t="str">
        <f>VLOOKUP(B1548,辅助信息!E:I,4,FALSE)</f>
        <v>张朝亮</v>
      </c>
      <c r="K1548" s="33">
        <f>VLOOKUP(J1548,辅助信息!H:I,2,FALSE)</f>
        <v>15228205853</v>
      </c>
      <c r="L1548" s="102" t="str">
        <f>VLOOKUP(B1548,辅助信息!E:J,6,FALSE)</f>
        <v>提前联系到场规格</v>
      </c>
      <c r="M1548" s="84">
        <v>45785</v>
      </c>
      <c r="O1548" s="55">
        <f ca="1" t="shared" si="78"/>
        <v>0</v>
      </c>
      <c r="P1548" s="55">
        <f ca="1" t="shared" si="77"/>
        <v>172</v>
      </c>
      <c r="Q1548" s="22" t="str">
        <f>VLOOKUP(B1548,辅助信息!E:M,9,FALSE)</f>
        <v>ZTWM-CDGS-XS-2024-0169-中冶西部钢构-宜宾市南溪区幸福路东路,高县月江镇建设项目</v>
      </c>
      <c r="R1548" s="22" t="str">
        <f>_xlfn._xlws.FILTER(辅助信息!D:D,辅助信息!E:E=B1548)</f>
        <v>五冶钢构-宜宾市南溪区高县月江镇建设项目</v>
      </c>
    </row>
    <row r="1549" hidden="1" spans="1:18">
      <c r="A1549" s="75"/>
      <c r="B1549" s="33" t="s">
        <v>106</v>
      </c>
      <c r="C1549" s="63">
        <v>45789</v>
      </c>
      <c r="D1549" s="33" t="str">
        <f>VLOOKUP(B1549,辅助信息!E:K,7,FALSE)</f>
        <v>JWDDCD2024101600133</v>
      </c>
      <c r="E1549" s="33" t="str">
        <f>VLOOKUP(F1549,辅助信息!A:B,2,FALSE)</f>
        <v>螺纹钢</v>
      </c>
      <c r="F1549" s="33" t="s">
        <v>33</v>
      </c>
      <c r="G1549" s="29">
        <v>9</v>
      </c>
      <c r="H1549" s="29">
        <f>_xlfn.XLOOKUP(C1549&amp;F1549&amp;I1549&amp;J1549,'[1]2025年已发货'!$F:$F&amp;'[1]2025年已发货'!$C:$C&amp;'[1]2025年已发货'!$G:$G&amp;'[1]2025年已发货'!$H:$H,'[1]2025年已发货'!$E:$E,"未发货")</f>
        <v>9</v>
      </c>
      <c r="I1549" s="33" t="str">
        <f>VLOOKUP(B1549,辅助信息!E:I,3,FALSE)</f>
        <v>（五冶钢构宜宾高县月江镇建设项目）  四川省宜宾市高县月江镇刚记超市斜对面(还阳组团沪碳二期项目)</v>
      </c>
      <c r="J1549" s="33" t="str">
        <f>VLOOKUP(B1549,辅助信息!E:I,4,FALSE)</f>
        <v>张朝亮</v>
      </c>
      <c r="K1549" s="33">
        <f>VLOOKUP(J1549,辅助信息!H:I,2,FALSE)</f>
        <v>15228205853</v>
      </c>
      <c r="L1549" s="102" t="str">
        <f>VLOOKUP(B1549,辅助信息!E:J,6,FALSE)</f>
        <v>提前联系到场规格</v>
      </c>
      <c r="M1549" s="84">
        <v>45785</v>
      </c>
      <c r="O1549" s="55">
        <f ca="1" t="shared" si="78"/>
        <v>0</v>
      </c>
      <c r="P1549" s="55">
        <f ca="1" t="shared" si="77"/>
        <v>172</v>
      </c>
      <c r="Q1549" s="22" t="str">
        <f>VLOOKUP(B1549,辅助信息!E:M,9,FALSE)</f>
        <v>ZTWM-CDGS-XS-2024-0169-中冶西部钢构-宜宾市南溪区幸福路东路,高县月江镇建设项目</v>
      </c>
      <c r="R1549" s="22" t="str">
        <f>_xlfn._xlws.FILTER(辅助信息!D:D,辅助信息!E:E=B1549)</f>
        <v>五冶钢构-宜宾市南溪区高县月江镇建设项目</v>
      </c>
    </row>
    <row r="1550" hidden="1" spans="1:18">
      <c r="A1550" s="75"/>
      <c r="B1550" s="33" t="s">
        <v>106</v>
      </c>
      <c r="C1550" s="63">
        <v>45789</v>
      </c>
      <c r="D1550" s="33" t="str">
        <f>VLOOKUP(B1550,辅助信息!E:K,7,FALSE)</f>
        <v>JWDDCD2024101600133</v>
      </c>
      <c r="E1550" s="33" t="str">
        <f>VLOOKUP(F1550,辅助信息!A:B,2,FALSE)</f>
        <v>螺纹钢</v>
      </c>
      <c r="F1550" s="33" t="s">
        <v>28</v>
      </c>
      <c r="G1550" s="29">
        <v>3</v>
      </c>
      <c r="H1550" s="29">
        <f>_xlfn.XLOOKUP(C1550&amp;F1550&amp;I1550&amp;J1550,'[1]2025年已发货'!$F:$F&amp;'[1]2025年已发货'!$C:$C&amp;'[1]2025年已发货'!$G:$G&amp;'[1]2025年已发货'!$H:$H,'[1]2025年已发货'!$E:$E,"未发货")</f>
        <v>3</v>
      </c>
      <c r="I1550" s="33" t="str">
        <f>VLOOKUP(B1550,辅助信息!E:I,3,FALSE)</f>
        <v>（五冶钢构宜宾高县月江镇建设项目）  四川省宜宾市高县月江镇刚记超市斜对面(还阳组团沪碳二期项目)</v>
      </c>
      <c r="J1550" s="33" t="str">
        <f>VLOOKUP(B1550,辅助信息!E:I,4,FALSE)</f>
        <v>张朝亮</v>
      </c>
      <c r="K1550" s="33">
        <f>VLOOKUP(J1550,辅助信息!H:I,2,FALSE)</f>
        <v>15228205853</v>
      </c>
      <c r="L1550" s="102" t="str">
        <f>VLOOKUP(B1550,辅助信息!E:J,6,FALSE)</f>
        <v>提前联系到场规格</v>
      </c>
      <c r="M1550" s="84">
        <v>45785</v>
      </c>
      <c r="O1550" s="55">
        <f ca="1" t="shared" si="78"/>
        <v>0</v>
      </c>
      <c r="P1550" s="55">
        <f ca="1" t="shared" si="77"/>
        <v>172</v>
      </c>
      <c r="Q1550" s="22" t="str">
        <f>VLOOKUP(B1550,辅助信息!E:M,9,FALSE)</f>
        <v>ZTWM-CDGS-XS-2024-0169-中冶西部钢构-宜宾市南溪区幸福路东路,高县月江镇建设项目</v>
      </c>
      <c r="R1550" s="22" t="str">
        <f>_xlfn._xlws.FILTER(辅助信息!D:D,辅助信息!E:E=B1550)</f>
        <v>五冶钢构-宜宾市南溪区高县月江镇建设项目</v>
      </c>
    </row>
    <row r="1551" hidden="1" spans="1:18">
      <c r="A1551" s="75" t="s">
        <v>100</v>
      </c>
      <c r="B1551" s="33" t="s">
        <v>81</v>
      </c>
      <c r="C1551" s="63">
        <v>45789</v>
      </c>
      <c r="D1551" s="33" t="str">
        <f>VLOOKUP(B1551,辅助信息!E:K,7,FALSE)</f>
        <v>JWDDCD2025060900080</v>
      </c>
      <c r="E1551" s="33" t="str">
        <f>VLOOKUP(F1551,辅助信息!A:B,2,FALSE)</f>
        <v>高线</v>
      </c>
      <c r="F1551" s="33" t="s">
        <v>53</v>
      </c>
      <c r="G1551" s="29">
        <v>7</v>
      </c>
      <c r="H1551" s="29" t="str">
        <f>_xlfn.XLOOKUP(C1551&amp;F1551&amp;I1551&amp;J1551,'[1]2025年已发货'!$F:$F&amp;'[1]2025年已发货'!$C:$C&amp;'[1]2025年已发货'!$G:$G&amp;'[1]2025年已发货'!$H:$H,'[1]2025年已发货'!$E:$E,"未发货")</f>
        <v>未发货</v>
      </c>
      <c r="I1551" s="33" t="str">
        <f>VLOOKUP(B1551,辅助信息!E:I,3,FALSE)</f>
        <v>（华西简阳西城嘉苑）四川省成都市简阳市简城街道高屋村</v>
      </c>
      <c r="J1551" s="33" t="str">
        <f>VLOOKUP(B1551,辅助信息!E:I,4,FALSE)</f>
        <v>张瀚镭</v>
      </c>
      <c r="K1551" s="33">
        <f>VLOOKUP(J1551,辅助信息!H:I,2,FALSE)</f>
        <v>15884666220</v>
      </c>
      <c r="L1551" s="102" t="str">
        <f>VLOOKUP(B1551,辅助信息!E:J,6,FALSE)</f>
        <v>现场禁止使用氢能源挂车！优先威钢发货,我方卸车,新老国标钢厂不加价可直发，因陕钢多次出现磅差，项目拒绝使用</v>
      </c>
      <c r="M1551" s="84">
        <v>45787</v>
      </c>
      <c r="O1551" s="55">
        <f ca="1" t="shared" si="78"/>
        <v>0</v>
      </c>
      <c r="P1551" s="55">
        <f ca="1" t="shared" si="77"/>
        <v>170</v>
      </c>
      <c r="Q1551" s="22" t="str">
        <f>VLOOKUP(B1551,辅助信息!E:M,9,FALSE)</f>
        <v>ZTWM-CDGS-XS-2024-0030-华西集采-简州大道</v>
      </c>
      <c r="R1551" s="22" t="str">
        <f>_xlfn._xlws.FILTER(辅助信息!D:D,辅助信息!E:E=B1551)</f>
        <v>华西简阳西城嘉苑</v>
      </c>
    </row>
    <row r="1552" hidden="1" spans="1:18">
      <c r="A1552" s="75"/>
      <c r="B1552" s="33" t="s">
        <v>81</v>
      </c>
      <c r="C1552" s="63">
        <v>45789</v>
      </c>
      <c r="D1552" s="33" t="str">
        <f>VLOOKUP(B1552,辅助信息!E:K,7,FALSE)</f>
        <v>JWDDCD2025060900080</v>
      </c>
      <c r="E1552" s="33" t="str">
        <f>VLOOKUP(F1552,辅助信息!A:B,2,FALSE)</f>
        <v>盘螺</v>
      </c>
      <c r="F1552" s="33" t="s">
        <v>49</v>
      </c>
      <c r="G1552" s="29">
        <v>4</v>
      </c>
      <c r="H1552" s="29" t="str">
        <f>_xlfn.XLOOKUP(C1552&amp;F1552&amp;I1552&amp;J1552,'[1]2025年已发货'!$F:$F&amp;'[1]2025年已发货'!$C:$C&amp;'[1]2025年已发货'!$G:$G&amp;'[1]2025年已发货'!$H:$H,'[1]2025年已发货'!$E:$E,"未发货")</f>
        <v>未发货</v>
      </c>
      <c r="I1552" s="33" t="str">
        <f>VLOOKUP(B1552,辅助信息!E:I,3,FALSE)</f>
        <v>（华西简阳西城嘉苑）四川省成都市简阳市简城街道高屋村</v>
      </c>
      <c r="J1552" s="33" t="str">
        <f>VLOOKUP(B1552,辅助信息!E:I,4,FALSE)</f>
        <v>张瀚镭</v>
      </c>
      <c r="K1552" s="33">
        <f>VLOOKUP(J1552,辅助信息!H:I,2,FALSE)</f>
        <v>15884666220</v>
      </c>
      <c r="L1552" s="102" t="str">
        <f>VLOOKUP(B1552,辅助信息!E:J,6,FALSE)</f>
        <v>现场禁止使用氢能源挂车！优先威钢发货,我方卸车,新老国标钢厂不加价可直发，因陕钢多次出现磅差，项目拒绝使用</v>
      </c>
      <c r="M1552" s="84">
        <v>45788</v>
      </c>
      <c r="O1552" s="55">
        <f ca="1" t="shared" si="78"/>
        <v>0</v>
      </c>
      <c r="P1552" s="55">
        <f ca="1" t="shared" si="77"/>
        <v>169</v>
      </c>
      <c r="Q1552" s="22" t="str">
        <f>VLOOKUP(B1552,辅助信息!E:M,9,FALSE)</f>
        <v>ZTWM-CDGS-XS-2024-0030-华西集采-简州大道</v>
      </c>
      <c r="R1552" s="22" t="str">
        <f>_xlfn._xlws.FILTER(辅助信息!D:D,辅助信息!E:E=B1552)</f>
        <v>华西简阳西城嘉苑</v>
      </c>
    </row>
    <row r="1553" hidden="1" spans="1:18">
      <c r="A1553" s="75"/>
      <c r="B1553" s="33" t="s">
        <v>81</v>
      </c>
      <c r="C1553" s="63">
        <v>45789</v>
      </c>
      <c r="D1553" s="33" t="str">
        <f>VLOOKUP(B1553,辅助信息!E:K,7,FALSE)</f>
        <v>JWDDCD2025060900080</v>
      </c>
      <c r="E1553" s="33" t="str">
        <f>VLOOKUP(F1553,辅助信息!A:B,2,FALSE)</f>
        <v>盘螺</v>
      </c>
      <c r="F1553" s="33" t="s">
        <v>40</v>
      </c>
      <c r="G1553" s="29">
        <v>62</v>
      </c>
      <c r="H1553" s="29" t="str">
        <f>_xlfn.XLOOKUP(C1553&amp;F1553&amp;I1553&amp;J1553,'[1]2025年已发货'!$F:$F&amp;'[1]2025年已发货'!$C:$C&amp;'[1]2025年已发货'!$G:$G&amp;'[1]2025年已发货'!$H:$H,'[1]2025年已发货'!$E:$E,"未发货")</f>
        <v>未发货</v>
      </c>
      <c r="I1553" s="33" t="str">
        <f>VLOOKUP(B1553,辅助信息!E:I,3,FALSE)</f>
        <v>（华西简阳西城嘉苑）四川省成都市简阳市简城街道高屋村</v>
      </c>
      <c r="J1553" s="33" t="str">
        <f>VLOOKUP(B1553,辅助信息!E:I,4,FALSE)</f>
        <v>张瀚镭</v>
      </c>
      <c r="K1553" s="33">
        <f>VLOOKUP(J1553,辅助信息!H:I,2,FALSE)</f>
        <v>15884666220</v>
      </c>
      <c r="L1553" s="102" t="str">
        <f>VLOOKUP(B1553,辅助信息!E:J,6,FALSE)</f>
        <v>现场禁止使用氢能源挂车！优先威钢发货,我方卸车,新老国标钢厂不加价可直发，因陕钢多次出现磅差，项目拒绝使用</v>
      </c>
      <c r="M1553" s="84">
        <v>45788</v>
      </c>
      <c r="O1553" s="55">
        <f ca="1" t="shared" si="78"/>
        <v>0</v>
      </c>
      <c r="P1553" s="55">
        <f ca="1" t="shared" si="77"/>
        <v>169</v>
      </c>
      <c r="Q1553" s="22" t="str">
        <f>VLOOKUP(B1553,辅助信息!E:M,9,FALSE)</f>
        <v>ZTWM-CDGS-XS-2024-0030-华西集采-简州大道</v>
      </c>
      <c r="R1553" s="22" t="str">
        <f>_xlfn._xlws.FILTER(辅助信息!D:D,辅助信息!E:E=B1553)</f>
        <v>华西简阳西城嘉苑</v>
      </c>
    </row>
    <row r="1554" hidden="1" spans="1:18">
      <c r="A1554" s="75"/>
      <c r="B1554" s="33" t="s">
        <v>81</v>
      </c>
      <c r="C1554" s="63">
        <v>45789</v>
      </c>
      <c r="D1554" s="33" t="str">
        <f>VLOOKUP(B1554,辅助信息!E:K,7,FALSE)</f>
        <v>JWDDCD2025060900080</v>
      </c>
      <c r="E1554" s="33" t="str">
        <f>VLOOKUP(F1554,辅助信息!A:B,2,FALSE)</f>
        <v>盘螺</v>
      </c>
      <c r="F1554" s="33" t="s">
        <v>41</v>
      </c>
      <c r="G1554" s="29">
        <v>134.5</v>
      </c>
      <c r="H1554" s="29">
        <f>_xlfn.XLOOKUP(C1554&amp;F1554&amp;I1554&amp;J1554,'[1]2025年已发货'!$F:$F&amp;'[1]2025年已发货'!$C:$C&amp;'[1]2025年已发货'!$G:$G&amp;'[1]2025年已发货'!$H:$H,'[1]2025年已发货'!$E:$E,"未发货")</f>
        <v>35</v>
      </c>
      <c r="I1554" s="33" t="str">
        <f>VLOOKUP(B1554,辅助信息!E:I,3,FALSE)</f>
        <v>（华西简阳西城嘉苑）四川省成都市简阳市简城街道高屋村</v>
      </c>
      <c r="J1554" s="33" t="str">
        <f>VLOOKUP(B1554,辅助信息!E:I,4,FALSE)</f>
        <v>张瀚镭</v>
      </c>
      <c r="K1554" s="33">
        <f>VLOOKUP(J1554,辅助信息!H:I,2,FALSE)</f>
        <v>15884666220</v>
      </c>
      <c r="L1554" s="102" t="str">
        <f>VLOOKUP(B1554,辅助信息!E:J,6,FALSE)</f>
        <v>现场禁止使用氢能源挂车！优先威钢发货,我方卸车,新老国标钢厂不加价可直发，因陕钢多次出现磅差，项目拒绝使用</v>
      </c>
      <c r="M1554" s="84">
        <v>45787</v>
      </c>
      <c r="O1554" s="55">
        <f ca="1" t="shared" si="78"/>
        <v>0</v>
      </c>
      <c r="P1554" s="55">
        <f ca="1" t="shared" si="77"/>
        <v>170</v>
      </c>
      <c r="Q1554" s="22" t="str">
        <f>VLOOKUP(B1554,辅助信息!E:M,9,FALSE)</f>
        <v>ZTWM-CDGS-XS-2024-0030-华西集采-简州大道</v>
      </c>
      <c r="R1554" s="22" t="str">
        <f>_xlfn._xlws.FILTER(辅助信息!D:D,辅助信息!E:E=B1554)</f>
        <v>华西简阳西城嘉苑</v>
      </c>
    </row>
    <row r="1555" hidden="1" spans="1:18">
      <c r="A1555" s="75"/>
      <c r="B1555" s="33" t="s">
        <v>81</v>
      </c>
      <c r="C1555" s="63">
        <v>45789</v>
      </c>
      <c r="D1555" s="33" t="str">
        <f>VLOOKUP(B1555,辅助信息!E:K,7,FALSE)</f>
        <v>JWDDCD2025060900080</v>
      </c>
      <c r="E1555" s="33" t="str">
        <f>VLOOKUP(F1555,辅助信息!A:B,2,FALSE)</f>
        <v>螺纹钢</v>
      </c>
      <c r="F1555" s="33" t="s">
        <v>30</v>
      </c>
      <c r="G1555" s="29">
        <v>59</v>
      </c>
      <c r="H1555" s="29">
        <f>_xlfn.XLOOKUP(C1555&amp;F1555&amp;I1555&amp;J1555,'[1]2025年已发货'!$F:$F&amp;'[1]2025年已发货'!$C:$C&amp;'[1]2025年已发货'!$G:$G&amp;'[1]2025年已发货'!$H:$H,'[1]2025年已发货'!$E:$E,"未发货")</f>
        <v>12</v>
      </c>
      <c r="I1555" s="33" t="str">
        <f>VLOOKUP(B1555,辅助信息!E:I,3,FALSE)</f>
        <v>（华西简阳西城嘉苑）四川省成都市简阳市简城街道高屋村</v>
      </c>
      <c r="J1555" s="33" t="str">
        <f>VLOOKUP(B1555,辅助信息!E:I,4,FALSE)</f>
        <v>张瀚镭</v>
      </c>
      <c r="K1555" s="33">
        <f>VLOOKUP(J1555,辅助信息!H:I,2,FALSE)</f>
        <v>15884666220</v>
      </c>
      <c r="L1555" s="102" t="str">
        <f>VLOOKUP(B1555,辅助信息!E:J,6,FALSE)</f>
        <v>现场禁止使用氢能源挂车！优先威钢发货,我方卸车,新老国标钢厂不加价可直发，因陕钢多次出现磅差，项目拒绝使用</v>
      </c>
      <c r="M1555" s="84">
        <v>45787</v>
      </c>
      <c r="O1555" s="55">
        <f ca="1" t="shared" si="78"/>
        <v>0</v>
      </c>
      <c r="P1555" s="55">
        <f ca="1" t="shared" si="77"/>
        <v>170</v>
      </c>
      <c r="Q1555" s="22" t="str">
        <f>VLOOKUP(B1555,辅助信息!E:M,9,FALSE)</f>
        <v>ZTWM-CDGS-XS-2024-0030-华西集采-简州大道</v>
      </c>
      <c r="R1555" s="22" t="str">
        <f>_xlfn._xlws.FILTER(辅助信息!D:D,辅助信息!E:E=B1555)</f>
        <v>华西简阳西城嘉苑</v>
      </c>
    </row>
    <row r="1556" hidden="1" spans="1:18">
      <c r="A1556" s="75"/>
      <c r="B1556" s="33" t="s">
        <v>81</v>
      </c>
      <c r="C1556" s="63">
        <v>45789</v>
      </c>
      <c r="D1556" s="33" t="str">
        <f>VLOOKUP(B1556,辅助信息!E:K,7,FALSE)</f>
        <v>JWDDCD2025060900080</v>
      </c>
      <c r="E1556" s="33" t="str">
        <f>VLOOKUP(F1556,辅助信息!A:B,2,FALSE)</f>
        <v>螺纹钢</v>
      </c>
      <c r="F1556" s="33" t="s">
        <v>33</v>
      </c>
      <c r="G1556" s="29">
        <v>25.5</v>
      </c>
      <c r="H1556" s="29">
        <f>_xlfn.XLOOKUP(C1556&amp;F1556&amp;I1556&amp;J1556,'[1]2025年已发货'!$F:$F&amp;'[1]2025年已发货'!$C:$C&amp;'[1]2025年已发货'!$G:$G&amp;'[1]2025年已发货'!$H:$H,'[1]2025年已发货'!$E:$E,"未发货")</f>
        <v>25.5</v>
      </c>
      <c r="I1556" s="33" t="str">
        <f>VLOOKUP(B1556,辅助信息!E:I,3,FALSE)</f>
        <v>（华西简阳西城嘉苑）四川省成都市简阳市简城街道高屋村</v>
      </c>
      <c r="J1556" s="33" t="str">
        <f>VLOOKUP(B1556,辅助信息!E:I,4,FALSE)</f>
        <v>张瀚镭</v>
      </c>
      <c r="K1556" s="33">
        <f>VLOOKUP(J1556,辅助信息!H:I,2,FALSE)</f>
        <v>15884666220</v>
      </c>
      <c r="L1556" s="102" t="str">
        <f>VLOOKUP(B1556,辅助信息!E:J,6,FALSE)</f>
        <v>现场禁止使用氢能源挂车！优先威钢发货,我方卸车,新老国标钢厂不加价可直发，因陕钢多次出现磅差，项目拒绝使用</v>
      </c>
      <c r="M1556" s="84">
        <v>45787</v>
      </c>
      <c r="O1556" s="55">
        <f ca="1" t="shared" si="78"/>
        <v>0</v>
      </c>
      <c r="P1556" s="55">
        <f ca="1" t="shared" si="77"/>
        <v>170</v>
      </c>
      <c r="Q1556" s="22" t="str">
        <f>VLOOKUP(B1556,辅助信息!E:M,9,FALSE)</f>
        <v>ZTWM-CDGS-XS-2024-0030-华西集采-简州大道</v>
      </c>
      <c r="R1556" s="22" t="str">
        <f>_xlfn._xlws.FILTER(辅助信息!D:D,辅助信息!E:E=B1556)</f>
        <v>华西简阳西城嘉苑</v>
      </c>
    </row>
    <row r="1557" hidden="1" spans="1:18">
      <c r="A1557" s="75"/>
      <c r="B1557" s="33" t="s">
        <v>81</v>
      </c>
      <c r="C1557" s="63">
        <v>45789</v>
      </c>
      <c r="D1557" s="33" t="str">
        <f>VLOOKUP(B1557,辅助信息!E:K,7,FALSE)</f>
        <v>JWDDCD2025060900080</v>
      </c>
      <c r="E1557" s="33" t="str">
        <f>VLOOKUP(F1557,辅助信息!A:B,2,FALSE)</f>
        <v>螺纹钢</v>
      </c>
      <c r="F1557" s="33" t="s">
        <v>28</v>
      </c>
      <c r="G1557" s="29">
        <v>7</v>
      </c>
      <c r="H1557" s="29">
        <f>_xlfn.XLOOKUP(C1557&amp;F1557&amp;I1557&amp;J1557,'[1]2025年已发货'!$F:$F&amp;'[1]2025年已发货'!$C:$C&amp;'[1]2025年已发货'!$G:$G&amp;'[1]2025年已发货'!$H:$H,'[1]2025年已发货'!$E:$E,"未发货")</f>
        <v>7</v>
      </c>
      <c r="I1557" s="33" t="str">
        <f>VLOOKUP(B1557,辅助信息!E:I,3,FALSE)</f>
        <v>（华西简阳西城嘉苑）四川省成都市简阳市简城街道高屋村</v>
      </c>
      <c r="J1557" s="33" t="str">
        <f>VLOOKUP(B1557,辅助信息!E:I,4,FALSE)</f>
        <v>张瀚镭</v>
      </c>
      <c r="K1557" s="33">
        <f>VLOOKUP(J1557,辅助信息!H:I,2,FALSE)</f>
        <v>15884666220</v>
      </c>
      <c r="L1557" s="102" t="str">
        <f>VLOOKUP(B1557,辅助信息!E:J,6,FALSE)</f>
        <v>现场禁止使用氢能源挂车！优先威钢发货,我方卸车,新老国标钢厂不加价可直发，因陕钢多次出现磅差，项目拒绝使用</v>
      </c>
      <c r="M1557" s="84">
        <v>45787</v>
      </c>
      <c r="O1557" s="55">
        <f ca="1" t="shared" si="78"/>
        <v>0</v>
      </c>
      <c r="P1557" s="55">
        <f ca="1" t="shared" si="77"/>
        <v>170</v>
      </c>
      <c r="Q1557" s="22" t="str">
        <f>VLOOKUP(B1557,辅助信息!E:M,9,FALSE)</f>
        <v>ZTWM-CDGS-XS-2024-0030-华西集采-简州大道</v>
      </c>
      <c r="R1557" s="22" t="str">
        <f>_xlfn._xlws.FILTER(辅助信息!D:D,辅助信息!E:E=B1557)</f>
        <v>华西简阳西城嘉苑</v>
      </c>
    </row>
    <row r="1558" hidden="1" spans="1:18">
      <c r="A1558" s="75"/>
      <c r="B1558" s="33" t="s">
        <v>81</v>
      </c>
      <c r="C1558" s="63">
        <v>45789</v>
      </c>
      <c r="D1558" s="33" t="str">
        <f>VLOOKUP(B1558,辅助信息!E:K,7,FALSE)</f>
        <v>JWDDCD2025060900080</v>
      </c>
      <c r="E1558" s="33" t="str">
        <f>VLOOKUP(F1558,辅助信息!A:B,2,FALSE)</f>
        <v>螺纹钢</v>
      </c>
      <c r="F1558" s="33" t="s">
        <v>18</v>
      </c>
      <c r="G1558" s="29">
        <v>14.5</v>
      </c>
      <c r="H1558" s="29">
        <f>_xlfn.XLOOKUP(C1558&amp;F1558&amp;I1558&amp;J1558,'[1]2025年已发货'!$F:$F&amp;'[1]2025年已发货'!$C:$C&amp;'[1]2025年已发货'!$G:$G&amp;'[1]2025年已发货'!$H:$H,'[1]2025年已发货'!$E:$E,"未发货")</f>
        <v>14.5</v>
      </c>
      <c r="I1558" s="33" t="str">
        <f>VLOOKUP(B1558,辅助信息!E:I,3,FALSE)</f>
        <v>（华西简阳西城嘉苑）四川省成都市简阳市简城街道高屋村</v>
      </c>
      <c r="J1558" s="33" t="str">
        <f>VLOOKUP(B1558,辅助信息!E:I,4,FALSE)</f>
        <v>张瀚镭</v>
      </c>
      <c r="K1558" s="33">
        <f>VLOOKUP(J1558,辅助信息!H:I,2,FALSE)</f>
        <v>15884666220</v>
      </c>
      <c r="L1558" s="102" t="str">
        <f>VLOOKUP(B1558,辅助信息!E:J,6,FALSE)</f>
        <v>现场禁止使用氢能源挂车！优先威钢发货,我方卸车,新老国标钢厂不加价可直发，因陕钢多次出现磅差，项目拒绝使用</v>
      </c>
      <c r="M1558" s="84">
        <v>45787</v>
      </c>
      <c r="O1558" s="55">
        <f ca="1" t="shared" si="78"/>
        <v>0</v>
      </c>
      <c r="P1558" s="55">
        <f ca="1" t="shared" si="77"/>
        <v>170</v>
      </c>
      <c r="Q1558" s="22" t="str">
        <f>VLOOKUP(B1558,辅助信息!E:M,9,FALSE)</f>
        <v>ZTWM-CDGS-XS-2024-0030-华西集采-简州大道</v>
      </c>
      <c r="R1558" s="22" t="str">
        <f>_xlfn._xlws.FILTER(辅助信息!D:D,辅助信息!E:E=B1558)</f>
        <v>华西简阳西城嘉苑</v>
      </c>
    </row>
    <row r="1559" hidden="1" spans="1:18">
      <c r="A1559" s="75"/>
      <c r="B1559" s="33" t="s">
        <v>81</v>
      </c>
      <c r="C1559" s="63">
        <v>45789</v>
      </c>
      <c r="D1559" s="33" t="str">
        <f>VLOOKUP(B1559,辅助信息!E:K,7,FALSE)</f>
        <v>JWDDCD2025060900080</v>
      </c>
      <c r="E1559" s="33" t="str">
        <f>VLOOKUP(F1559,辅助信息!A:B,2,FALSE)</f>
        <v>螺纹钢</v>
      </c>
      <c r="F1559" s="33" t="s">
        <v>21</v>
      </c>
      <c r="G1559" s="29">
        <v>2.5</v>
      </c>
      <c r="H1559" s="29">
        <f>_xlfn.XLOOKUP(C1559&amp;F1559&amp;I1559&amp;J1559,'[1]2025年已发货'!$F:$F&amp;'[1]2025年已发货'!$C:$C&amp;'[1]2025年已发货'!$G:$G&amp;'[1]2025年已发货'!$H:$H,'[1]2025年已发货'!$E:$E,"未发货")</f>
        <v>2.5</v>
      </c>
      <c r="I1559" s="33" t="str">
        <f>VLOOKUP(B1559,辅助信息!E:I,3,FALSE)</f>
        <v>（华西简阳西城嘉苑）四川省成都市简阳市简城街道高屋村</v>
      </c>
      <c r="J1559" s="33" t="str">
        <f>VLOOKUP(B1559,辅助信息!E:I,4,FALSE)</f>
        <v>张瀚镭</v>
      </c>
      <c r="K1559" s="33">
        <f>VLOOKUP(J1559,辅助信息!H:I,2,FALSE)</f>
        <v>15884666220</v>
      </c>
      <c r="L1559" s="102" t="str">
        <f>VLOOKUP(B1559,辅助信息!E:J,6,FALSE)</f>
        <v>现场禁止使用氢能源挂车！优先威钢发货,我方卸车,新老国标钢厂不加价可直发，因陕钢多次出现磅差，项目拒绝使用</v>
      </c>
      <c r="M1559" s="84">
        <v>45788</v>
      </c>
      <c r="O1559" s="55">
        <f ca="1" t="shared" si="78"/>
        <v>0</v>
      </c>
      <c r="P1559" s="55">
        <f ca="1" t="shared" si="77"/>
        <v>169</v>
      </c>
      <c r="Q1559" s="22" t="str">
        <f>VLOOKUP(B1559,辅助信息!E:M,9,FALSE)</f>
        <v>ZTWM-CDGS-XS-2024-0030-华西集采-简州大道</v>
      </c>
      <c r="R1559" s="22" t="str">
        <f>_xlfn._xlws.FILTER(辅助信息!D:D,辅助信息!E:E=B1559)</f>
        <v>华西简阳西城嘉苑</v>
      </c>
    </row>
    <row r="1560" hidden="1" spans="1:18">
      <c r="A1560" s="75"/>
      <c r="B1560" s="33" t="s">
        <v>81</v>
      </c>
      <c r="C1560" s="63">
        <v>45789</v>
      </c>
      <c r="D1560" s="33" t="str">
        <f>VLOOKUP(B1560,辅助信息!E:K,7,FALSE)</f>
        <v>JWDDCD2025060900080</v>
      </c>
      <c r="E1560" s="33" t="str">
        <f>VLOOKUP(F1560,辅助信息!A:B,2,FALSE)</f>
        <v>螺纹钢</v>
      </c>
      <c r="F1560" s="33" t="s">
        <v>46</v>
      </c>
      <c r="G1560" s="29">
        <v>8.5</v>
      </c>
      <c r="H1560" s="29">
        <f>_xlfn.XLOOKUP(C1560&amp;F1560&amp;I1560&amp;J1560,'[1]2025年已发货'!$F:$F&amp;'[1]2025年已发货'!$C:$C&amp;'[1]2025年已发货'!$G:$G&amp;'[1]2025年已发货'!$H:$H,'[1]2025年已发货'!$E:$E,"未发货")</f>
        <v>8.5</v>
      </c>
      <c r="I1560" s="33" t="str">
        <f>VLOOKUP(B1560,辅助信息!E:I,3,FALSE)</f>
        <v>（华西简阳西城嘉苑）四川省成都市简阳市简城街道高屋村</v>
      </c>
      <c r="J1560" s="33" t="str">
        <f>VLOOKUP(B1560,辅助信息!E:I,4,FALSE)</f>
        <v>张瀚镭</v>
      </c>
      <c r="K1560" s="33">
        <f>VLOOKUP(J1560,辅助信息!H:I,2,FALSE)</f>
        <v>15884666220</v>
      </c>
      <c r="L1560" s="102" t="str">
        <f>VLOOKUP(B1560,辅助信息!E:J,6,FALSE)</f>
        <v>现场禁止使用氢能源挂车！优先威钢发货,我方卸车,新老国标钢厂不加价可直发，因陕钢多次出现磅差，项目拒绝使用</v>
      </c>
      <c r="M1560" s="84">
        <v>45788</v>
      </c>
      <c r="O1560" s="55">
        <f ca="1" t="shared" si="78"/>
        <v>0</v>
      </c>
      <c r="P1560" s="55">
        <f ca="1" t="shared" si="77"/>
        <v>169</v>
      </c>
      <c r="Q1560" s="22" t="str">
        <f>VLOOKUP(B1560,辅助信息!E:M,9,FALSE)</f>
        <v>ZTWM-CDGS-XS-2024-0030-华西集采-简州大道</v>
      </c>
      <c r="R1560" s="22" t="str">
        <f>_xlfn._xlws.FILTER(辅助信息!D:D,辅助信息!E:E=B1560)</f>
        <v>华西简阳西城嘉苑</v>
      </c>
    </row>
    <row r="1561" hidden="1" spans="2:18">
      <c r="B1561" s="33" t="s">
        <v>150</v>
      </c>
      <c r="C1561" s="63">
        <v>45789</v>
      </c>
      <c r="D1561" s="33" t="str">
        <f>VLOOKUP(B1561,辅助信息!E:K,7,FALSE)</f>
        <v>JWDDCD2025050800101</v>
      </c>
      <c r="E1561" s="33" t="str">
        <f>VLOOKUP(F1561,辅助信息!A:B,2,FALSE)</f>
        <v>螺纹钢</v>
      </c>
      <c r="F1561" s="33" t="s">
        <v>28</v>
      </c>
      <c r="G1561" s="29">
        <v>27</v>
      </c>
      <c r="H1561" s="29" t="str">
        <f>_xlfn.XLOOKUP(C1561&amp;F1561&amp;I1561&amp;J1561,'[1]2025年已发货'!$F:$F&amp;'[1]2025年已发货'!$C:$C&amp;'[1]2025年已发货'!$G:$G&amp;'[1]2025年已发货'!$H:$H,'[1]2025年已发货'!$E:$E,"未发货")</f>
        <v>未发货</v>
      </c>
      <c r="I1561" s="33" t="str">
        <f>VLOOKUP(B1561,辅助信息!E:I,3,FALSE)</f>
        <v>(中铁科研院宜宾泥溪项目)中铁科研院集团有限公司宜宾市泥溪东互通式立交下穿成贵客专铁路工程项目钢筋加工厂</v>
      </c>
      <c r="J1561" s="33" t="str">
        <f>VLOOKUP(B1561,辅助信息!E:I,4,FALSE)</f>
        <v>蔡鹏</v>
      </c>
      <c r="K1561" s="33">
        <f>VLOOKUP(J1561,辅助信息!H:I,2,FALSE)</f>
        <v>19130850820</v>
      </c>
      <c r="L1561" s="102" t="str">
        <f>VLOOKUP(B1561,辅助信息!E:J,6,FALSE)</f>
        <v>装货前联系收货人核实到场规格，货物最下面用方木垫下方便卸货</v>
      </c>
      <c r="M1561" s="84">
        <v>45792</v>
      </c>
      <c r="O1561" s="55">
        <f ca="1" t="shared" si="78"/>
        <v>0</v>
      </c>
      <c r="P1561" s="55">
        <f ca="1" t="shared" si="77"/>
        <v>165</v>
      </c>
      <c r="Q1561" s="22" t="str">
        <f>VLOOKUP(B1561,辅助信息!E:M,9,FALSE)</f>
        <v>ZTWM-CDGS-XS-2025-0050-中铁科研院-宜宾泥溪项目</v>
      </c>
      <c r="R1561" s="22" t="str">
        <f>_xlfn._xlws.FILTER(辅助信息!D:D,辅助信息!E:E=B1561)</f>
        <v>中铁科研院宜宾泥溪项目</v>
      </c>
    </row>
    <row r="1562" hidden="1" spans="2:18">
      <c r="B1562" s="33" t="s">
        <v>150</v>
      </c>
      <c r="C1562" s="63">
        <v>45789</v>
      </c>
      <c r="D1562" s="33" t="str">
        <f>VLOOKUP(B1562,辅助信息!E:K,7,FALSE)</f>
        <v>JWDDCD2025050800101</v>
      </c>
      <c r="E1562" s="33" t="str">
        <f>VLOOKUP(F1562,辅助信息!A:B,2,FALSE)</f>
        <v>螺纹钢</v>
      </c>
      <c r="F1562" s="33" t="s">
        <v>65</v>
      </c>
      <c r="G1562" s="29">
        <v>36</v>
      </c>
      <c r="H1562" s="29" t="str">
        <f>_xlfn.XLOOKUP(C1562&amp;F1562&amp;I1562&amp;J1562,'[1]2025年已发货'!$F:$F&amp;'[1]2025年已发货'!$C:$C&amp;'[1]2025年已发货'!$G:$G&amp;'[1]2025年已发货'!$H:$H,'[1]2025年已发货'!$E:$E,"未发货")</f>
        <v>未发货</v>
      </c>
      <c r="I1562" s="33" t="str">
        <f>VLOOKUP(B1562,辅助信息!E:I,3,FALSE)</f>
        <v>(中铁科研院宜宾泥溪项目)中铁科研院集团有限公司宜宾市泥溪东互通式立交下穿成贵客专铁路工程项目钢筋加工厂</v>
      </c>
      <c r="J1562" s="33" t="str">
        <f>VLOOKUP(B1562,辅助信息!E:I,4,FALSE)</f>
        <v>蔡鹏</v>
      </c>
      <c r="K1562" s="33">
        <f>VLOOKUP(J1562,辅助信息!H:I,2,FALSE)</f>
        <v>19130850820</v>
      </c>
      <c r="L1562" s="102" t="str">
        <f>VLOOKUP(B1562,辅助信息!E:J,6,FALSE)</f>
        <v>装货前联系收货人核实到场规格，货物最下面用方木垫下方便卸货</v>
      </c>
      <c r="M1562" s="84">
        <v>45792</v>
      </c>
      <c r="O1562" s="55">
        <f ca="1" t="shared" si="78"/>
        <v>0</v>
      </c>
      <c r="P1562" s="55">
        <f ca="1" t="shared" si="77"/>
        <v>165</v>
      </c>
      <c r="Q1562" s="22" t="str">
        <f>VLOOKUP(B1562,辅助信息!E:M,9,FALSE)</f>
        <v>ZTWM-CDGS-XS-2025-0050-中铁科研院-宜宾泥溪项目</v>
      </c>
      <c r="R1562" s="22" t="str">
        <f>_xlfn._xlws.FILTER(辅助信息!D:D,辅助信息!E:E=B1562)</f>
        <v>中铁科研院宜宾泥溪项目</v>
      </c>
    </row>
    <row r="1563" hidden="1" spans="2:18">
      <c r="B1563" s="33" t="s">
        <v>150</v>
      </c>
      <c r="C1563" s="63">
        <v>45789</v>
      </c>
      <c r="D1563" s="33" t="str">
        <f>VLOOKUP(B1563,辅助信息!E:K,7,FALSE)</f>
        <v>JWDDCD2025050800101</v>
      </c>
      <c r="E1563" s="33" t="str">
        <f>VLOOKUP(F1563,辅助信息!A:B,2,FALSE)</f>
        <v>螺纹钢</v>
      </c>
      <c r="F1563" s="33" t="s">
        <v>32</v>
      </c>
      <c r="G1563" s="29">
        <v>6</v>
      </c>
      <c r="H1563" s="29" t="str">
        <f>_xlfn.XLOOKUP(C1563&amp;F1563&amp;I1563&amp;J1563,'[1]2025年已发货'!$F:$F&amp;'[1]2025年已发货'!$C:$C&amp;'[1]2025年已发货'!$G:$G&amp;'[1]2025年已发货'!$H:$H,'[1]2025年已发货'!$E:$E,"未发货")</f>
        <v>未发货</v>
      </c>
      <c r="I1563" s="33" t="str">
        <f>VLOOKUP(B1563,辅助信息!E:I,3,FALSE)</f>
        <v>(中铁科研院宜宾泥溪项目)中铁科研院集团有限公司宜宾市泥溪东互通式立交下穿成贵客专铁路工程项目钢筋加工厂</v>
      </c>
      <c r="J1563" s="33" t="str">
        <f>VLOOKUP(B1563,辅助信息!E:I,4,FALSE)</f>
        <v>蔡鹏</v>
      </c>
      <c r="K1563" s="33">
        <f>VLOOKUP(J1563,辅助信息!H:I,2,FALSE)</f>
        <v>19130850820</v>
      </c>
      <c r="L1563" s="102" t="str">
        <f>VLOOKUP(B1563,辅助信息!E:J,6,FALSE)</f>
        <v>装货前联系收货人核实到场规格，货物最下面用方木垫下方便卸货</v>
      </c>
      <c r="M1563" s="84">
        <v>45792</v>
      </c>
      <c r="O1563" s="55">
        <f ca="1" t="shared" si="78"/>
        <v>0</v>
      </c>
      <c r="P1563" s="55">
        <f ca="1" t="shared" si="77"/>
        <v>165</v>
      </c>
      <c r="Q1563" s="22" t="str">
        <f>VLOOKUP(B1563,辅助信息!E:M,9,FALSE)</f>
        <v>ZTWM-CDGS-XS-2025-0050-中铁科研院-宜宾泥溪项目</v>
      </c>
      <c r="R1563" s="22" t="str">
        <f>_xlfn._xlws.FILTER(辅助信息!D:D,辅助信息!E:E=B1563)</f>
        <v>中铁科研院宜宾泥溪项目</v>
      </c>
    </row>
    <row r="1564" hidden="1" spans="2:18">
      <c r="B1564" s="33" t="s">
        <v>92</v>
      </c>
      <c r="C1564" s="63">
        <v>45793</v>
      </c>
      <c r="D1564" s="113" t="str">
        <f>VLOOKUP(B1564,辅助信息!E:K,7,FALSE)</f>
        <v>JWDDCD2025051800046</v>
      </c>
      <c r="E1564" s="113" t="str">
        <f>VLOOKUP(F1564,辅助信息!A:B,2,FALSE)</f>
        <v>盘螺</v>
      </c>
      <c r="F1564" s="33" t="s">
        <v>40</v>
      </c>
      <c r="G1564" s="29">
        <v>25</v>
      </c>
      <c r="H1564" s="114">
        <f>_xlfn.XLOOKUP(C1564&amp;F1564&amp;I1564&amp;J1564,'[1]2025年已发货'!$F:$F&amp;'[1]2025年已发货'!$C:$C&amp;'[1]2025年已发货'!$G:$G&amp;'[1]2025年已发货'!$H:$H,'[1]2025年已发货'!$E:$E,"未发货")</f>
        <v>25</v>
      </c>
      <c r="I1564" s="113" t="str">
        <f>VLOOKUP(B1564,辅助信息!E:I,3,FALSE)</f>
        <v>（华西萌海科创农业生态谷）成都市简阳市白金山水库</v>
      </c>
      <c r="J1564" s="113" t="str">
        <f>VLOOKUP(B1564,辅助信息!E:I,4,FALSE)</f>
        <v>石清国</v>
      </c>
      <c r="K1564" s="113">
        <f>VLOOKUP(J1564,辅助信息!H:I,2,FALSE)</f>
        <v>13458642015</v>
      </c>
      <c r="L1564" s="115" t="str">
        <f>VLOOKUP(B1564,辅助信息!E:J,6,FALSE)</f>
        <v>优先威钢,我方卸车,新老国标钢厂不加价可直发</v>
      </c>
      <c r="M1564" s="84">
        <v>45794</v>
      </c>
      <c r="O1564" s="55">
        <f ca="1" t="shared" si="78"/>
        <v>0</v>
      </c>
      <c r="P1564" s="55">
        <f ca="1" t="shared" si="77"/>
        <v>163</v>
      </c>
      <c r="Q1564" s="22" t="str">
        <f>VLOOKUP(B1564,辅助信息!E:M,9,FALSE)</f>
        <v>ZTWM-CDGS-XS-2024-0092-华西-萌海科创农业生态谷</v>
      </c>
      <c r="R1564" s="22" t="str">
        <f>_xlfn._xlws.FILTER(辅助信息!D:D,辅助信息!E:E=B1564)</f>
        <v>华西萌海-科创农业生态谷</v>
      </c>
    </row>
    <row r="1565" hidden="1" spans="2:18">
      <c r="B1565" s="33" t="s">
        <v>92</v>
      </c>
      <c r="C1565" s="63">
        <v>45793</v>
      </c>
      <c r="D1565" s="113" t="str">
        <f>VLOOKUP(B1565,辅助信息!E:K,7,FALSE)</f>
        <v>JWDDCD2025051800046</v>
      </c>
      <c r="E1565" s="113" t="str">
        <f>VLOOKUP(F1565,辅助信息!A:B,2,FALSE)</f>
        <v>盘螺</v>
      </c>
      <c r="F1565" s="33" t="s">
        <v>41</v>
      </c>
      <c r="G1565" s="29">
        <v>10</v>
      </c>
      <c r="H1565" s="114">
        <f>_xlfn.XLOOKUP(C1565&amp;F1565&amp;I1565&amp;J1565,'[1]2025年已发货'!$F:$F&amp;'[1]2025年已发货'!$C:$C&amp;'[1]2025年已发货'!$G:$G&amp;'[1]2025年已发货'!$H:$H,'[1]2025年已发货'!$E:$E,"未发货")</f>
        <v>10</v>
      </c>
      <c r="I1565" s="113" t="str">
        <f>VLOOKUP(B1565,辅助信息!E:I,3,FALSE)</f>
        <v>（华西萌海科创农业生态谷）成都市简阳市白金山水库</v>
      </c>
      <c r="J1565" s="113" t="str">
        <f>VLOOKUP(B1565,辅助信息!E:I,4,FALSE)</f>
        <v>石清国</v>
      </c>
      <c r="K1565" s="113">
        <f>VLOOKUP(J1565,辅助信息!H:I,2,FALSE)</f>
        <v>13458642015</v>
      </c>
      <c r="L1565" s="115" t="str">
        <f>VLOOKUP(B1565,辅助信息!E:J,6,FALSE)</f>
        <v>优先威钢,我方卸车,新老国标钢厂不加价可直发</v>
      </c>
      <c r="M1565" s="84">
        <v>45794</v>
      </c>
      <c r="O1565" s="55">
        <f ca="1" t="shared" si="78"/>
        <v>0</v>
      </c>
      <c r="P1565" s="55">
        <f ca="1" t="shared" si="77"/>
        <v>163</v>
      </c>
      <c r="Q1565" s="22" t="str">
        <f>VLOOKUP(B1565,辅助信息!E:M,9,FALSE)</f>
        <v>ZTWM-CDGS-XS-2024-0092-华西-萌海科创农业生态谷</v>
      </c>
      <c r="R1565" s="22" t="str">
        <f>_xlfn._xlws.FILTER(辅助信息!D:D,辅助信息!E:E=B1565)</f>
        <v>华西萌海-科创农业生态谷</v>
      </c>
    </row>
    <row r="1566" hidden="1" spans="2:18">
      <c r="B1566" s="33" t="s">
        <v>17</v>
      </c>
      <c r="C1566" s="63">
        <v>45793</v>
      </c>
      <c r="D1566" s="113" t="str">
        <f>VLOOKUP(B1566,辅助信息!E:K,7,FALSE)</f>
        <v>JWDDCD2024101600090</v>
      </c>
      <c r="E1566" s="113" t="str">
        <f>VLOOKUP(F1566,辅助信息!A:B,2,FALSE)</f>
        <v>盘螺</v>
      </c>
      <c r="F1566" s="33" t="s">
        <v>49</v>
      </c>
      <c r="G1566" s="29">
        <v>14</v>
      </c>
      <c r="H1566" s="114">
        <f>_xlfn.XLOOKUP(C1566&amp;F1566&amp;I1566&amp;J1566,'[1]2025年已发货'!$F:$F&amp;'[1]2025年已发货'!$C:$C&amp;'[1]2025年已发货'!$G:$G&amp;'[1]2025年已发货'!$H:$H,'[1]2025年已发货'!$E:$E,"未发货")</f>
        <v>14</v>
      </c>
      <c r="I1566" s="113" t="str">
        <f>VLOOKUP(B1566,辅助信息!E:I,3,FALSE)</f>
        <v>（达州市公共卫生临床医疗中心项目-一标-1号制作房）达州市通川区西外复兴镇公共卫生临床医疗中心项目</v>
      </c>
      <c r="J1566" s="113" t="str">
        <f>VLOOKUP(B1566,辅助信息!E:I,4,FALSE)</f>
        <v>潘建发</v>
      </c>
      <c r="K1566" s="113">
        <f>VLOOKUP(J1566,辅助信息!H:I,2,FALSE)</f>
        <v>13658059919</v>
      </c>
      <c r="L1566" s="115" t="str">
        <f>VLOOKUP(B1566,辅助信息!E:J,6,FALSE)</f>
        <v>提前联系到场规格,一天到场车辆不低于2车</v>
      </c>
      <c r="M1566" s="84">
        <v>45793</v>
      </c>
      <c r="O1566" s="55">
        <f ca="1" t="shared" si="78"/>
        <v>0</v>
      </c>
      <c r="P1566" s="55">
        <f ca="1" t="shared" si="77"/>
        <v>164</v>
      </c>
      <c r="Q1566" s="22" t="str">
        <f>VLOOKUP(B1566,辅助信息!E:M,9,FALSE)</f>
        <v>ZTWM-CDGS-XS-2024-0205-五冶钢构-达州市通川区西外复兴镇及临近片区建设项目</v>
      </c>
      <c r="R1566" s="22" t="str">
        <f>_xlfn._xlws.FILTER(辅助信息!D:D,辅助信息!E:E=B1566)</f>
        <v>五冶钢构达州市公共卫生临床医疗中心项目</v>
      </c>
    </row>
    <row r="1567" hidden="1" spans="2:18">
      <c r="B1567" s="33" t="s">
        <v>17</v>
      </c>
      <c r="C1567" s="63">
        <v>45793</v>
      </c>
      <c r="D1567" s="113" t="str">
        <f>VLOOKUP(B1567,辅助信息!E:K,7,FALSE)</f>
        <v>JWDDCD2024101600090</v>
      </c>
      <c r="E1567" s="113" t="str">
        <f>VLOOKUP(F1567,辅助信息!A:B,2,FALSE)</f>
        <v>盘螺</v>
      </c>
      <c r="F1567" s="33" t="s">
        <v>41</v>
      </c>
      <c r="G1567" s="29">
        <v>7</v>
      </c>
      <c r="H1567" s="114">
        <f>_xlfn.XLOOKUP(C1567&amp;F1567&amp;I1567&amp;J1567,'[1]2025年已发货'!$F:$F&amp;'[1]2025年已发货'!$C:$C&amp;'[1]2025年已发货'!$G:$G&amp;'[1]2025年已发货'!$H:$H,'[1]2025年已发货'!$E:$E,"未发货")</f>
        <v>7</v>
      </c>
      <c r="I1567" s="113" t="str">
        <f>VLOOKUP(B1567,辅助信息!E:I,3,FALSE)</f>
        <v>（达州市公共卫生临床医疗中心项目-一标-1号制作房）达州市通川区西外复兴镇公共卫生临床医疗中心项目</v>
      </c>
      <c r="J1567" s="113" t="str">
        <f>VLOOKUP(B1567,辅助信息!E:I,4,FALSE)</f>
        <v>潘建发</v>
      </c>
      <c r="K1567" s="113">
        <f>VLOOKUP(J1567,辅助信息!H:I,2,FALSE)</f>
        <v>13658059919</v>
      </c>
      <c r="L1567" s="115" t="str">
        <f>VLOOKUP(B1567,辅助信息!E:J,6,FALSE)</f>
        <v>提前联系到场规格,一天到场车辆不低于2车</v>
      </c>
      <c r="M1567" s="84">
        <v>45793</v>
      </c>
      <c r="O1567" s="55">
        <f ca="1" t="shared" si="78"/>
        <v>0</v>
      </c>
      <c r="P1567" s="55">
        <f ca="1" t="shared" si="77"/>
        <v>164</v>
      </c>
      <c r="Q1567" s="22" t="str">
        <f>VLOOKUP(B1567,辅助信息!E:M,9,FALSE)</f>
        <v>ZTWM-CDGS-XS-2024-0205-五冶钢构-达州市通川区西外复兴镇及临近片区建设项目</v>
      </c>
      <c r="R1567" s="22" t="str">
        <f>_xlfn._xlws.FILTER(辅助信息!D:D,辅助信息!E:E=B1567)</f>
        <v>五冶钢构达州市公共卫生临床医疗中心项目</v>
      </c>
    </row>
    <row r="1568" hidden="1" spans="2:18">
      <c r="B1568" s="33" t="s">
        <v>17</v>
      </c>
      <c r="C1568" s="63">
        <v>45793</v>
      </c>
      <c r="D1568" s="113" t="str">
        <f>VLOOKUP(B1568,辅助信息!E:K,7,FALSE)</f>
        <v>JWDDCD2024101600090</v>
      </c>
      <c r="E1568" s="113" t="str">
        <f>VLOOKUP(F1568,辅助信息!A:B,2,FALSE)</f>
        <v>螺纹钢</v>
      </c>
      <c r="F1568" s="33" t="s">
        <v>27</v>
      </c>
      <c r="G1568" s="29">
        <v>2</v>
      </c>
      <c r="H1568" s="114">
        <f>_xlfn.XLOOKUP(C1568&amp;F1568&amp;I1568&amp;J1568,'[1]2025年已发货'!$F:$F&amp;'[1]2025年已发货'!$C:$C&amp;'[1]2025年已发货'!$G:$G&amp;'[1]2025年已发货'!$H:$H,'[1]2025年已发货'!$E:$E,"未发货")</f>
        <v>2</v>
      </c>
      <c r="I1568" s="113" t="str">
        <f>VLOOKUP(B1568,辅助信息!E:I,3,FALSE)</f>
        <v>（达州市公共卫生临床医疗中心项目-一标-1号制作房）达州市通川区西外复兴镇公共卫生临床医疗中心项目</v>
      </c>
      <c r="J1568" s="113" t="str">
        <f>VLOOKUP(B1568,辅助信息!E:I,4,FALSE)</f>
        <v>潘建发</v>
      </c>
      <c r="K1568" s="113">
        <f>VLOOKUP(J1568,辅助信息!H:I,2,FALSE)</f>
        <v>13658059919</v>
      </c>
      <c r="L1568" s="115" t="str">
        <f>VLOOKUP(B1568,辅助信息!E:J,6,FALSE)</f>
        <v>提前联系到场规格,一天到场车辆不低于2车</v>
      </c>
      <c r="M1568" s="84">
        <v>45793</v>
      </c>
      <c r="O1568" s="55">
        <f ca="1" t="shared" si="78"/>
        <v>0</v>
      </c>
      <c r="P1568" s="55">
        <f ca="1" t="shared" si="77"/>
        <v>164</v>
      </c>
      <c r="Q1568" s="22" t="str">
        <f>VLOOKUP(B1568,辅助信息!E:M,9,FALSE)</f>
        <v>ZTWM-CDGS-XS-2024-0205-五冶钢构-达州市通川区西外复兴镇及临近片区建设项目</v>
      </c>
      <c r="R1568" s="22" t="str">
        <f>_xlfn._xlws.FILTER(辅助信息!D:D,辅助信息!E:E=B1568)</f>
        <v>五冶钢构达州市公共卫生临床医疗中心项目</v>
      </c>
    </row>
    <row r="1569" hidden="1" spans="2:18">
      <c r="B1569" s="33" t="s">
        <v>17</v>
      </c>
      <c r="C1569" s="63">
        <v>45793</v>
      </c>
      <c r="D1569" s="113" t="str">
        <f>VLOOKUP(B1569,辅助信息!E:K,7,FALSE)</f>
        <v>JWDDCD2024101600090</v>
      </c>
      <c r="E1569" s="113" t="str">
        <f>VLOOKUP(F1569,辅助信息!A:B,2,FALSE)</f>
        <v>螺纹钢</v>
      </c>
      <c r="F1569" s="33" t="s">
        <v>19</v>
      </c>
      <c r="G1569" s="29">
        <v>2</v>
      </c>
      <c r="H1569" s="114">
        <f>_xlfn.XLOOKUP(C1569&amp;F1569&amp;I1569&amp;J1569,'[1]2025年已发货'!$F:$F&amp;'[1]2025年已发货'!$C:$C&amp;'[1]2025年已发货'!$G:$G&amp;'[1]2025年已发货'!$H:$H,'[1]2025年已发货'!$E:$E,"未发货")</f>
        <v>2</v>
      </c>
      <c r="I1569" s="113" t="str">
        <f>VLOOKUP(B1569,辅助信息!E:I,3,FALSE)</f>
        <v>（达州市公共卫生临床医疗中心项目-一标-1号制作房）达州市通川区西外复兴镇公共卫生临床医疗中心项目</v>
      </c>
      <c r="J1569" s="113" t="str">
        <f>VLOOKUP(B1569,辅助信息!E:I,4,FALSE)</f>
        <v>潘建发</v>
      </c>
      <c r="K1569" s="113">
        <f>VLOOKUP(J1569,辅助信息!H:I,2,FALSE)</f>
        <v>13658059919</v>
      </c>
      <c r="L1569" s="115" t="str">
        <f>VLOOKUP(B1569,辅助信息!E:J,6,FALSE)</f>
        <v>提前联系到场规格,一天到场车辆不低于2车</v>
      </c>
      <c r="M1569" s="84">
        <v>45793</v>
      </c>
      <c r="O1569" s="55">
        <f ca="1" t="shared" si="78"/>
        <v>0</v>
      </c>
      <c r="P1569" s="55">
        <f ca="1" t="shared" si="77"/>
        <v>164</v>
      </c>
      <c r="Q1569" s="22" t="str">
        <f>VLOOKUP(B1569,辅助信息!E:M,9,FALSE)</f>
        <v>ZTWM-CDGS-XS-2024-0205-五冶钢构-达州市通川区西外复兴镇及临近片区建设项目</v>
      </c>
      <c r="R1569" s="22" t="str">
        <f>_xlfn._xlws.FILTER(辅助信息!D:D,辅助信息!E:E=B1569)</f>
        <v>五冶钢构达州市公共卫生临床医疗中心项目</v>
      </c>
    </row>
    <row r="1570" hidden="1" spans="2:18">
      <c r="B1570" s="33" t="s">
        <v>151</v>
      </c>
      <c r="C1570" s="63">
        <v>45793</v>
      </c>
      <c r="D1570" s="113" t="str">
        <f>VLOOKUP(B1570,辅助信息!E:K,7,FALSE)</f>
        <v>JWDDCD2025051000019</v>
      </c>
      <c r="E1570" s="113" t="str">
        <f>VLOOKUP(F1570,辅助信息!A:B,2,FALSE)</f>
        <v>螺纹钢</v>
      </c>
      <c r="F1570" s="33" t="s">
        <v>19</v>
      </c>
      <c r="G1570" s="29">
        <v>35</v>
      </c>
      <c r="H1570" s="114">
        <f>_xlfn.XLOOKUP(C1570&amp;F1570&amp;I1570&amp;J1570,'[1]2025年已发货'!$F:$F&amp;'[1]2025年已发货'!$C:$C&amp;'[1]2025年已发货'!$G:$G&amp;'[1]2025年已发货'!$H:$H,'[1]2025年已发货'!$E:$E,"未发货")</f>
        <v>35</v>
      </c>
      <c r="I1570" s="113" t="str">
        <f>VLOOKUP(B1570,辅助信息!E:I,3,FALSE)</f>
        <v>(五冶钢构医学科学产业园建设项目房建一部-四标（3-7）)四川省南充市顺庆区搬罾街道学府大道二段</v>
      </c>
      <c r="J1570" s="113" t="str">
        <f>VLOOKUP(B1570,辅助信息!E:I,4,FALSE)</f>
        <v>胡泽宇</v>
      </c>
      <c r="K1570" s="113">
        <f>VLOOKUP(J1570,辅助信息!H:I,2,FALSE)</f>
        <v>18141337338</v>
      </c>
      <c r="L1570" s="115" t="str">
        <f>VLOOKUP(B1570,辅助信息!E:J,6,FALSE)</f>
        <v>送货单：送货单位：南充思临新材料科技有限公司,收货单位：五冶集团川北(南充)建设有限公司,项目名称：南充医学科学产业园,送货车型13米,装货前联系收货人核实到场规格</v>
      </c>
      <c r="M1570" s="84">
        <v>45793</v>
      </c>
      <c r="O1570" s="55">
        <f ca="1" t="shared" ref="O1570:O1591" si="79">IF(OR(M1570="",N1570&lt;&gt;""),"",MAX(M1570-TODAY(),0))</f>
        <v>0</v>
      </c>
      <c r="P1570" s="55">
        <f ca="1" t="shared" ref="P1570:P1591" si="80">IF(M1570="","",IF(N1570&lt;&gt;"",MAX(N1570-M1570,0),IF(TODAY()&gt;M1570,TODAY()-M1570,0)))</f>
        <v>164</v>
      </c>
      <c r="Q1570" s="22" t="str">
        <f>VLOOKUP(B1570,辅助信息!E:M,9,FALSE)</f>
        <v>ZTWM-CDGS-XS-2024-0248-五冶钢构-南充市医学院项目</v>
      </c>
      <c r="R1570" s="22" t="str">
        <f>_xlfn._xlws.FILTER(辅助信息!D:D,辅助信息!E:E=B1570)</f>
        <v>五冶钢构南充医学科学产业园建设项目</v>
      </c>
    </row>
    <row r="1571" hidden="1" spans="2:18">
      <c r="B1571" s="33" t="s">
        <v>81</v>
      </c>
      <c r="C1571" s="63">
        <v>45793</v>
      </c>
      <c r="D1571" s="113" t="str">
        <f>VLOOKUP(B1571,辅助信息!E:K,7,FALSE)</f>
        <v>JWDDCD2025060900080</v>
      </c>
      <c r="E1571" s="113" t="str">
        <f>VLOOKUP(F1571,辅助信息!A:B,2,FALSE)</f>
        <v>盘螺</v>
      </c>
      <c r="F1571" s="33" t="s">
        <v>49</v>
      </c>
      <c r="G1571" s="29">
        <v>2.5</v>
      </c>
      <c r="H1571" s="114" t="str">
        <f>_xlfn.XLOOKUP(C1571&amp;F1571&amp;I1571&amp;J1571,'[1]2025年已发货'!$F:$F&amp;'[1]2025年已发货'!$C:$C&amp;'[1]2025年已发货'!$G:$G&amp;'[1]2025年已发货'!$H:$H,'[1]2025年已发货'!$E:$E,"未发货")</f>
        <v>未发货</v>
      </c>
      <c r="I1571" s="113" t="str">
        <f>VLOOKUP(B1571,辅助信息!E:I,3,FALSE)</f>
        <v>（华西简阳西城嘉苑）四川省成都市简阳市简城街道高屋村</v>
      </c>
      <c r="J1571" s="113" t="str">
        <f>VLOOKUP(B1571,辅助信息!E:I,4,FALSE)</f>
        <v>张瀚镭</v>
      </c>
      <c r="K1571" s="113">
        <f>VLOOKUP(J1571,辅助信息!H:I,2,FALSE)</f>
        <v>15884666220</v>
      </c>
      <c r="L1571" s="115" t="str">
        <f>VLOOKUP(B1571,辅助信息!E:J,6,FALSE)</f>
        <v>现场禁止使用氢能源挂车！优先威钢发货,我方卸车,新老国标钢厂不加价可直发，因陕钢多次出现磅差，项目拒绝使用</v>
      </c>
      <c r="M1571" s="84">
        <v>45797</v>
      </c>
      <c r="O1571" s="55">
        <f ca="1" t="shared" si="79"/>
        <v>0</v>
      </c>
      <c r="P1571" s="55">
        <f ca="1" t="shared" si="80"/>
        <v>160</v>
      </c>
      <c r="Q1571" s="22" t="str">
        <f>VLOOKUP(B1571,辅助信息!E:M,9,FALSE)</f>
        <v>ZTWM-CDGS-XS-2024-0030-华西集采-简州大道</v>
      </c>
      <c r="R1571" s="22" t="str">
        <f>_xlfn._xlws.FILTER(辅助信息!D:D,辅助信息!E:E=B1571)</f>
        <v>华西简阳西城嘉苑</v>
      </c>
    </row>
    <row r="1572" hidden="1" spans="2:18">
      <c r="B1572" s="33" t="s">
        <v>81</v>
      </c>
      <c r="C1572" s="63">
        <v>45793</v>
      </c>
      <c r="D1572" s="113" t="str">
        <f>VLOOKUP(B1572,辅助信息!E:K,7,FALSE)</f>
        <v>JWDDCD2025060900080</v>
      </c>
      <c r="E1572" s="113" t="str">
        <f>VLOOKUP(F1572,辅助信息!A:B,2,FALSE)</f>
        <v>盘螺</v>
      </c>
      <c r="F1572" s="33" t="s">
        <v>40</v>
      </c>
      <c r="G1572" s="29">
        <v>17</v>
      </c>
      <c r="H1572" s="114" t="str">
        <f>_xlfn.XLOOKUP(C1572&amp;F1572&amp;I1572&amp;J1572,'[1]2025年已发货'!$F:$F&amp;'[1]2025年已发货'!$C:$C&amp;'[1]2025年已发货'!$G:$G&amp;'[1]2025年已发货'!$H:$H,'[1]2025年已发货'!$E:$E,"未发货")</f>
        <v>未发货</v>
      </c>
      <c r="I1572" s="113" t="str">
        <f>VLOOKUP(B1572,辅助信息!E:I,3,FALSE)</f>
        <v>（华西简阳西城嘉苑）四川省成都市简阳市简城街道高屋村</v>
      </c>
      <c r="J1572" s="113" t="str">
        <f>VLOOKUP(B1572,辅助信息!E:I,4,FALSE)</f>
        <v>张瀚镭</v>
      </c>
      <c r="K1572" s="113">
        <f>VLOOKUP(J1572,辅助信息!H:I,2,FALSE)</f>
        <v>15884666220</v>
      </c>
      <c r="L1572" s="115" t="str">
        <f>VLOOKUP(B1572,辅助信息!E:J,6,FALSE)</f>
        <v>现场禁止使用氢能源挂车！优先威钢发货,我方卸车,新老国标钢厂不加价可直发，因陕钢多次出现磅差，项目拒绝使用</v>
      </c>
      <c r="M1572" s="84">
        <v>45797</v>
      </c>
      <c r="O1572" s="55">
        <f ca="1" t="shared" si="79"/>
        <v>0</v>
      </c>
      <c r="P1572" s="55">
        <f ca="1" t="shared" si="80"/>
        <v>160</v>
      </c>
      <c r="Q1572" s="22" t="str">
        <f>VLOOKUP(B1572,辅助信息!E:M,9,FALSE)</f>
        <v>ZTWM-CDGS-XS-2024-0030-华西集采-简州大道</v>
      </c>
      <c r="R1572" s="22" t="str">
        <f>_xlfn._xlws.FILTER(辅助信息!D:D,辅助信息!E:E=B1572)</f>
        <v>华西简阳西城嘉苑</v>
      </c>
    </row>
    <row r="1573" hidden="1" spans="2:18">
      <c r="B1573" s="33" t="s">
        <v>81</v>
      </c>
      <c r="C1573" s="63">
        <v>45793</v>
      </c>
      <c r="D1573" s="113" t="str">
        <f>VLOOKUP(B1573,辅助信息!E:K,7,FALSE)</f>
        <v>JWDDCD2025060900080</v>
      </c>
      <c r="E1573" s="113" t="str">
        <f>VLOOKUP(F1573,辅助信息!A:B,2,FALSE)</f>
        <v>盘螺</v>
      </c>
      <c r="F1573" s="33" t="s">
        <v>26</v>
      </c>
      <c r="G1573" s="29">
        <v>35</v>
      </c>
      <c r="H1573" s="114" t="str">
        <f>_xlfn.XLOOKUP(C1573&amp;F1573&amp;I1573&amp;J1573,'[1]2025年已发货'!$F:$F&amp;'[1]2025年已发货'!$C:$C&amp;'[1]2025年已发货'!$G:$G&amp;'[1]2025年已发货'!$H:$H,'[1]2025年已发货'!$E:$E,"未发货")</f>
        <v>未发货</v>
      </c>
      <c r="I1573" s="113" t="str">
        <f>VLOOKUP(B1573,辅助信息!E:I,3,FALSE)</f>
        <v>（华西简阳西城嘉苑）四川省成都市简阳市简城街道高屋村</v>
      </c>
      <c r="J1573" s="113" t="str">
        <f>VLOOKUP(B1573,辅助信息!E:I,4,FALSE)</f>
        <v>张瀚镭</v>
      </c>
      <c r="K1573" s="113">
        <f>VLOOKUP(J1573,辅助信息!H:I,2,FALSE)</f>
        <v>15884666220</v>
      </c>
      <c r="L1573" s="115" t="str">
        <f>VLOOKUP(B1573,辅助信息!E:J,6,FALSE)</f>
        <v>现场禁止使用氢能源挂车！优先威钢发货,我方卸车,新老国标钢厂不加价可直发，因陕钢多次出现磅差，项目拒绝使用</v>
      </c>
      <c r="M1573" s="84">
        <v>45797</v>
      </c>
      <c r="O1573" s="55">
        <f ca="1" t="shared" si="79"/>
        <v>0</v>
      </c>
      <c r="P1573" s="55">
        <f ca="1" t="shared" si="80"/>
        <v>160</v>
      </c>
      <c r="Q1573" s="22" t="str">
        <f>VLOOKUP(B1573,辅助信息!E:M,9,FALSE)</f>
        <v>ZTWM-CDGS-XS-2024-0030-华西集采-简州大道</v>
      </c>
      <c r="R1573" s="22" t="str">
        <f>_xlfn._xlws.FILTER(辅助信息!D:D,辅助信息!E:E=B1573)</f>
        <v>华西简阳西城嘉苑</v>
      </c>
    </row>
    <row r="1574" hidden="1" spans="2:18">
      <c r="B1574" s="33" t="s">
        <v>81</v>
      </c>
      <c r="C1574" s="63">
        <v>45793</v>
      </c>
      <c r="D1574" s="113" t="str">
        <f>VLOOKUP(B1574,辅助信息!E:K,7,FALSE)</f>
        <v>JWDDCD2025060900080</v>
      </c>
      <c r="E1574" s="113" t="str">
        <f>VLOOKUP(F1574,辅助信息!A:B,2,FALSE)</f>
        <v>螺纹钢</v>
      </c>
      <c r="F1574" s="33" t="s">
        <v>19</v>
      </c>
      <c r="G1574" s="29">
        <v>7</v>
      </c>
      <c r="H1574" s="114">
        <f>_xlfn.XLOOKUP(C1574&amp;F1574&amp;I1574&amp;J1574,'[1]2025年已发货'!$F:$F&amp;'[1]2025年已发货'!$C:$C&amp;'[1]2025年已发货'!$G:$G&amp;'[1]2025年已发货'!$H:$H,'[1]2025年已发货'!$E:$E,"未发货")</f>
        <v>6</v>
      </c>
      <c r="I1574" s="113" t="str">
        <f>VLOOKUP(B1574,辅助信息!E:I,3,FALSE)</f>
        <v>（华西简阳西城嘉苑）四川省成都市简阳市简城街道高屋村</v>
      </c>
      <c r="J1574" s="113" t="str">
        <f>VLOOKUP(B1574,辅助信息!E:I,4,FALSE)</f>
        <v>张瀚镭</v>
      </c>
      <c r="K1574" s="113">
        <f>VLOOKUP(J1574,辅助信息!H:I,2,FALSE)</f>
        <v>15884666220</v>
      </c>
      <c r="L1574" s="115" t="str">
        <f>VLOOKUP(B1574,辅助信息!E:J,6,FALSE)</f>
        <v>现场禁止使用氢能源挂车！优先威钢发货,我方卸车,新老国标钢厂不加价可直发，因陕钢多次出现磅差，项目拒绝使用</v>
      </c>
      <c r="M1574" s="84">
        <v>45797</v>
      </c>
      <c r="O1574" s="55">
        <f ca="1" t="shared" si="79"/>
        <v>0</v>
      </c>
      <c r="P1574" s="55">
        <f ca="1" t="shared" si="80"/>
        <v>160</v>
      </c>
      <c r="Q1574" s="22" t="str">
        <f>VLOOKUP(B1574,辅助信息!E:M,9,FALSE)</f>
        <v>ZTWM-CDGS-XS-2024-0030-华西集采-简州大道</v>
      </c>
      <c r="R1574" s="22" t="str">
        <f>_xlfn._xlws.FILTER(辅助信息!D:D,辅助信息!E:E=B1574)</f>
        <v>华西简阳西城嘉苑</v>
      </c>
    </row>
    <row r="1575" hidden="1" spans="2:18">
      <c r="B1575" s="33" t="s">
        <v>81</v>
      </c>
      <c r="C1575" s="63">
        <v>45793</v>
      </c>
      <c r="D1575" s="113" t="str">
        <f>VLOOKUP(B1575,辅助信息!E:K,7,FALSE)</f>
        <v>JWDDCD2025060900080</v>
      </c>
      <c r="E1575" s="113" t="str">
        <f>VLOOKUP(F1575,辅助信息!A:B,2,FALSE)</f>
        <v>螺纹钢</v>
      </c>
      <c r="F1575" s="33" t="s">
        <v>32</v>
      </c>
      <c r="G1575" s="29">
        <v>18</v>
      </c>
      <c r="H1575" s="114">
        <f>_xlfn.XLOOKUP(C1575&amp;F1575&amp;I1575&amp;J1575,'[1]2025年已发货'!$F:$F&amp;'[1]2025年已发货'!$C:$C&amp;'[1]2025年已发货'!$G:$G&amp;'[1]2025年已发货'!$H:$H,'[1]2025年已发货'!$E:$E,"未发货")</f>
        <v>15</v>
      </c>
      <c r="I1575" s="113" t="str">
        <f>VLOOKUP(B1575,辅助信息!E:I,3,FALSE)</f>
        <v>（华西简阳西城嘉苑）四川省成都市简阳市简城街道高屋村</v>
      </c>
      <c r="J1575" s="113" t="str">
        <f>VLOOKUP(B1575,辅助信息!E:I,4,FALSE)</f>
        <v>张瀚镭</v>
      </c>
      <c r="K1575" s="113">
        <f>VLOOKUP(J1575,辅助信息!H:I,2,FALSE)</f>
        <v>15884666220</v>
      </c>
      <c r="L1575" s="115" t="str">
        <f>VLOOKUP(B1575,辅助信息!E:J,6,FALSE)</f>
        <v>现场禁止使用氢能源挂车！优先威钢发货,我方卸车,新老国标钢厂不加价可直发，因陕钢多次出现磅差，项目拒绝使用</v>
      </c>
      <c r="M1575" s="84">
        <v>45797</v>
      </c>
      <c r="O1575" s="55">
        <f ca="1" t="shared" si="79"/>
        <v>0</v>
      </c>
      <c r="P1575" s="55">
        <f ca="1" t="shared" si="80"/>
        <v>160</v>
      </c>
      <c r="Q1575" s="22" t="str">
        <f>VLOOKUP(B1575,辅助信息!E:M,9,FALSE)</f>
        <v>ZTWM-CDGS-XS-2024-0030-华西集采-简州大道</v>
      </c>
      <c r="R1575" s="22" t="str">
        <f>_xlfn._xlws.FILTER(辅助信息!D:D,辅助信息!E:E=B1575)</f>
        <v>华西简阳西城嘉苑</v>
      </c>
    </row>
    <row r="1576" hidden="1" spans="2:18">
      <c r="B1576" s="33" t="s">
        <v>81</v>
      </c>
      <c r="C1576" s="63">
        <v>45793</v>
      </c>
      <c r="D1576" s="113" t="str">
        <f>VLOOKUP(B1576,辅助信息!E:K,7,FALSE)</f>
        <v>JWDDCD2025060900080</v>
      </c>
      <c r="E1576" s="113" t="str">
        <f>VLOOKUP(F1576,辅助信息!A:B,2,FALSE)</f>
        <v>螺纹钢</v>
      </c>
      <c r="F1576" s="33" t="s">
        <v>30</v>
      </c>
      <c r="G1576" s="29">
        <v>9</v>
      </c>
      <c r="H1576" s="114">
        <f>_xlfn.XLOOKUP(C1576&amp;F1576&amp;I1576&amp;J1576,'[1]2025年已发货'!$F:$F&amp;'[1]2025年已发货'!$C:$C&amp;'[1]2025年已发货'!$G:$G&amp;'[1]2025年已发货'!$H:$H,'[1]2025年已发货'!$E:$E,"未发货")</f>
        <v>9</v>
      </c>
      <c r="I1576" s="113" t="str">
        <f>VLOOKUP(B1576,辅助信息!E:I,3,FALSE)</f>
        <v>（华西简阳西城嘉苑）四川省成都市简阳市简城街道高屋村</v>
      </c>
      <c r="J1576" s="113" t="str">
        <f>VLOOKUP(B1576,辅助信息!E:I,4,FALSE)</f>
        <v>张瀚镭</v>
      </c>
      <c r="K1576" s="113">
        <f>VLOOKUP(J1576,辅助信息!H:I,2,FALSE)</f>
        <v>15884666220</v>
      </c>
      <c r="L1576" s="115" t="str">
        <f>VLOOKUP(B1576,辅助信息!E:J,6,FALSE)</f>
        <v>现场禁止使用氢能源挂车！优先威钢发货,我方卸车,新老国标钢厂不加价可直发，因陕钢多次出现磅差，项目拒绝使用</v>
      </c>
      <c r="M1576" s="84">
        <v>45797</v>
      </c>
      <c r="O1576" s="55">
        <f ca="1" t="shared" si="79"/>
        <v>0</v>
      </c>
      <c r="P1576" s="55">
        <f ca="1" t="shared" si="80"/>
        <v>160</v>
      </c>
      <c r="Q1576" s="22" t="str">
        <f>VLOOKUP(B1576,辅助信息!E:M,9,FALSE)</f>
        <v>ZTWM-CDGS-XS-2024-0030-华西集采-简州大道</v>
      </c>
      <c r="R1576" s="22" t="str">
        <f>_xlfn._xlws.FILTER(辅助信息!D:D,辅助信息!E:E=B1576)</f>
        <v>华西简阳西城嘉苑</v>
      </c>
    </row>
    <row r="1577" hidden="1" spans="2:18">
      <c r="B1577" s="33" t="s">
        <v>81</v>
      </c>
      <c r="C1577" s="63">
        <v>45793</v>
      </c>
      <c r="D1577" s="113" t="str">
        <f>VLOOKUP(B1577,辅助信息!E:K,7,FALSE)</f>
        <v>JWDDCD2025060900080</v>
      </c>
      <c r="E1577" s="113" t="str">
        <f>VLOOKUP(F1577,辅助信息!A:B,2,FALSE)</f>
        <v>螺纹钢</v>
      </c>
      <c r="F1577" s="33" t="s">
        <v>33</v>
      </c>
      <c r="G1577" s="29">
        <v>7</v>
      </c>
      <c r="H1577" s="114">
        <f>_xlfn.XLOOKUP(C1577&amp;F1577&amp;I1577&amp;J1577,'[1]2025年已发货'!$F:$F&amp;'[1]2025年已发货'!$C:$C&amp;'[1]2025年已发货'!$G:$G&amp;'[1]2025年已发货'!$H:$H,'[1]2025年已发货'!$E:$E,"未发货")</f>
        <v>6</v>
      </c>
      <c r="I1577" s="113" t="str">
        <f>VLOOKUP(B1577,辅助信息!E:I,3,FALSE)</f>
        <v>（华西简阳西城嘉苑）四川省成都市简阳市简城街道高屋村</v>
      </c>
      <c r="J1577" s="113" t="str">
        <f>VLOOKUP(B1577,辅助信息!E:I,4,FALSE)</f>
        <v>张瀚镭</v>
      </c>
      <c r="K1577" s="113">
        <f>VLOOKUP(J1577,辅助信息!H:I,2,FALSE)</f>
        <v>15884666220</v>
      </c>
      <c r="L1577" s="115" t="str">
        <f>VLOOKUP(B1577,辅助信息!E:J,6,FALSE)</f>
        <v>现场禁止使用氢能源挂车！优先威钢发货,我方卸车,新老国标钢厂不加价可直发，因陕钢多次出现磅差，项目拒绝使用</v>
      </c>
      <c r="M1577" s="84">
        <v>45797</v>
      </c>
      <c r="O1577" s="55">
        <f ca="1" t="shared" si="79"/>
        <v>0</v>
      </c>
      <c r="P1577" s="55">
        <f ca="1" t="shared" si="80"/>
        <v>160</v>
      </c>
      <c r="Q1577" s="22" t="str">
        <f>VLOOKUP(B1577,辅助信息!E:M,9,FALSE)</f>
        <v>ZTWM-CDGS-XS-2024-0030-华西集采-简州大道</v>
      </c>
      <c r="R1577" s="22" t="str">
        <f>_xlfn._xlws.FILTER(辅助信息!D:D,辅助信息!E:E=B1577)</f>
        <v>华西简阳西城嘉苑</v>
      </c>
    </row>
    <row r="1578" hidden="1" spans="2:18">
      <c r="B1578" s="33" t="s">
        <v>81</v>
      </c>
      <c r="C1578" s="63">
        <v>45793</v>
      </c>
      <c r="D1578" s="113" t="str">
        <f>VLOOKUP(B1578,辅助信息!E:K,7,FALSE)</f>
        <v>JWDDCD2025060900080</v>
      </c>
      <c r="E1578" s="113" t="str">
        <f>VLOOKUP(F1578,辅助信息!A:B,2,FALSE)</f>
        <v>螺纹钢</v>
      </c>
      <c r="F1578" s="33" t="s">
        <v>28</v>
      </c>
      <c r="G1578" s="29">
        <v>2.5</v>
      </c>
      <c r="H1578" s="114">
        <f>_xlfn.XLOOKUP(C1578&amp;F1578&amp;I1578&amp;J1578,'[1]2025年已发货'!$F:$F&amp;'[1]2025年已发货'!$C:$C&amp;'[1]2025年已发货'!$G:$G&amp;'[1]2025年已发货'!$H:$H,'[1]2025年已发货'!$E:$E,"未发货")</f>
        <v>3</v>
      </c>
      <c r="I1578" s="113" t="str">
        <f>VLOOKUP(B1578,辅助信息!E:I,3,FALSE)</f>
        <v>（华西简阳西城嘉苑）四川省成都市简阳市简城街道高屋村</v>
      </c>
      <c r="J1578" s="113" t="str">
        <f>VLOOKUP(B1578,辅助信息!E:I,4,FALSE)</f>
        <v>张瀚镭</v>
      </c>
      <c r="K1578" s="113">
        <f>VLOOKUP(J1578,辅助信息!H:I,2,FALSE)</f>
        <v>15884666220</v>
      </c>
      <c r="L1578" s="115" t="str">
        <f>VLOOKUP(B1578,辅助信息!E:J,6,FALSE)</f>
        <v>现场禁止使用氢能源挂车！优先威钢发货,我方卸车,新老国标钢厂不加价可直发，因陕钢多次出现磅差，项目拒绝使用</v>
      </c>
      <c r="M1578" s="84">
        <v>45797</v>
      </c>
      <c r="O1578" s="55">
        <f ca="1" t="shared" si="79"/>
        <v>0</v>
      </c>
      <c r="P1578" s="55">
        <f ca="1" t="shared" si="80"/>
        <v>160</v>
      </c>
      <c r="Q1578" s="22" t="str">
        <f>VLOOKUP(B1578,辅助信息!E:M,9,FALSE)</f>
        <v>ZTWM-CDGS-XS-2024-0030-华西集采-简州大道</v>
      </c>
      <c r="R1578" s="22" t="str">
        <f>_xlfn._xlws.FILTER(辅助信息!D:D,辅助信息!E:E=B1578)</f>
        <v>华西简阳西城嘉苑</v>
      </c>
    </row>
    <row r="1579" hidden="1" spans="2:18">
      <c r="B1579" s="33" t="s">
        <v>81</v>
      </c>
      <c r="C1579" s="63">
        <v>45793</v>
      </c>
      <c r="D1579" s="113" t="str">
        <f>VLOOKUP(B1579,辅助信息!E:K,7,FALSE)</f>
        <v>JWDDCD2025060900080</v>
      </c>
      <c r="E1579" s="113" t="str">
        <f>VLOOKUP(F1579,辅助信息!A:B,2,FALSE)</f>
        <v>螺纹钢</v>
      </c>
      <c r="F1579" s="33" t="s">
        <v>18</v>
      </c>
      <c r="G1579" s="29">
        <v>2.5</v>
      </c>
      <c r="H1579" s="114">
        <f>_xlfn.XLOOKUP(C1579&amp;F1579&amp;I1579&amp;J1579,'[1]2025年已发货'!$F:$F&amp;'[1]2025年已发货'!$C:$C&amp;'[1]2025年已发货'!$G:$G&amp;'[1]2025年已发货'!$H:$H,'[1]2025年已发货'!$E:$E,"未发货")</f>
        <v>3</v>
      </c>
      <c r="I1579" s="113" t="str">
        <f>VLOOKUP(B1579,辅助信息!E:I,3,FALSE)</f>
        <v>（华西简阳西城嘉苑）四川省成都市简阳市简城街道高屋村</v>
      </c>
      <c r="J1579" s="113" t="str">
        <f>VLOOKUP(B1579,辅助信息!E:I,4,FALSE)</f>
        <v>张瀚镭</v>
      </c>
      <c r="K1579" s="113">
        <f>VLOOKUP(J1579,辅助信息!H:I,2,FALSE)</f>
        <v>15884666220</v>
      </c>
      <c r="L1579" s="115" t="str">
        <f>VLOOKUP(B1579,辅助信息!E:J,6,FALSE)</f>
        <v>现场禁止使用氢能源挂车！优先威钢发货,我方卸车,新老国标钢厂不加价可直发，因陕钢多次出现磅差，项目拒绝使用</v>
      </c>
      <c r="M1579" s="84">
        <v>45797</v>
      </c>
      <c r="O1579" s="55">
        <f ca="1" t="shared" si="79"/>
        <v>0</v>
      </c>
      <c r="P1579" s="55">
        <f ca="1" t="shared" si="80"/>
        <v>160</v>
      </c>
      <c r="Q1579" s="22" t="str">
        <f>VLOOKUP(B1579,辅助信息!E:M,9,FALSE)</f>
        <v>ZTWM-CDGS-XS-2024-0030-华西集采-简州大道</v>
      </c>
      <c r="R1579" s="22" t="str">
        <f>_xlfn._xlws.FILTER(辅助信息!D:D,辅助信息!E:E=B1579)</f>
        <v>华西简阳西城嘉苑</v>
      </c>
    </row>
    <row r="1580" hidden="1" spans="2:18">
      <c r="B1580" s="33" t="s">
        <v>81</v>
      </c>
      <c r="C1580" s="63">
        <v>45793</v>
      </c>
      <c r="D1580" s="113" t="str">
        <f>VLOOKUP(B1580,辅助信息!E:K,7,FALSE)</f>
        <v>JWDDCD2025060900080</v>
      </c>
      <c r="E1580" s="113" t="str">
        <f>VLOOKUP(F1580,辅助信息!A:B,2,FALSE)</f>
        <v>螺纹钢</v>
      </c>
      <c r="F1580" s="33" t="s">
        <v>66</v>
      </c>
      <c r="G1580" s="29">
        <v>2.5</v>
      </c>
      <c r="H1580" s="114">
        <f>_xlfn.XLOOKUP(C1580&amp;F1580&amp;I1580&amp;J1580,'[1]2025年已发货'!$F:$F&amp;'[1]2025年已发货'!$C:$C&amp;'[1]2025年已发货'!$G:$G&amp;'[1]2025年已发货'!$H:$H,'[1]2025年已发货'!$E:$E,"未发货")</f>
        <v>3</v>
      </c>
      <c r="I1580" s="113" t="str">
        <f>VLOOKUP(B1580,辅助信息!E:I,3,FALSE)</f>
        <v>（华西简阳西城嘉苑）四川省成都市简阳市简城街道高屋村</v>
      </c>
      <c r="J1580" s="113" t="str">
        <f>VLOOKUP(B1580,辅助信息!E:I,4,FALSE)</f>
        <v>张瀚镭</v>
      </c>
      <c r="K1580" s="113">
        <f>VLOOKUP(J1580,辅助信息!H:I,2,FALSE)</f>
        <v>15884666220</v>
      </c>
      <c r="L1580" s="115" t="str">
        <f>VLOOKUP(B1580,辅助信息!E:J,6,FALSE)</f>
        <v>现场禁止使用氢能源挂车！优先威钢发货,我方卸车,新老国标钢厂不加价可直发，因陕钢多次出现磅差，项目拒绝使用</v>
      </c>
      <c r="M1580" s="84">
        <v>45797</v>
      </c>
      <c r="O1580" s="55">
        <f ca="1" t="shared" si="79"/>
        <v>0</v>
      </c>
      <c r="P1580" s="55">
        <f ca="1" t="shared" si="80"/>
        <v>160</v>
      </c>
      <c r="Q1580" s="22" t="str">
        <f>VLOOKUP(B1580,辅助信息!E:M,9,FALSE)</f>
        <v>ZTWM-CDGS-XS-2024-0030-华西集采-简州大道</v>
      </c>
      <c r="R1580" s="22" t="str">
        <f>_xlfn._xlws.FILTER(辅助信息!D:D,辅助信息!E:E=B1580)</f>
        <v>华西简阳西城嘉苑</v>
      </c>
    </row>
    <row r="1581" hidden="1" spans="2:18">
      <c r="B1581" s="33" t="s">
        <v>81</v>
      </c>
      <c r="C1581" s="63">
        <v>45793</v>
      </c>
      <c r="D1581" s="113" t="str">
        <f>VLOOKUP(B1581,辅助信息!E:K,7,FALSE)</f>
        <v>JWDDCD2025060900080</v>
      </c>
      <c r="E1581" s="113" t="str">
        <f>VLOOKUP(F1581,辅助信息!A:B,2,FALSE)</f>
        <v>螺纹钢</v>
      </c>
      <c r="F1581" s="33" t="s">
        <v>82</v>
      </c>
      <c r="G1581" s="29">
        <v>2.5</v>
      </c>
      <c r="H1581" s="114">
        <f>_xlfn.XLOOKUP(C1581&amp;F1581&amp;I1581&amp;J1581,'[1]2025年已发货'!$F:$F&amp;'[1]2025年已发货'!$C:$C&amp;'[1]2025年已发货'!$G:$G&amp;'[1]2025年已发货'!$H:$H,'[1]2025年已发货'!$E:$E,"未发货")</f>
        <v>3</v>
      </c>
      <c r="I1581" s="113" t="str">
        <f>VLOOKUP(B1581,辅助信息!E:I,3,FALSE)</f>
        <v>（华西简阳西城嘉苑）四川省成都市简阳市简城街道高屋村</v>
      </c>
      <c r="J1581" s="113" t="str">
        <f>VLOOKUP(B1581,辅助信息!E:I,4,FALSE)</f>
        <v>张瀚镭</v>
      </c>
      <c r="K1581" s="113">
        <f>VLOOKUP(J1581,辅助信息!H:I,2,FALSE)</f>
        <v>15884666220</v>
      </c>
      <c r="L1581" s="115" t="str">
        <f>VLOOKUP(B1581,辅助信息!E:J,6,FALSE)</f>
        <v>现场禁止使用氢能源挂车！优先威钢发货,我方卸车,新老国标钢厂不加价可直发，因陕钢多次出现磅差，项目拒绝使用</v>
      </c>
      <c r="M1581" s="84">
        <v>45797</v>
      </c>
      <c r="O1581" s="55">
        <f ca="1" t="shared" si="79"/>
        <v>0</v>
      </c>
      <c r="P1581" s="55">
        <f ca="1" t="shared" si="80"/>
        <v>160</v>
      </c>
      <c r="Q1581" s="22" t="str">
        <f>VLOOKUP(B1581,辅助信息!E:M,9,FALSE)</f>
        <v>ZTWM-CDGS-XS-2024-0030-华西集采-简州大道</v>
      </c>
      <c r="R1581" s="22" t="str">
        <f>_xlfn._xlws.FILTER(辅助信息!D:D,辅助信息!E:E=B1581)</f>
        <v>华西简阳西城嘉苑</v>
      </c>
    </row>
    <row r="1582" hidden="1" spans="2:18">
      <c r="B1582" s="33" t="s">
        <v>81</v>
      </c>
      <c r="C1582" s="63">
        <v>45793</v>
      </c>
      <c r="D1582" s="113" t="str">
        <f>VLOOKUP(B1582,辅助信息!E:K,7,FALSE)</f>
        <v>JWDDCD2025060900080</v>
      </c>
      <c r="E1582" s="113" t="str">
        <f>VLOOKUP(F1582,辅助信息!A:B,2,FALSE)</f>
        <v>螺纹钢</v>
      </c>
      <c r="F1582" s="33" t="s">
        <v>45</v>
      </c>
      <c r="G1582" s="29">
        <v>2.5</v>
      </c>
      <c r="H1582" s="114">
        <f>_xlfn.XLOOKUP(C1582&amp;F1582&amp;I1582&amp;J1582,'[1]2025年已发货'!$F:$F&amp;'[1]2025年已发货'!$C:$C&amp;'[1]2025年已发货'!$G:$G&amp;'[1]2025年已发货'!$H:$H,'[1]2025年已发货'!$E:$E,"未发货")</f>
        <v>3</v>
      </c>
      <c r="I1582" s="113" t="str">
        <f>VLOOKUP(B1582,辅助信息!E:I,3,FALSE)</f>
        <v>（华西简阳西城嘉苑）四川省成都市简阳市简城街道高屋村</v>
      </c>
      <c r="J1582" s="113" t="str">
        <f>VLOOKUP(B1582,辅助信息!E:I,4,FALSE)</f>
        <v>张瀚镭</v>
      </c>
      <c r="K1582" s="113">
        <f>VLOOKUP(J1582,辅助信息!H:I,2,FALSE)</f>
        <v>15884666220</v>
      </c>
      <c r="L1582" s="115" t="str">
        <f>VLOOKUP(B1582,辅助信息!E:J,6,FALSE)</f>
        <v>现场禁止使用氢能源挂车！优先威钢发货,我方卸车,新老国标钢厂不加价可直发，因陕钢多次出现磅差，项目拒绝使用</v>
      </c>
      <c r="M1582" s="84">
        <v>45797</v>
      </c>
      <c r="O1582" s="55">
        <f ca="1" t="shared" si="79"/>
        <v>0</v>
      </c>
      <c r="P1582" s="55">
        <f ca="1" t="shared" si="80"/>
        <v>160</v>
      </c>
      <c r="Q1582" s="22" t="str">
        <f>VLOOKUP(B1582,辅助信息!E:M,9,FALSE)</f>
        <v>ZTWM-CDGS-XS-2024-0030-华西集采-简州大道</v>
      </c>
      <c r="R1582" s="22" t="str">
        <f>_xlfn._xlws.FILTER(辅助信息!D:D,辅助信息!E:E=B1582)</f>
        <v>华西简阳西城嘉苑</v>
      </c>
    </row>
    <row r="1583" hidden="1" spans="2:18">
      <c r="B1583" s="33" t="s">
        <v>81</v>
      </c>
      <c r="C1583" s="63">
        <v>45793</v>
      </c>
      <c r="D1583" s="113" t="str">
        <f>VLOOKUP(B1583,辅助信息!E:K,7,FALSE)</f>
        <v>JWDDCD2025060900080</v>
      </c>
      <c r="E1583" s="113" t="str">
        <f>VLOOKUP(F1583,辅助信息!A:B,2,FALSE)</f>
        <v>螺纹钢</v>
      </c>
      <c r="F1583" s="33" t="s">
        <v>21</v>
      </c>
      <c r="G1583" s="29">
        <v>2.5</v>
      </c>
      <c r="H1583" s="114">
        <f>_xlfn.XLOOKUP(C1583&amp;F1583&amp;I1583&amp;J1583,'[1]2025年已发货'!$F:$F&amp;'[1]2025年已发货'!$C:$C&amp;'[1]2025年已发货'!$G:$G&amp;'[1]2025年已发货'!$H:$H,'[1]2025年已发货'!$E:$E,"未发货")</f>
        <v>3</v>
      </c>
      <c r="I1583" s="113" t="str">
        <f>VLOOKUP(B1583,辅助信息!E:I,3,FALSE)</f>
        <v>（华西简阳西城嘉苑）四川省成都市简阳市简城街道高屋村</v>
      </c>
      <c r="J1583" s="113" t="str">
        <f>VLOOKUP(B1583,辅助信息!E:I,4,FALSE)</f>
        <v>张瀚镭</v>
      </c>
      <c r="K1583" s="113">
        <f>VLOOKUP(J1583,辅助信息!H:I,2,FALSE)</f>
        <v>15884666220</v>
      </c>
      <c r="L1583" s="115" t="str">
        <f>VLOOKUP(B1583,辅助信息!E:J,6,FALSE)</f>
        <v>现场禁止使用氢能源挂车！优先威钢发货,我方卸车,新老国标钢厂不加价可直发，因陕钢多次出现磅差，项目拒绝使用</v>
      </c>
      <c r="M1583" s="84">
        <v>45797</v>
      </c>
      <c r="O1583" s="55">
        <f ca="1" t="shared" si="79"/>
        <v>0</v>
      </c>
      <c r="P1583" s="55">
        <f ca="1" t="shared" si="80"/>
        <v>160</v>
      </c>
      <c r="Q1583" s="22" t="str">
        <f>VLOOKUP(B1583,辅助信息!E:M,9,FALSE)</f>
        <v>ZTWM-CDGS-XS-2024-0030-华西集采-简州大道</v>
      </c>
      <c r="R1583" s="22" t="str">
        <f>_xlfn._xlws.FILTER(辅助信息!D:D,辅助信息!E:E=B1583)</f>
        <v>华西简阳西城嘉苑</v>
      </c>
    </row>
    <row r="1584" hidden="1" spans="2:18">
      <c r="B1584" s="33" t="s">
        <v>81</v>
      </c>
      <c r="C1584" s="63">
        <v>45793</v>
      </c>
      <c r="D1584" s="113" t="str">
        <f>VLOOKUP(B1584,辅助信息!E:K,7,FALSE)</f>
        <v>JWDDCD2025060900080</v>
      </c>
      <c r="E1584" s="113" t="str">
        <f>VLOOKUP(F1584,辅助信息!A:B,2,FALSE)</f>
        <v>螺纹钢</v>
      </c>
      <c r="F1584" s="33" t="s">
        <v>58</v>
      </c>
      <c r="G1584" s="29">
        <v>5</v>
      </c>
      <c r="H1584" s="114">
        <f>_xlfn.XLOOKUP(C1584&amp;F1584&amp;I1584&amp;J1584,'[1]2025年已发货'!$F:$F&amp;'[1]2025年已发货'!$C:$C&amp;'[1]2025年已发货'!$G:$G&amp;'[1]2025年已发货'!$H:$H,'[1]2025年已发货'!$E:$E,"未发货")</f>
        <v>6</v>
      </c>
      <c r="I1584" s="113" t="str">
        <f>VLOOKUP(B1584,辅助信息!E:I,3,FALSE)</f>
        <v>（华西简阳西城嘉苑）四川省成都市简阳市简城街道高屋村</v>
      </c>
      <c r="J1584" s="113" t="str">
        <f>VLOOKUP(B1584,辅助信息!E:I,4,FALSE)</f>
        <v>张瀚镭</v>
      </c>
      <c r="K1584" s="113">
        <f>VLOOKUP(J1584,辅助信息!H:I,2,FALSE)</f>
        <v>15884666220</v>
      </c>
      <c r="L1584" s="115" t="str">
        <f>VLOOKUP(B1584,辅助信息!E:J,6,FALSE)</f>
        <v>现场禁止使用氢能源挂车！优先威钢发货,我方卸车,新老国标钢厂不加价可直发，因陕钢多次出现磅差，项目拒绝使用</v>
      </c>
      <c r="M1584" s="84">
        <v>45797</v>
      </c>
      <c r="O1584" s="55">
        <f ca="1" t="shared" si="79"/>
        <v>0</v>
      </c>
      <c r="P1584" s="55">
        <f ca="1" t="shared" si="80"/>
        <v>160</v>
      </c>
      <c r="Q1584" s="22" t="str">
        <f>VLOOKUP(B1584,辅助信息!E:M,9,FALSE)</f>
        <v>ZTWM-CDGS-XS-2024-0030-华西集采-简州大道</v>
      </c>
      <c r="R1584" s="22" t="str">
        <f>_xlfn._xlws.FILTER(辅助信息!D:D,辅助信息!E:E=B1584)</f>
        <v>华西简阳西城嘉苑</v>
      </c>
    </row>
    <row r="1585" hidden="1" spans="2:18">
      <c r="B1585" s="33" t="s">
        <v>81</v>
      </c>
      <c r="C1585" s="63">
        <v>45793</v>
      </c>
      <c r="D1585" s="113" t="str">
        <f>VLOOKUP(B1585,辅助信息!E:K,7,FALSE)</f>
        <v>JWDDCD2025060900080</v>
      </c>
      <c r="E1585" s="113" t="str">
        <f>VLOOKUP(F1585,辅助信息!A:B,2,FALSE)</f>
        <v>螺纹钢</v>
      </c>
      <c r="F1585" s="33" t="s">
        <v>46</v>
      </c>
      <c r="G1585" s="29">
        <v>2.5</v>
      </c>
      <c r="H1585" s="114">
        <f>_xlfn.XLOOKUP(C1585&amp;F1585&amp;I1585&amp;J1585,'[1]2025年已发货'!$F:$F&amp;'[1]2025年已发货'!$C:$C&amp;'[1]2025年已发货'!$G:$G&amp;'[1]2025年已发货'!$H:$H,'[1]2025年已发货'!$E:$E,"未发货")</f>
        <v>3</v>
      </c>
      <c r="I1585" s="113" t="str">
        <f>VLOOKUP(B1585,辅助信息!E:I,3,FALSE)</f>
        <v>（华西简阳西城嘉苑）四川省成都市简阳市简城街道高屋村</v>
      </c>
      <c r="J1585" s="113" t="str">
        <f>VLOOKUP(B1585,辅助信息!E:I,4,FALSE)</f>
        <v>张瀚镭</v>
      </c>
      <c r="K1585" s="113">
        <f>VLOOKUP(J1585,辅助信息!H:I,2,FALSE)</f>
        <v>15884666220</v>
      </c>
      <c r="L1585" s="115" t="str">
        <f>VLOOKUP(B1585,辅助信息!E:J,6,FALSE)</f>
        <v>现场禁止使用氢能源挂车！优先威钢发货,我方卸车,新老国标钢厂不加价可直发，因陕钢多次出现磅差，项目拒绝使用</v>
      </c>
      <c r="M1585" s="84">
        <v>45797</v>
      </c>
      <c r="O1585" s="55">
        <f ca="1" t="shared" si="79"/>
        <v>0</v>
      </c>
      <c r="P1585" s="55">
        <f ca="1" t="shared" si="80"/>
        <v>160</v>
      </c>
      <c r="Q1585" s="22" t="str">
        <f>VLOOKUP(B1585,辅助信息!E:M,9,FALSE)</f>
        <v>ZTWM-CDGS-XS-2024-0030-华西集采-简州大道</v>
      </c>
      <c r="R1585" s="22" t="str">
        <f>_xlfn._xlws.FILTER(辅助信息!D:D,辅助信息!E:E=B1585)</f>
        <v>华西简阳西城嘉苑</v>
      </c>
    </row>
    <row r="1586" hidden="1" spans="2:18">
      <c r="B1586" s="33" t="s">
        <v>81</v>
      </c>
      <c r="C1586" s="63">
        <v>45793</v>
      </c>
      <c r="D1586" s="113" t="str">
        <f>VLOOKUP(B1586,辅助信息!E:K,7,FALSE)</f>
        <v>JWDDCD2025060900080</v>
      </c>
      <c r="E1586" s="113" t="str">
        <f>VLOOKUP(F1586,辅助信息!A:B,2,FALSE)</f>
        <v>螺纹钢</v>
      </c>
      <c r="F1586" s="33" t="s">
        <v>22</v>
      </c>
      <c r="G1586" s="29">
        <v>7</v>
      </c>
      <c r="H1586" s="114">
        <f>_xlfn.XLOOKUP(C1586&amp;F1586&amp;I1586&amp;J1586,'[1]2025年已发货'!$F:$F&amp;'[1]2025年已发货'!$C:$C&amp;'[1]2025年已发货'!$G:$G&amp;'[1]2025年已发货'!$H:$H,'[1]2025年已发货'!$E:$E,"未发货")</f>
        <v>9</v>
      </c>
      <c r="I1586" s="113" t="str">
        <f>VLOOKUP(B1586,辅助信息!E:I,3,FALSE)</f>
        <v>（华西简阳西城嘉苑）四川省成都市简阳市简城街道高屋村</v>
      </c>
      <c r="J1586" s="113" t="str">
        <f>VLOOKUP(B1586,辅助信息!E:I,4,FALSE)</f>
        <v>张瀚镭</v>
      </c>
      <c r="K1586" s="113">
        <f>VLOOKUP(J1586,辅助信息!H:I,2,FALSE)</f>
        <v>15884666220</v>
      </c>
      <c r="L1586" s="115" t="str">
        <f>VLOOKUP(B1586,辅助信息!E:J,6,FALSE)</f>
        <v>现场禁止使用氢能源挂车！优先威钢发货,我方卸车,新老国标钢厂不加价可直发，因陕钢多次出现磅差，项目拒绝使用</v>
      </c>
      <c r="M1586" s="84">
        <v>45797</v>
      </c>
      <c r="O1586" s="55">
        <f ca="1" t="shared" si="79"/>
        <v>0</v>
      </c>
      <c r="P1586" s="55">
        <f ca="1" t="shared" si="80"/>
        <v>160</v>
      </c>
      <c r="Q1586" s="22" t="str">
        <f>VLOOKUP(B1586,辅助信息!E:M,9,FALSE)</f>
        <v>ZTWM-CDGS-XS-2024-0030-华西集采-简州大道</v>
      </c>
      <c r="R1586" s="22" t="str">
        <f>_xlfn._xlws.FILTER(辅助信息!D:D,辅助信息!E:E=B1586)</f>
        <v>华西简阳西城嘉苑</v>
      </c>
    </row>
    <row r="1587" hidden="1" spans="2:18">
      <c r="B1587" s="33" t="s">
        <v>152</v>
      </c>
      <c r="C1587" s="63">
        <v>45793</v>
      </c>
      <c r="D1587" s="113" t="e">
        <f>VLOOKUP(B1587,辅助信息!E:K,7,FALSE)</f>
        <v>#N/A</v>
      </c>
      <c r="E1587" s="113" t="str">
        <f>VLOOKUP(F1587,辅助信息!A:B,2,FALSE)</f>
        <v>高线</v>
      </c>
      <c r="F1587" s="33" t="s">
        <v>51</v>
      </c>
      <c r="G1587" s="29">
        <v>35</v>
      </c>
      <c r="H1587" s="114" t="e">
        <f>_xlfn.XLOOKUP(C1587&amp;F1587&amp;I1587&amp;J1587,'[1]2025年已发货'!$F:$F&amp;'[1]2025年已发货'!$C:$C&amp;'[1]2025年已发货'!$G:$G&amp;'[1]2025年已发货'!$H:$H,'[1]2025年已发货'!$E:$E,"未发货")</f>
        <v>#N/A</v>
      </c>
      <c r="I1587" s="113" t="e">
        <f>VLOOKUP(B1587,辅助信息!E:I,3,FALSE)</f>
        <v>#N/A</v>
      </c>
      <c r="J1587" s="113" t="e">
        <f>VLOOKUP(B1587,辅助信息!E:I,4,FALSE)</f>
        <v>#N/A</v>
      </c>
      <c r="K1587" s="113" t="e">
        <f>VLOOKUP(J1587,辅助信息!H:I,2,FALSE)</f>
        <v>#N/A</v>
      </c>
      <c r="L1587" s="115" t="e">
        <f>VLOOKUP(B1587,辅助信息!E:J,6,FALSE)</f>
        <v>#N/A</v>
      </c>
      <c r="M1587" s="84">
        <v>45797</v>
      </c>
      <c r="O1587" s="55">
        <f ca="1" t="shared" si="79"/>
        <v>0</v>
      </c>
      <c r="P1587" s="55">
        <f ca="1" t="shared" si="80"/>
        <v>160</v>
      </c>
      <c r="Q1587" s="22" t="e">
        <f>VLOOKUP(B1587,辅助信息!E:M,9,FALSE)</f>
        <v>#N/A</v>
      </c>
      <c r="R1587" s="22" vm="1" t="e">
        <f>_xlfn._xlws.FILTER(辅助信息!D:D,辅助信息!E:E=B1587)</f>
        <v>#VALUE!</v>
      </c>
    </row>
    <row r="1588" hidden="1" spans="2:18">
      <c r="B1588" s="33" t="s">
        <v>152</v>
      </c>
      <c r="C1588" s="63">
        <v>45793</v>
      </c>
      <c r="D1588" s="113" t="e">
        <f>VLOOKUP(B1588,辅助信息!E:K,7,FALSE)</f>
        <v>#N/A</v>
      </c>
      <c r="E1588" s="113" t="str">
        <f>VLOOKUP(F1588,辅助信息!A:B,2,FALSE)</f>
        <v>螺纹钢</v>
      </c>
      <c r="F1588" s="33" t="s">
        <v>28</v>
      </c>
      <c r="G1588" s="29">
        <v>105</v>
      </c>
      <c r="H1588" s="114" t="e">
        <f>_xlfn.XLOOKUP(C1588&amp;F1588&amp;I1588&amp;J1588,'[1]2025年已发货'!$F:$F&amp;'[1]2025年已发货'!$C:$C&amp;'[1]2025年已发货'!$G:$G&amp;'[1]2025年已发货'!$H:$H,'[1]2025年已发货'!$E:$E,"未发货")</f>
        <v>#N/A</v>
      </c>
      <c r="I1588" s="113" t="e">
        <f>VLOOKUP(B1588,辅助信息!E:I,3,FALSE)</f>
        <v>#N/A</v>
      </c>
      <c r="J1588" s="113" t="e">
        <f>VLOOKUP(B1588,辅助信息!E:I,4,FALSE)</f>
        <v>#N/A</v>
      </c>
      <c r="K1588" s="113" t="e">
        <f>VLOOKUP(J1588,辅助信息!H:I,2,FALSE)</f>
        <v>#N/A</v>
      </c>
      <c r="L1588" s="115" t="e">
        <f>VLOOKUP(B1588,辅助信息!E:J,6,FALSE)</f>
        <v>#N/A</v>
      </c>
      <c r="M1588" s="84">
        <v>45797</v>
      </c>
      <c r="O1588" s="55">
        <f ca="1" t="shared" si="79"/>
        <v>0</v>
      </c>
      <c r="P1588" s="55">
        <f ca="1" t="shared" si="80"/>
        <v>160</v>
      </c>
      <c r="Q1588" s="22" t="e">
        <f>VLOOKUP(B1588,辅助信息!E:M,9,FALSE)</f>
        <v>#N/A</v>
      </c>
      <c r="R1588" s="22" vm="1" t="e">
        <f>_xlfn._xlws.FILTER(辅助信息!D:D,辅助信息!E:E=B1588)</f>
        <v>#VALUE!</v>
      </c>
    </row>
    <row r="1589" hidden="1" spans="2:18">
      <c r="B1589" s="33" t="s">
        <v>81</v>
      </c>
      <c r="C1589" s="63">
        <v>45796</v>
      </c>
      <c r="D1589" s="113" t="str">
        <f>VLOOKUP(B1589,辅助信息!E:K,7,FALSE)</f>
        <v>JWDDCD2025060900080</v>
      </c>
      <c r="E1589" s="113" t="str">
        <f>VLOOKUP(F1589,辅助信息!A:B,2,FALSE)</f>
        <v>盘螺</v>
      </c>
      <c r="F1589" s="33" t="s">
        <v>49</v>
      </c>
      <c r="G1589" s="29">
        <v>7.5</v>
      </c>
      <c r="H1589" s="114" t="str">
        <f>_xlfn.XLOOKUP(C1589&amp;F1589&amp;I1589&amp;J1589,'[1]2025年已发货'!$F:$F&amp;'[1]2025年已发货'!$C:$C&amp;'[1]2025年已发货'!$G:$G&amp;'[1]2025年已发货'!$H:$H,'[1]2025年已发货'!$E:$E,"未发货")</f>
        <v>未发货</v>
      </c>
      <c r="I1589" s="113" t="str">
        <f>VLOOKUP(B1589,辅助信息!E:I,3,FALSE)</f>
        <v>（华西简阳西城嘉苑）四川省成都市简阳市简城街道高屋村</v>
      </c>
      <c r="J1589" s="113" t="str">
        <f>VLOOKUP(B1589,辅助信息!E:I,4,FALSE)</f>
        <v>张瀚镭</v>
      </c>
      <c r="K1589" s="113">
        <f>VLOOKUP(J1589,辅助信息!H:I,2,FALSE)</f>
        <v>15884666220</v>
      </c>
      <c r="L1589" s="115" t="str">
        <f>VLOOKUP(B1589,辅助信息!E:J,6,FALSE)</f>
        <v>现场禁止使用氢能源挂车！优先威钢发货,我方卸车,新老国标钢厂不加价可直发，因陕钢多次出现磅差，项目拒绝使用</v>
      </c>
      <c r="M1589" s="84">
        <v>45800</v>
      </c>
      <c r="O1589" s="55">
        <f ca="1" t="shared" si="79"/>
        <v>0</v>
      </c>
      <c r="P1589" s="55">
        <f ca="1" t="shared" si="80"/>
        <v>157</v>
      </c>
      <c r="Q1589" s="22" t="str">
        <f>VLOOKUP(B1589,辅助信息!E:M,9,FALSE)</f>
        <v>ZTWM-CDGS-XS-2024-0030-华西集采-简州大道</v>
      </c>
      <c r="R1589" s="22" t="str">
        <f>_xlfn._xlws.FILTER(辅助信息!D:D,辅助信息!E:E=B1589)</f>
        <v>华西简阳西城嘉苑</v>
      </c>
    </row>
    <row r="1590" hidden="1" spans="2:18">
      <c r="B1590" s="33" t="s">
        <v>81</v>
      </c>
      <c r="C1590" s="63">
        <v>45796</v>
      </c>
      <c r="D1590" s="113" t="str">
        <f>VLOOKUP(B1590,辅助信息!E:K,7,FALSE)</f>
        <v>JWDDCD2025060900080</v>
      </c>
      <c r="E1590" s="113" t="str">
        <f>VLOOKUP(F1590,辅助信息!A:B,2,FALSE)</f>
        <v>盘螺</v>
      </c>
      <c r="F1590" s="33" t="s">
        <v>40</v>
      </c>
      <c r="G1590" s="29">
        <v>27.5</v>
      </c>
      <c r="H1590" s="114">
        <f>_xlfn.XLOOKUP(C1590&amp;F1590&amp;I1590&amp;J1590,'[1]2025年已发货'!$F:$F&amp;'[1]2025年已发货'!$C:$C&amp;'[1]2025年已发货'!$G:$G&amp;'[1]2025年已发货'!$H:$H,'[1]2025年已发货'!$E:$E,"未发货")</f>
        <v>30</v>
      </c>
      <c r="I1590" s="113" t="str">
        <f>VLOOKUP(B1590,辅助信息!E:I,3,FALSE)</f>
        <v>（华西简阳西城嘉苑）四川省成都市简阳市简城街道高屋村</v>
      </c>
      <c r="J1590" s="113" t="str">
        <f>VLOOKUP(B1590,辅助信息!E:I,4,FALSE)</f>
        <v>张瀚镭</v>
      </c>
      <c r="K1590" s="113">
        <f>VLOOKUP(J1590,辅助信息!H:I,2,FALSE)</f>
        <v>15884666220</v>
      </c>
      <c r="L1590" s="115" t="str">
        <f>VLOOKUP(B1590,辅助信息!E:J,6,FALSE)</f>
        <v>现场禁止使用氢能源挂车！优先威钢发货,我方卸车,新老国标钢厂不加价可直发，因陕钢多次出现磅差，项目拒绝使用</v>
      </c>
      <c r="M1590" s="84">
        <v>45800</v>
      </c>
      <c r="O1590" s="55">
        <f ca="1" t="shared" ref="O1590:O1601" si="81">IF(OR(M1590="",N1590&lt;&gt;""),"",MAX(M1590-TODAY(),0))</f>
        <v>0</v>
      </c>
      <c r="P1590" s="55">
        <f ca="1" t="shared" ref="P1590:P1601" si="82">IF(M1590="","",IF(N1590&lt;&gt;"",MAX(N1590-M1590,0),IF(TODAY()&gt;M1590,TODAY()-M1590,0)))</f>
        <v>157</v>
      </c>
      <c r="Q1590" s="22" t="str">
        <f>VLOOKUP(B1590,辅助信息!E:M,9,FALSE)</f>
        <v>ZTWM-CDGS-XS-2024-0030-华西集采-简州大道</v>
      </c>
      <c r="R1590" s="22" t="str">
        <f>_xlfn._xlws.FILTER(辅助信息!D:D,辅助信息!E:E=B1590)</f>
        <v>华西简阳西城嘉苑</v>
      </c>
    </row>
    <row r="1591" hidden="1" spans="2:18">
      <c r="B1591" s="33" t="s">
        <v>81</v>
      </c>
      <c r="C1591" s="63">
        <v>45796</v>
      </c>
      <c r="D1591" s="113" t="str">
        <f>VLOOKUP(B1591,辅助信息!E:K,7,FALSE)</f>
        <v>JWDDCD2025060900080</v>
      </c>
      <c r="E1591" s="113" t="str">
        <f>VLOOKUP(F1591,辅助信息!A:B,2,FALSE)</f>
        <v>盘螺</v>
      </c>
      <c r="F1591" s="33" t="s">
        <v>41</v>
      </c>
      <c r="G1591" s="29">
        <v>51</v>
      </c>
      <c r="H1591" s="114">
        <f>_xlfn.XLOOKUP(C1591&amp;F1591&amp;I1591&amp;J1591,'[1]2025年已发货'!$F:$F&amp;'[1]2025年已发货'!$C:$C&amp;'[1]2025年已发货'!$G:$G&amp;'[1]2025年已发货'!$H:$H,'[1]2025年已发货'!$E:$E,"未发货")</f>
        <v>40</v>
      </c>
      <c r="I1591" s="113" t="str">
        <f>VLOOKUP(B1591,辅助信息!E:I,3,FALSE)</f>
        <v>（华西简阳西城嘉苑）四川省成都市简阳市简城街道高屋村</v>
      </c>
      <c r="J1591" s="113" t="str">
        <f>VLOOKUP(B1591,辅助信息!E:I,4,FALSE)</f>
        <v>张瀚镭</v>
      </c>
      <c r="K1591" s="113">
        <f>VLOOKUP(J1591,辅助信息!H:I,2,FALSE)</f>
        <v>15884666220</v>
      </c>
      <c r="L1591" s="115" t="str">
        <f>VLOOKUP(B1591,辅助信息!E:J,6,FALSE)</f>
        <v>现场禁止使用氢能源挂车！优先威钢发货,我方卸车,新老国标钢厂不加价可直发，因陕钢多次出现磅差，项目拒绝使用</v>
      </c>
      <c r="M1591" s="84">
        <v>45800</v>
      </c>
      <c r="O1591" s="55">
        <f ca="1" t="shared" si="81"/>
        <v>0</v>
      </c>
      <c r="P1591" s="55">
        <f ca="1" t="shared" si="82"/>
        <v>157</v>
      </c>
      <c r="Q1591" s="22" t="str">
        <f>VLOOKUP(B1591,辅助信息!E:M,9,FALSE)</f>
        <v>ZTWM-CDGS-XS-2024-0030-华西集采-简州大道</v>
      </c>
      <c r="R1591" s="22" t="str">
        <f>_xlfn._xlws.FILTER(辅助信息!D:D,辅助信息!E:E=B1591)</f>
        <v>华西简阳西城嘉苑</v>
      </c>
    </row>
    <row r="1592" hidden="1" spans="2:18">
      <c r="B1592" s="33" t="s">
        <v>81</v>
      </c>
      <c r="C1592" s="63">
        <v>45796</v>
      </c>
      <c r="D1592" s="113" t="str">
        <f>VLOOKUP(B1592,辅助信息!E:K,7,FALSE)</f>
        <v>JWDDCD2025060900080</v>
      </c>
      <c r="E1592" s="113" t="str">
        <f>VLOOKUP(F1592,辅助信息!A:B,2,FALSE)</f>
        <v>盘螺</v>
      </c>
      <c r="F1592" s="33" t="s">
        <v>26</v>
      </c>
      <c r="G1592" s="29">
        <v>64</v>
      </c>
      <c r="H1592" s="114">
        <f>_xlfn.XLOOKUP(C1592&amp;F1592&amp;I1592&amp;J1592,'[1]2025年已发货'!$F:$F&amp;'[1]2025年已发货'!$C:$C&amp;'[1]2025年已发货'!$G:$G&amp;'[1]2025年已发货'!$H:$H,'[1]2025年已发货'!$E:$E,"未发货")</f>
        <v>35</v>
      </c>
      <c r="I1592" s="113" t="str">
        <f>VLOOKUP(B1592,辅助信息!E:I,3,FALSE)</f>
        <v>（华西简阳西城嘉苑）四川省成都市简阳市简城街道高屋村</v>
      </c>
      <c r="J1592" s="113" t="str">
        <f>VLOOKUP(B1592,辅助信息!E:I,4,FALSE)</f>
        <v>张瀚镭</v>
      </c>
      <c r="K1592" s="113">
        <f>VLOOKUP(J1592,辅助信息!H:I,2,FALSE)</f>
        <v>15884666220</v>
      </c>
      <c r="L1592" s="115" t="str">
        <f>VLOOKUP(B1592,辅助信息!E:J,6,FALSE)</f>
        <v>现场禁止使用氢能源挂车！优先威钢发货,我方卸车,新老国标钢厂不加价可直发，因陕钢多次出现磅差，项目拒绝使用</v>
      </c>
      <c r="M1592" s="84">
        <v>45800</v>
      </c>
      <c r="O1592" s="55">
        <f ca="1" t="shared" si="81"/>
        <v>0</v>
      </c>
      <c r="P1592" s="55">
        <f ca="1" t="shared" si="82"/>
        <v>157</v>
      </c>
      <c r="Q1592" s="22" t="str">
        <f>VLOOKUP(B1592,辅助信息!E:M,9,FALSE)</f>
        <v>ZTWM-CDGS-XS-2024-0030-华西集采-简州大道</v>
      </c>
      <c r="R1592" s="22" t="str">
        <f>_xlfn._xlws.FILTER(辅助信息!D:D,辅助信息!E:E=B1592)</f>
        <v>华西简阳西城嘉苑</v>
      </c>
    </row>
    <row r="1593" hidden="1" spans="2:18">
      <c r="B1593" s="33" t="s">
        <v>81</v>
      </c>
      <c r="C1593" s="63">
        <v>45796</v>
      </c>
      <c r="D1593" s="113" t="str">
        <f>VLOOKUP(B1593,辅助信息!E:K,7,FALSE)</f>
        <v>JWDDCD2025060900080</v>
      </c>
      <c r="E1593" s="113" t="str">
        <f>VLOOKUP(F1593,辅助信息!A:B,2,FALSE)</f>
        <v>螺纹钢</v>
      </c>
      <c r="F1593" s="33" t="s">
        <v>19</v>
      </c>
      <c r="G1593" s="29">
        <v>5.5</v>
      </c>
      <c r="H1593" s="114">
        <f>_xlfn.XLOOKUP(C1593&amp;F1593&amp;I1593&amp;J1593,'[1]2025年已发货'!$F:$F&amp;'[1]2025年已发货'!$C:$C&amp;'[1]2025年已发货'!$G:$G&amp;'[1]2025年已发货'!$H:$H,'[1]2025年已发货'!$E:$E,"未发货")</f>
        <v>6</v>
      </c>
      <c r="I1593" s="113" t="str">
        <f>VLOOKUP(B1593,辅助信息!E:I,3,FALSE)</f>
        <v>（华西简阳西城嘉苑）四川省成都市简阳市简城街道高屋村</v>
      </c>
      <c r="J1593" s="113" t="str">
        <f>VLOOKUP(B1593,辅助信息!E:I,4,FALSE)</f>
        <v>张瀚镭</v>
      </c>
      <c r="K1593" s="113">
        <f>VLOOKUP(J1593,辅助信息!H:I,2,FALSE)</f>
        <v>15884666220</v>
      </c>
      <c r="L1593" s="115" t="str">
        <f>VLOOKUP(B1593,辅助信息!E:J,6,FALSE)</f>
        <v>现场禁止使用氢能源挂车！优先威钢发货,我方卸车,新老国标钢厂不加价可直发，因陕钢多次出现磅差，项目拒绝使用</v>
      </c>
      <c r="M1593" s="84">
        <v>45800</v>
      </c>
      <c r="O1593" s="55">
        <f ca="1" t="shared" si="81"/>
        <v>0</v>
      </c>
      <c r="P1593" s="55">
        <f ca="1" t="shared" si="82"/>
        <v>157</v>
      </c>
      <c r="Q1593" s="22" t="str">
        <f>VLOOKUP(B1593,辅助信息!E:M,9,FALSE)</f>
        <v>ZTWM-CDGS-XS-2024-0030-华西集采-简州大道</v>
      </c>
      <c r="R1593" s="22" t="str">
        <f>_xlfn._xlws.FILTER(辅助信息!D:D,辅助信息!E:E=B1593)</f>
        <v>华西简阳西城嘉苑</v>
      </c>
    </row>
    <row r="1594" hidden="1" spans="2:18">
      <c r="B1594" s="33" t="s">
        <v>81</v>
      </c>
      <c r="C1594" s="63">
        <v>45796</v>
      </c>
      <c r="D1594" s="113" t="str">
        <f>VLOOKUP(B1594,辅助信息!E:K,7,FALSE)</f>
        <v>JWDDCD2025060900080</v>
      </c>
      <c r="E1594" s="113" t="str">
        <f>VLOOKUP(F1594,辅助信息!A:B,2,FALSE)</f>
        <v>螺纹钢</v>
      </c>
      <c r="F1594" s="33" t="s">
        <v>32</v>
      </c>
      <c r="G1594" s="29">
        <v>8</v>
      </c>
      <c r="H1594" s="114">
        <f>_xlfn.XLOOKUP(C1594&amp;F1594&amp;I1594&amp;J1594,'[1]2025年已发货'!$F:$F&amp;'[1]2025年已发货'!$C:$C&amp;'[1]2025年已发货'!$G:$G&amp;'[1]2025年已发货'!$H:$H,'[1]2025年已发货'!$E:$E,"未发货")</f>
        <v>9</v>
      </c>
      <c r="I1594" s="113" t="str">
        <f>VLOOKUP(B1594,辅助信息!E:I,3,FALSE)</f>
        <v>（华西简阳西城嘉苑）四川省成都市简阳市简城街道高屋村</v>
      </c>
      <c r="J1594" s="113" t="str">
        <f>VLOOKUP(B1594,辅助信息!E:I,4,FALSE)</f>
        <v>张瀚镭</v>
      </c>
      <c r="K1594" s="113">
        <f>VLOOKUP(J1594,辅助信息!H:I,2,FALSE)</f>
        <v>15884666220</v>
      </c>
      <c r="L1594" s="115" t="str">
        <f>VLOOKUP(B1594,辅助信息!E:J,6,FALSE)</f>
        <v>现场禁止使用氢能源挂车！优先威钢发货,我方卸车,新老国标钢厂不加价可直发，因陕钢多次出现磅差，项目拒绝使用</v>
      </c>
      <c r="M1594" s="84">
        <v>45800</v>
      </c>
      <c r="O1594" s="55">
        <f ca="1" t="shared" si="81"/>
        <v>0</v>
      </c>
      <c r="P1594" s="55">
        <f ca="1" t="shared" si="82"/>
        <v>157</v>
      </c>
      <c r="Q1594" s="22" t="str">
        <f>VLOOKUP(B1594,辅助信息!E:M,9,FALSE)</f>
        <v>ZTWM-CDGS-XS-2024-0030-华西集采-简州大道</v>
      </c>
      <c r="R1594" s="22" t="str">
        <f>_xlfn._xlws.FILTER(辅助信息!D:D,辅助信息!E:E=B1594)</f>
        <v>华西简阳西城嘉苑</v>
      </c>
    </row>
    <row r="1595" hidden="1" spans="2:18">
      <c r="B1595" s="33" t="s">
        <v>81</v>
      </c>
      <c r="C1595" s="63">
        <v>45796</v>
      </c>
      <c r="D1595" s="113" t="str">
        <f>VLOOKUP(B1595,辅助信息!E:K,7,FALSE)</f>
        <v>JWDDCD2025060900080</v>
      </c>
      <c r="E1595" s="113" t="str">
        <f>VLOOKUP(F1595,辅助信息!A:B,2,FALSE)</f>
        <v>螺纹钢</v>
      </c>
      <c r="F1595" s="33" t="s">
        <v>30</v>
      </c>
      <c r="G1595" s="29">
        <v>13.5</v>
      </c>
      <c r="H1595" s="114">
        <f>_xlfn.XLOOKUP(C1595&amp;F1595&amp;I1595&amp;J1595,'[1]2025年已发货'!$F:$F&amp;'[1]2025年已发货'!$C:$C&amp;'[1]2025年已发货'!$G:$G&amp;'[1]2025年已发货'!$H:$H,'[1]2025年已发货'!$E:$E,"未发货")</f>
        <v>6</v>
      </c>
      <c r="I1595" s="113" t="str">
        <f>VLOOKUP(B1595,辅助信息!E:I,3,FALSE)</f>
        <v>（华西简阳西城嘉苑）四川省成都市简阳市简城街道高屋村</v>
      </c>
      <c r="J1595" s="113" t="str">
        <f>VLOOKUP(B1595,辅助信息!E:I,4,FALSE)</f>
        <v>张瀚镭</v>
      </c>
      <c r="K1595" s="113">
        <f>VLOOKUP(J1595,辅助信息!H:I,2,FALSE)</f>
        <v>15884666220</v>
      </c>
      <c r="L1595" s="115" t="str">
        <f>VLOOKUP(B1595,辅助信息!E:J,6,FALSE)</f>
        <v>现场禁止使用氢能源挂车！优先威钢发货,我方卸车,新老国标钢厂不加价可直发，因陕钢多次出现磅差，项目拒绝使用</v>
      </c>
      <c r="M1595" s="84">
        <v>45800</v>
      </c>
      <c r="O1595" s="55">
        <f ca="1" t="shared" si="81"/>
        <v>0</v>
      </c>
      <c r="P1595" s="55">
        <f ca="1" t="shared" si="82"/>
        <v>157</v>
      </c>
      <c r="Q1595" s="22" t="str">
        <f>VLOOKUP(B1595,辅助信息!E:M,9,FALSE)</f>
        <v>ZTWM-CDGS-XS-2024-0030-华西集采-简州大道</v>
      </c>
      <c r="R1595" s="22" t="str">
        <f>_xlfn._xlws.FILTER(辅助信息!D:D,辅助信息!E:E=B1595)</f>
        <v>华西简阳西城嘉苑</v>
      </c>
    </row>
    <row r="1596" hidden="1" spans="2:18">
      <c r="B1596" s="33" t="s">
        <v>81</v>
      </c>
      <c r="C1596" s="63">
        <v>45796</v>
      </c>
      <c r="D1596" s="113" t="str">
        <f>VLOOKUP(B1596,辅助信息!E:K,7,FALSE)</f>
        <v>JWDDCD2025060900080</v>
      </c>
      <c r="E1596" s="113" t="str">
        <f>VLOOKUP(F1596,辅助信息!A:B,2,FALSE)</f>
        <v>螺纹钢</v>
      </c>
      <c r="F1596" s="33" t="s">
        <v>33</v>
      </c>
      <c r="G1596" s="29">
        <v>20</v>
      </c>
      <c r="H1596" s="114">
        <f>_xlfn.XLOOKUP(C1596&amp;F1596&amp;I1596&amp;J1596,'[1]2025年已发货'!$F:$F&amp;'[1]2025年已发货'!$C:$C&amp;'[1]2025年已发货'!$G:$G&amp;'[1]2025年已发货'!$H:$H,'[1]2025年已发货'!$E:$E,"未发货")</f>
        <v>6</v>
      </c>
      <c r="I1596" s="113" t="str">
        <f>VLOOKUP(B1596,辅助信息!E:I,3,FALSE)</f>
        <v>（华西简阳西城嘉苑）四川省成都市简阳市简城街道高屋村</v>
      </c>
      <c r="J1596" s="113" t="str">
        <f>VLOOKUP(B1596,辅助信息!E:I,4,FALSE)</f>
        <v>张瀚镭</v>
      </c>
      <c r="K1596" s="113">
        <f>VLOOKUP(J1596,辅助信息!H:I,2,FALSE)</f>
        <v>15884666220</v>
      </c>
      <c r="L1596" s="115" t="str">
        <f>VLOOKUP(B1596,辅助信息!E:J,6,FALSE)</f>
        <v>现场禁止使用氢能源挂车！优先威钢发货,我方卸车,新老国标钢厂不加价可直发，因陕钢多次出现磅差，项目拒绝使用</v>
      </c>
      <c r="M1596" s="84">
        <v>45800</v>
      </c>
      <c r="O1596" s="55">
        <f ca="1" t="shared" si="81"/>
        <v>0</v>
      </c>
      <c r="P1596" s="55">
        <f ca="1" t="shared" si="82"/>
        <v>157</v>
      </c>
      <c r="Q1596" s="22" t="str">
        <f>VLOOKUP(B1596,辅助信息!E:M,9,FALSE)</f>
        <v>ZTWM-CDGS-XS-2024-0030-华西集采-简州大道</v>
      </c>
      <c r="R1596" s="22" t="str">
        <f>_xlfn._xlws.FILTER(辅助信息!D:D,辅助信息!E:E=B1596)</f>
        <v>华西简阳西城嘉苑</v>
      </c>
    </row>
    <row r="1597" hidden="1" spans="2:18">
      <c r="B1597" s="33" t="s">
        <v>81</v>
      </c>
      <c r="C1597" s="63">
        <v>45796</v>
      </c>
      <c r="D1597" s="113" t="str">
        <f>VLOOKUP(B1597,辅助信息!E:K,7,FALSE)</f>
        <v>JWDDCD2025060900080</v>
      </c>
      <c r="E1597" s="113" t="str">
        <f>VLOOKUP(F1597,辅助信息!A:B,2,FALSE)</f>
        <v>螺纹钢</v>
      </c>
      <c r="F1597" s="33" t="s">
        <v>28</v>
      </c>
      <c r="G1597" s="29">
        <v>2.7</v>
      </c>
      <c r="H1597" s="114">
        <f>_xlfn.XLOOKUP(C1597&amp;F1597&amp;I1597&amp;J1597,'[1]2025年已发货'!$F:$F&amp;'[1]2025年已发货'!$C:$C&amp;'[1]2025年已发货'!$G:$G&amp;'[1]2025年已发货'!$H:$H,'[1]2025年已发货'!$E:$E,"未发货")</f>
        <v>3</v>
      </c>
      <c r="I1597" s="113" t="str">
        <f>VLOOKUP(B1597,辅助信息!E:I,3,FALSE)</f>
        <v>（华西简阳西城嘉苑）四川省成都市简阳市简城街道高屋村</v>
      </c>
      <c r="J1597" s="113" t="str">
        <f>VLOOKUP(B1597,辅助信息!E:I,4,FALSE)</f>
        <v>张瀚镭</v>
      </c>
      <c r="K1597" s="113">
        <f>VLOOKUP(J1597,辅助信息!H:I,2,FALSE)</f>
        <v>15884666220</v>
      </c>
      <c r="L1597" s="115" t="str">
        <f>VLOOKUP(B1597,辅助信息!E:J,6,FALSE)</f>
        <v>现场禁止使用氢能源挂车！优先威钢发货,我方卸车,新老国标钢厂不加价可直发，因陕钢多次出现磅差，项目拒绝使用</v>
      </c>
      <c r="M1597" s="84">
        <v>45800</v>
      </c>
      <c r="O1597" s="55">
        <f ca="1" t="shared" si="81"/>
        <v>0</v>
      </c>
      <c r="P1597" s="55">
        <f ca="1" t="shared" si="82"/>
        <v>157</v>
      </c>
      <c r="Q1597" s="22" t="str">
        <f>VLOOKUP(B1597,辅助信息!E:M,9,FALSE)</f>
        <v>ZTWM-CDGS-XS-2024-0030-华西集采-简州大道</v>
      </c>
      <c r="R1597" s="22" t="str">
        <f>_xlfn._xlws.FILTER(辅助信息!D:D,辅助信息!E:E=B1597)</f>
        <v>华西简阳西城嘉苑</v>
      </c>
    </row>
    <row r="1598" hidden="1" spans="2:18">
      <c r="B1598" s="33" t="s">
        <v>81</v>
      </c>
      <c r="C1598" s="63">
        <v>45796</v>
      </c>
      <c r="D1598" s="113" t="str">
        <f>VLOOKUP(B1598,辅助信息!E:K,7,FALSE)</f>
        <v>JWDDCD2025060900080</v>
      </c>
      <c r="E1598" s="113" t="str">
        <f>VLOOKUP(F1598,辅助信息!A:B,2,FALSE)</f>
        <v>螺纹钢</v>
      </c>
      <c r="F1598" s="33" t="s">
        <v>18</v>
      </c>
      <c r="G1598" s="29">
        <v>7.5</v>
      </c>
      <c r="H1598" s="114">
        <f>_xlfn.XLOOKUP(C1598&amp;F1598&amp;I1598&amp;J1598,'[1]2025年已发货'!$F:$F&amp;'[1]2025年已发货'!$C:$C&amp;'[1]2025年已发货'!$G:$G&amp;'[1]2025年已发货'!$H:$H,'[1]2025年已发货'!$E:$E,"未发货")</f>
        <v>6</v>
      </c>
      <c r="I1598" s="113" t="str">
        <f>VLOOKUP(B1598,辅助信息!E:I,3,FALSE)</f>
        <v>（华西简阳西城嘉苑）四川省成都市简阳市简城街道高屋村</v>
      </c>
      <c r="J1598" s="113" t="str">
        <f>VLOOKUP(B1598,辅助信息!E:I,4,FALSE)</f>
        <v>张瀚镭</v>
      </c>
      <c r="K1598" s="113">
        <f>VLOOKUP(J1598,辅助信息!H:I,2,FALSE)</f>
        <v>15884666220</v>
      </c>
      <c r="L1598" s="115" t="str">
        <f>VLOOKUP(B1598,辅助信息!E:J,6,FALSE)</f>
        <v>现场禁止使用氢能源挂车！优先威钢发货,我方卸车,新老国标钢厂不加价可直发，因陕钢多次出现磅差，项目拒绝使用</v>
      </c>
      <c r="M1598" s="84">
        <v>45800</v>
      </c>
      <c r="O1598" s="55">
        <f ca="1" t="shared" si="81"/>
        <v>0</v>
      </c>
      <c r="P1598" s="55">
        <f ca="1" t="shared" si="82"/>
        <v>157</v>
      </c>
      <c r="Q1598" s="22" t="str">
        <f>VLOOKUP(B1598,辅助信息!E:M,9,FALSE)</f>
        <v>ZTWM-CDGS-XS-2024-0030-华西集采-简州大道</v>
      </c>
      <c r="R1598" s="22" t="str">
        <f>_xlfn._xlws.FILTER(辅助信息!D:D,辅助信息!E:E=B1598)</f>
        <v>华西简阳西城嘉苑</v>
      </c>
    </row>
    <row r="1599" hidden="1" spans="2:18">
      <c r="B1599" s="33" t="s">
        <v>153</v>
      </c>
      <c r="C1599" s="63">
        <v>45796</v>
      </c>
      <c r="D1599" s="113" t="str">
        <f>VLOOKUP(B1599,辅助信息!E:K,7,FALSE)</f>
        <v>JWDDCD2025050800080</v>
      </c>
      <c r="E1599" s="113" t="str">
        <f>VLOOKUP(F1599,辅助信息!A:B,2,FALSE)</f>
        <v>螺纹钢</v>
      </c>
      <c r="F1599" s="33" t="s">
        <v>27</v>
      </c>
      <c r="G1599" s="29">
        <v>15</v>
      </c>
      <c r="H1599" s="114" t="str">
        <f>_xlfn.XLOOKUP(C1599&amp;F1599&amp;I1599&amp;J1599,'[1]2025年已发货'!$F:$F&amp;'[1]2025年已发货'!$C:$C&amp;'[1]2025年已发货'!$G:$G&amp;'[1]2025年已发货'!$H:$H,'[1]2025年已发货'!$E:$E,"未发货")</f>
        <v>未发货</v>
      </c>
      <c r="I1599" s="113" t="str">
        <f>VLOOKUP(B1599,辅助信息!E:I,3,FALSE)</f>
        <v>(宜宾兴港三江新区长江工业园建设项目-M2-4#厂房)宜宾市翠屏区宜宾汽车零部件配套产业基地(纬五路南)</v>
      </c>
      <c r="J1599" s="113" t="str">
        <f>VLOOKUP(B1599,辅助信息!E:I,4,FALSE)</f>
        <v>李国享</v>
      </c>
      <c r="K1599" s="113">
        <f>VLOOKUP(J1599,辅助信息!H:I,2,FALSE)</f>
        <v>17713876279</v>
      </c>
      <c r="L1599" s="115" t="str">
        <f>VLOOKUP(B1599,辅助信息!E:J,6,FALSE)</f>
        <v>装货前联系收货人核实到场规格，货物最下面用方木垫下方便卸货</v>
      </c>
      <c r="M1599" s="84">
        <v>45797</v>
      </c>
      <c r="O1599" s="55">
        <f ca="1" t="shared" si="81"/>
        <v>0</v>
      </c>
      <c r="P1599" s="55">
        <f ca="1" t="shared" si="82"/>
        <v>160</v>
      </c>
      <c r="Q1599" s="22" t="str">
        <f>VLOOKUP(B1599,辅助信息!E:M,9,FALSE)</f>
        <v>ZTWM-CDGS-XS-2025-0059-宜宾兴港建材-宜宾冷链项目</v>
      </c>
      <c r="R1599" s="22" t="str">
        <f>_xlfn._xlws.FILTER(辅助信息!D:D,辅助信息!E:E=B1599)</f>
        <v>宜宾兴港三江新区长江工业园建设项目</v>
      </c>
    </row>
    <row r="1600" hidden="1" spans="2:18">
      <c r="B1600" s="33" t="s">
        <v>135</v>
      </c>
      <c r="C1600" s="63">
        <v>45796</v>
      </c>
      <c r="D1600" s="113" t="str">
        <f>VLOOKUP(B1600,辅助信息!E:K,7,FALSE)</f>
        <v>JWDDCD2025050800080</v>
      </c>
      <c r="E1600" s="113" t="str">
        <f>VLOOKUP(F1600,辅助信息!A:B,2,FALSE)</f>
        <v>螺纹钢</v>
      </c>
      <c r="F1600" s="33" t="s">
        <v>130</v>
      </c>
      <c r="G1600" s="29">
        <v>40</v>
      </c>
      <c r="H1600" s="114" t="str">
        <f>_xlfn.XLOOKUP(C1600&amp;F1600&amp;I1600&amp;J1600,'[1]2025年已发货'!$F:$F&amp;'[1]2025年已发货'!$C:$C&amp;'[1]2025年已发货'!$G:$G&amp;'[1]2025年已发货'!$H:$H,'[1]2025年已发货'!$E:$E,"未发货")</f>
        <v>未发货</v>
      </c>
      <c r="I1600" s="113" t="str">
        <f>VLOOKUP(B1600,辅助信息!E:I,3,FALSE)</f>
        <v>(宜宾兴港三江新区长江工业园建设项目-M2-2#厂房)宜宾市翠屏区宜宾汽车零部件配套产业基地(纬五路南)</v>
      </c>
      <c r="J1600" s="113" t="str">
        <f>VLOOKUP(B1600,辅助信息!E:I,4,FALSE)</f>
        <v>李国享</v>
      </c>
      <c r="K1600" s="113">
        <f>VLOOKUP(J1600,辅助信息!H:I,2,FALSE)</f>
        <v>17713876279</v>
      </c>
      <c r="L1600" s="115" t="str">
        <f>VLOOKUP(B1600,辅助信息!E:J,6,FALSE)</f>
        <v>装货前联系收货人核实到场规格，货物最下面用方木垫下方便卸货</v>
      </c>
      <c r="M1600" s="84">
        <v>45797</v>
      </c>
      <c r="O1600" s="55">
        <f ca="1" t="shared" si="81"/>
        <v>0</v>
      </c>
      <c r="P1600" s="55">
        <f ca="1" t="shared" si="82"/>
        <v>160</v>
      </c>
      <c r="Q1600" s="22" t="str">
        <f>VLOOKUP(B1600,辅助信息!E:M,9,FALSE)</f>
        <v>ZTWM-CDGS-XS-2025-0059-宜宾兴港建材-宜宾冷链项目</v>
      </c>
      <c r="R1600" s="22" t="str">
        <f>_xlfn._xlws.FILTER(辅助信息!D:D,辅助信息!E:E=B1600)</f>
        <v>宜宾兴港三江新区长江工业园建设项目</v>
      </c>
    </row>
    <row r="1601" hidden="1" spans="2:18">
      <c r="B1601" s="33" t="s">
        <v>154</v>
      </c>
      <c r="C1601" s="63">
        <v>45796</v>
      </c>
      <c r="D1601" s="113" t="str">
        <f>VLOOKUP(B1601,辅助信息!E:K,7,FALSE)</f>
        <v>JWDDCD2025050800080</v>
      </c>
      <c r="E1601" s="113" t="str">
        <f>VLOOKUP(F1601,辅助信息!A:B,2,FALSE)</f>
        <v>螺纹钢</v>
      </c>
      <c r="F1601" s="33" t="s">
        <v>133</v>
      </c>
      <c r="G1601" s="29">
        <v>60</v>
      </c>
      <c r="H1601" s="114" t="str">
        <f>_xlfn.XLOOKUP(C1601&amp;F1601&amp;I1601&amp;J1601,'[1]2025年已发货'!$F:$F&amp;'[1]2025年已发货'!$C:$C&amp;'[1]2025年已发货'!$G:$G&amp;'[1]2025年已发货'!$H:$H,'[1]2025年已发货'!$E:$E,"未发货")</f>
        <v>未发货</v>
      </c>
      <c r="I1601" s="113" t="str">
        <f>VLOOKUP(B1601,辅助信息!E:I,3,FALSE)</f>
        <v>(宜宾兴港三江新区长江工业园建设项目-M2-5#厂房)宜宾市翠屏区宜宾汽车零部件配套产业基地(纬五路南)</v>
      </c>
      <c r="J1601" s="113" t="str">
        <f>VLOOKUP(B1601,辅助信息!E:I,4,FALSE)</f>
        <v>李国享</v>
      </c>
      <c r="K1601" s="113">
        <f>VLOOKUP(J1601,辅助信息!H:I,2,FALSE)</f>
        <v>17713876279</v>
      </c>
      <c r="L1601" s="115" t="str">
        <f>VLOOKUP(B1601,辅助信息!E:J,6,FALSE)</f>
        <v>装货前联系收货人核实到场规格，货物最下面用方木垫下方便卸货</v>
      </c>
      <c r="M1601" s="84">
        <v>45797</v>
      </c>
      <c r="O1601" s="55">
        <f ca="1" t="shared" ref="O1601:O1613" si="83">IF(OR(M1601="",N1601&lt;&gt;""),"",MAX(M1601-TODAY(),0))</f>
        <v>0</v>
      </c>
      <c r="P1601" s="55">
        <f ca="1" t="shared" ref="P1601:P1613" si="84">IF(M1601="","",IF(N1601&lt;&gt;"",MAX(N1601-M1601,0),IF(TODAY()&gt;M1601,TODAY()-M1601,0)))</f>
        <v>160</v>
      </c>
      <c r="Q1601" s="22" t="str">
        <f>VLOOKUP(B1601,辅助信息!E:M,9,FALSE)</f>
        <v>ZTWM-CDGS-XS-2025-0059-宜宾兴港建材-宜宾冷链项目</v>
      </c>
      <c r="R1601" s="22" t="str">
        <f>_xlfn._xlws.FILTER(辅助信息!D:D,辅助信息!E:E=B1601)</f>
        <v>宜宾兴港三江新区长江工业园建设项目</v>
      </c>
    </row>
    <row r="1602" hidden="1" spans="2:18">
      <c r="B1602" s="33" t="s">
        <v>150</v>
      </c>
      <c r="C1602" s="63">
        <v>45798</v>
      </c>
      <c r="D1602" s="113" t="str">
        <f>VLOOKUP(B1602,辅助信息!E:K,7,FALSE)</f>
        <v>JWDDCD2025050800101</v>
      </c>
      <c r="E1602" s="113" t="str">
        <f>VLOOKUP(F1602,辅助信息!A:B,2,FALSE)</f>
        <v>盘螺</v>
      </c>
      <c r="F1602" s="33" t="s">
        <v>26</v>
      </c>
      <c r="G1602" s="29">
        <v>15</v>
      </c>
      <c r="H1602" s="114">
        <v>15</v>
      </c>
      <c r="I1602" s="113" t="str">
        <f>VLOOKUP(B1602,辅助信息!E:I,3,FALSE)</f>
        <v>(中铁科研院宜宾泥溪项目)中铁科研院集团有限公司宜宾市泥溪东互通式立交下穿成贵客专铁路工程项目钢筋加工厂</v>
      </c>
      <c r="J1602" s="113" t="str">
        <f>VLOOKUP(B1602,辅助信息!E:I,4,FALSE)</f>
        <v>蔡鹏</v>
      </c>
      <c r="K1602" s="113">
        <f>VLOOKUP(J1602,辅助信息!H:I,2,FALSE)</f>
        <v>19130850820</v>
      </c>
      <c r="L1602" s="115" t="str">
        <f>VLOOKUP(B1602,辅助信息!E:J,6,FALSE)</f>
        <v>装货前联系收货人核实到场规格，货物最下面用方木垫下方便卸货</v>
      </c>
      <c r="M1602" s="84">
        <v>45800</v>
      </c>
      <c r="O1602" s="55">
        <f ca="1" t="shared" si="83"/>
        <v>0</v>
      </c>
      <c r="P1602" s="55">
        <f ca="1" t="shared" si="84"/>
        <v>157</v>
      </c>
      <c r="Q1602" s="22" t="str">
        <f>VLOOKUP(B1602,辅助信息!E:M,9,FALSE)</f>
        <v>ZTWM-CDGS-XS-2025-0050-中铁科研院-宜宾泥溪项目</v>
      </c>
      <c r="R1602" s="22" t="str">
        <f>_xlfn._xlws.FILTER(辅助信息!D:D,辅助信息!E:E=B1602)</f>
        <v>中铁科研院宜宾泥溪项目</v>
      </c>
    </row>
    <row r="1603" hidden="1" spans="2:18">
      <c r="B1603" s="33" t="s">
        <v>150</v>
      </c>
      <c r="C1603" s="63">
        <v>45798</v>
      </c>
      <c r="D1603" s="113" t="str">
        <f>VLOOKUP(B1603,辅助信息!E:K,7,FALSE)</f>
        <v>JWDDCD2025050800101</v>
      </c>
      <c r="E1603" s="113" t="str">
        <f>VLOOKUP(F1603,辅助信息!A:B,2,FALSE)</f>
        <v>螺纹钢</v>
      </c>
      <c r="F1603" s="33" t="s">
        <v>18</v>
      </c>
      <c r="G1603" s="29">
        <v>12</v>
      </c>
      <c r="H1603" s="114">
        <v>12</v>
      </c>
      <c r="I1603" s="113" t="str">
        <f>VLOOKUP(B1603,辅助信息!E:I,3,FALSE)</f>
        <v>(中铁科研院宜宾泥溪项目)中铁科研院集团有限公司宜宾市泥溪东互通式立交下穿成贵客专铁路工程项目钢筋加工厂</v>
      </c>
      <c r="J1603" s="113" t="str">
        <f>VLOOKUP(B1603,辅助信息!E:I,4,FALSE)</f>
        <v>蔡鹏</v>
      </c>
      <c r="K1603" s="113">
        <f>VLOOKUP(J1603,辅助信息!H:I,2,FALSE)</f>
        <v>19130850820</v>
      </c>
      <c r="L1603" s="115" t="str">
        <f>VLOOKUP(B1603,辅助信息!E:J,6,FALSE)</f>
        <v>装货前联系收货人核实到场规格，货物最下面用方木垫下方便卸货</v>
      </c>
      <c r="M1603" s="84">
        <v>45800</v>
      </c>
      <c r="O1603" s="55">
        <f ca="1" t="shared" si="83"/>
        <v>0</v>
      </c>
      <c r="P1603" s="55">
        <f ca="1" t="shared" si="84"/>
        <v>157</v>
      </c>
      <c r="Q1603" s="22" t="str">
        <f>VLOOKUP(B1603,辅助信息!E:M,9,FALSE)</f>
        <v>ZTWM-CDGS-XS-2025-0050-中铁科研院-宜宾泥溪项目</v>
      </c>
      <c r="R1603" s="22" t="str">
        <f>_xlfn._xlws.FILTER(辅助信息!D:D,辅助信息!E:E=B1603)</f>
        <v>中铁科研院宜宾泥溪项目</v>
      </c>
    </row>
    <row r="1604" hidden="1" spans="2:18">
      <c r="B1604" s="33" t="s">
        <v>150</v>
      </c>
      <c r="C1604" s="63">
        <v>45798</v>
      </c>
      <c r="D1604" s="113" t="str">
        <f>VLOOKUP(B1604,辅助信息!E:K,7,FALSE)</f>
        <v>JWDDCD2025050800101</v>
      </c>
      <c r="E1604" s="113" t="str">
        <f>VLOOKUP(F1604,辅助信息!A:B,2,FALSE)</f>
        <v>螺纹钢</v>
      </c>
      <c r="F1604" s="33" t="s">
        <v>65</v>
      </c>
      <c r="G1604" s="29">
        <v>6</v>
      </c>
      <c r="H1604" s="114">
        <v>6</v>
      </c>
      <c r="I1604" s="113" t="str">
        <f>VLOOKUP(B1604,辅助信息!E:I,3,FALSE)</f>
        <v>(中铁科研院宜宾泥溪项目)中铁科研院集团有限公司宜宾市泥溪东互通式立交下穿成贵客专铁路工程项目钢筋加工厂</v>
      </c>
      <c r="J1604" s="113" t="str">
        <f>VLOOKUP(B1604,辅助信息!E:I,4,FALSE)</f>
        <v>蔡鹏</v>
      </c>
      <c r="K1604" s="113">
        <f>VLOOKUP(J1604,辅助信息!H:I,2,FALSE)</f>
        <v>19130850820</v>
      </c>
      <c r="L1604" s="115" t="str">
        <f>VLOOKUP(B1604,辅助信息!E:J,6,FALSE)</f>
        <v>装货前联系收货人核实到场规格，货物最下面用方木垫下方便卸货</v>
      </c>
      <c r="M1604" s="84">
        <v>45800</v>
      </c>
      <c r="O1604" s="55">
        <f ca="1" t="shared" si="83"/>
        <v>0</v>
      </c>
      <c r="P1604" s="55">
        <f ca="1" t="shared" si="84"/>
        <v>157</v>
      </c>
      <c r="Q1604" s="22" t="str">
        <f>VLOOKUP(B1604,辅助信息!E:M,9,FALSE)</f>
        <v>ZTWM-CDGS-XS-2025-0050-中铁科研院-宜宾泥溪项目</v>
      </c>
      <c r="R1604" s="22" t="str">
        <f>_xlfn._xlws.FILTER(辅助信息!D:D,辅助信息!E:E=B1604)</f>
        <v>中铁科研院宜宾泥溪项目</v>
      </c>
    </row>
    <row r="1605" hidden="1" spans="2:18">
      <c r="B1605" s="113" t="s">
        <v>81</v>
      </c>
      <c r="C1605" s="63">
        <v>45798</v>
      </c>
      <c r="D1605" s="113" t="str">
        <f>VLOOKUP(B1605,辅助信息!E:K,7,FALSE)</f>
        <v>JWDDCD2025060900080</v>
      </c>
      <c r="E1605" s="113" t="str">
        <f>VLOOKUP(F1605,辅助信息!A:B,2,FALSE)</f>
        <v>盘螺</v>
      </c>
      <c r="F1605" s="113" t="s">
        <v>49</v>
      </c>
      <c r="G1605" s="114">
        <v>7.5</v>
      </c>
      <c r="H1605" s="114" t="str">
        <f>_xlfn.XLOOKUP(C1605&amp;F1605&amp;I1605&amp;J1605,'[1]2025年已发货'!$F:$F&amp;'[1]2025年已发货'!$C:$C&amp;'[1]2025年已发货'!$G:$G&amp;'[1]2025年已发货'!$H:$H,'[1]2025年已发货'!$E:$E,"未发货")</f>
        <v>未发货</v>
      </c>
      <c r="I1605" s="113" t="str">
        <f>VLOOKUP(B1605,辅助信息!E:I,3,FALSE)</f>
        <v>（华西简阳西城嘉苑）四川省成都市简阳市简城街道高屋村</v>
      </c>
      <c r="J1605" s="113" t="str">
        <f>VLOOKUP(B1605,辅助信息!E:I,4,FALSE)</f>
        <v>张瀚镭</v>
      </c>
      <c r="K1605" s="113">
        <f>VLOOKUP(J1605,辅助信息!H:I,2,FALSE)</f>
        <v>15884666220</v>
      </c>
      <c r="L1605" s="115" t="str">
        <f>VLOOKUP(B1605,辅助信息!E:J,6,FALSE)</f>
        <v>现场禁止使用氢能源挂车！优先威钢发货,我方卸车,新老国标钢厂不加价可直发，因陕钢多次出现磅差，项目拒绝使用</v>
      </c>
      <c r="M1605" s="84">
        <v>45800</v>
      </c>
      <c r="O1605" s="55">
        <f ca="1" t="shared" si="83"/>
        <v>0</v>
      </c>
      <c r="P1605" s="55">
        <f ca="1" t="shared" si="84"/>
        <v>157</v>
      </c>
      <c r="Q1605" s="22" t="str">
        <f>VLOOKUP(B1605,辅助信息!E:M,9,FALSE)</f>
        <v>ZTWM-CDGS-XS-2024-0030-华西集采-简州大道</v>
      </c>
      <c r="R1605" s="22" t="str">
        <f>_xlfn._xlws.FILTER(辅助信息!D:D,辅助信息!E:E=B1605)</f>
        <v>华西简阳西城嘉苑</v>
      </c>
    </row>
    <row r="1606" hidden="1" spans="2:18">
      <c r="B1606" s="113" t="s">
        <v>81</v>
      </c>
      <c r="C1606" s="63">
        <v>45798</v>
      </c>
      <c r="D1606" s="113" t="str">
        <f>VLOOKUP(B1606,辅助信息!E:K,7,FALSE)</f>
        <v>JWDDCD2025060900080</v>
      </c>
      <c r="E1606" s="113" t="str">
        <f>VLOOKUP(F1606,辅助信息!A:B,2,FALSE)</f>
        <v>盘螺</v>
      </c>
      <c r="F1606" s="113" t="s">
        <v>41</v>
      </c>
      <c r="G1606" s="114">
        <v>10</v>
      </c>
      <c r="H1606" s="114"/>
      <c r="I1606" s="113" t="str">
        <f>VLOOKUP(B1606,辅助信息!E:I,3,FALSE)</f>
        <v>（华西简阳西城嘉苑）四川省成都市简阳市简城街道高屋村</v>
      </c>
      <c r="J1606" s="113" t="str">
        <f>VLOOKUP(B1606,辅助信息!E:I,4,FALSE)</f>
        <v>张瀚镭</v>
      </c>
      <c r="K1606" s="113">
        <f>VLOOKUP(J1606,辅助信息!H:I,2,FALSE)</f>
        <v>15884666220</v>
      </c>
      <c r="L1606" s="115" t="str">
        <f>VLOOKUP(B1606,辅助信息!E:J,6,FALSE)</f>
        <v>现场禁止使用氢能源挂车！优先威钢发货,我方卸车,新老国标钢厂不加价可直发，因陕钢多次出现磅差，项目拒绝使用</v>
      </c>
      <c r="M1606" s="84">
        <v>45800</v>
      </c>
      <c r="O1606" s="55">
        <f ca="1" t="shared" si="83"/>
        <v>0</v>
      </c>
      <c r="P1606" s="55">
        <f ca="1" t="shared" si="84"/>
        <v>157</v>
      </c>
      <c r="Q1606" s="22" t="str">
        <f>VLOOKUP(B1606,辅助信息!E:M,9,FALSE)</f>
        <v>ZTWM-CDGS-XS-2024-0030-华西集采-简州大道</v>
      </c>
      <c r="R1606" s="22" t="str">
        <f>_xlfn._xlws.FILTER(辅助信息!D:D,辅助信息!E:E=B1606)</f>
        <v>华西简阳西城嘉苑</v>
      </c>
    </row>
    <row r="1607" hidden="1" spans="2:18">
      <c r="B1607" s="113" t="s">
        <v>81</v>
      </c>
      <c r="C1607" s="63">
        <v>45798</v>
      </c>
      <c r="D1607" s="113" t="str">
        <f>VLOOKUP(B1607,辅助信息!E:K,7,FALSE)</f>
        <v>JWDDCD2025060900080</v>
      </c>
      <c r="E1607" s="113" t="str">
        <f>VLOOKUP(F1607,辅助信息!A:B,2,FALSE)</f>
        <v>盘螺</v>
      </c>
      <c r="F1607" s="113" t="s">
        <v>26</v>
      </c>
      <c r="G1607" s="114">
        <v>29</v>
      </c>
      <c r="H1607" s="114">
        <f>_xlfn.XLOOKUP(C1607&amp;F1607&amp;I1607&amp;J1607,'[1]2025年已发货'!$F:$F&amp;'[1]2025年已发货'!$C:$C&amp;'[1]2025年已发货'!$G:$G&amp;'[1]2025年已发货'!$H:$H,'[1]2025年已发货'!$E:$E,"未发货")</f>
        <v>25</v>
      </c>
      <c r="I1607" s="113" t="str">
        <f>VLOOKUP(B1607,辅助信息!E:I,3,FALSE)</f>
        <v>（华西简阳西城嘉苑）四川省成都市简阳市简城街道高屋村</v>
      </c>
      <c r="J1607" s="113" t="str">
        <f>VLOOKUP(B1607,辅助信息!E:I,4,FALSE)</f>
        <v>张瀚镭</v>
      </c>
      <c r="K1607" s="113">
        <f>VLOOKUP(J1607,辅助信息!H:I,2,FALSE)</f>
        <v>15884666220</v>
      </c>
      <c r="L1607" s="115" t="str">
        <f>VLOOKUP(B1607,辅助信息!E:J,6,FALSE)</f>
        <v>现场禁止使用氢能源挂车！优先威钢发货,我方卸车,新老国标钢厂不加价可直发，因陕钢多次出现磅差，项目拒绝使用</v>
      </c>
      <c r="M1607" s="84">
        <v>45800</v>
      </c>
      <c r="O1607" s="55">
        <f ca="1" t="shared" si="83"/>
        <v>0</v>
      </c>
      <c r="P1607" s="55">
        <f ca="1" t="shared" si="84"/>
        <v>157</v>
      </c>
      <c r="Q1607" s="22" t="str">
        <f>VLOOKUP(B1607,辅助信息!E:M,9,FALSE)</f>
        <v>ZTWM-CDGS-XS-2024-0030-华西集采-简州大道</v>
      </c>
      <c r="R1607" s="22" t="str">
        <f>_xlfn._xlws.FILTER(辅助信息!D:D,辅助信息!E:E=B1607)</f>
        <v>华西简阳西城嘉苑</v>
      </c>
    </row>
    <row r="1608" hidden="1" spans="2:18">
      <c r="B1608" s="113" t="s">
        <v>81</v>
      </c>
      <c r="C1608" s="63">
        <v>45798</v>
      </c>
      <c r="D1608" s="113" t="str">
        <f>VLOOKUP(B1608,辅助信息!E:K,7,FALSE)</f>
        <v>JWDDCD2025060900080</v>
      </c>
      <c r="E1608" s="113" t="str">
        <f>VLOOKUP(F1608,辅助信息!A:B,2,FALSE)</f>
        <v>螺纹钢</v>
      </c>
      <c r="F1608" s="113" t="s">
        <v>30</v>
      </c>
      <c r="G1608" s="114">
        <v>13.5</v>
      </c>
      <c r="H1608" s="114" t="str">
        <f>_xlfn.XLOOKUP(C1608&amp;F1608&amp;I1608&amp;J1608,'[1]2025年已发货'!$F:$F&amp;'[1]2025年已发货'!$C:$C&amp;'[1]2025年已发货'!$G:$G&amp;'[1]2025年已发货'!$H:$H,'[1]2025年已发货'!$E:$E,"未发货")</f>
        <v>未发货</v>
      </c>
      <c r="I1608" s="113" t="str">
        <f>VLOOKUP(B1608,辅助信息!E:I,3,FALSE)</f>
        <v>（华西简阳西城嘉苑）四川省成都市简阳市简城街道高屋村</v>
      </c>
      <c r="J1608" s="113" t="str">
        <f>VLOOKUP(B1608,辅助信息!E:I,4,FALSE)</f>
        <v>张瀚镭</v>
      </c>
      <c r="K1608" s="113">
        <f>VLOOKUP(J1608,辅助信息!H:I,2,FALSE)</f>
        <v>15884666220</v>
      </c>
      <c r="L1608" s="115" t="str">
        <f>VLOOKUP(B1608,辅助信息!E:J,6,FALSE)</f>
        <v>现场禁止使用氢能源挂车！优先威钢发货,我方卸车,新老国标钢厂不加价可直发，因陕钢多次出现磅差，项目拒绝使用</v>
      </c>
      <c r="M1608" s="84">
        <v>45800</v>
      </c>
      <c r="O1608" s="55">
        <f ca="1" t="shared" si="83"/>
        <v>0</v>
      </c>
      <c r="P1608" s="55">
        <f ca="1" t="shared" si="84"/>
        <v>157</v>
      </c>
      <c r="Q1608" s="22" t="str">
        <f>VLOOKUP(B1608,辅助信息!E:M,9,FALSE)</f>
        <v>ZTWM-CDGS-XS-2024-0030-华西集采-简州大道</v>
      </c>
      <c r="R1608" s="22" t="str">
        <f>_xlfn._xlws.FILTER(辅助信息!D:D,辅助信息!E:E=B1608)</f>
        <v>华西简阳西城嘉苑</v>
      </c>
    </row>
    <row r="1609" hidden="1" spans="2:18">
      <c r="B1609" s="113" t="s">
        <v>81</v>
      </c>
      <c r="C1609" s="63">
        <v>45798</v>
      </c>
      <c r="D1609" s="113" t="str">
        <f>VLOOKUP(B1609,辅助信息!E:K,7,FALSE)</f>
        <v>JWDDCD2025060900080</v>
      </c>
      <c r="E1609" s="113" t="str">
        <f>VLOOKUP(F1609,辅助信息!A:B,2,FALSE)</f>
        <v>螺纹钢</v>
      </c>
      <c r="F1609" s="113" t="s">
        <v>33</v>
      </c>
      <c r="G1609" s="114">
        <v>14</v>
      </c>
      <c r="H1609" s="114">
        <v>12</v>
      </c>
      <c r="I1609" s="113" t="str">
        <f>VLOOKUP(B1609,辅助信息!E:I,3,FALSE)</f>
        <v>（华西简阳西城嘉苑）四川省成都市简阳市简城街道高屋村</v>
      </c>
      <c r="J1609" s="113" t="str">
        <f>VLOOKUP(B1609,辅助信息!E:I,4,FALSE)</f>
        <v>张瀚镭</v>
      </c>
      <c r="K1609" s="113">
        <f>VLOOKUP(J1609,辅助信息!H:I,2,FALSE)</f>
        <v>15884666220</v>
      </c>
      <c r="L1609" s="115" t="str">
        <f>VLOOKUP(B1609,辅助信息!E:J,6,FALSE)</f>
        <v>现场禁止使用氢能源挂车！优先威钢发货,我方卸车,新老国标钢厂不加价可直发，因陕钢多次出现磅差，项目拒绝使用</v>
      </c>
      <c r="M1609" s="84">
        <v>45800</v>
      </c>
      <c r="O1609" s="55">
        <f ca="1" t="shared" si="83"/>
        <v>0</v>
      </c>
      <c r="P1609" s="55">
        <f ca="1" t="shared" si="84"/>
        <v>157</v>
      </c>
      <c r="Q1609" s="22" t="str">
        <f>VLOOKUP(B1609,辅助信息!E:M,9,FALSE)</f>
        <v>ZTWM-CDGS-XS-2024-0030-华西集采-简州大道</v>
      </c>
      <c r="R1609" s="22" t="str">
        <f>_xlfn._xlws.FILTER(辅助信息!D:D,辅助信息!E:E=B1609)</f>
        <v>华西简阳西城嘉苑</v>
      </c>
    </row>
    <row r="1610" hidden="1" spans="2:17">
      <c r="B1610" s="33" t="s">
        <v>147</v>
      </c>
      <c r="C1610" s="63">
        <v>45798</v>
      </c>
      <c r="D1610" s="113" t="str">
        <f>VLOOKUP(B1610,辅助信息!E:K,7,FALSE)</f>
        <v>JWDDCD2025052800131</v>
      </c>
      <c r="E1610" s="113" t="str">
        <f>VLOOKUP(F1610,辅助信息!A:B,2,FALSE)</f>
        <v>高线</v>
      </c>
      <c r="F1610" s="33" t="s">
        <v>57</v>
      </c>
      <c r="G1610" s="29">
        <v>13</v>
      </c>
      <c r="H1610" s="114" t="str">
        <f>_xlfn.XLOOKUP(C1610&amp;F1610&amp;I1610&amp;J1610,'[1]2025年已发货'!$F:$F&amp;'[1]2025年已发货'!$C:$C&amp;'[1]2025年已发货'!$G:$G&amp;'[1]2025年已发货'!$H:$H,'[1]2025年已发货'!$E:$E,"未发货")</f>
        <v>未发货</v>
      </c>
      <c r="I1610" s="113" t="str">
        <f>VLOOKUP(B1610,辅助信息!E:I,3,FALSE)</f>
        <v>（商投建工达州中医药科技园-4工区-11号楼）达州市通川区达州中医药职业学院犀牛大道北段</v>
      </c>
      <c r="J1610" s="113" t="str">
        <f>VLOOKUP(B1610,辅助信息!E:I,4,FALSE)</f>
        <v>张扬</v>
      </c>
      <c r="K1610" s="113">
        <f>VLOOKUP(J1610,辅助信息!H:I,2,FALSE)</f>
        <v>18381904567</v>
      </c>
      <c r="L1610" s="115" t="str">
        <f>VLOOKUP(B1610,辅助信息!E:J,6,FALSE)</f>
        <v>控制炉批号！多了现场不收！,优先安排达钢,提前联系到场规格及数量</v>
      </c>
      <c r="M1610" s="84">
        <v>45799</v>
      </c>
      <c r="O1610" s="55">
        <f ca="1" t="shared" si="83"/>
        <v>0</v>
      </c>
      <c r="P1610" s="55">
        <f ca="1" t="shared" si="84"/>
        <v>158</v>
      </c>
      <c r="Q1610" s="22" t="str">
        <f>VLOOKUP(B1610,辅助信息!E:M,9,FALSE)</f>
        <v>ZTWM-CDGS-XS-2024-0134-商投建工达州中医药科技成果示范园项目</v>
      </c>
    </row>
    <row r="1611" hidden="1" spans="2:17">
      <c r="B1611" s="33" t="s">
        <v>147</v>
      </c>
      <c r="C1611" s="63">
        <v>45798</v>
      </c>
      <c r="D1611" s="113" t="str">
        <f>VLOOKUP(B1611,辅助信息!E:K,7,FALSE)</f>
        <v>JWDDCD2025052800131</v>
      </c>
      <c r="E1611" s="113" t="str">
        <f>VLOOKUP(F1611,辅助信息!A:B,2,FALSE)</f>
        <v>盘螺</v>
      </c>
      <c r="F1611" s="33" t="s">
        <v>49</v>
      </c>
      <c r="G1611" s="29">
        <v>6</v>
      </c>
      <c r="H1611" s="114" t="str">
        <f>_xlfn.XLOOKUP(C1611&amp;F1611&amp;I1611&amp;J1611,'[1]2025年已发货'!$F:$F&amp;'[1]2025年已发货'!$C:$C&amp;'[1]2025年已发货'!$G:$G&amp;'[1]2025年已发货'!$H:$H,'[1]2025年已发货'!$E:$E,"未发货")</f>
        <v>未发货</v>
      </c>
      <c r="I1611" s="113" t="str">
        <f>VLOOKUP(B1611,辅助信息!E:I,3,FALSE)</f>
        <v>（商投建工达州中医药科技园-4工区-11号楼）达州市通川区达州中医药职业学院犀牛大道北段</v>
      </c>
      <c r="J1611" s="113" t="str">
        <f>VLOOKUP(B1611,辅助信息!E:I,4,FALSE)</f>
        <v>张扬</v>
      </c>
      <c r="K1611" s="113">
        <f>VLOOKUP(J1611,辅助信息!H:I,2,FALSE)</f>
        <v>18381904567</v>
      </c>
      <c r="L1611" s="115" t="str">
        <f>VLOOKUP(B1611,辅助信息!E:J,6,FALSE)</f>
        <v>控制炉批号！多了现场不收！,优先安排达钢,提前联系到场规格及数量</v>
      </c>
      <c r="M1611" s="84">
        <v>45799</v>
      </c>
      <c r="O1611" s="55">
        <f ca="1" t="shared" si="83"/>
        <v>0</v>
      </c>
      <c r="P1611" s="55">
        <f ca="1" t="shared" si="84"/>
        <v>158</v>
      </c>
      <c r="Q1611" s="22" t="str">
        <f>VLOOKUP(B1611,辅助信息!E:M,9,FALSE)</f>
        <v>ZTWM-CDGS-XS-2024-0134-商投建工达州中医药科技成果示范园项目</v>
      </c>
    </row>
    <row r="1612" hidden="1" spans="2:17">
      <c r="B1612" s="33" t="s">
        <v>147</v>
      </c>
      <c r="C1612" s="63">
        <v>45798</v>
      </c>
      <c r="D1612" s="113" t="str">
        <f>VLOOKUP(B1612,辅助信息!E:K,7,FALSE)</f>
        <v>JWDDCD2025052800131</v>
      </c>
      <c r="E1612" s="113" t="str">
        <f>VLOOKUP(F1612,辅助信息!A:B,2,FALSE)</f>
        <v>螺纹钢</v>
      </c>
      <c r="F1612" s="33" t="s">
        <v>32</v>
      </c>
      <c r="G1612" s="29">
        <v>6</v>
      </c>
      <c r="H1612" s="114" t="str">
        <f>_xlfn.XLOOKUP(C1612&amp;F1612&amp;I1612&amp;J1612,'[1]2025年已发货'!$F:$F&amp;'[1]2025年已发货'!$C:$C&amp;'[1]2025年已发货'!$G:$G&amp;'[1]2025年已发货'!$H:$H,'[1]2025年已发货'!$E:$E,"未发货")</f>
        <v>未发货</v>
      </c>
      <c r="I1612" s="113" t="str">
        <f>VLOOKUP(B1612,辅助信息!E:I,3,FALSE)</f>
        <v>（商投建工达州中医药科技园-4工区-11号楼）达州市通川区达州中医药职业学院犀牛大道北段</v>
      </c>
      <c r="J1612" s="113" t="str">
        <f>VLOOKUP(B1612,辅助信息!E:I,4,FALSE)</f>
        <v>张扬</v>
      </c>
      <c r="K1612" s="113">
        <f>VLOOKUP(J1612,辅助信息!H:I,2,FALSE)</f>
        <v>18381904567</v>
      </c>
      <c r="L1612" s="115" t="str">
        <f>VLOOKUP(B1612,辅助信息!E:J,6,FALSE)</f>
        <v>控制炉批号！多了现场不收！,优先安排达钢,提前联系到场规格及数量</v>
      </c>
      <c r="M1612" s="84">
        <v>45799</v>
      </c>
      <c r="O1612" s="55">
        <f ca="1" t="shared" si="83"/>
        <v>0</v>
      </c>
      <c r="P1612" s="55">
        <f ca="1" t="shared" si="84"/>
        <v>158</v>
      </c>
      <c r="Q1612" s="22" t="str">
        <f>VLOOKUP(B1612,辅助信息!E:M,9,FALSE)</f>
        <v>ZTWM-CDGS-XS-2024-0134-商投建工达州中医药科技成果示范园项目</v>
      </c>
    </row>
    <row r="1613" hidden="1" spans="2:17">
      <c r="B1613" s="33" t="s">
        <v>147</v>
      </c>
      <c r="C1613" s="63">
        <v>45798</v>
      </c>
      <c r="D1613" s="113" t="str">
        <f>VLOOKUP(B1613,辅助信息!E:K,7,FALSE)</f>
        <v>JWDDCD2025052800131</v>
      </c>
      <c r="E1613" s="113" t="str">
        <f>VLOOKUP(F1613,辅助信息!A:B,2,FALSE)</f>
        <v>螺纹钢</v>
      </c>
      <c r="F1613" s="33" t="s">
        <v>18</v>
      </c>
      <c r="G1613" s="29">
        <v>9</v>
      </c>
      <c r="H1613" s="114" t="str">
        <f>_xlfn.XLOOKUP(C1613&amp;F1613&amp;I1613&amp;J1613,'[1]2025年已发货'!$F:$F&amp;'[1]2025年已发货'!$C:$C&amp;'[1]2025年已发货'!$G:$G&amp;'[1]2025年已发货'!$H:$H,'[1]2025年已发货'!$E:$E,"未发货")</f>
        <v>未发货</v>
      </c>
      <c r="I1613" s="113" t="str">
        <f>VLOOKUP(B1613,辅助信息!E:I,3,FALSE)</f>
        <v>（商投建工达州中医药科技园-4工区-11号楼）达州市通川区达州中医药职业学院犀牛大道北段</v>
      </c>
      <c r="J1613" s="113" t="str">
        <f>VLOOKUP(B1613,辅助信息!E:I,4,FALSE)</f>
        <v>张扬</v>
      </c>
      <c r="K1613" s="113">
        <f>VLOOKUP(J1613,辅助信息!H:I,2,FALSE)</f>
        <v>18381904567</v>
      </c>
      <c r="L1613" s="115" t="str">
        <f>VLOOKUP(B1613,辅助信息!E:J,6,FALSE)</f>
        <v>控制炉批号！多了现场不收！,优先安排达钢,提前联系到场规格及数量</v>
      </c>
      <c r="M1613" s="84">
        <v>45799</v>
      </c>
      <c r="O1613" s="55">
        <f ca="1" t="shared" si="83"/>
        <v>0</v>
      </c>
      <c r="P1613" s="55">
        <f ca="1" t="shared" si="84"/>
        <v>158</v>
      </c>
      <c r="Q1613" s="22" t="str">
        <f>VLOOKUP(B1613,辅助信息!E:M,9,FALSE)</f>
        <v>ZTWM-CDGS-XS-2024-0134-商投建工达州中医药科技成果示范园项目</v>
      </c>
    </row>
    <row r="1614" hidden="1" spans="2:17">
      <c r="B1614" s="33" t="s">
        <v>81</v>
      </c>
      <c r="C1614" s="63">
        <v>45798</v>
      </c>
      <c r="D1614" s="113" t="str">
        <f>VLOOKUP(B1614,辅助信息!E:K,7,FALSE)</f>
        <v>JWDDCD2025060900080</v>
      </c>
      <c r="E1614" s="113" t="str">
        <f>VLOOKUP(F1614,辅助信息!A:B,2,FALSE)</f>
        <v>盘螺</v>
      </c>
      <c r="F1614" s="33" t="s">
        <v>49</v>
      </c>
      <c r="G1614" s="29">
        <v>3</v>
      </c>
      <c r="H1614" s="114" t="str">
        <f>_xlfn.XLOOKUP(C1614&amp;F1614&amp;I1614&amp;J1614,'[1]2025年已发货'!$F:$F&amp;'[1]2025年已发货'!$C:$C&amp;'[1]2025年已发货'!$G:$G&amp;'[1]2025年已发货'!$H:$H,'[1]2025年已发货'!$E:$E,"未发货")</f>
        <v>未发货</v>
      </c>
      <c r="I1614" s="113" t="str">
        <f>VLOOKUP(B1614,辅助信息!E:I,3,FALSE)</f>
        <v>（华西简阳西城嘉苑）四川省成都市简阳市简城街道高屋村</v>
      </c>
      <c r="J1614" s="113" t="str">
        <f>VLOOKUP(B1614,辅助信息!E:I,4,FALSE)</f>
        <v>张瀚镭</v>
      </c>
      <c r="K1614" s="113">
        <f>VLOOKUP(J1614,辅助信息!H:I,2,FALSE)</f>
        <v>15884666220</v>
      </c>
      <c r="L1614" s="115" t="str">
        <f>VLOOKUP(B1614,辅助信息!E:J,6,FALSE)</f>
        <v>现场禁止使用氢能源挂车！优先威钢发货,我方卸车,新老国标钢厂不加价可直发，因陕钢多次出现磅差，项目拒绝使用</v>
      </c>
      <c r="M1614" s="84">
        <v>45799</v>
      </c>
      <c r="O1614" s="55">
        <f ca="1" t="shared" ref="O1614:O1635" si="85">IF(OR(M1614="",N1614&lt;&gt;""),"",MAX(M1614-TODAY(),0))</f>
        <v>0</v>
      </c>
      <c r="P1614" s="55">
        <f ca="1" t="shared" ref="P1614:P1635" si="86">IF(M1614="","",IF(N1614&lt;&gt;"",MAX(N1614-M1614,0),IF(TODAY()&gt;M1614,TODAY()-M1614,0)))</f>
        <v>158</v>
      </c>
      <c r="Q1614" s="22" t="str">
        <f>VLOOKUP(B1614,辅助信息!E:M,9,FALSE)</f>
        <v>ZTWM-CDGS-XS-2024-0030-华西集采-简州大道</v>
      </c>
    </row>
    <row r="1615" hidden="1" spans="2:17">
      <c r="B1615" s="33" t="s">
        <v>81</v>
      </c>
      <c r="C1615" s="63">
        <v>45798</v>
      </c>
      <c r="D1615" s="113" t="str">
        <f>VLOOKUP(B1615,辅助信息!E:K,7,FALSE)</f>
        <v>JWDDCD2025060900080</v>
      </c>
      <c r="E1615" s="113" t="str">
        <f>VLOOKUP(F1615,辅助信息!A:B,2,FALSE)</f>
        <v>盘螺</v>
      </c>
      <c r="F1615" s="33" t="s">
        <v>40</v>
      </c>
      <c r="G1615" s="29">
        <v>14</v>
      </c>
      <c r="H1615" s="114">
        <f>_xlfn.XLOOKUP(C1615&amp;F1615&amp;I1615&amp;J1615,'[1]2025年已发货'!$F:$F&amp;'[1]2025年已发货'!$C:$C&amp;'[1]2025年已发货'!$G:$G&amp;'[1]2025年已发货'!$H:$H,'[1]2025年已发货'!$E:$E,"未发货")</f>
        <v>15</v>
      </c>
      <c r="I1615" s="113" t="str">
        <f>VLOOKUP(B1615,辅助信息!E:I,3,FALSE)</f>
        <v>（华西简阳西城嘉苑）四川省成都市简阳市简城街道高屋村</v>
      </c>
      <c r="J1615" s="113" t="str">
        <f>VLOOKUP(B1615,辅助信息!E:I,4,FALSE)</f>
        <v>张瀚镭</v>
      </c>
      <c r="K1615" s="113">
        <f>VLOOKUP(J1615,辅助信息!H:I,2,FALSE)</f>
        <v>15884666220</v>
      </c>
      <c r="L1615" s="115" t="str">
        <f>VLOOKUP(B1615,辅助信息!E:J,6,FALSE)</f>
        <v>现场禁止使用氢能源挂车！优先威钢发货,我方卸车,新老国标钢厂不加价可直发，因陕钢多次出现磅差，项目拒绝使用</v>
      </c>
      <c r="M1615" s="84">
        <v>45799</v>
      </c>
      <c r="O1615" s="55">
        <f ca="1" t="shared" si="85"/>
        <v>0</v>
      </c>
      <c r="P1615" s="55">
        <f ca="1" t="shared" si="86"/>
        <v>158</v>
      </c>
      <c r="Q1615" s="22" t="str">
        <f>VLOOKUP(B1615,辅助信息!E:M,9,FALSE)</f>
        <v>ZTWM-CDGS-XS-2024-0030-华西集采-简州大道</v>
      </c>
    </row>
    <row r="1616" hidden="1" spans="2:17">
      <c r="B1616" s="33" t="s">
        <v>81</v>
      </c>
      <c r="C1616" s="63">
        <v>45798</v>
      </c>
      <c r="D1616" s="113" t="str">
        <f>VLOOKUP(B1616,辅助信息!E:K,7,FALSE)</f>
        <v>JWDDCD2025060900080</v>
      </c>
      <c r="E1616" s="113" t="str">
        <f>VLOOKUP(F1616,辅助信息!A:B,2,FALSE)</f>
        <v>盘螺</v>
      </c>
      <c r="F1616" s="33" t="s">
        <v>41</v>
      </c>
      <c r="G1616" s="29">
        <v>30</v>
      </c>
      <c r="H1616" s="114">
        <f>_xlfn.XLOOKUP(C1616&amp;F1616&amp;I1616&amp;J1616,'[1]2025年已发货'!$F:$F&amp;'[1]2025年已发货'!$C:$C&amp;'[1]2025年已发货'!$G:$G&amp;'[1]2025年已发货'!$H:$H,'[1]2025年已发货'!$E:$E,"未发货")</f>
        <v>30</v>
      </c>
      <c r="I1616" s="113" t="str">
        <f>VLOOKUP(B1616,辅助信息!E:I,3,FALSE)</f>
        <v>（华西简阳西城嘉苑）四川省成都市简阳市简城街道高屋村</v>
      </c>
      <c r="J1616" s="113" t="str">
        <f>VLOOKUP(B1616,辅助信息!E:I,4,FALSE)</f>
        <v>张瀚镭</v>
      </c>
      <c r="K1616" s="113">
        <f>VLOOKUP(J1616,辅助信息!H:I,2,FALSE)</f>
        <v>15884666220</v>
      </c>
      <c r="L1616" s="115" t="str">
        <f>VLOOKUP(B1616,辅助信息!E:J,6,FALSE)</f>
        <v>现场禁止使用氢能源挂车！优先威钢发货,我方卸车,新老国标钢厂不加价可直发，因陕钢多次出现磅差，项目拒绝使用</v>
      </c>
      <c r="M1616" s="84">
        <v>45799</v>
      </c>
      <c r="O1616" s="55">
        <f ca="1" t="shared" si="85"/>
        <v>0</v>
      </c>
      <c r="P1616" s="55">
        <f ca="1" t="shared" si="86"/>
        <v>158</v>
      </c>
      <c r="Q1616" s="22" t="str">
        <f>VLOOKUP(B1616,辅助信息!E:M,9,FALSE)</f>
        <v>ZTWM-CDGS-XS-2024-0030-华西集采-简州大道</v>
      </c>
    </row>
    <row r="1617" hidden="1" spans="2:17">
      <c r="B1617" s="33" t="s">
        <v>81</v>
      </c>
      <c r="C1617" s="63">
        <v>45798</v>
      </c>
      <c r="D1617" s="113" t="str">
        <f>VLOOKUP(B1617,辅助信息!E:K,7,FALSE)</f>
        <v>JWDDCD2025060900080</v>
      </c>
      <c r="E1617" s="113" t="str">
        <f>VLOOKUP(F1617,辅助信息!A:B,2,FALSE)</f>
        <v>盘螺</v>
      </c>
      <c r="F1617" s="33" t="s">
        <v>26</v>
      </c>
      <c r="G1617" s="29">
        <v>30</v>
      </c>
      <c r="H1617" s="114"/>
      <c r="I1617" s="113" t="str">
        <f>VLOOKUP(B1617,辅助信息!E:I,3,FALSE)</f>
        <v>（华西简阳西城嘉苑）四川省成都市简阳市简城街道高屋村</v>
      </c>
      <c r="J1617" s="113" t="str">
        <f>VLOOKUP(B1617,辅助信息!E:I,4,FALSE)</f>
        <v>张瀚镭</v>
      </c>
      <c r="K1617" s="113">
        <f>VLOOKUP(J1617,辅助信息!H:I,2,FALSE)</f>
        <v>15884666220</v>
      </c>
      <c r="L1617" s="115" t="str">
        <f>VLOOKUP(B1617,辅助信息!E:J,6,FALSE)</f>
        <v>现场禁止使用氢能源挂车！优先威钢发货,我方卸车,新老国标钢厂不加价可直发，因陕钢多次出现磅差，项目拒绝使用</v>
      </c>
      <c r="M1617" s="84">
        <v>45799</v>
      </c>
      <c r="O1617" s="55">
        <f ca="1" t="shared" si="85"/>
        <v>0</v>
      </c>
      <c r="P1617" s="55">
        <f ca="1" t="shared" si="86"/>
        <v>158</v>
      </c>
      <c r="Q1617" s="22" t="str">
        <f>VLOOKUP(B1617,辅助信息!E:M,9,FALSE)</f>
        <v>ZTWM-CDGS-XS-2024-0030-华西集采-简州大道</v>
      </c>
    </row>
    <row r="1618" hidden="1" spans="2:17">
      <c r="B1618" s="33" t="s">
        <v>81</v>
      </c>
      <c r="C1618" s="63">
        <v>45798</v>
      </c>
      <c r="D1618" s="113" t="str">
        <f>VLOOKUP(B1618,辅助信息!E:K,7,FALSE)</f>
        <v>JWDDCD2025060900080</v>
      </c>
      <c r="E1618" s="113" t="str">
        <f>VLOOKUP(F1618,辅助信息!A:B,2,FALSE)</f>
        <v>螺纹钢</v>
      </c>
      <c r="F1618" s="33" t="s">
        <v>32</v>
      </c>
      <c r="G1618" s="29">
        <v>5</v>
      </c>
      <c r="H1618" s="114">
        <f>_xlfn.XLOOKUP(C1618&amp;F1618&amp;I1618&amp;J1618,'[1]2025年已发货'!$F:$F&amp;'[1]2025年已发货'!$C:$C&amp;'[1]2025年已发货'!$G:$G&amp;'[1]2025年已发货'!$H:$H,'[1]2025年已发货'!$E:$E,"未发货")</f>
        <v>6</v>
      </c>
      <c r="I1618" s="113" t="str">
        <f>VLOOKUP(B1618,辅助信息!E:I,3,FALSE)</f>
        <v>（华西简阳西城嘉苑）四川省成都市简阳市简城街道高屋村</v>
      </c>
      <c r="J1618" s="113" t="str">
        <f>VLOOKUP(B1618,辅助信息!E:I,4,FALSE)</f>
        <v>张瀚镭</v>
      </c>
      <c r="K1618" s="113">
        <f>VLOOKUP(J1618,辅助信息!H:I,2,FALSE)</f>
        <v>15884666220</v>
      </c>
      <c r="L1618" s="115" t="str">
        <f>VLOOKUP(B1618,辅助信息!E:J,6,FALSE)</f>
        <v>现场禁止使用氢能源挂车！优先威钢发货,我方卸车,新老国标钢厂不加价可直发，因陕钢多次出现磅差，项目拒绝使用</v>
      </c>
      <c r="M1618" s="84">
        <v>45799</v>
      </c>
      <c r="O1618" s="55">
        <f ca="1" t="shared" si="85"/>
        <v>0</v>
      </c>
      <c r="P1618" s="55">
        <f ca="1" t="shared" si="86"/>
        <v>158</v>
      </c>
      <c r="Q1618" s="22" t="str">
        <f>VLOOKUP(B1618,辅助信息!E:M,9,FALSE)</f>
        <v>ZTWM-CDGS-XS-2024-0030-华西集采-简州大道</v>
      </c>
    </row>
    <row r="1619" hidden="1" spans="2:17">
      <c r="B1619" s="33" t="s">
        <v>81</v>
      </c>
      <c r="C1619" s="63">
        <v>45798</v>
      </c>
      <c r="D1619" s="113" t="str">
        <f>VLOOKUP(B1619,辅助信息!E:K,7,FALSE)</f>
        <v>JWDDCD2025060900080</v>
      </c>
      <c r="E1619" s="113" t="str">
        <f>VLOOKUP(F1619,辅助信息!A:B,2,FALSE)</f>
        <v>螺纹钢</v>
      </c>
      <c r="F1619" s="33" t="s">
        <v>30</v>
      </c>
      <c r="G1619" s="29">
        <v>20</v>
      </c>
      <c r="H1619" s="114" t="str">
        <f>_xlfn.XLOOKUP(C1619&amp;F1619&amp;I1619&amp;J1619,'[1]2025年已发货'!$F:$F&amp;'[1]2025年已发货'!$C:$C&amp;'[1]2025年已发货'!$G:$G&amp;'[1]2025年已发货'!$H:$H,'[1]2025年已发货'!$E:$E,"未发货")</f>
        <v>未发货</v>
      </c>
      <c r="I1619" s="113" t="str">
        <f>VLOOKUP(B1619,辅助信息!E:I,3,FALSE)</f>
        <v>（华西简阳西城嘉苑）四川省成都市简阳市简城街道高屋村</v>
      </c>
      <c r="J1619" s="113" t="str">
        <f>VLOOKUP(B1619,辅助信息!E:I,4,FALSE)</f>
        <v>张瀚镭</v>
      </c>
      <c r="K1619" s="113">
        <f>VLOOKUP(J1619,辅助信息!H:I,2,FALSE)</f>
        <v>15884666220</v>
      </c>
      <c r="L1619" s="115" t="str">
        <f>VLOOKUP(B1619,辅助信息!E:J,6,FALSE)</f>
        <v>现场禁止使用氢能源挂车！优先威钢发货,我方卸车,新老国标钢厂不加价可直发，因陕钢多次出现磅差，项目拒绝使用</v>
      </c>
      <c r="M1619" s="84">
        <v>45799</v>
      </c>
      <c r="O1619" s="55">
        <f ca="1" t="shared" si="85"/>
        <v>0</v>
      </c>
      <c r="P1619" s="55">
        <f ca="1" t="shared" si="86"/>
        <v>158</v>
      </c>
      <c r="Q1619" s="22" t="str">
        <f>VLOOKUP(B1619,辅助信息!E:M,9,FALSE)</f>
        <v>ZTWM-CDGS-XS-2024-0030-华西集采-简州大道</v>
      </c>
    </row>
    <row r="1620" hidden="1" spans="2:17">
      <c r="B1620" s="33" t="s">
        <v>81</v>
      </c>
      <c r="C1620" s="63">
        <v>45798</v>
      </c>
      <c r="D1620" s="113" t="str">
        <f>VLOOKUP(B1620,辅助信息!E:K,7,FALSE)</f>
        <v>JWDDCD2025060900080</v>
      </c>
      <c r="E1620" s="113" t="str">
        <f>VLOOKUP(F1620,辅助信息!A:B,2,FALSE)</f>
        <v>螺纹钢</v>
      </c>
      <c r="F1620" s="33" t="s">
        <v>33</v>
      </c>
      <c r="G1620" s="29">
        <v>12</v>
      </c>
      <c r="H1620" s="114">
        <v>12</v>
      </c>
      <c r="I1620" s="113" t="str">
        <f>VLOOKUP(B1620,辅助信息!E:I,3,FALSE)</f>
        <v>（华西简阳西城嘉苑）四川省成都市简阳市简城街道高屋村</v>
      </c>
      <c r="J1620" s="113" t="str">
        <f>VLOOKUP(B1620,辅助信息!E:I,4,FALSE)</f>
        <v>张瀚镭</v>
      </c>
      <c r="K1620" s="113">
        <f>VLOOKUP(J1620,辅助信息!H:I,2,FALSE)</f>
        <v>15884666220</v>
      </c>
      <c r="L1620" s="115" t="str">
        <f>VLOOKUP(B1620,辅助信息!E:J,6,FALSE)</f>
        <v>现场禁止使用氢能源挂车！优先威钢发货,我方卸车,新老国标钢厂不加价可直发，因陕钢多次出现磅差，项目拒绝使用</v>
      </c>
      <c r="M1620" s="84">
        <v>45799</v>
      </c>
      <c r="O1620" s="55">
        <f ca="1" t="shared" si="85"/>
        <v>0</v>
      </c>
      <c r="P1620" s="55">
        <f ca="1" t="shared" si="86"/>
        <v>158</v>
      </c>
      <c r="Q1620" s="22" t="str">
        <f>VLOOKUP(B1620,辅助信息!E:M,9,FALSE)</f>
        <v>ZTWM-CDGS-XS-2024-0030-华西集采-简州大道</v>
      </c>
    </row>
    <row r="1621" hidden="1" spans="2:17">
      <c r="B1621" s="33" t="s">
        <v>81</v>
      </c>
      <c r="C1621" s="63">
        <v>45798</v>
      </c>
      <c r="D1621" s="113" t="str">
        <f>VLOOKUP(B1621,辅助信息!E:K,7,FALSE)</f>
        <v>JWDDCD2025060900080</v>
      </c>
      <c r="E1621" s="113" t="str">
        <f>VLOOKUP(F1621,辅助信息!A:B,2,FALSE)</f>
        <v>螺纹钢</v>
      </c>
      <c r="F1621" s="33" t="s">
        <v>28</v>
      </c>
      <c r="G1621" s="29">
        <v>3</v>
      </c>
      <c r="H1621" s="114">
        <f>_xlfn.XLOOKUP(C1621&amp;F1621&amp;I1621&amp;J1621,'[1]2025年已发货'!$F:$F&amp;'[1]2025年已发货'!$C:$C&amp;'[1]2025年已发货'!$G:$G&amp;'[1]2025年已发货'!$H:$H,'[1]2025年已发货'!$E:$E,"未发货")</f>
        <v>3</v>
      </c>
      <c r="I1621" s="113" t="str">
        <f>VLOOKUP(B1621,辅助信息!E:I,3,FALSE)</f>
        <v>（华西简阳西城嘉苑）四川省成都市简阳市简城街道高屋村</v>
      </c>
      <c r="J1621" s="113" t="str">
        <f>VLOOKUP(B1621,辅助信息!E:I,4,FALSE)</f>
        <v>张瀚镭</v>
      </c>
      <c r="K1621" s="113">
        <f>VLOOKUP(J1621,辅助信息!H:I,2,FALSE)</f>
        <v>15884666220</v>
      </c>
      <c r="L1621" s="115" t="str">
        <f>VLOOKUP(B1621,辅助信息!E:J,6,FALSE)</f>
        <v>现场禁止使用氢能源挂车！优先威钢发货,我方卸车,新老国标钢厂不加价可直发，因陕钢多次出现磅差，项目拒绝使用</v>
      </c>
      <c r="M1621" s="84">
        <v>45799</v>
      </c>
      <c r="O1621" s="55">
        <f ca="1" t="shared" si="85"/>
        <v>0</v>
      </c>
      <c r="P1621" s="55">
        <f ca="1" t="shared" si="86"/>
        <v>158</v>
      </c>
      <c r="Q1621" s="22" t="str">
        <f>VLOOKUP(B1621,辅助信息!E:M,9,FALSE)</f>
        <v>ZTWM-CDGS-XS-2024-0030-华西集采-简州大道</v>
      </c>
    </row>
    <row r="1622" hidden="1" spans="2:17">
      <c r="B1622" s="33" t="s">
        <v>81</v>
      </c>
      <c r="C1622" s="63">
        <v>45798</v>
      </c>
      <c r="D1622" s="113" t="str">
        <f>VLOOKUP(B1622,辅助信息!E:K,7,FALSE)</f>
        <v>JWDDCD2025060900080</v>
      </c>
      <c r="E1622" s="113" t="str">
        <f>VLOOKUP(F1622,辅助信息!A:B,2,FALSE)</f>
        <v>螺纹钢</v>
      </c>
      <c r="F1622" s="33" t="s">
        <v>18</v>
      </c>
      <c r="G1622" s="29">
        <v>3</v>
      </c>
      <c r="H1622" s="114">
        <f>_xlfn.XLOOKUP(C1622&amp;F1622&amp;I1622&amp;J1622,'[1]2025年已发货'!$F:$F&amp;'[1]2025年已发货'!$C:$C&amp;'[1]2025年已发货'!$G:$G&amp;'[1]2025年已发货'!$H:$H,'[1]2025年已发货'!$E:$E,"未发货")</f>
        <v>3</v>
      </c>
      <c r="I1622" s="113" t="str">
        <f>VLOOKUP(B1622,辅助信息!E:I,3,FALSE)</f>
        <v>（华西简阳西城嘉苑）四川省成都市简阳市简城街道高屋村</v>
      </c>
      <c r="J1622" s="113" t="str">
        <f>VLOOKUP(B1622,辅助信息!E:I,4,FALSE)</f>
        <v>张瀚镭</v>
      </c>
      <c r="K1622" s="113">
        <f>VLOOKUP(J1622,辅助信息!H:I,2,FALSE)</f>
        <v>15884666220</v>
      </c>
      <c r="L1622" s="115" t="str">
        <f>VLOOKUP(B1622,辅助信息!E:J,6,FALSE)</f>
        <v>现场禁止使用氢能源挂车！优先威钢发货,我方卸车,新老国标钢厂不加价可直发，因陕钢多次出现磅差，项目拒绝使用</v>
      </c>
      <c r="M1622" s="84">
        <v>45799</v>
      </c>
      <c r="O1622" s="55">
        <f ca="1" t="shared" si="85"/>
        <v>0</v>
      </c>
      <c r="P1622" s="55">
        <f ca="1" t="shared" si="86"/>
        <v>158</v>
      </c>
      <c r="Q1622" s="22" t="str">
        <f>VLOOKUP(B1622,辅助信息!E:M,9,FALSE)</f>
        <v>ZTWM-CDGS-XS-2024-0030-华西集采-简州大道</v>
      </c>
    </row>
    <row r="1623" hidden="1" spans="2:17">
      <c r="B1623" s="33" t="s">
        <v>155</v>
      </c>
      <c r="C1623" s="63">
        <v>45798</v>
      </c>
      <c r="D1623" s="113" t="str">
        <f>VLOOKUP(B1623,辅助信息!E:K,7,FALSE)</f>
        <v>JWDDCD2024101600133</v>
      </c>
      <c r="E1623" s="113" t="str">
        <f>VLOOKUP(F1623,辅助信息!A:B,2,FALSE)</f>
        <v>高线</v>
      </c>
      <c r="F1623" s="33" t="s">
        <v>51</v>
      </c>
      <c r="G1623" s="29">
        <v>2.5</v>
      </c>
      <c r="H1623" s="114">
        <f>_xlfn.XLOOKUP(C1623&amp;F1623&amp;I1623&amp;J1623,'[1]2025年已发货'!$F:$F&amp;'[1]2025年已发货'!$C:$C&amp;'[1]2025年已发货'!$G:$G&amp;'[1]2025年已发货'!$H:$H,'[1]2025年已发货'!$E:$E,"未发货")</f>
        <v>2.5</v>
      </c>
      <c r="I1623" s="113" t="str">
        <f>VLOOKUP(B1623,辅助信息!E:I,3,FALSE)</f>
        <v>(五冶钢构宜宾高县月江镇建设项目-308亩平场项目)宜宾市高县月江镇三转湾(308亩平场项目)</v>
      </c>
      <c r="J1623" s="113" t="str">
        <f>VLOOKUP(B1623,辅助信息!E:I,4,FALSE)</f>
        <v>张朝亮</v>
      </c>
      <c r="K1623" s="113">
        <f>VLOOKUP(J1623,辅助信息!H:I,2,FALSE)</f>
        <v>15228205853</v>
      </c>
      <c r="L1623" s="115" t="str">
        <f>VLOOKUP(B1623,辅助信息!E:J,6,FALSE)</f>
        <v>提前联系到场规格</v>
      </c>
      <c r="M1623" s="84">
        <v>45799</v>
      </c>
      <c r="O1623" s="55">
        <f ca="1" t="shared" si="85"/>
        <v>0</v>
      </c>
      <c r="P1623" s="55">
        <f ca="1" t="shared" si="86"/>
        <v>158</v>
      </c>
      <c r="Q1623" s="22" t="str">
        <f>VLOOKUP(B1623,辅助信息!E:M,9,FALSE)</f>
        <v>ZTWM-CDGS-XS-2024-0169-中冶西部钢构-宜宾市南溪区幸福路东路,高县月江镇建设项目</v>
      </c>
    </row>
    <row r="1624" hidden="1" spans="2:17">
      <c r="B1624" s="33" t="s">
        <v>155</v>
      </c>
      <c r="C1624" s="63">
        <v>45798</v>
      </c>
      <c r="D1624" s="113" t="str">
        <f>VLOOKUP(B1624,辅助信息!E:K,7,FALSE)</f>
        <v>JWDDCD2024101600133</v>
      </c>
      <c r="E1624" s="113" t="str">
        <f>VLOOKUP(F1624,辅助信息!A:B,2,FALSE)</f>
        <v>盘螺</v>
      </c>
      <c r="F1624" s="33" t="s">
        <v>26</v>
      </c>
      <c r="G1624" s="29">
        <v>7</v>
      </c>
      <c r="H1624" s="114">
        <f>_xlfn.XLOOKUP(C1624&amp;F1624&amp;I1624&amp;J1624,'[1]2025年已发货'!$F:$F&amp;'[1]2025年已发货'!$C:$C&amp;'[1]2025年已发货'!$G:$G&amp;'[1]2025年已发货'!$H:$H,'[1]2025年已发货'!$E:$E,"未发货")</f>
        <v>7</v>
      </c>
      <c r="I1624" s="113" t="str">
        <f>VLOOKUP(B1624,辅助信息!E:I,3,FALSE)</f>
        <v>(五冶钢构宜宾高县月江镇建设项目-308亩平场项目)宜宾市高县月江镇三转湾(308亩平场项目)</v>
      </c>
      <c r="J1624" s="113" t="str">
        <f>VLOOKUP(B1624,辅助信息!E:I,4,FALSE)</f>
        <v>张朝亮</v>
      </c>
      <c r="K1624" s="113">
        <f>VLOOKUP(J1624,辅助信息!H:I,2,FALSE)</f>
        <v>15228205853</v>
      </c>
      <c r="L1624" s="115" t="str">
        <f>VLOOKUP(B1624,辅助信息!E:J,6,FALSE)</f>
        <v>提前联系到场规格</v>
      </c>
      <c r="M1624" s="84">
        <v>45799</v>
      </c>
      <c r="O1624" s="55">
        <f ca="1" t="shared" si="85"/>
        <v>0</v>
      </c>
      <c r="P1624" s="55">
        <f ca="1" t="shared" si="86"/>
        <v>158</v>
      </c>
      <c r="Q1624" s="22" t="str">
        <f>VLOOKUP(B1624,辅助信息!E:M,9,FALSE)</f>
        <v>ZTWM-CDGS-XS-2024-0169-中冶西部钢构-宜宾市南溪区幸福路东路,高县月江镇建设项目</v>
      </c>
    </row>
    <row r="1625" hidden="1" spans="2:17">
      <c r="B1625" s="33" t="s">
        <v>155</v>
      </c>
      <c r="C1625" s="63">
        <v>45798</v>
      </c>
      <c r="D1625" s="113" t="str">
        <f>VLOOKUP(B1625,辅助信息!E:K,7,FALSE)</f>
        <v>JWDDCD2024101600133</v>
      </c>
      <c r="E1625" s="113" t="str">
        <f>VLOOKUP(F1625,辅助信息!A:B,2,FALSE)</f>
        <v>螺纹钢</v>
      </c>
      <c r="F1625" s="33" t="s">
        <v>18</v>
      </c>
      <c r="G1625" s="29">
        <v>24</v>
      </c>
      <c r="H1625" s="114">
        <f>_xlfn.XLOOKUP(C1625&amp;F1625&amp;I1625&amp;J1625,'[1]2025年已发货'!$F:$F&amp;'[1]2025年已发货'!$C:$C&amp;'[1]2025年已发货'!$G:$G&amp;'[1]2025年已发货'!$H:$H,'[1]2025年已发货'!$E:$E,"未发货")</f>
        <v>24</v>
      </c>
      <c r="I1625" s="113" t="str">
        <f>VLOOKUP(B1625,辅助信息!E:I,3,FALSE)</f>
        <v>(五冶钢构宜宾高县月江镇建设项目-308亩平场项目)宜宾市高县月江镇三转湾(308亩平场项目)</v>
      </c>
      <c r="J1625" s="113" t="str">
        <f>VLOOKUP(B1625,辅助信息!E:I,4,FALSE)</f>
        <v>张朝亮</v>
      </c>
      <c r="K1625" s="113">
        <f>VLOOKUP(J1625,辅助信息!H:I,2,FALSE)</f>
        <v>15228205853</v>
      </c>
      <c r="L1625" s="115" t="str">
        <f>VLOOKUP(B1625,辅助信息!E:J,6,FALSE)</f>
        <v>提前联系到场规格</v>
      </c>
      <c r="M1625" s="84">
        <v>45799</v>
      </c>
      <c r="O1625" s="55">
        <f ca="1" t="shared" si="85"/>
        <v>0</v>
      </c>
      <c r="P1625" s="55">
        <f ca="1" t="shared" si="86"/>
        <v>158</v>
      </c>
      <c r="Q1625" s="22" t="str">
        <f>VLOOKUP(B1625,辅助信息!E:M,9,FALSE)</f>
        <v>ZTWM-CDGS-XS-2024-0169-中冶西部钢构-宜宾市南溪区幸福路东路,高县月江镇建设项目</v>
      </c>
    </row>
    <row r="1626" hidden="1" spans="2:17">
      <c r="B1626" s="113" t="s">
        <v>147</v>
      </c>
      <c r="C1626" s="63">
        <v>45800</v>
      </c>
      <c r="D1626" s="113" t="str">
        <f>VLOOKUP(B1626,辅助信息!E:K,7,FALSE)</f>
        <v>JWDDCD2025052800131</v>
      </c>
      <c r="E1626" s="113" t="str">
        <f>VLOOKUP(F1626,辅助信息!A:B,2,FALSE)</f>
        <v>高线</v>
      </c>
      <c r="F1626" s="113" t="s">
        <v>57</v>
      </c>
      <c r="G1626" s="114">
        <v>13</v>
      </c>
      <c r="H1626" s="114">
        <f>_xlfn.XLOOKUP(C1626&amp;F1626&amp;I1626&amp;J1626,'[1]2025年已发货'!$F:$F&amp;'[1]2025年已发货'!$C:$C&amp;'[1]2025年已发货'!$G:$G&amp;'[1]2025年已发货'!$H:$H,'[1]2025年已发货'!$E:$E,"未发货")</f>
        <v>13</v>
      </c>
      <c r="I1626" s="113" t="str">
        <f>VLOOKUP(B1626,辅助信息!E:I,3,FALSE)</f>
        <v>（商投建工达州中医药科技园-4工区-11号楼）达州市通川区达州中医药职业学院犀牛大道北段</v>
      </c>
      <c r="J1626" s="113" t="str">
        <f>VLOOKUP(B1626,辅助信息!E:I,4,FALSE)</f>
        <v>张扬</v>
      </c>
      <c r="K1626" s="113">
        <f>VLOOKUP(J1626,辅助信息!H:I,2,FALSE)</f>
        <v>18381904567</v>
      </c>
      <c r="L1626" s="115" t="str">
        <f>VLOOKUP(B1626,辅助信息!E:J,6,FALSE)</f>
        <v>控制炉批号！多了现场不收！,优先安排达钢,提前联系到场规格及数量</v>
      </c>
      <c r="M1626" s="84">
        <v>45799</v>
      </c>
      <c r="O1626" s="55">
        <f ca="1" t="shared" si="85"/>
        <v>0</v>
      </c>
      <c r="P1626" s="55">
        <f ca="1" t="shared" si="86"/>
        <v>158</v>
      </c>
      <c r="Q1626" s="22" t="str">
        <f>VLOOKUP(B1626,辅助信息!E:M,9,FALSE)</f>
        <v>ZTWM-CDGS-XS-2024-0134-商投建工达州中医药科技成果示范园项目</v>
      </c>
    </row>
    <row r="1627" hidden="1" spans="2:17">
      <c r="B1627" s="113" t="s">
        <v>147</v>
      </c>
      <c r="C1627" s="63">
        <v>45800</v>
      </c>
      <c r="D1627" s="113" t="str">
        <f>VLOOKUP(B1627,辅助信息!E:K,7,FALSE)</f>
        <v>JWDDCD2025052800131</v>
      </c>
      <c r="E1627" s="113" t="str">
        <f>VLOOKUP(F1627,辅助信息!A:B,2,FALSE)</f>
        <v>盘螺</v>
      </c>
      <c r="F1627" s="113" t="s">
        <v>49</v>
      </c>
      <c r="G1627" s="114">
        <v>6</v>
      </c>
      <c r="H1627" s="114">
        <f>_xlfn.XLOOKUP(C1627&amp;F1627&amp;I1627&amp;J1627,'[1]2025年已发货'!$F:$F&amp;'[1]2025年已发货'!$C:$C&amp;'[1]2025年已发货'!$G:$G&amp;'[1]2025年已发货'!$H:$H,'[1]2025年已发货'!$E:$E,"未发货")</f>
        <v>6</v>
      </c>
      <c r="I1627" s="113" t="str">
        <f>VLOOKUP(B1627,辅助信息!E:I,3,FALSE)</f>
        <v>（商投建工达州中医药科技园-4工区-11号楼）达州市通川区达州中医药职业学院犀牛大道北段</v>
      </c>
      <c r="J1627" s="113" t="str">
        <f>VLOOKUP(B1627,辅助信息!E:I,4,FALSE)</f>
        <v>张扬</v>
      </c>
      <c r="K1627" s="113">
        <f>VLOOKUP(J1627,辅助信息!H:I,2,FALSE)</f>
        <v>18381904567</v>
      </c>
      <c r="L1627" s="115" t="str">
        <f>VLOOKUP(B1627,辅助信息!E:J,6,FALSE)</f>
        <v>控制炉批号！多了现场不收！,优先安排达钢,提前联系到场规格及数量</v>
      </c>
      <c r="M1627" s="84">
        <v>45799</v>
      </c>
      <c r="O1627" s="55">
        <f ca="1" t="shared" si="85"/>
        <v>0</v>
      </c>
      <c r="P1627" s="55">
        <f ca="1" t="shared" si="86"/>
        <v>158</v>
      </c>
      <c r="Q1627" s="22" t="str">
        <f>VLOOKUP(B1627,辅助信息!E:M,9,FALSE)</f>
        <v>ZTWM-CDGS-XS-2024-0134-商投建工达州中医药科技成果示范园项目</v>
      </c>
    </row>
    <row r="1628" hidden="1" spans="2:17">
      <c r="B1628" s="113" t="s">
        <v>147</v>
      </c>
      <c r="C1628" s="63">
        <v>45800</v>
      </c>
      <c r="D1628" s="113" t="str">
        <f>VLOOKUP(B1628,辅助信息!E:K,7,FALSE)</f>
        <v>JWDDCD2025052800131</v>
      </c>
      <c r="E1628" s="113" t="str">
        <f>VLOOKUP(F1628,辅助信息!A:B,2,FALSE)</f>
        <v>螺纹钢</v>
      </c>
      <c r="F1628" s="113" t="s">
        <v>32</v>
      </c>
      <c r="G1628" s="114">
        <v>6</v>
      </c>
      <c r="H1628" s="114">
        <f>_xlfn.XLOOKUP(C1628&amp;F1628&amp;I1628&amp;J1628,'[1]2025年已发货'!$F:$F&amp;'[1]2025年已发货'!$C:$C&amp;'[1]2025年已发货'!$G:$G&amp;'[1]2025年已发货'!$H:$H,'[1]2025年已发货'!$E:$E,"未发货")</f>
        <v>6</v>
      </c>
      <c r="I1628" s="113" t="str">
        <f>VLOOKUP(B1628,辅助信息!E:I,3,FALSE)</f>
        <v>（商投建工达州中医药科技园-4工区-11号楼）达州市通川区达州中医药职业学院犀牛大道北段</v>
      </c>
      <c r="J1628" s="113" t="str">
        <f>VLOOKUP(B1628,辅助信息!E:I,4,FALSE)</f>
        <v>张扬</v>
      </c>
      <c r="K1628" s="113">
        <f>VLOOKUP(J1628,辅助信息!H:I,2,FALSE)</f>
        <v>18381904567</v>
      </c>
      <c r="L1628" s="115" t="str">
        <f>VLOOKUP(B1628,辅助信息!E:J,6,FALSE)</f>
        <v>控制炉批号！多了现场不收！,优先安排达钢,提前联系到场规格及数量</v>
      </c>
      <c r="M1628" s="84">
        <v>45799</v>
      </c>
      <c r="O1628" s="55">
        <f ca="1" t="shared" si="85"/>
        <v>0</v>
      </c>
      <c r="P1628" s="55">
        <f ca="1" t="shared" si="86"/>
        <v>158</v>
      </c>
      <c r="Q1628" s="22" t="str">
        <f>VLOOKUP(B1628,辅助信息!E:M,9,FALSE)</f>
        <v>ZTWM-CDGS-XS-2024-0134-商投建工达州中医药科技成果示范园项目</v>
      </c>
    </row>
    <row r="1629" hidden="1" spans="2:17">
      <c r="B1629" s="113" t="s">
        <v>147</v>
      </c>
      <c r="C1629" s="63">
        <v>45800</v>
      </c>
      <c r="D1629" s="113" t="str">
        <f>VLOOKUP(B1629,辅助信息!E:K,7,FALSE)</f>
        <v>JWDDCD2025052800131</v>
      </c>
      <c r="E1629" s="113" t="str">
        <f>VLOOKUP(F1629,辅助信息!A:B,2,FALSE)</f>
        <v>螺纹钢</v>
      </c>
      <c r="F1629" s="113" t="s">
        <v>18</v>
      </c>
      <c r="G1629" s="114">
        <v>9</v>
      </c>
      <c r="H1629" s="114">
        <f>_xlfn.XLOOKUP(C1629&amp;F1629&amp;I1629&amp;J1629,'[1]2025年已发货'!$F:$F&amp;'[1]2025年已发货'!$C:$C&amp;'[1]2025年已发货'!$G:$G&amp;'[1]2025年已发货'!$H:$H,'[1]2025年已发货'!$E:$E,"未发货")</f>
        <v>9</v>
      </c>
      <c r="I1629" s="113" t="str">
        <f>VLOOKUP(B1629,辅助信息!E:I,3,FALSE)</f>
        <v>（商投建工达州中医药科技园-4工区-11号楼）达州市通川区达州中医药职业学院犀牛大道北段</v>
      </c>
      <c r="J1629" s="113" t="str">
        <f>VLOOKUP(B1629,辅助信息!E:I,4,FALSE)</f>
        <v>张扬</v>
      </c>
      <c r="K1629" s="113">
        <f>VLOOKUP(J1629,辅助信息!H:I,2,FALSE)</f>
        <v>18381904567</v>
      </c>
      <c r="L1629" s="115" t="str">
        <f>VLOOKUP(B1629,辅助信息!E:J,6,FALSE)</f>
        <v>控制炉批号！多了现场不收！,优先安排达钢,提前联系到场规格及数量</v>
      </c>
      <c r="M1629" s="84">
        <v>45799</v>
      </c>
      <c r="O1629" s="55">
        <f ca="1" t="shared" si="85"/>
        <v>0</v>
      </c>
      <c r="P1629" s="55">
        <f ca="1" t="shared" si="86"/>
        <v>158</v>
      </c>
      <c r="Q1629" s="22" t="str">
        <f>VLOOKUP(B1629,辅助信息!E:M,9,FALSE)</f>
        <v>ZTWM-CDGS-XS-2024-0134-商投建工达州中医药科技成果示范园项目</v>
      </c>
    </row>
    <row r="1630" hidden="1" spans="2:18">
      <c r="B1630" s="33" t="s">
        <v>127</v>
      </c>
      <c r="C1630" s="63">
        <v>45800</v>
      </c>
      <c r="D1630" s="113" t="str">
        <f>VLOOKUP(B1630,辅助信息!E:K,7,FALSE)</f>
        <v>JWDDCD2025051000019</v>
      </c>
      <c r="E1630" s="113" t="str">
        <f>VLOOKUP(F1630,辅助信息!A:B,2,FALSE)</f>
        <v>盘螺</v>
      </c>
      <c r="F1630" s="33" t="s">
        <v>49</v>
      </c>
      <c r="G1630" s="29">
        <v>35</v>
      </c>
      <c r="H1630" s="114">
        <f>_xlfn.XLOOKUP(C1630&amp;F1630&amp;I1630&amp;J1630,'[1]2025年已发货'!$F:$F&amp;'[1]2025年已发货'!$C:$C&amp;'[1]2025年已发货'!$G:$G&amp;'[1]2025年已发货'!$H:$H,'[1]2025年已发货'!$E:$E,"未发货")</f>
        <v>35</v>
      </c>
      <c r="I1630" s="113" t="str">
        <f>VLOOKUP(B1630,辅助信息!E:I,3,FALSE)</f>
        <v>(五冶钢构医学科学产业园建设项目房建三部-管网总坪)四川省南充市顺庆区搬罾街道学府大道二段</v>
      </c>
      <c r="J1630" s="113" t="str">
        <f>VLOOKUP(B1630,辅助信息!E:I,4,FALSE)</f>
        <v>郑林</v>
      </c>
      <c r="K1630" s="113">
        <f>VLOOKUP(J1630,辅助信息!H:I,2,FALSE)</f>
        <v>18349955455</v>
      </c>
      <c r="L1630" s="115" t="str">
        <f>VLOOKUP(B1630,辅助信息!E:J,6,FALSE)</f>
        <v>送货单：送货单位：南充思临新材料科技有限公司,收货单位：五冶集团川北(南充)建设有限公司,项目名称：南充医学科学产业园,送货车型13米,装货前联系收货人核实到场规格</v>
      </c>
      <c r="M1630" s="84">
        <v>45803</v>
      </c>
      <c r="O1630" s="55">
        <f ca="1" t="shared" si="85"/>
        <v>0</v>
      </c>
      <c r="P1630" s="55">
        <f ca="1" t="shared" si="86"/>
        <v>154</v>
      </c>
      <c r="Q1630" s="22" t="str">
        <f>VLOOKUP(B1630,辅助信息!E:M,9,FALSE)</f>
        <v>ZTWM-CDGS-XS-2024-0248-五冶钢构-南充市医学院项目</v>
      </c>
      <c r="R1630" s="22" t="str">
        <f>_xlfn._xlws.FILTER(辅助信息!D:D,辅助信息!E:E=B1630)</f>
        <v>五冶钢构南充医学科学产业园建设项目</v>
      </c>
    </row>
    <row r="1631" hidden="1" spans="2:18">
      <c r="B1631" s="33" t="s">
        <v>156</v>
      </c>
      <c r="C1631" s="63">
        <v>45800</v>
      </c>
      <c r="D1631" s="113" t="e">
        <f>VLOOKUP(B1631,辅助信息!E:K,7,FALSE)</f>
        <v>#N/A</v>
      </c>
      <c r="E1631" s="113" t="str">
        <f>VLOOKUP(F1631,辅助信息!A:B,2,FALSE)</f>
        <v>螺纹钢</v>
      </c>
      <c r="F1631" s="33" t="s">
        <v>27</v>
      </c>
      <c r="G1631" s="29">
        <v>25</v>
      </c>
      <c r="H1631" s="114" t="e">
        <f>_xlfn.XLOOKUP(C1631&amp;F1631&amp;I1631&amp;J1631,'[1]2025年已发货'!$F:$F&amp;'[1]2025年已发货'!$C:$C&amp;'[1]2025年已发货'!$G:$G&amp;'[1]2025年已发货'!$H:$H,'[1]2025年已发货'!$E:$E,"未发货")</f>
        <v>#N/A</v>
      </c>
      <c r="I1631" s="113" t="e">
        <f>VLOOKUP(B1631,辅助信息!E:I,3,FALSE)</f>
        <v>#N/A</v>
      </c>
      <c r="J1631" s="113" t="e">
        <f>VLOOKUP(B1631,辅助信息!E:I,4,FALSE)</f>
        <v>#N/A</v>
      </c>
      <c r="K1631" s="113" t="e">
        <f>VLOOKUP(J1631,辅助信息!H:I,2,FALSE)</f>
        <v>#N/A</v>
      </c>
      <c r="L1631" s="115" t="e">
        <f>VLOOKUP(B1631,辅助信息!E:J,6,FALSE)</f>
        <v>#N/A</v>
      </c>
      <c r="M1631" s="84">
        <v>45803</v>
      </c>
      <c r="O1631" s="55">
        <f ca="1" t="shared" si="85"/>
        <v>0</v>
      </c>
      <c r="P1631" s="55">
        <f ca="1" t="shared" si="86"/>
        <v>154</v>
      </c>
      <c r="Q1631" s="22" t="e">
        <f>VLOOKUP(B1631,辅助信息!E:M,9,FALSE)</f>
        <v>#N/A</v>
      </c>
      <c r="R1631" s="22" vm="1" t="e">
        <f>_xlfn._xlws.FILTER(辅助信息!D:D,辅助信息!E:E=B1631)</f>
        <v>#VALUE!</v>
      </c>
    </row>
    <row r="1632" hidden="1" spans="2:18">
      <c r="B1632" s="33" t="s">
        <v>156</v>
      </c>
      <c r="C1632" s="63">
        <v>45800</v>
      </c>
      <c r="D1632" s="113" t="e">
        <f>VLOOKUP(B1632,辅助信息!E:K,7,FALSE)</f>
        <v>#N/A</v>
      </c>
      <c r="E1632" s="113" t="str">
        <f>VLOOKUP(F1632,辅助信息!A:B,2,FALSE)</f>
        <v>螺纹钢</v>
      </c>
      <c r="F1632" s="33" t="s">
        <v>32</v>
      </c>
      <c r="G1632" s="29">
        <v>42</v>
      </c>
      <c r="H1632" s="114" t="e">
        <f>_xlfn.XLOOKUP(C1632&amp;F1632&amp;I1632&amp;J1632,'[1]2025年已发货'!$F:$F&amp;'[1]2025年已发货'!$C:$C&amp;'[1]2025年已发货'!$G:$G&amp;'[1]2025年已发货'!$H:$H,'[1]2025年已发货'!$E:$E,"未发货")</f>
        <v>#N/A</v>
      </c>
      <c r="I1632" s="113" t="e">
        <f>VLOOKUP(B1632,辅助信息!E:I,3,FALSE)</f>
        <v>#N/A</v>
      </c>
      <c r="J1632" s="113" t="e">
        <f>VLOOKUP(B1632,辅助信息!E:I,4,FALSE)</f>
        <v>#N/A</v>
      </c>
      <c r="K1632" s="113" t="e">
        <f>VLOOKUP(J1632,辅助信息!H:I,2,FALSE)</f>
        <v>#N/A</v>
      </c>
      <c r="L1632" s="115" t="e">
        <f>VLOOKUP(B1632,辅助信息!E:J,6,FALSE)</f>
        <v>#N/A</v>
      </c>
      <c r="M1632" s="84">
        <v>45803</v>
      </c>
      <c r="O1632" s="55">
        <f ca="1" t="shared" si="85"/>
        <v>0</v>
      </c>
      <c r="P1632" s="55">
        <f ca="1" t="shared" si="86"/>
        <v>154</v>
      </c>
      <c r="Q1632" s="22" t="e">
        <f>VLOOKUP(B1632,辅助信息!E:M,9,FALSE)</f>
        <v>#N/A</v>
      </c>
      <c r="R1632" s="22" vm="1" t="e">
        <f>_xlfn._xlws.FILTER(辅助信息!D:D,辅助信息!E:E=B1632)</f>
        <v>#VALUE!</v>
      </c>
    </row>
    <row r="1633" hidden="1" spans="2:18">
      <c r="B1633" s="33" t="s">
        <v>156</v>
      </c>
      <c r="C1633" s="63">
        <v>45800</v>
      </c>
      <c r="D1633" s="113" t="e">
        <f>VLOOKUP(B1633,辅助信息!E:K,7,FALSE)</f>
        <v>#N/A</v>
      </c>
      <c r="E1633" s="113" t="str">
        <f>VLOOKUP(F1633,辅助信息!A:B,2,FALSE)</f>
        <v>螺纹钢</v>
      </c>
      <c r="F1633" s="33" t="s">
        <v>33</v>
      </c>
      <c r="G1633" s="29">
        <v>80</v>
      </c>
      <c r="H1633" s="114" t="e">
        <f>_xlfn.XLOOKUP(C1633&amp;F1633&amp;I1633&amp;J1633,'[1]2025年已发货'!$F:$F&amp;'[1]2025年已发货'!$C:$C&amp;'[1]2025年已发货'!$G:$G&amp;'[1]2025年已发货'!$H:$H,'[1]2025年已发货'!$E:$E,"未发货")</f>
        <v>#N/A</v>
      </c>
      <c r="I1633" s="113" t="e">
        <f>VLOOKUP(B1633,辅助信息!E:I,3,FALSE)</f>
        <v>#N/A</v>
      </c>
      <c r="J1633" s="113" t="e">
        <f>VLOOKUP(B1633,辅助信息!E:I,4,FALSE)</f>
        <v>#N/A</v>
      </c>
      <c r="K1633" s="113" t="e">
        <f>VLOOKUP(J1633,辅助信息!H:I,2,FALSE)</f>
        <v>#N/A</v>
      </c>
      <c r="L1633" s="115" t="e">
        <f>VLOOKUP(B1633,辅助信息!E:J,6,FALSE)</f>
        <v>#N/A</v>
      </c>
      <c r="M1633" s="84">
        <v>45803</v>
      </c>
      <c r="O1633" s="55">
        <f ca="1" t="shared" si="85"/>
        <v>0</v>
      </c>
      <c r="P1633" s="55">
        <f ca="1" t="shared" si="86"/>
        <v>154</v>
      </c>
      <c r="Q1633" s="22" t="e">
        <f>VLOOKUP(B1633,辅助信息!E:M,9,FALSE)</f>
        <v>#N/A</v>
      </c>
      <c r="R1633" s="22" vm="1" t="e">
        <f>_xlfn._xlws.FILTER(辅助信息!D:D,辅助信息!E:E=B1633)</f>
        <v>#VALUE!</v>
      </c>
    </row>
    <row r="1634" hidden="1" spans="2:18">
      <c r="B1634" s="33" t="s">
        <v>156</v>
      </c>
      <c r="C1634" s="63">
        <v>45800</v>
      </c>
      <c r="D1634" s="113" t="e">
        <f>VLOOKUP(B1634,辅助信息!E:K,7,FALSE)</f>
        <v>#N/A</v>
      </c>
      <c r="E1634" s="113" t="str">
        <f>VLOOKUP(F1634,辅助信息!A:B,2,FALSE)</f>
        <v>螺纹钢</v>
      </c>
      <c r="F1634" s="33" t="s">
        <v>28</v>
      </c>
      <c r="G1634" s="29">
        <v>34</v>
      </c>
      <c r="H1634" s="114" t="e">
        <f>_xlfn.XLOOKUP(C1634&amp;F1634&amp;I1634&amp;J1634,'[1]2025年已发货'!$F:$F&amp;'[1]2025年已发货'!$C:$C&amp;'[1]2025年已发货'!$G:$G&amp;'[1]2025年已发货'!$H:$H,'[1]2025年已发货'!$E:$E,"未发货")</f>
        <v>#N/A</v>
      </c>
      <c r="I1634" s="113" t="e">
        <f>VLOOKUP(B1634,辅助信息!E:I,3,FALSE)</f>
        <v>#N/A</v>
      </c>
      <c r="J1634" s="113" t="e">
        <f>VLOOKUP(B1634,辅助信息!E:I,4,FALSE)</f>
        <v>#N/A</v>
      </c>
      <c r="K1634" s="113" t="e">
        <f>VLOOKUP(J1634,辅助信息!H:I,2,FALSE)</f>
        <v>#N/A</v>
      </c>
      <c r="L1634" s="115" t="e">
        <f>VLOOKUP(B1634,辅助信息!E:J,6,FALSE)</f>
        <v>#N/A</v>
      </c>
      <c r="M1634" s="84">
        <v>45803</v>
      </c>
      <c r="O1634" s="55">
        <f ca="1" t="shared" si="85"/>
        <v>0</v>
      </c>
      <c r="P1634" s="55">
        <f ca="1" t="shared" si="86"/>
        <v>154</v>
      </c>
      <c r="Q1634" s="22" t="e">
        <f>VLOOKUP(B1634,辅助信息!E:M,9,FALSE)</f>
        <v>#N/A</v>
      </c>
      <c r="R1634" s="22" vm="1" t="e">
        <f>_xlfn._xlws.FILTER(辅助信息!D:D,辅助信息!E:E=B1634)</f>
        <v>#VALUE!</v>
      </c>
    </row>
    <row r="1635" hidden="1" spans="2:18">
      <c r="B1635" s="33" t="s">
        <v>156</v>
      </c>
      <c r="C1635" s="63">
        <v>45800</v>
      </c>
      <c r="D1635" s="113" t="e">
        <f>VLOOKUP(B1635,辅助信息!E:K,7,FALSE)</f>
        <v>#N/A</v>
      </c>
      <c r="E1635" s="113" t="str">
        <f>VLOOKUP(F1635,辅助信息!A:B,2,FALSE)</f>
        <v>螺纹钢</v>
      </c>
      <c r="F1635" s="33" t="s">
        <v>65</v>
      </c>
      <c r="G1635" s="29">
        <v>445</v>
      </c>
      <c r="H1635" s="114" t="e">
        <f>_xlfn.XLOOKUP(C1635&amp;F1635&amp;I1635&amp;J1635,'[1]2025年已发货'!$F:$F&amp;'[1]2025年已发货'!$C:$C&amp;'[1]2025年已发货'!$G:$G&amp;'[1]2025年已发货'!$H:$H,'[1]2025年已发货'!$E:$E,"未发货")</f>
        <v>#N/A</v>
      </c>
      <c r="I1635" s="113" t="e">
        <f>VLOOKUP(B1635,辅助信息!E:I,3,FALSE)</f>
        <v>#N/A</v>
      </c>
      <c r="J1635" s="113" t="e">
        <f>VLOOKUP(B1635,辅助信息!E:I,4,FALSE)</f>
        <v>#N/A</v>
      </c>
      <c r="K1635" s="113" t="e">
        <f>VLOOKUP(J1635,辅助信息!H:I,2,FALSE)</f>
        <v>#N/A</v>
      </c>
      <c r="L1635" s="115" t="e">
        <f>VLOOKUP(B1635,辅助信息!E:J,6,FALSE)</f>
        <v>#N/A</v>
      </c>
      <c r="M1635" s="84">
        <v>45803</v>
      </c>
      <c r="O1635" s="55">
        <f ca="1" t="shared" si="85"/>
        <v>0</v>
      </c>
      <c r="P1635" s="55">
        <f ca="1" t="shared" si="86"/>
        <v>154</v>
      </c>
      <c r="Q1635" s="22" t="e">
        <f>VLOOKUP(B1635,辅助信息!E:M,9,FALSE)</f>
        <v>#N/A</v>
      </c>
      <c r="R1635" s="22" vm="1" t="e">
        <f>_xlfn._xlws.FILTER(辅助信息!D:D,辅助信息!E:E=B1635)</f>
        <v>#VALUE!</v>
      </c>
    </row>
    <row r="1636" hidden="1" spans="2:18">
      <c r="B1636" s="33" t="s">
        <v>56</v>
      </c>
      <c r="C1636" s="63">
        <v>45803</v>
      </c>
      <c r="D1636" s="113" t="str">
        <f>VLOOKUP(B1636,辅助信息!E:K,7,FALSE)</f>
        <v>JWDDCD2025052800131</v>
      </c>
      <c r="E1636" s="113" t="str">
        <f>VLOOKUP(F1636,辅助信息!A:B,2,FALSE)</f>
        <v>盘螺</v>
      </c>
      <c r="F1636" s="33" t="s">
        <v>49</v>
      </c>
      <c r="G1636" s="29">
        <v>12</v>
      </c>
      <c r="H1636" s="114" t="str">
        <f>_xlfn.XLOOKUP(C1636&amp;F1636&amp;I1636&amp;J1636,'[1]2025年已发货'!$F:$F&amp;'[1]2025年已发货'!$C:$C&amp;'[1]2025年已发货'!$G:$G&amp;'[1]2025年已发货'!$H:$H,'[1]2025年已发货'!$E:$E,"未发货")</f>
        <v>未发货</v>
      </c>
      <c r="I1636" s="113" t="str">
        <f>VLOOKUP(B1636,辅助信息!E:I,3,FALSE)</f>
        <v>（商投建工达州中医药科技园-4工区-7号楼）达州市通川区达州中医药职业学院犀牛大道北段</v>
      </c>
      <c r="J1636" s="113" t="str">
        <f>VLOOKUP(B1636,辅助信息!E:I,4,FALSE)</f>
        <v>张扬</v>
      </c>
      <c r="K1636" s="113">
        <f>VLOOKUP(J1636,辅助信息!H:I,2,FALSE)</f>
        <v>18381904567</v>
      </c>
      <c r="L1636" s="115" t="str">
        <f>VLOOKUP(B1636,辅助信息!E:J,6,FALSE)</f>
        <v>控制炉批号！多了现场不收！,优先安排达钢,提前联系到场规格及数量</v>
      </c>
      <c r="M1636" s="84">
        <v>45805</v>
      </c>
      <c r="O1636" s="55">
        <f ca="1" t="shared" ref="O1636:O1654" si="87">IF(OR(M1636="",N1636&lt;&gt;""),"",MAX(M1636-TODAY(),0))</f>
        <v>0</v>
      </c>
      <c r="P1636" s="55">
        <f ca="1" t="shared" ref="P1636:P1654" si="88">IF(M1636="","",IF(N1636&lt;&gt;"",MAX(N1636-M1636,0),IF(TODAY()&gt;M1636,TODAY()-M1636,0)))</f>
        <v>152</v>
      </c>
      <c r="Q1636" s="22" t="str">
        <f>VLOOKUP(B1636,辅助信息!E:M,9,FALSE)</f>
        <v>ZTWM-CDGS-XS-2024-0134-商投建工达州中医药科技成果示范园项目</v>
      </c>
      <c r="R1636" s="22" t="str">
        <f>_xlfn._xlws.FILTER(辅助信息!D:D,辅助信息!E:E=B1636)</f>
        <v>商投建工达州中医药科技园</v>
      </c>
    </row>
    <row r="1637" hidden="1" spans="2:18">
      <c r="B1637" s="33" t="s">
        <v>56</v>
      </c>
      <c r="C1637" s="63">
        <v>45803</v>
      </c>
      <c r="D1637" s="113" t="str">
        <f>VLOOKUP(B1637,辅助信息!E:K,7,FALSE)</f>
        <v>JWDDCD2025052800131</v>
      </c>
      <c r="E1637" s="113" t="str">
        <f>VLOOKUP(F1637,辅助信息!A:B,2,FALSE)</f>
        <v>盘螺</v>
      </c>
      <c r="F1637" s="33" t="s">
        <v>40</v>
      </c>
      <c r="G1637" s="29">
        <v>24</v>
      </c>
      <c r="H1637" s="114" t="str">
        <f>_xlfn.XLOOKUP(C1637&amp;F1637&amp;I1637&amp;J1637,'[1]2025年已发货'!$F:$F&amp;'[1]2025年已发货'!$C:$C&amp;'[1]2025年已发货'!$G:$G&amp;'[1]2025年已发货'!$H:$H,'[1]2025年已发货'!$E:$E,"未发货")</f>
        <v>未发货</v>
      </c>
      <c r="I1637" s="113" t="str">
        <f>VLOOKUP(B1637,辅助信息!E:I,3,FALSE)</f>
        <v>（商投建工达州中医药科技园-4工区-7号楼）达州市通川区达州中医药职业学院犀牛大道北段</v>
      </c>
      <c r="J1637" s="113" t="str">
        <f>VLOOKUP(B1637,辅助信息!E:I,4,FALSE)</f>
        <v>张扬</v>
      </c>
      <c r="K1637" s="113">
        <f>VLOOKUP(J1637,辅助信息!H:I,2,FALSE)</f>
        <v>18381904567</v>
      </c>
      <c r="L1637" s="115" t="str">
        <f>VLOOKUP(B1637,辅助信息!E:J,6,FALSE)</f>
        <v>控制炉批号！多了现场不收！,优先安排达钢,提前联系到场规格及数量</v>
      </c>
      <c r="M1637" s="84">
        <v>45805</v>
      </c>
      <c r="O1637" s="55">
        <f ca="1" t="shared" si="87"/>
        <v>0</v>
      </c>
      <c r="P1637" s="55">
        <f ca="1" t="shared" si="88"/>
        <v>152</v>
      </c>
      <c r="Q1637" s="22" t="str">
        <f>VLOOKUP(B1637,辅助信息!E:M,9,FALSE)</f>
        <v>ZTWM-CDGS-XS-2024-0134-商投建工达州中医药科技成果示范园项目</v>
      </c>
      <c r="R1637" s="22" t="str">
        <f>_xlfn._xlws.FILTER(辅助信息!D:D,辅助信息!E:E=B1637)</f>
        <v>商投建工达州中医药科技园</v>
      </c>
    </row>
    <row r="1638" hidden="1" spans="2:18">
      <c r="B1638" s="33" t="s">
        <v>106</v>
      </c>
      <c r="C1638" s="63">
        <v>45803</v>
      </c>
      <c r="D1638" s="113" t="str">
        <f>VLOOKUP(B1638,辅助信息!E:K,7,FALSE)</f>
        <v>JWDDCD2024101600133</v>
      </c>
      <c r="E1638" s="113" t="str">
        <f>VLOOKUP(F1638,辅助信息!A:B,2,FALSE)</f>
        <v>螺纹钢</v>
      </c>
      <c r="F1638" s="33" t="s">
        <v>27</v>
      </c>
      <c r="G1638" s="29">
        <v>9</v>
      </c>
      <c r="H1638" s="114">
        <f>_xlfn.XLOOKUP(C1638&amp;F1638&amp;I1638&amp;J1638,'[1]2025年已发货'!$F:$F&amp;'[1]2025年已发货'!$C:$C&amp;'[1]2025年已发货'!$G:$G&amp;'[1]2025年已发货'!$H:$H,'[1]2025年已发货'!$E:$E,"未发货")</f>
        <v>9</v>
      </c>
      <c r="I1638" s="113" t="str">
        <f>VLOOKUP(B1638,辅助信息!E:I,3,FALSE)</f>
        <v>（五冶钢构宜宾高县月江镇建设项目）  四川省宜宾市高县月江镇刚记超市斜对面(还阳组团沪碳二期项目)</v>
      </c>
      <c r="J1638" s="113" t="str">
        <f>VLOOKUP(B1638,辅助信息!E:I,4,FALSE)</f>
        <v>张朝亮</v>
      </c>
      <c r="K1638" s="113">
        <f>VLOOKUP(J1638,辅助信息!H:I,2,FALSE)</f>
        <v>15228205853</v>
      </c>
      <c r="L1638" s="115" t="str">
        <f>VLOOKUP(B1638,辅助信息!E:J,6,FALSE)</f>
        <v>提前联系到场规格</v>
      </c>
      <c r="M1638" s="84">
        <v>45804</v>
      </c>
      <c r="O1638" s="55">
        <f ca="1" t="shared" si="87"/>
        <v>0</v>
      </c>
      <c r="P1638" s="55">
        <f ca="1" t="shared" si="88"/>
        <v>153</v>
      </c>
      <c r="Q1638" s="22" t="str">
        <f>VLOOKUP(B1638,辅助信息!E:M,9,FALSE)</f>
        <v>ZTWM-CDGS-XS-2024-0169-中冶西部钢构-宜宾市南溪区幸福路东路,高县月江镇建设项目</v>
      </c>
      <c r="R1638" s="22" t="str">
        <f>_xlfn._xlws.FILTER(辅助信息!D:D,辅助信息!E:E=B1638)</f>
        <v>五冶钢构-宜宾市南溪区高县月江镇建设项目</v>
      </c>
    </row>
    <row r="1639" hidden="1" spans="2:18">
      <c r="B1639" s="33" t="s">
        <v>106</v>
      </c>
      <c r="C1639" s="63">
        <v>45803</v>
      </c>
      <c r="D1639" s="113" t="str">
        <f>VLOOKUP(B1639,辅助信息!E:K,7,FALSE)</f>
        <v>JWDDCD2024101600133</v>
      </c>
      <c r="E1639" s="113" t="str">
        <f>VLOOKUP(F1639,辅助信息!A:B,2,FALSE)</f>
        <v>螺纹钢</v>
      </c>
      <c r="F1639" s="33" t="s">
        <v>19</v>
      </c>
      <c r="G1639" s="29">
        <v>9</v>
      </c>
      <c r="H1639" s="114">
        <f>_xlfn.XLOOKUP(C1639&amp;F1639&amp;I1639&amp;J1639,'[1]2025年已发货'!$F:$F&amp;'[1]2025年已发货'!$C:$C&amp;'[1]2025年已发货'!$G:$G&amp;'[1]2025年已发货'!$H:$H,'[1]2025年已发货'!$E:$E,"未发货")</f>
        <v>9</v>
      </c>
      <c r="I1639" s="113" t="str">
        <f>VLOOKUP(B1639,辅助信息!E:I,3,FALSE)</f>
        <v>（五冶钢构宜宾高县月江镇建设项目）  四川省宜宾市高县月江镇刚记超市斜对面(还阳组团沪碳二期项目)</v>
      </c>
      <c r="J1639" s="113" t="str">
        <f>VLOOKUP(B1639,辅助信息!E:I,4,FALSE)</f>
        <v>张朝亮</v>
      </c>
      <c r="K1639" s="113">
        <f>VLOOKUP(J1639,辅助信息!H:I,2,FALSE)</f>
        <v>15228205853</v>
      </c>
      <c r="L1639" s="115" t="str">
        <f>VLOOKUP(B1639,辅助信息!E:J,6,FALSE)</f>
        <v>提前联系到场规格</v>
      </c>
      <c r="M1639" s="84">
        <v>45804</v>
      </c>
      <c r="O1639" s="55">
        <f ca="1" t="shared" si="87"/>
        <v>0</v>
      </c>
      <c r="P1639" s="55">
        <f ca="1" t="shared" si="88"/>
        <v>153</v>
      </c>
      <c r="Q1639" s="22" t="str">
        <f>VLOOKUP(B1639,辅助信息!E:M,9,FALSE)</f>
        <v>ZTWM-CDGS-XS-2024-0169-中冶西部钢构-宜宾市南溪区幸福路东路,高县月江镇建设项目</v>
      </c>
      <c r="R1639" s="22" t="str">
        <f>_xlfn._xlws.FILTER(辅助信息!D:D,辅助信息!E:E=B1639)</f>
        <v>五冶钢构-宜宾市南溪区高县月江镇建设项目</v>
      </c>
    </row>
    <row r="1640" hidden="1" spans="2:18">
      <c r="B1640" s="33" t="s">
        <v>106</v>
      </c>
      <c r="C1640" s="63">
        <v>45803</v>
      </c>
      <c r="D1640" s="113" t="str">
        <f>VLOOKUP(B1640,辅助信息!E:K,7,FALSE)</f>
        <v>JWDDCD2024101600133</v>
      </c>
      <c r="E1640" s="113" t="str">
        <f>VLOOKUP(F1640,辅助信息!A:B,2,FALSE)</f>
        <v>螺纹钢</v>
      </c>
      <c r="F1640" s="33" t="s">
        <v>32</v>
      </c>
      <c r="G1640" s="29">
        <v>12</v>
      </c>
      <c r="H1640" s="114">
        <f>_xlfn.XLOOKUP(C1640&amp;F1640&amp;I1640&amp;J1640,'[1]2025年已发货'!$F:$F&amp;'[1]2025年已发货'!$C:$C&amp;'[1]2025年已发货'!$G:$G&amp;'[1]2025年已发货'!$H:$H,'[1]2025年已发货'!$E:$E,"未发货")</f>
        <v>12</v>
      </c>
      <c r="I1640" s="113" t="str">
        <f>VLOOKUP(B1640,辅助信息!E:I,3,FALSE)</f>
        <v>（五冶钢构宜宾高县月江镇建设项目）  四川省宜宾市高县月江镇刚记超市斜对面(还阳组团沪碳二期项目)</v>
      </c>
      <c r="J1640" s="113" t="str">
        <f>VLOOKUP(B1640,辅助信息!E:I,4,FALSE)</f>
        <v>张朝亮</v>
      </c>
      <c r="K1640" s="113">
        <f>VLOOKUP(J1640,辅助信息!H:I,2,FALSE)</f>
        <v>15228205853</v>
      </c>
      <c r="L1640" s="115" t="str">
        <f>VLOOKUP(B1640,辅助信息!E:J,6,FALSE)</f>
        <v>提前联系到场规格</v>
      </c>
      <c r="M1640" s="84">
        <v>45804</v>
      </c>
      <c r="O1640" s="55">
        <f ca="1" t="shared" si="87"/>
        <v>0</v>
      </c>
      <c r="P1640" s="55">
        <f ca="1" t="shared" si="88"/>
        <v>153</v>
      </c>
      <c r="Q1640" s="22" t="str">
        <f>VLOOKUP(B1640,辅助信息!E:M,9,FALSE)</f>
        <v>ZTWM-CDGS-XS-2024-0169-中冶西部钢构-宜宾市南溪区幸福路东路,高县月江镇建设项目</v>
      </c>
      <c r="R1640" s="22" t="str">
        <f>_xlfn._xlws.FILTER(辅助信息!D:D,辅助信息!E:E=B1640)</f>
        <v>五冶钢构-宜宾市南溪区高县月江镇建设项目</v>
      </c>
    </row>
    <row r="1641" hidden="1" spans="2:18">
      <c r="B1641" s="33" t="s">
        <v>106</v>
      </c>
      <c r="C1641" s="63">
        <v>45803</v>
      </c>
      <c r="D1641" s="113" t="str">
        <f>VLOOKUP(B1641,辅助信息!E:K,7,FALSE)</f>
        <v>JWDDCD2024101600133</v>
      </c>
      <c r="E1641" s="113" t="str">
        <f>VLOOKUP(F1641,辅助信息!A:B,2,FALSE)</f>
        <v>螺纹钢</v>
      </c>
      <c r="F1641" s="33" t="s">
        <v>30</v>
      </c>
      <c r="G1641" s="29">
        <v>24</v>
      </c>
      <c r="H1641" s="114">
        <f>_xlfn.XLOOKUP(C1641&amp;F1641&amp;I1641&amp;J1641,'[1]2025年已发货'!$F:$F&amp;'[1]2025年已发货'!$C:$C&amp;'[1]2025年已发货'!$G:$G&amp;'[1]2025年已发货'!$H:$H,'[1]2025年已发货'!$E:$E,"未发货")</f>
        <v>24</v>
      </c>
      <c r="I1641" s="113" t="str">
        <f>VLOOKUP(B1641,辅助信息!E:I,3,FALSE)</f>
        <v>（五冶钢构宜宾高县月江镇建设项目）  四川省宜宾市高县月江镇刚记超市斜对面(还阳组团沪碳二期项目)</v>
      </c>
      <c r="J1641" s="113" t="str">
        <f>VLOOKUP(B1641,辅助信息!E:I,4,FALSE)</f>
        <v>张朝亮</v>
      </c>
      <c r="K1641" s="113">
        <f>VLOOKUP(J1641,辅助信息!H:I,2,FALSE)</f>
        <v>15228205853</v>
      </c>
      <c r="L1641" s="115" t="str">
        <f>VLOOKUP(B1641,辅助信息!E:J,6,FALSE)</f>
        <v>提前联系到场规格</v>
      </c>
      <c r="M1641" s="84">
        <v>45804</v>
      </c>
      <c r="O1641" s="55">
        <f ca="1" t="shared" si="87"/>
        <v>0</v>
      </c>
      <c r="P1641" s="55">
        <f ca="1" t="shared" si="88"/>
        <v>153</v>
      </c>
      <c r="Q1641" s="22" t="str">
        <f>VLOOKUP(B1641,辅助信息!E:M,9,FALSE)</f>
        <v>ZTWM-CDGS-XS-2024-0169-中冶西部钢构-宜宾市南溪区幸福路东路,高县月江镇建设项目</v>
      </c>
      <c r="R1641" s="22" t="str">
        <f>_xlfn._xlws.FILTER(辅助信息!D:D,辅助信息!E:E=B1641)</f>
        <v>五冶钢构-宜宾市南溪区高县月江镇建设项目</v>
      </c>
    </row>
    <row r="1642" hidden="1" spans="2:18">
      <c r="B1642" s="33" t="s">
        <v>106</v>
      </c>
      <c r="C1642" s="63">
        <v>45803</v>
      </c>
      <c r="D1642" s="113" t="str">
        <f>VLOOKUP(B1642,辅助信息!E:K,7,FALSE)</f>
        <v>JWDDCD2024101600133</v>
      </c>
      <c r="E1642" s="113" t="str">
        <f>VLOOKUP(F1642,辅助信息!A:B,2,FALSE)</f>
        <v>螺纹钢</v>
      </c>
      <c r="F1642" s="33" t="s">
        <v>28</v>
      </c>
      <c r="G1642" s="29">
        <v>12</v>
      </c>
      <c r="H1642" s="114">
        <f>_xlfn.XLOOKUP(C1642&amp;F1642&amp;I1642&amp;J1642,'[1]2025年已发货'!$F:$F&amp;'[1]2025年已发货'!$C:$C&amp;'[1]2025年已发货'!$G:$G&amp;'[1]2025年已发货'!$H:$H,'[1]2025年已发货'!$E:$E,"未发货")</f>
        <v>12</v>
      </c>
      <c r="I1642" s="113" t="str">
        <f>VLOOKUP(B1642,辅助信息!E:I,3,FALSE)</f>
        <v>（五冶钢构宜宾高县月江镇建设项目）  四川省宜宾市高县月江镇刚记超市斜对面(还阳组团沪碳二期项目)</v>
      </c>
      <c r="J1642" s="113" t="str">
        <f>VLOOKUP(B1642,辅助信息!E:I,4,FALSE)</f>
        <v>张朝亮</v>
      </c>
      <c r="K1642" s="113">
        <f>VLOOKUP(J1642,辅助信息!H:I,2,FALSE)</f>
        <v>15228205853</v>
      </c>
      <c r="L1642" s="115" t="str">
        <f>VLOOKUP(B1642,辅助信息!E:J,6,FALSE)</f>
        <v>提前联系到场规格</v>
      </c>
      <c r="M1642" s="84">
        <v>45804</v>
      </c>
      <c r="O1642" s="55">
        <f ca="1" t="shared" si="87"/>
        <v>0</v>
      </c>
      <c r="P1642" s="55">
        <f ca="1" t="shared" si="88"/>
        <v>153</v>
      </c>
      <c r="Q1642" s="22" t="str">
        <f>VLOOKUP(B1642,辅助信息!E:M,9,FALSE)</f>
        <v>ZTWM-CDGS-XS-2024-0169-中冶西部钢构-宜宾市南溪区幸福路东路,高县月江镇建设项目</v>
      </c>
      <c r="R1642" s="22" t="str">
        <f>_xlfn._xlws.FILTER(辅助信息!D:D,辅助信息!E:E=B1642)</f>
        <v>五冶钢构-宜宾市南溪区高县月江镇建设项目</v>
      </c>
    </row>
    <row r="1643" hidden="1" spans="2:18">
      <c r="B1643" s="33" t="s">
        <v>106</v>
      </c>
      <c r="C1643" s="63">
        <v>45803</v>
      </c>
      <c r="D1643" s="113" t="str">
        <f>VLOOKUP(B1643,辅助信息!E:K,7,FALSE)</f>
        <v>JWDDCD2024101600133</v>
      </c>
      <c r="E1643" s="113" t="str">
        <f>VLOOKUP(F1643,辅助信息!A:B,2,FALSE)</f>
        <v>螺纹钢</v>
      </c>
      <c r="F1643" s="33" t="s">
        <v>18</v>
      </c>
      <c r="G1643" s="29">
        <v>6</v>
      </c>
      <c r="H1643" s="114">
        <f>_xlfn.XLOOKUP(C1643&amp;F1643&amp;I1643&amp;J1643,'[1]2025年已发货'!$F:$F&amp;'[1]2025年已发货'!$C:$C&amp;'[1]2025年已发货'!$G:$G&amp;'[1]2025年已发货'!$H:$H,'[1]2025年已发货'!$E:$E,"未发货")</f>
        <v>6</v>
      </c>
      <c r="I1643" s="113" t="str">
        <f>VLOOKUP(B1643,辅助信息!E:I,3,FALSE)</f>
        <v>（五冶钢构宜宾高县月江镇建设项目）  四川省宜宾市高县月江镇刚记超市斜对面(还阳组团沪碳二期项目)</v>
      </c>
      <c r="J1643" s="113" t="str">
        <f>VLOOKUP(B1643,辅助信息!E:I,4,FALSE)</f>
        <v>张朝亮</v>
      </c>
      <c r="K1643" s="113">
        <f>VLOOKUP(J1643,辅助信息!H:I,2,FALSE)</f>
        <v>15228205853</v>
      </c>
      <c r="L1643" s="115" t="str">
        <f>VLOOKUP(B1643,辅助信息!E:J,6,FALSE)</f>
        <v>提前联系到场规格</v>
      </c>
      <c r="M1643" s="84">
        <v>45804</v>
      </c>
      <c r="O1643" s="55">
        <f ca="1" t="shared" si="87"/>
        <v>0</v>
      </c>
      <c r="P1643" s="55">
        <f ca="1" t="shared" si="88"/>
        <v>153</v>
      </c>
      <c r="Q1643" s="22" t="str">
        <f>VLOOKUP(B1643,辅助信息!E:M,9,FALSE)</f>
        <v>ZTWM-CDGS-XS-2024-0169-中冶西部钢构-宜宾市南溪区幸福路东路,高县月江镇建设项目</v>
      </c>
      <c r="R1643" s="22" t="str">
        <f>_xlfn._xlws.FILTER(辅助信息!D:D,辅助信息!E:E=B1643)</f>
        <v>五冶钢构-宜宾市南溪区高县月江镇建设项目</v>
      </c>
    </row>
    <row r="1644" hidden="1" spans="1:18">
      <c r="A1644" s="85" t="s">
        <v>157</v>
      </c>
      <c r="B1644" s="116" t="s">
        <v>158</v>
      </c>
      <c r="C1644" s="63">
        <v>45803</v>
      </c>
      <c r="D1644" s="113" t="str">
        <f>VLOOKUP(B1644,辅助信息!E:K,7,FALSE)</f>
        <v>JWDDCD2025051800044</v>
      </c>
      <c r="E1644" s="113" t="str">
        <f>VLOOKUP(F1644,辅助信息!A:B,2,FALSE)</f>
        <v>高线</v>
      </c>
      <c r="F1644" s="33" t="s">
        <v>53</v>
      </c>
      <c r="G1644" s="29">
        <v>17</v>
      </c>
      <c r="H1644" s="114" t="str">
        <f>_xlfn.XLOOKUP(C1644&amp;F1644&amp;I1644&amp;J1644,'[1]2025年已发货'!$F:$F&amp;'[1]2025年已发货'!$C:$C&amp;'[1]2025年已发货'!$G:$G&amp;'[1]2025年已发货'!$H:$H,'[1]2025年已发货'!$E:$E,"未发货")</f>
        <v>未发货</v>
      </c>
      <c r="I1644" s="113" t="str">
        <f>VLOOKUP(B1644,辅助信息!E:I,3,FALSE)</f>
        <v>(五冶建设龙泉芙蓉花语项目-2地块)龙泉驿区北川路双堰塘钓鱼东100米(北川路)</v>
      </c>
      <c r="J1644" s="113" t="str">
        <f>VLOOKUP(B1644,辅助信息!E:I,4,FALSE)</f>
        <v>白燕军</v>
      </c>
      <c r="K1644" s="113">
        <f>VLOOKUP(J1644,辅助信息!H:I,2,FALSE)</f>
        <v>15982002377</v>
      </c>
      <c r="L1644" s="115" t="str">
        <f>VLOOKUP(B1644,辅助信息!E:J,6,FALSE)</f>
        <v>联系实际收货人（白燕军15982002377）五冶建设送货单,4份材质书,锈货不收，项目名称：中冶成勘-成都安置房项目，装货前联系收货人核实到场规格,没提前告知进场规格现场不给予接收</v>
      </c>
      <c r="M1644" s="84">
        <v>45803</v>
      </c>
      <c r="O1644" s="55">
        <f ca="1" t="shared" si="87"/>
        <v>0</v>
      </c>
      <c r="P1644" s="55">
        <f ca="1" t="shared" si="88"/>
        <v>154</v>
      </c>
      <c r="Q1644" s="22" t="str">
        <f>VLOOKUP(B1644,辅助信息!E:M,9,FALSE)</f>
        <v>ZTWM-CDGS-XS-2025-0073-五冶天府-成都怡心湖片区及龙泉驿医院等项目</v>
      </c>
      <c r="R1644" s="22" t="str">
        <f>_xlfn._xlws.FILTER(辅助信息!D:D,辅助信息!E:E=B1644)</f>
        <v>五冶建设龙泉芙蓉花语项目</v>
      </c>
    </row>
    <row r="1645" hidden="1" spans="1:18">
      <c r="A1645" s="85"/>
      <c r="B1645" s="116" t="s">
        <v>158</v>
      </c>
      <c r="C1645" s="63">
        <v>45803</v>
      </c>
      <c r="D1645" s="113" t="str">
        <f>VLOOKUP(B1645,辅助信息!E:K,7,FALSE)</f>
        <v>JWDDCD2025051800044</v>
      </c>
      <c r="E1645" s="113" t="str">
        <f>VLOOKUP(F1645,辅助信息!A:B,2,FALSE)</f>
        <v>螺纹钢</v>
      </c>
      <c r="F1645" s="33" t="s">
        <v>32</v>
      </c>
      <c r="G1645" s="29">
        <v>10</v>
      </c>
      <c r="H1645" s="114" t="str">
        <f>_xlfn.XLOOKUP(C1645&amp;F1645&amp;I1645&amp;J1645,'[1]2025年已发货'!$F:$F&amp;'[1]2025年已发货'!$C:$C&amp;'[1]2025年已发货'!$G:$G&amp;'[1]2025年已发货'!$H:$H,'[1]2025年已发货'!$E:$E,"未发货")</f>
        <v>未发货</v>
      </c>
      <c r="I1645" s="113" t="str">
        <f>VLOOKUP(B1645,辅助信息!E:I,3,FALSE)</f>
        <v>(五冶建设龙泉芙蓉花语项目-2地块)龙泉驿区北川路双堰塘钓鱼东100米(北川路)</v>
      </c>
      <c r="J1645" s="113" t="str">
        <f>VLOOKUP(B1645,辅助信息!E:I,4,FALSE)</f>
        <v>白燕军</v>
      </c>
      <c r="K1645" s="113">
        <f>VLOOKUP(J1645,辅助信息!H:I,2,FALSE)</f>
        <v>15982002377</v>
      </c>
      <c r="L1645" s="115" t="str">
        <f>VLOOKUP(B1645,辅助信息!E:J,6,FALSE)</f>
        <v>联系实际收货人（白燕军15982002377）五冶建设送货单,4份材质书,锈货不收，项目名称：中冶成勘-成都安置房项目，装货前联系收货人核实到场规格,没提前告知进场规格现场不给予接收</v>
      </c>
      <c r="M1645" s="84">
        <v>45803</v>
      </c>
      <c r="O1645" s="55">
        <f ca="1" t="shared" si="87"/>
        <v>0</v>
      </c>
      <c r="P1645" s="55">
        <f ca="1" t="shared" si="88"/>
        <v>154</v>
      </c>
      <c r="Q1645" s="22" t="str">
        <f>VLOOKUP(B1645,辅助信息!E:M,9,FALSE)</f>
        <v>ZTWM-CDGS-XS-2025-0073-五冶天府-成都怡心湖片区及龙泉驿医院等项目</v>
      </c>
      <c r="R1645" s="22" t="str">
        <f>_xlfn._xlws.FILTER(辅助信息!D:D,辅助信息!E:E=B1645)</f>
        <v>五冶建设龙泉芙蓉花语项目</v>
      </c>
    </row>
    <row r="1646" hidden="1" spans="2:18">
      <c r="B1646" s="33" t="s">
        <v>31</v>
      </c>
      <c r="C1646" s="63">
        <v>45803</v>
      </c>
      <c r="D1646" s="113" t="str">
        <f>VLOOKUP(B1646,辅助信息!E:K,7,FALSE)</f>
        <v>JWDDCD2024121000136</v>
      </c>
      <c r="E1646" s="113" t="str">
        <f>VLOOKUP(F1646,辅助信息!A:B,2,FALSE)</f>
        <v>高线</v>
      </c>
      <c r="F1646" s="33" t="s">
        <v>57</v>
      </c>
      <c r="G1646" s="29">
        <v>2.5</v>
      </c>
      <c r="H1646" s="114">
        <f>_xlfn.XLOOKUP(C1646&amp;F1646&amp;I1646&amp;J1646,'[1]2025年已发货'!$F:$F&amp;'[1]2025年已发货'!$C:$C&amp;'[1]2025年已发货'!$G:$G&amp;'[1]2025年已发货'!$H:$H,'[1]2025年已发货'!$E:$E,"未发货")</f>
        <v>2.5</v>
      </c>
      <c r="I1646" s="113" t="str">
        <f>VLOOKUP(B1646,辅助信息!E:I,3,FALSE)</f>
        <v>（四川商建-射洪城乡一体化项目）遂宁市射洪市忠新幼儿园北侧约220米新溪小区</v>
      </c>
      <c r="J1646" s="113" t="str">
        <f>VLOOKUP(B1646,辅助信息!E:I,4,FALSE)</f>
        <v>柏子刚</v>
      </c>
      <c r="K1646" s="113">
        <f>VLOOKUP(J1646,辅助信息!H:I,2,FALSE)</f>
        <v>15692885305</v>
      </c>
      <c r="L1646" s="115" t="str">
        <f>VLOOKUP(B1646,辅助信息!E:J,6,FALSE)</f>
        <v>提前联系到场规格及数量</v>
      </c>
      <c r="M1646" s="84">
        <v>45804</v>
      </c>
      <c r="O1646" s="55">
        <f ca="1" t="shared" si="87"/>
        <v>0</v>
      </c>
      <c r="P1646" s="55">
        <f ca="1" t="shared" si="88"/>
        <v>153</v>
      </c>
      <c r="Q1646" s="22" t="str">
        <f>VLOOKUP(B1646,辅助信息!E:M,9,FALSE)</f>
        <v>ZTWM-CDGS-XS-2024-0179-四川商投-射洪城乡一体化建设项目</v>
      </c>
      <c r="R1646" s="22" t="str">
        <f>_xlfn._xlws.FILTER(辅助信息!D:D,辅助信息!E:E=B1646)</f>
        <v>四川商建
射洪城乡一体化项目</v>
      </c>
    </row>
    <row r="1647" hidden="1" spans="2:18">
      <c r="B1647" s="33" t="s">
        <v>31</v>
      </c>
      <c r="C1647" s="63">
        <v>45803</v>
      </c>
      <c r="D1647" s="113" t="str">
        <f>VLOOKUP(B1647,辅助信息!E:K,7,FALSE)</f>
        <v>JWDDCD2024121000136</v>
      </c>
      <c r="E1647" s="113" t="str">
        <f>VLOOKUP(F1647,辅助信息!A:B,2,FALSE)</f>
        <v>高线</v>
      </c>
      <c r="F1647" s="33" t="s">
        <v>53</v>
      </c>
      <c r="G1647" s="29">
        <v>7.5</v>
      </c>
      <c r="H1647" s="114">
        <f>_xlfn.XLOOKUP(C1647&amp;F1647&amp;I1647&amp;J1647,'[1]2025年已发货'!$F:$F&amp;'[1]2025年已发货'!$C:$C&amp;'[1]2025年已发货'!$G:$G&amp;'[1]2025年已发货'!$H:$H,'[1]2025年已发货'!$E:$E,"未发货")</f>
        <v>7.5</v>
      </c>
      <c r="I1647" s="113" t="str">
        <f>VLOOKUP(B1647,辅助信息!E:I,3,FALSE)</f>
        <v>（四川商建-射洪城乡一体化项目）遂宁市射洪市忠新幼儿园北侧约220米新溪小区</v>
      </c>
      <c r="J1647" s="113" t="str">
        <f>VLOOKUP(B1647,辅助信息!E:I,4,FALSE)</f>
        <v>柏子刚</v>
      </c>
      <c r="K1647" s="113">
        <f>VLOOKUP(J1647,辅助信息!H:I,2,FALSE)</f>
        <v>15692885305</v>
      </c>
      <c r="L1647" s="115" t="str">
        <f>VLOOKUP(B1647,辅助信息!E:J,6,FALSE)</f>
        <v>提前联系到场规格及数量</v>
      </c>
      <c r="M1647" s="84">
        <v>45804</v>
      </c>
      <c r="O1647" s="55">
        <f ca="1" t="shared" si="87"/>
        <v>0</v>
      </c>
      <c r="P1647" s="55">
        <f ca="1" t="shared" si="88"/>
        <v>153</v>
      </c>
      <c r="Q1647" s="22" t="str">
        <f>VLOOKUP(B1647,辅助信息!E:M,9,FALSE)</f>
        <v>ZTWM-CDGS-XS-2024-0179-四川商投-射洪城乡一体化建设项目</v>
      </c>
      <c r="R1647" s="22" t="str">
        <f>_xlfn._xlws.FILTER(辅助信息!D:D,辅助信息!E:E=B1647)</f>
        <v>四川商建
射洪城乡一体化项目</v>
      </c>
    </row>
    <row r="1648" hidden="1" spans="2:18">
      <c r="B1648" s="33" t="s">
        <v>31</v>
      </c>
      <c r="C1648" s="63">
        <v>45803</v>
      </c>
      <c r="D1648" s="113" t="str">
        <f>VLOOKUP(B1648,辅助信息!E:K,7,FALSE)</f>
        <v>JWDDCD2024121000136</v>
      </c>
      <c r="E1648" s="113" t="str">
        <f>VLOOKUP(F1648,辅助信息!A:B,2,FALSE)</f>
        <v>高线</v>
      </c>
      <c r="F1648" s="33" t="s">
        <v>51</v>
      </c>
      <c r="G1648" s="29">
        <v>7.5</v>
      </c>
      <c r="H1648" s="114">
        <f>_xlfn.XLOOKUP(C1648&amp;F1648&amp;I1648&amp;J1648,'[1]2025年已发货'!$F:$F&amp;'[1]2025年已发货'!$C:$C&amp;'[1]2025年已发货'!$G:$G&amp;'[1]2025年已发货'!$H:$H,'[1]2025年已发货'!$E:$E,"未发货")</f>
        <v>7.5</v>
      </c>
      <c r="I1648" s="113" t="str">
        <f>VLOOKUP(B1648,辅助信息!E:I,3,FALSE)</f>
        <v>（四川商建-射洪城乡一体化项目）遂宁市射洪市忠新幼儿园北侧约220米新溪小区</v>
      </c>
      <c r="J1648" s="113" t="str">
        <f>VLOOKUP(B1648,辅助信息!E:I,4,FALSE)</f>
        <v>柏子刚</v>
      </c>
      <c r="K1648" s="113">
        <f>VLOOKUP(J1648,辅助信息!H:I,2,FALSE)</f>
        <v>15692885305</v>
      </c>
      <c r="L1648" s="115" t="str">
        <f>VLOOKUP(B1648,辅助信息!E:J,6,FALSE)</f>
        <v>提前联系到场规格及数量</v>
      </c>
      <c r="M1648" s="84">
        <v>45804</v>
      </c>
      <c r="O1648" s="55">
        <f ca="1" t="shared" si="87"/>
        <v>0</v>
      </c>
      <c r="P1648" s="55">
        <f ca="1" t="shared" si="88"/>
        <v>153</v>
      </c>
      <c r="Q1648" s="22" t="str">
        <f>VLOOKUP(B1648,辅助信息!E:M,9,FALSE)</f>
        <v>ZTWM-CDGS-XS-2024-0179-四川商投-射洪城乡一体化建设项目</v>
      </c>
      <c r="R1648" s="22" t="str">
        <f>_xlfn._xlws.FILTER(辅助信息!D:D,辅助信息!E:E=B1648)</f>
        <v>四川商建
射洪城乡一体化项目</v>
      </c>
    </row>
    <row r="1649" hidden="1" spans="2:18">
      <c r="B1649" s="33" t="s">
        <v>31</v>
      </c>
      <c r="C1649" s="63">
        <v>45803</v>
      </c>
      <c r="D1649" s="113" t="str">
        <f>VLOOKUP(B1649,辅助信息!E:K,7,FALSE)</f>
        <v>JWDDCD2024121000136</v>
      </c>
      <c r="E1649" s="113" t="str">
        <f>VLOOKUP(F1649,辅助信息!A:B,2,FALSE)</f>
        <v>盘螺</v>
      </c>
      <c r="F1649" s="33" t="s">
        <v>49</v>
      </c>
      <c r="G1649" s="29">
        <v>18</v>
      </c>
      <c r="H1649" s="114">
        <f>_xlfn.XLOOKUP(C1649&amp;F1649&amp;I1649&amp;J1649,'[1]2025年已发货'!$F:$F&amp;'[1]2025年已发货'!$C:$C&amp;'[1]2025年已发货'!$G:$G&amp;'[1]2025年已发货'!$H:$H,'[1]2025年已发货'!$E:$E,"未发货")</f>
        <v>18</v>
      </c>
      <c r="I1649" s="113" t="str">
        <f>VLOOKUP(B1649,辅助信息!E:I,3,FALSE)</f>
        <v>（四川商建-射洪城乡一体化项目）遂宁市射洪市忠新幼儿园北侧约220米新溪小区</v>
      </c>
      <c r="J1649" s="113" t="str">
        <f>VLOOKUP(B1649,辅助信息!E:I,4,FALSE)</f>
        <v>柏子刚</v>
      </c>
      <c r="K1649" s="113">
        <f>VLOOKUP(J1649,辅助信息!H:I,2,FALSE)</f>
        <v>15692885305</v>
      </c>
      <c r="L1649" s="115" t="str">
        <f>VLOOKUP(B1649,辅助信息!E:J,6,FALSE)</f>
        <v>提前联系到场规格及数量</v>
      </c>
      <c r="M1649" s="84">
        <v>45804</v>
      </c>
      <c r="O1649" s="55">
        <f ca="1" t="shared" si="87"/>
        <v>0</v>
      </c>
      <c r="P1649" s="55">
        <f ca="1" t="shared" si="88"/>
        <v>153</v>
      </c>
      <c r="Q1649" s="22" t="str">
        <f>VLOOKUP(B1649,辅助信息!E:M,9,FALSE)</f>
        <v>ZTWM-CDGS-XS-2024-0179-四川商投-射洪城乡一体化建设项目</v>
      </c>
      <c r="R1649" s="22" t="str">
        <f>_xlfn._xlws.FILTER(辅助信息!D:D,辅助信息!E:E=B1649)</f>
        <v>四川商建
射洪城乡一体化项目</v>
      </c>
    </row>
    <row r="1650" hidden="1" spans="2:17">
      <c r="B1650" s="33" t="s">
        <v>81</v>
      </c>
      <c r="C1650" s="63">
        <v>45803</v>
      </c>
      <c r="D1650" s="113" t="str">
        <f>VLOOKUP(B1650,辅助信息!E:K,7,FALSE)</f>
        <v>JWDDCD2025060900080</v>
      </c>
      <c r="E1650" s="113" t="str">
        <f>VLOOKUP(F1650,辅助信息!A:B,2,FALSE)</f>
        <v>盘螺</v>
      </c>
      <c r="F1650" s="33" t="s">
        <v>49</v>
      </c>
      <c r="G1650" s="29">
        <v>10</v>
      </c>
      <c r="H1650" s="114">
        <f>_xlfn.XLOOKUP(C1650&amp;F1650&amp;I1650&amp;J1650,'[1]2025年已发货'!$F:$F&amp;'[1]2025年已发货'!$C:$C&amp;'[1]2025年已发货'!$G:$G&amp;'[1]2025年已发货'!$H:$H,'[1]2025年已发货'!$E:$E,"未发货")</f>
        <v>10</v>
      </c>
      <c r="I1650" s="113" t="str">
        <f>VLOOKUP(B1650,辅助信息!E:I,3,FALSE)</f>
        <v>（华西简阳西城嘉苑）四川省成都市简阳市简城街道高屋村</v>
      </c>
      <c r="J1650" s="113" t="str">
        <f>VLOOKUP(B1650,辅助信息!E:I,4,FALSE)</f>
        <v>张瀚镭</v>
      </c>
      <c r="K1650" s="113">
        <f>VLOOKUP(J1650,辅助信息!H:I,2,FALSE)</f>
        <v>15884666220</v>
      </c>
      <c r="L1650" s="115" t="str">
        <f>VLOOKUP(B1650,辅助信息!E:J,6,FALSE)</f>
        <v>现场禁止使用氢能源挂车！优先威钢发货,我方卸车,新老国标钢厂不加价可直发，因陕钢多次出现磅差，项目拒绝使用</v>
      </c>
      <c r="M1650" s="84">
        <v>45799</v>
      </c>
      <c r="O1650" s="55">
        <f ca="1" t="shared" si="87"/>
        <v>0</v>
      </c>
      <c r="P1650" s="55">
        <f ca="1" t="shared" si="88"/>
        <v>158</v>
      </c>
      <c r="Q1650" s="22" t="str">
        <f>VLOOKUP(B1650,辅助信息!E:M,9,FALSE)</f>
        <v>ZTWM-CDGS-XS-2024-0030-华西集采-简州大道</v>
      </c>
    </row>
    <row r="1651" hidden="1" spans="2:18">
      <c r="B1651" s="33" t="s">
        <v>81</v>
      </c>
      <c r="C1651" s="63">
        <v>45803</v>
      </c>
      <c r="D1651" s="113" t="str">
        <f>VLOOKUP(B1651,辅助信息!E:K,7,FALSE)</f>
        <v>JWDDCD2025060900080</v>
      </c>
      <c r="E1651" s="113" t="str">
        <f>VLOOKUP(F1651,辅助信息!A:B,2,FALSE)</f>
        <v>螺纹钢</v>
      </c>
      <c r="F1651" s="33" t="s">
        <v>30</v>
      </c>
      <c r="G1651" s="29">
        <v>25</v>
      </c>
      <c r="H1651" s="114">
        <f>_xlfn.XLOOKUP(C1651&amp;F1651&amp;I1651&amp;J1651,'[1]2025年已发货'!$F:$F&amp;'[1]2025年已发货'!$C:$C&amp;'[1]2025年已发货'!$G:$G&amp;'[1]2025年已发货'!$H:$H,'[1]2025年已发货'!$E:$E,"未发货")</f>
        <v>25</v>
      </c>
      <c r="I1651" s="113" t="str">
        <f>VLOOKUP(B1651,辅助信息!E:I,3,FALSE)</f>
        <v>（华西简阳西城嘉苑）四川省成都市简阳市简城街道高屋村</v>
      </c>
      <c r="J1651" s="113" t="str">
        <f>VLOOKUP(B1651,辅助信息!E:I,4,FALSE)</f>
        <v>张瀚镭</v>
      </c>
      <c r="K1651" s="113">
        <f>VLOOKUP(J1651,辅助信息!H:I,2,FALSE)</f>
        <v>15884666220</v>
      </c>
      <c r="L1651" s="115" t="str">
        <f>VLOOKUP(B1651,辅助信息!E:J,6,FALSE)</f>
        <v>现场禁止使用氢能源挂车！优先威钢发货,我方卸车,新老国标钢厂不加价可直发，因陕钢多次出现磅差，项目拒绝使用</v>
      </c>
      <c r="M1651" s="84">
        <v>45807</v>
      </c>
      <c r="O1651" s="55">
        <f ca="1" t="shared" si="87"/>
        <v>0</v>
      </c>
      <c r="P1651" s="55">
        <f ca="1" t="shared" si="88"/>
        <v>150</v>
      </c>
      <c r="Q1651" s="22" t="str">
        <f>VLOOKUP(B1651,辅助信息!E:M,9,FALSE)</f>
        <v>ZTWM-CDGS-XS-2024-0030-华西集采-简州大道</v>
      </c>
      <c r="R1651" s="22" t="str">
        <f>_xlfn._xlws.FILTER(辅助信息!D:D,辅助信息!E:E=B1651)</f>
        <v>华西简阳西城嘉苑</v>
      </c>
    </row>
    <row r="1652" hidden="1" spans="2:18">
      <c r="B1652" s="33" t="s">
        <v>44</v>
      </c>
      <c r="C1652" s="63">
        <v>45803</v>
      </c>
      <c r="D1652" s="113" t="str">
        <f>VLOOKUP(B1652,辅助信息!E:K,7,FALSE)</f>
        <v>JWDDCD2025060600053</v>
      </c>
      <c r="E1652" s="113" t="str">
        <f>VLOOKUP(F1652,辅助信息!A:B,2,FALSE)</f>
        <v>盘螺</v>
      </c>
      <c r="F1652" s="33" t="s">
        <v>49</v>
      </c>
      <c r="G1652" s="29">
        <v>17.5</v>
      </c>
      <c r="H1652" s="114">
        <f>_xlfn.XLOOKUP(C1652&amp;F1652&amp;I1652&amp;J1652,'[1]2025年已发货'!$F:$F&amp;'[1]2025年已发货'!$C:$C&amp;'[1]2025年已发货'!$G:$G&amp;'[1]2025年已发货'!$H:$H,'[1]2025年已发货'!$E:$E,"未发货")</f>
        <v>17.5</v>
      </c>
      <c r="I1652" s="113" t="str">
        <f>VLOOKUP(B1652,辅助信息!E:I,3,FALSE)</f>
        <v>（华西酒城南）成都市武侯区火车南站西路8号酒城南项目</v>
      </c>
      <c r="J1652" s="113" t="str">
        <f>VLOOKUP(B1652,辅助信息!E:I,4,FALSE)</f>
        <v>龙耀宇</v>
      </c>
      <c r="K1652" s="113">
        <f>VLOOKUP(J1652,辅助信息!H:I,2,FALSE)</f>
        <v>18384145895</v>
      </c>
      <c r="L1652" s="115" t="str">
        <f>VLOOKUP(B1652,辅助信息!E:J,6,FALSE)</f>
        <v>对方卸车</v>
      </c>
      <c r="M1652" s="84">
        <v>45804</v>
      </c>
      <c r="O1652" s="55">
        <f ca="1" t="shared" si="87"/>
        <v>0</v>
      </c>
      <c r="P1652" s="55">
        <f ca="1" t="shared" si="88"/>
        <v>153</v>
      </c>
      <c r="Q1652" s="22" t="str">
        <f>VLOOKUP(B1652,辅助信息!E:M,9,FALSE)</f>
        <v>ZTWM-CDGS-XS-2024-0189-华西集采-酒城南项目</v>
      </c>
      <c r="R1652" s="22" t="str">
        <f>_xlfn._xlws.FILTER(辅助信息!D:D,辅助信息!E:E=B1652)</f>
        <v>华西酒城南</v>
      </c>
    </row>
    <row r="1653" hidden="1" spans="2:18">
      <c r="B1653" s="33" t="s">
        <v>44</v>
      </c>
      <c r="C1653" s="63">
        <v>45803</v>
      </c>
      <c r="D1653" s="113" t="str">
        <f>VLOOKUP(B1653,辅助信息!E:K,7,FALSE)</f>
        <v>JWDDCD2025060600053</v>
      </c>
      <c r="E1653" s="113" t="str">
        <f>VLOOKUP(F1653,辅助信息!A:B,2,FALSE)</f>
        <v>盘螺</v>
      </c>
      <c r="F1653" s="33" t="s">
        <v>41</v>
      </c>
      <c r="G1653" s="29">
        <v>2.5</v>
      </c>
      <c r="H1653" s="114">
        <f>_xlfn.XLOOKUP(C1653&amp;F1653&amp;I1653&amp;J1653,'[1]2025年已发货'!$F:$F&amp;'[1]2025年已发货'!$C:$C&amp;'[1]2025年已发货'!$G:$G&amp;'[1]2025年已发货'!$H:$H,'[1]2025年已发货'!$E:$E,"未发货")</f>
        <v>2.5</v>
      </c>
      <c r="I1653" s="113" t="str">
        <f>VLOOKUP(B1653,辅助信息!E:I,3,FALSE)</f>
        <v>（华西酒城南）成都市武侯区火车南站西路8号酒城南项目</v>
      </c>
      <c r="J1653" s="113" t="str">
        <f>VLOOKUP(B1653,辅助信息!E:I,4,FALSE)</f>
        <v>龙耀宇</v>
      </c>
      <c r="K1653" s="113">
        <f>VLOOKUP(J1653,辅助信息!H:I,2,FALSE)</f>
        <v>18384145895</v>
      </c>
      <c r="L1653" s="115" t="str">
        <f>VLOOKUP(B1653,辅助信息!E:J,6,FALSE)</f>
        <v>对方卸车</v>
      </c>
      <c r="M1653" s="84">
        <v>45804</v>
      </c>
      <c r="O1653" s="55">
        <f ca="1" t="shared" si="87"/>
        <v>0</v>
      </c>
      <c r="P1653" s="55">
        <f ca="1" t="shared" si="88"/>
        <v>153</v>
      </c>
      <c r="Q1653" s="22" t="str">
        <f>VLOOKUP(B1653,辅助信息!E:M,9,FALSE)</f>
        <v>ZTWM-CDGS-XS-2024-0189-华西集采-酒城南项目</v>
      </c>
      <c r="R1653" s="22" t="str">
        <f>_xlfn._xlws.FILTER(辅助信息!D:D,辅助信息!E:E=B1653)</f>
        <v>华西酒城南</v>
      </c>
    </row>
    <row r="1654" hidden="1" spans="2:18">
      <c r="B1654" s="33" t="s">
        <v>44</v>
      </c>
      <c r="C1654" s="63">
        <v>45803</v>
      </c>
      <c r="D1654" s="113" t="str">
        <f>VLOOKUP(B1654,辅助信息!E:K,7,FALSE)</f>
        <v>JWDDCD2025060600053</v>
      </c>
      <c r="E1654" s="113" t="str">
        <f>VLOOKUP(F1654,辅助信息!A:B,2,FALSE)</f>
        <v>盘螺</v>
      </c>
      <c r="F1654" s="33" t="s">
        <v>26</v>
      </c>
      <c r="G1654" s="29">
        <v>15</v>
      </c>
      <c r="H1654" s="114">
        <f>_xlfn.XLOOKUP(C1654&amp;F1654&amp;I1654&amp;J1654,'[1]2025年已发货'!$F:$F&amp;'[1]2025年已发货'!$C:$C&amp;'[1]2025年已发货'!$G:$G&amp;'[1]2025年已发货'!$H:$H,'[1]2025年已发货'!$E:$E,"未发货")</f>
        <v>15</v>
      </c>
      <c r="I1654" s="113" t="str">
        <f>VLOOKUP(B1654,辅助信息!E:I,3,FALSE)</f>
        <v>（华西酒城南）成都市武侯区火车南站西路8号酒城南项目</v>
      </c>
      <c r="J1654" s="113" t="str">
        <f>VLOOKUP(B1654,辅助信息!E:I,4,FALSE)</f>
        <v>龙耀宇</v>
      </c>
      <c r="K1654" s="113">
        <f>VLOOKUP(J1654,辅助信息!H:I,2,FALSE)</f>
        <v>18384145895</v>
      </c>
      <c r="L1654" s="115" t="str">
        <f>VLOOKUP(B1654,辅助信息!E:J,6,FALSE)</f>
        <v>对方卸车</v>
      </c>
      <c r="M1654" s="84">
        <v>45804</v>
      </c>
      <c r="O1654" s="55">
        <f ca="1" t="shared" si="87"/>
        <v>0</v>
      </c>
      <c r="P1654" s="55">
        <f ca="1" t="shared" si="88"/>
        <v>153</v>
      </c>
      <c r="Q1654" s="22" t="str">
        <f>VLOOKUP(B1654,辅助信息!E:M,9,FALSE)</f>
        <v>ZTWM-CDGS-XS-2024-0189-华西集采-酒城南项目</v>
      </c>
      <c r="R1654" s="22" t="str">
        <f>_xlfn._xlws.FILTER(辅助信息!D:D,辅助信息!E:E=B1654)</f>
        <v>华西酒城南</v>
      </c>
    </row>
    <row r="1655" hidden="1" spans="2:18">
      <c r="B1655" s="33" t="s">
        <v>151</v>
      </c>
      <c r="C1655" s="63">
        <v>45803</v>
      </c>
      <c r="D1655" s="113" t="str">
        <f>VLOOKUP(B1655,辅助信息!E:K,7,FALSE)</f>
        <v>JWDDCD2025051000019</v>
      </c>
      <c r="E1655" s="113" t="str">
        <f>VLOOKUP(F1655,辅助信息!A:B,2,FALSE)</f>
        <v>螺纹钢</v>
      </c>
      <c r="F1655" s="33" t="s">
        <v>27</v>
      </c>
      <c r="G1655" s="29">
        <v>3</v>
      </c>
      <c r="H1655" s="114">
        <f>_xlfn.XLOOKUP(C1655&amp;F1655&amp;I1655&amp;J1655,'[1]2025年已发货'!$F:$F&amp;'[1]2025年已发货'!$C:$C&amp;'[1]2025年已发货'!$G:$G&amp;'[1]2025年已发货'!$H:$H,'[1]2025年已发货'!$E:$E,"未发货")</f>
        <v>3</v>
      </c>
      <c r="I1655" s="113" t="str">
        <f>VLOOKUP(B1655,辅助信息!E:I,3,FALSE)</f>
        <v>(五冶钢构医学科学产业园建设项目房建一部-四标（3-7）)四川省南充市顺庆区搬罾街道学府大道二段</v>
      </c>
      <c r="J1655" s="113" t="str">
        <f>VLOOKUP(B1655,辅助信息!E:I,4,FALSE)</f>
        <v>胡泽宇</v>
      </c>
      <c r="K1655" s="113">
        <f>VLOOKUP(J1655,辅助信息!H:I,2,FALSE)</f>
        <v>18141337338</v>
      </c>
      <c r="L1655" s="115" t="str">
        <f>VLOOKUP(B1655,辅助信息!E:J,6,FALSE)</f>
        <v>送货单：送货单位：南充思临新材料科技有限公司,收货单位：五冶集团川北(南充)建设有限公司,项目名称：南充医学科学产业园,送货车型13米,装货前联系收货人核实到场规格</v>
      </c>
      <c r="M1655" s="84">
        <v>45804</v>
      </c>
      <c r="O1655" s="55">
        <f ca="1" t="shared" ref="O1655:O1664" si="89">IF(OR(M1655="",N1655&lt;&gt;""),"",MAX(M1655-TODAY(),0))</f>
        <v>0</v>
      </c>
      <c r="P1655" s="55">
        <f ca="1" t="shared" ref="P1655:P1664" si="90">IF(M1655="","",IF(N1655&lt;&gt;"",MAX(N1655-M1655,0),IF(TODAY()&gt;M1655,TODAY()-M1655,0)))</f>
        <v>153</v>
      </c>
      <c r="Q1655" s="22" t="str">
        <f>VLOOKUP(B1655,辅助信息!E:M,9,FALSE)</f>
        <v>ZTWM-CDGS-XS-2024-0248-五冶钢构-南充市医学院项目</v>
      </c>
      <c r="R1655" s="22" t="str">
        <f>_xlfn._xlws.FILTER(辅助信息!D:D,辅助信息!E:E=B1655)</f>
        <v>五冶钢构南充医学科学产业园建设项目</v>
      </c>
    </row>
    <row r="1656" hidden="1" spans="2:18">
      <c r="B1656" s="33" t="s">
        <v>151</v>
      </c>
      <c r="C1656" s="63">
        <v>45803</v>
      </c>
      <c r="D1656" s="113" t="str">
        <f>VLOOKUP(B1656,辅助信息!E:K,7,FALSE)</f>
        <v>JWDDCD2025051000019</v>
      </c>
      <c r="E1656" s="113" t="str">
        <f>VLOOKUP(F1656,辅助信息!A:B,2,FALSE)</f>
        <v>螺纹钢</v>
      </c>
      <c r="F1656" s="33" t="s">
        <v>19</v>
      </c>
      <c r="G1656" s="29">
        <v>30</v>
      </c>
      <c r="H1656" s="114">
        <f>_xlfn.XLOOKUP(C1656&amp;F1656&amp;I1656&amp;J1656,'[1]2025年已发货'!$F:$F&amp;'[1]2025年已发货'!$C:$C&amp;'[1]2025年已发货'!$G:$G&amp;'[1]2025年已发货'!$H:$H,'[1]2025年已发货'!$E:$E,"未发货")</f>
        <v>30</v>
      </c>
      <c r="I1656" s="113" t="str">
        <f>VLOOKUP(B1656,辅助信息!E:I,3,FALSE)</f>
        <v>(五冶钢构医学科学产业园建设项目房建一部-四标（3-7）)四川省南充市顺庆区搬罾街道学府大道二段</v>
      </c>
      <c r="J1656" s="113" t="str">
        <f>VLOOKUP(B1656,辅助信息!E:I,4,FALSE)</f>
        <v>胡泽宇</v>
      </c>
      <c r="K1656" s="113">
        <f>VLOOKUP(J1656,辅助信息!H:I,2,FALSE)</f>
        <v>18141337338</v>
      </c>
      <c r="L1656" s="115" t="str">
        <f>VLOOKUP(B1656,辅助信息!E:J,6,FALSE)</f>
        <v>送货单：送货单位：南充思临新材料科技有限公司,收货单位：五冶集团川北(南充)建设有限公司,项目名称：南充医学科学产业园,送货车型13米,装货前联系收货人核实到场规格</v>
      </c>
      <c r="M1656" s="84">
        <v>45804</v>
      </c>
      <c r="O1656" s="55">
        <f ca="1" t="shared" si="89"/>
        <v>0</v>
      </c>
      <c r="P1656" s="55">
        <f ca="1" t="shared" si="90"/>
        <v>153</v>
      </c>
      <c r="Q1656" s="22" t="str">
        <f>VLOOKUP(B1656,辅助信息!E:M,9,FALSE)</f>
        <v>ZTWM-CDGS-XS-2024-0248-五冶钢构-南充市医学院项目</v>
      </c>
      <c r="R1656" s="22" t="str">
        <f>_xlfn._xlws.FILTER(辅助信息!D:D,辅助信息!E:E=B1656)</f>
        <v>五冶钢构南充医学科学产业园建设项目</v>
      </c>
    </row>
    <row r="1657" hidden="1" spans="2:18">
      <c r="B1657" s="33" t="s">
        <v>151</v>
      </c>
      <c r="C1657" s="63">
        <v>45803</v>
      </c>
      <c r="D1657" s="113" t="str">
        <f>VLOOKUP(B1657,辅助信息!E:K,7,FALSE)</f>
        <v>JWDDCD2025051000019</v>
      </c>
      <c r="E1657" s="113" t="str">
        <f>VLOOKUP(F1657,辅助信息!A:B,2,FALSE)</f>
        <v>螺纹钢</v>
      </c>
      <c r="F1657" s="33" t="s">
        <v>32</v>
      </c>
      <c r="G1657" s="29">
        <v>3</v>
      </c>
      <c r="H1657" s="114">
        <f>_xlfn.XLOOKUP(C1657&amp;F1657&amp;I1657&amp;J1657,'[1]2025年已发货'!$F:$F&amp;'[1]2025年已发货'!$C:$C&amp;'[1]2025年已发货'!$G:$G&amp;'[1]2025年已发货'!$H:$H,'[1]2025年已发货'!$E:$E,"未发货")</f>
        <v>3</v>
      </c>
      <c r="I1657" s="113" t="str">
        <f>VLOOKUP(B1657,辅助信息!E:I,3,FALSE)</f>
        <v>(五冶钢构医学科学产业园建设项目房建一部-四标（3-7）)四川省南充市顺庆区搬罾街道学府大道二段</v>
      </c>
      <c r="J1657" s="113" t="str">
        <f>VLOOKUP(B1657,辅助信息!E:I,4,FALSE)</f>
        <v>胡泽宇</v>
      </c>
      <c r="K1657" s="113">
        <f>VLOOKUP(J1657,辅助信息!H:I,2,FALSE)</f>
        <v>18141337338</v>
      </c>
      <c r="L1657" s="115" t="str">
        <f>VLOOKUP(B1657,辅助信息!E:J,6,FALSE)</f>
        <v>送货单：送货单位：南充思临新材料科技有限公司,收货单位：五冶集团川北(南充)建设有限公司,项目名称：南充医学科学产业园,送货车型13米,装货前联系收货人核实到场规格</v>
      </c>
      <c r="M1657" s="84">
        <v>45804</v>
      </c>
      <c r="O1657" s="55">
        <f ca="1" t="shared" si="89"/>
        <v>0</v>
      </c>
      <c r="P1657" s="55">
        <f ca="1" t="shared" si="90"/>
        <v>153</v>
      </c>
      <c r="Q1657" s="22" t="str">
        <f>VLOOKUP(B1657,辅助信息!E:M,9,FALSE)</f>
        <v>ZTWM-CDGS-XS-2024-0248-五冶钢构-南充市医学院项目</v>
      </c>
      <c r="R1657" s="22" t="str">
        <f>_xlfn._xlws.FILTER(辅助信息!D:D,辅助信息!E:E=B1657)</f>
        <v>五冶钢构南充医学科学产业园建设项目</v>
      </c>
    </row>
    <row r="1658" hidden="1" spans="2:18">
      <c r="B1658" s="33" t="s">
        <v>159</v>
      </c>
      <c r="C1658" s="63">
        <v>45803</v>
      </c>
      <c r="D1658" s="113" t="str">
        <f>VLOOKUP(B1658,辅助信息!E:K,7,FALSE)</f>
        <v>JWDDCD2025052800131</v>
      </c>
      <c r="E1658" s="113" t="str">
        <f>VLOOKUP(F1658,辅助信息!A:B,2,FALSE)</f>
        <v>螺纹钢</v>
      </c>
      <c r="F1658" s="33" t="s">
        <v>66</v>
      </c>
      <c r="G1658" s="29">
        <v>9</v>
      </c>
      <c r="H1658" s="114" t="str">
        <f>_xlfn.XLOOKUP(C1658&amp;F1658&amp;I1658&amp;J1658,'[1]2025年已发货'!$F:$F&amp;'[1]2025年已发货'!$C:$C&amp;'[1]2025年已发货'!$G:$G&amp;'[1]2025年已发货'!$H:$H,'[1]2025年已发货'!$E:$E,"未发货")</f>
        <v>未发货</v>
      </c>
      <c r="I1658" s="113" t="str">
        <f>VLOOKUP(B1658,辅助信息!E:I,3,FALSE)</f>
        <v>（商投建工达州中医药科技园-3工区）达州市通川区达州中医药职业学院犀牛大道北段</v>
      </c>
      <c r="J1658" s="113" t="str">
        <f>VLOOKUP(B1658,辅助信息!E:I,4,FALSE)</f>
        <v>程黄刚</v>
      </c>
      <c r="K1658" s="113">
        <f>VLOOKUP(J1658,辅助信息!H:I,2,FALSE)</f>
        <v>15108211617</v>
      </c>
      <c r="L1658" s="115" t="str">
        <f>VLOOKUP(B1658,辅助信息!E:J,6,FALSE)</f>
        <v>控制炉批号！多了现场不收！,优先安排达钢,提前联系到场规格及数量</v>
      </c>
      <c r="M1658" s="84">
        <v>45806</v>
      </c>
      <c r="O1658" s="55">
        <f ca="1" t="shared" si="89"/>
        <v>0</v>
      </c>
      <c r="P1658" s="55">
        <f ca="1" t="shared" si="90"/>
        <v>151</v>
      </c>
      <c r="Q1658" s="22" t="str">
        <f>VLOOKUP(B1658,辅助信息!E:M,9,FALSE)</f>
        <v>ZTWM-CDGS-XS-2024-0134-商投建工达州中医药科技成果示范园项目</v>
      </c>
      <c r="R1658" s="22" t="str">
        <f>_xlfn._xlws.FILTER(辅助信息!D:D,辅助信息!E:E=B1658)</f>
        <v>商投建工达州中医药科技园</v>
      </c>
    </row>
    <row r="1659" hidden="1" spans="2:18">
      <c r="B1659" s="33" t="s">
        <v>159</v>
      </c>
      <c r="C1659" s="63">
        <v>45803</v>
      </c>
      <c r="D1659" s="113" t="str">
        <f>VLOOKUP(B1659,辅助信息!E:K,7,FALSE)</f>
        <v>JWDDCD2025052800131</v>
      </c>
      <c r="E1659" s="113" t="str">
        <f>VLOOKUP(F1659,辅助信息!A:B,2,FALSE)</f>
        <v>螺纹钢</v>
      </c>
      <c r="F1659" s="33" t="s">
        <v>82</v>
      </c>
      <c r="G1659" s="29">
        <v>6</v>
      </c>
      <c r="H1659" s="114" t="str">
        <f>_xlfn.XLOOKUP(C1659&amp;F1659&amp;I1659&amp;J1659,'[1]2025年已发货'!$F:$F&amp;'[1]2025年已发货'!$C:$C&amp;'[1]2025年已发货'!$G:$G&amp;'[1]2025年已发货'!$H:$H,'[1]2025年已发货'!$E:$E,"未发货")</f>
        <v>未发货</v>
      </c>
      <c r="I1659" s="113" t="str">
        <f>VLOOKUP(B1659,辅助信息!E:I,3,FALSE)</f>
        <v>（商投建工达州中医药科技园-3工区）达州市通川区达州中医药职业学院犀牛大道北段</v>
      </c>
      <c r="J1659" s="113" t="str">
        <f>VLOOKUP(B1659,辅助信息!E:I,4,FALSE)</f>
        <v>程黄刚</v>
      </c>
      <c r="K1659" s="113">
        <f>VLOOKUP(J1659,辅助信息!H:I,2,FALSE)</f>
        <v>15108211617</v>
      </c>
      <c r="L1659" s="115" t="str">
        <f>VLOOKUP(B1659,辅助信息!E:J,6,FALSE)</f>
        <v>控制炉批号！多了现场不收！,优先安排达钢,提前联系到场规格及数量</v>
      </c>
      <c r="M1659" s="84">
        <v>45806</v>
      </c>
      <c r="O1659" s="55">
        <f ca="1" t="shared" si="89"/>
        <v>0</v>
      </c>
      <c r="P1659" s="55">
        <f ca="1" t="shared" si="90"/>
        <v>151</v>
      </c>
      <c r="Q1659" s="22" t="str">
        <f>VLOOKUP(B1659,辅助信息!E:M,9,FALSE)</f>
        <v>ZTWM-CDGS-XS-2024-0134-商投建工达州中医药科技成果示范园项目</v>
      </c>
      <c r="R1659" s="22" t="str">
        <f>_xlfn._xlws.FILTER(辅助信息!D:D,辅助信息!E:E=B1659)</f>
        <v>商投建工达州中医药科技园</v>
      </c>
    </row>
    <row r="1660" hidden="1" spans="2:18">
      <c r="B1660" s="33" t="s">
        <v>159</v>
      </c>
      <c r="C1660" s="63">
        <v>45803</v>
      </c>
      <c r="D1660" s="113" t="str">
        <f>VLOOKUP(B1660,辅助信息!E:K,7,FALSE)</f>
        <v>JWDDCD2025052800131</v>
      </c>
      <c r="E1660" s="113" t="str">
        <f>VLOOKUP(F1660,辅助信息!A:B,2,FALSE)</f>
        <v>螺纹钢</v>
      </c>
      <c r="F1660" s="33" t="s">
        <v>45</v>
      </c>
      <c r="G1660" s="29">
        <v>6</v>
      </c>
      <c r="H1660" s="114" t="str">
        <f>_xlfn.XLOOKUP(C1660&amp;F1660&amp;I1660&amp;J1660,'[1]2025年已发货'!$F:$F&amp;'[1]2025年已发货'!$C:$C&amp;'[1]2025年已发货'!$G:$G&amp;'[1]2025年已发货'!$H:$H,'[1]2025年已发货'!$E:$E,"未发货")</f>
        <v>未发货</v>
      </c>
      <c r="I1660" s="113" t="str">
        <f>VLOOKUP(B1660,辅助信息!E:I,3,FALSE)</f>
        <v>（商投建工达州中医药科技园-3工区）达州市通川区达州中医药职业学院犀牛大道北段</v>
      </c>
      <c r="J1660" s="113" t="str">
        <f>VLOOKUP(B1660,辅助信息!E:I,4,FALSE)</f>
        <v>程黄刚</v>
      </c>
      <c r="K1660" s="113">
        <f>VLOOKUP(J1660,辅助信息!H:I,2,FALSE)</f>
        <v>15108211617</v>
      </c>
      <c r="L1660" s="115" t="str">
        <f>VLOOKUP(B1660,辅助信息!E:J,6,FALSE)</f>
        <v>控制炉批号！多了现场不收！,优先安排达钢,提前联系到场规格及数量</v>
      </c>
      <c r="M1660" s="84">
        <v>45806</v>
      </c>
      <c r="O1660" s="55">
        <f ca="1" t="shared" si="89"/>
        <v>0</v>
      </c>
      <c r="P1660" s="55">
        <f ca="1" t="shared" si="90"/>
        <v>151</v>
      </c>
      <c r="Q1660" s="22" t="str">
        <f>VLOOKUP(B1660,辅助信息!E:M,9,FALSE)</f>
        <v>ZTWM-CDGS-XS-2024-0134-商投建工达州中医药科技成果示范园项目</v>
      </c>
      <c r="R1660" s="22" t="str">
        <f>_xlfn._xlws.FILTER(辅助信息!D:D,辅助信息!E:E=B1660)</f>
        <v>商投建工达州中医药科技园</v>
      </c>
    </row>
    <row r="1661" hidden="1" spans="2:18">
      <c r="B1661" s="33" t="s">
        <v>159</v>
      </c>
      <c r="C1661" s="63">
        <v>45803</v>
      </c>
      <c r="D1661" s="113" t="str">
        <f>VLOOKUP(B1661,辅助信息!E:K,7,FALSE)</f>
        <v>JWDDCD2025052800131</v>
      </c>
      <c r="E1661" s="113" t="str">
        <f>VLOOKUP(F1661,辅助信息!A:B,2,FALSE)</f>
        <v>螺纹钢</v>
      </c>
      <c r="F1661" s="33" t="s">
        <v>21</v>
      </c>
      <c r="G1661" s="29">
        <v>6</v>
      </c>
      <c r="H1661" s="114" t="str">
        <f>_xlfn.XLOOKUP(C1661&amp;F1661&amp;I1661&amp;J1661,'[1]2025年已发货'!$F:$F&amp;'[1]2025年已发货'!$C:$C&amp;'[1]2025年已发货'!$G:$G&amp;'[1]2025年已发货'!$H:$H,'[1]2025年已发货'!$E:$E,"未发货")</f>
        <v>未发货</v>
      </c>
      <c r="I1661" s="113" t="str">
        <f>VLOOKUP(B1661,辅助信息!E:I,3,FALSE)</f>
        <v>（商投建工达州中医药科技园-3工区）达州市通川区达州中医药职业学院犀牛大道北段</v>
      </c>
      <c r="J1661" s="113" t="str">
        <f>VLOOKUP(B1661,辅助信息!E:I,4,FALSE)</f>
        <v>程黄刚</v>
      </c>
      <c r="K1661" s="113">
        <f>VLOOKUP(J1661,辅助信息!H:I,2,FALSE)</f>
        <v>15108211617</v>
      </c>
      <c r="L1661" s="115" t="str">
        <f>VLOOKUP(B1661,辅助信息!E:J,6,FALSE)</f>
        <v>控制炉批号！多了现场不收！,优先安排达钢,提前联系到场规格及数量</v>
      </c>
      <c r="M1661" s="84">
        <v>45806</v>
      </c>
      <c r="O1661" s="55">
        <f ca="1" t="shared" si="89"/>
        <v>0</v>
      </c>
      <c r="P1661" s="55">
        <f ca="1" t="shared" si="90"/>
        <v>151</v>
      </c>
      <c r="Q1661" s="22" t="str">
        <f>VLOOKUP(B1661,辅助信息!E:M,9,FALSE)</f>
        <v>ZTWM-CDGS-XS-2024-0134-商投建工达州中医药科技成果示范园项目</v>
      </c>
      <c r="R1661" s="22" t="str">
        <f>_xlfn._xlws.FILTER(辅助信息!D:D,辅助信息!E:E=B1661)</f>
        <v>商投建工达州中医药科技园</v>
      </c>
    </row>
    <row r="1662" hidden="1" spans="2:18">
      <c r="B1662" s="33" t="s">
        <v>159</v>
      </c>
      <c r="C1662" s="63">
        <v>45803</v>
      </c>
      <c r="D1662" s="113" t="str">
        <f>VLOOKUP(B1662,辅助信息!E:K,7,FALSE)</f>
        <v>JWDDCD2025052800131</v>
      </c>
      <c r="E1662" s="113" t="str">
        <f>VLOOKUP(F1662,辅助信息!A:B,2,FALSE)</f>
        <v>螺纹钢</v>
      </c>
      <c r="F1662" s="33" t="s">
        <v>58</v>
      </c>
      <c r="G1662" s="29">
        <v>9</v>
      </c>
      <c r="H1662" s="114" t="str">
        <f>_xlfn.XLOOKUP(C1662&amp;F1662&amp;I1662&amp;J1662,'[1]2025年已发货'!$F:$F&amp;'[1]2025年已发货'!$C:$C&amp;'[1]2025年已发货'!$G:$G&amp;'[1]2025年已发货'!$H:$H,'[1]2025年已发货'!$E:$E,"未发货")</f>
        <v>未发货</v>
      </c>
      <c r="I1662" s="113" t="str">
        <f>VLOOKUP(B1662,辅助信息!E:I,3,FALSE)</f>
        <v>（商投建工达州中医药科技园-3工区）达州市通川区达州中医药职业学院犀牛大道北段</v>
      </c>
      <c r="J1662" s="113" t="str">
        <f>VLOOKUP(B1662,辅助信息!E:I,4,FALSE)</f>
        <v>程黄刚</v>
      </c>
      <c r="K1662" s="113">
        <f>VLOOKUP(J1662,辅助信息!H:I,2,FALSE)</f>
        <v>15108211617</v>
      </c>
      <c r="L1662" s="115" t="str">
        <f>VLOOKUP(B1662,辅助信息!E:J,6,FALSE)</f>
        <v>控制炉批号！多了现场不收！,优先安排达钢,提前联系到场规格及数量</v>
      </c>
      <c r="M1662" s="84">
        <v>45806</v>
      </c>
      <c r="O1662" s="55">
        <f ca="1" t="shared" si="89"/>
        <v>0</v>
      </c>
      <c r="P1662" s="55">
        <f ca="1" t="shared" si="90"/>
        <v>151</v>
      </c>
      <c r="Q1662" s="22" t="str">
        <f>VLOOKUP(B1662,辅助信息!E:M,9,FALSE)</f>
        <v>ZTWM-CDGS-XS-2024-0134-商投建工达州中医药科技成果示范园项目</v>
      </c>
      <c r="R1662" s="22" t="str">
        <f>_xlfn._xlws.FILTER(辅助信息!D:D,辅助信息!E:E=B1662)</f>
        <v>商投建工达州中医药科技园</v>
      </c>
    </row>
    <row r="1663" hidden="1" spans="2:18">
      <c r="B1663" s="33" t="s">
        <v>159</v>
      </c>
      <c r="C1663" s="63">
        <v>45803</v>
      </c>
      <c r="D1663" s="113" t="str">
        <f>VLOOKUP(B1663,辅助信息!E:K,7,FALSE)</f>
        <v>JWDDCD2025052800131</v>
      </c>
      <c r="E1663" s="113" t="str">
        <f>VLOOKUP(F1663,辅助信息!A:B,2,FALSE)</f>
        <v>螺纹钢</v>
      </c>
      <c r="F1663" s="33" t="s">
        <v>46</v>
      </c>
      <c r="G1663" s="29">
        <v>9</v>
      </c>
      <c r="H1663" s="114" t="str">
        <f>_xlfn.XLOOKUP(C1663&amp;F1663&amp;I1663&amp;J1663,'[1]2025年已发货'!$F:$F&amp;'[1]2025年已发货'!$C:$C&amp;'[1]2025年已发货'!$G:$G&amp;'[1]2025年已发货'!$H:$H,'[1]2025年已发货'!$E:$E,"未发货")</f>
        <v>未发货</v>
      </c>
      <c r="I1663" s="113" t="str">
        <f>VLOOKUP(B1663,辅助信息!E:I,3,FALSE)</f>
        <v>（商投建工达州中医药科技园-3工区）达州市通川区达州中医药职业学院犀牛大道北段</v>
      </c>
      <c r="J1663" s="113" t="str">
        <f>VLOOKUP(B1663,辅助信息!E:I,4,FALSE)</f>
        <v>程黄刚</v>
      </c>
      <c r="K1663" s="113">
        <f>VLOOKUP(J1663,辅助信息!H:I,2,FALSE)</f>
        <v>15108211617</v>
      </c>
      <c r="L1663" s="115" t="str">
        <f>VLOOKUP(B1663,辅助信息!E:J,6,FALSE)</f>
        <v>控制炉批号！多了现场不收！,优先安排达钢,提前联系到场规格及数量</v>
      </c>
      <c r="M1663" s="84">
        <v>45806</v>
      </c>
      <c r="O1663" s="55">
        <f ca="1" t="shared" si="89"/>
        <v>0</v>
      </c>
      <c r="P1663" s="55">
        <f ca="1" t="shared" si="90"/>
        <v>151</v>
      </c>
      <c r="Q1663" s="22" t="str">
        <f>VLOOKUP(B1663,辅助信息!E:M,9,FALSE)</f>
        <v>ZTWM-CDGS-XS-2024-0134-商投建工达州中医药科技成果示范园项目</v>
      </c>
      <c r="R1663" s="22" t="str">
        <f>_xlfn._xlws.FILTER(辅助信息!D:D,辅助信息!E:E=B1663)</f>
        <v>商投建工达州中医药科技园</v>
      </c>
    </row>
    <row r="1664" hidden="1" spans="2:18">
      <c r="B1664" s="33" t="s">
        <v>159</v>
      </c>
      <c r="C1664" s="63">
        <v>45803</v>
      </c>
      <c r="D1664" s="113" t="str">
        <f>VLOOKUP(B1664,辅助信息!E:K,7,FALSE)</f>
        <v>JWDDCD2025052800131</v>
      </c>
      <c r="E1664" s="113" t="str">
        <f>VLOOKUP(F1664,辅助信息!A:B,2,FALSE)</f>
        <v>螺纹钢</v>
      </c>
      <c r="F1664" s="33" t="s">
        <v>22</v>
      </c>
      <c r="G1664" s="29">
        <v>27</v>
      </c>
      <c r="H1664" s="114" t="str">
        <f>_xlfn.XLOOKUP(C1664&amp;F1664&amp;I1664&amp;J1664,'[1]2025年已发货'!$F:$F&amp;'[1]2025年已发货'!$C:$C&amp;'[1]2025年已发货'!$G:$G&amp;'[1]2025年已发货'!$H:$H,'[1]2025年已发货'!$E:$E,"未发货")</f>
        <v>未发货</v>
      </c>
      <c r="I1664" s="113" t="str">
        <f>VLOOKUP(B1664,辅助信息!E:I,3,FALSE)</f>
        <v>（商投建工达州中医药科技园-3工区）达州市通川区达州中医药职业学院犀牛大道北段</v>
      </c>
      <c r="J1664" s="113" t="str">
        <f>VLOOKUP(B1664,辅助信息!E:I,4,FALSE)</f>
        <v>程黄刚</v>
      </c>
      <c r="K1664" s="113">
        <f>VLOOKUP(J1664,辅助信息!H:I,2,FALSE)</f>
        <v>15108211617</v>
      </c>
      <c r="L1664" s="115" t="str">
        <f>VLOOKUP(B1664,辅助信息!E:J,6,FALSE)</f>
        <v>控制炉批号！多了现场不收！,优先安排达钢,提前联系到场规格及数量</v>
      </c>
      <c r="M1664" s="84">
        <v>45806</v>
      </c>
      <c r="O1664" s="55">
        <f ca="1" t="shared" si="89"/>
        <v>0</v>
      </c>
      <c r="P1664" s="55">
        <f ca="1" t="shared" si="90"/>
        <v>151</v>
      </c>
      <c r="Q1664" s="22" t="str">
        <f>VLOOKUP(B1664,辅助信息!E:M,9,FALSE)</f>
        <v>ZTWM-CDGS-XS-2024-0134-商投建工达州中医药科技成果示范园项目</v>
      </c>
      <c r="R1664" s="22" t="str">
        <f>_xlfn._xlws.FILTER(辅助信息!D:D,辅助信息!E:E=B1664)</f>
        <v>商投建工达州中医药科技园</v>
      </c>
    </row>
    <row r="1665" hidden="1" spans="2:18">
      <c r="B1665" s="33" t="s">
        <v>92</v>
      </c>
      <c r="C1665" s="63">
        <v>45806</v>
      </c>
      <c r="D1665" s="113" t="str">
        <f>VLOOKUP(B1665,辅助信息!E:K,7,FALSE)</f>
        <v>JWDDCD2025051800046</v>
      </c>
      <c r="E1665" s="113" t="str">
        <f>VLOOKUP(F1665,辅助信息!A:B,2,FALSE)</f>
        <v>盘螺</v>
      </c>
      <c r="F1665" s="33" t="s">
        <v>40</v>
      </c>
      <c r="G1665" s="29">
        <v>12</v>
      </c>
      <c r="H1665" s="114">
        <f>_xlfn.XLOOKUP(C1665&amp;F1665&amp;I1665&amp;J1665,'[1]2025年已发货'!$F:$F&amp;'[1]2025年已发货'!$C:$C&amp;'[1]2025年已发货'!$G:$G&amp;'[1]2025年已发货'!$H:$H,'[1]2025年已发货'!$E:$E,"未发货")</f>
        <v>12</v>
      </c>
      <c r="I1665" s="113" t="str">
        <f>VLOOKUP(B1665,辅助信息!E:I,3,FALSE)</f>
        <v>（华西萌海科创农业生态谷）成都市简阳市白金山水库</v>
      </c>
      <c r="J1665" s="113" t="str">
        <f>VLOOKUP(B1665,辅助信息!E:I,4,FALSE)</f>
        <v>石清国</v>
      </c>
      <c r="K1665" s="113">
        <f>VLOOKUP(J1665,辅助信息!H:I,2,FALSE)</f>
        <v>13458642015</v>
      </c>
      <c r="L1665" s="115" t="str">
        <f>VLOOKUP(B1665,辅助信息!E:J,6,FALSE)</f>
        <v>优先威钢,我方卸车,新老国标钢厂不加价可直发</v>
      </c>
      <c r="M1665" s="84">
        <v>45807</v>
      </c>
      <c r="O1665" s="55">
        <f ca="1" t="shared" ref="O1665:O1685" si="91">IF(OR(M1665="",N1665&lt;&gt;""),"",MAX(M1665-TODAY(),0))</f>
        <v>0</v>
      </c>
      <c r="P1665" s="55">
        <f ca="1" t="shared" ref="P1665:P1685" si="92">IF(M1665="","",IF(N1665&lt;&gt;"",MAX(N1665-M1665,0),IF(TODAY()&gt;M1665,TODAY()-M1665,0)))</f>
        <v>150</v>
      </c>
      <c r="Q1665" s="22" t="str">
        <f>VLOOKUP(B1665,辅助信息!E:M,9,FALSE)</f>
        <v>ZTWM-CDGS-XS-2024-0092-华西-萌海科创农业生态谷</v>
      </c>
      <c r="R1665" s="22" t="str">
        <f>_xlfn._xlws.FILTER(辅助信息!D:D,辅助信息!E:E=B1665)</f>
        <v>华西萌海-科创农业生态谷</v>
      </c>
    </row>
    <row r="1666" hidden="1" spans="2:18">
      <c r="B1666" s="33" t="s">
        <v>92</v>
      </c>
      <c r="C1666" s="63">
        <v>45806</v>
      </c>
      <c r="D1666" s="113" t="str">
        <f>VLOOKUP(B1666,辅助信息!E:K,7,FALSE)</f>
        <v>JWDDCD2025051800046</v>
      </c>
      <c r="E1666" s="113" t="str">
        <f>VLOOKUP(F1666,辅助信息!A:B,2,FALSE)</f>
        <v>盘螺</v>
      </c>
      <c r="F1666" s="33" t="s">
        <v>41</v>
      </c>
      <c r="G1666" s="29">
        <v>15</v>
      </c>
      <c r="H1666" s="114">
        <f>_xlfn.XLOOKUP(C1666&amp;F1666&amp;I1666&amp;J1666,'[1]2025年已发货'!$F:$F&amp;'[1]2025年已发货'!$C:$C&amp;'[1]2025年已发货'!$G:$G&amp;'[1]2025年已发货'!$H:$H,'[1]2025年已发货'!$E:$E,"未发货")</f>
        <v>15</v>
      </c>
      <c r="I1666" s="113" t="str">
        <f>VLOOKUP(B1666,辅助信息!E:I,3,FALSE)</f>
        <v>（华西萌海科创农业生态谷）成都市简阳市白金山水库</v>
      </c>
      <c r="J1666" s="113" t="str">
        <f>VLOOKUP(B1666,辅助信息!E:I,4,FALSE)</f>
        <v>石清国</v>
      </c>
      <c r="K1666" s="113">
        <f>VLOOKUP(J1666,辅助信息!H:I,2,FALSE)</f>
        <v>13458642015</v>
      </c>
      <c r="L1666" s="115" t="str">
        <f>VLOOKUP(B1666,辅助信息!E:J,6,FALSE)</f>
        <v>优先威钢,我方卸车,新老国标钢厂不加价可直发</v>
      </c>
      <c r="M1666" s="84">
        <v>45807</v>
      </c>
      <c r="O1666" s="55">
        <f ca="1" t="shared" si="91"/>
        <v>0</v>
      </c>
      <c r="P1666" s="55">
        <f ca="1" t="shared" si="92"/>
        <v>150</v>
      </c>
      <c r="Q1666" s="22" t="str">
        <f>VLOOKUP(B1666,辅助信息!E:M,9,FALSE)</f>
        <v>ZTWM-CDGS-XS-2024-0092-华西-萌海科创农业生态谷</v>
      </c>
      <c r="R1666" s="22" t="str">
        <f>_xlfn._xlws.FILTER(辅助信息!D:D,辅助信息!E:E=B1666)</f>
        <v>华西萌海-科创农业生态谷</v>
      </c>
    </row>
    <row r="1667" hidden="1" spans="2:18">
      <c r="B1667" s="33" t="s">
        <v>92</v>
      </c>
      <c r="C1667" s="63">
        <v>45806</v>
      </c>
      <c r="D1667" s="113" t="str">
        <f>VLOOKUP(B1667,辅助信息!E:K,7,FALSE)</f>
        <v>JWDDCD2025051800046</v>
      </c>
      <c r="E1667" s="113" t="str">
        <f>VLOOKUP(F1667,辅助信息!A:B,2,FALSE)</f>
        <v>螺纹钢</v>
      </c>
      <c r="F1667" s="33" t="s">
        <v>27</v>
      </c>
      <c r="G1667" s="29">
        <v>5</v>
      </c>
      <c r="H1667" s="114">
        <f>_xlfn.XLOOKUP(C1667&amp;F1667&amp;I1667&amp;J1667,'[1]2025年已发货'!$F:$F&amp;'[1]2025年已发货'!$C:$C&amp;'[1]2025年已发货'!$G:$G&amp;'[1]2025年已发货'!$H:$H,'[1]2025年已发货'!$E:$E,"未发货")</f>
        <v>5</v>
      </c>
      <c r="I1667" s="113" t="str">
        <f>VLOOKUP(B1667,辅助信息!E:I,3,FALSE)</f>
        <v>（华西萌海科创农业生态谷）成都市简阳市白金山水库</v>
      </c>
      <c r="J1667" s="113" t="str">
        <f>VLOOKUP(B1667,辅助信息!E:I,4,FALSE)</f>
        <v>石清国</v>
      </c>
      <c r="K1667" s="113">
        <f>VLOOKUP(J1667,辅助信息!H:I,2,FALSE)</f>
        <v>13458642015</v>
      </c>
      <c r="L1667" s="115" t="str">
        <f>VLOOKUP(B1667,辅助信息!E:J,6,FALSE)</f>
        <v>优先威钢,我方卸车,新老国标钢厂不加价可直发</v>
      </c>
      <c r="M1667" s="84">
        <v>45807</v>
      </c>
      <c r="O1667" s="55">
        <f ca="1" t="shared" si="91"/>
        <v>0</v>
      </c>
      <c r="P1667" s="55">
        <f ca="1" t="shared" si="92"/>
        <v>150</v>
      </c>
      <c r="Q1667" s="22" t="str">
        <f>VLOOKUP(B1667,辅助信息!E:M,9,FALSE)</f>
        <v>ZTWM-CDGS-XS-2024-0092-华西-萌海科创农业生态谷</v>
      </c>
      <c r="R1667" s="22" t="str">
        <f>_xlfn._xlws.FILTER(辅助信息!D:D,辅助信息!E:E=B1667)</f>
        <v>华西萌海-科创农业生态谷</v>
      </c>
    </row>
    <row r="1668" hidden="1" spans="2:18">
      <c r="B1668" s="33" t="s">
        <v>92</v>
      </c>
      <c r="C1668" s="63">
        <v>45806</v>
      </c>
      <c r="D1668" s="113" t="str">
        <f>VLOOKUP(B1668,辅助信息!E:K,7,FALSE)</f>
        <v>JWDDCD2025051800046</v>
      </c>
      <c r="E1668" s="113" t="str">
        <f>VLOOKUP(F1668,辅助信息!A:B,2,FALSE)</f>
        <v>螺纹钢</v>
      </c>
      <c r="F1668" s="33" t="s">
        <v>19</v>
      </c>
      <c r="G1668" s="29">
        <v>3</v>
      </c>
      <c r="H1668" s="114">
        <f>_xlfn.XLOOKUP(C1668&amp;F1668&amp;I1668&amp;J1668,'[1]2025年已发货'!$F:$F&amp;'[1]2025年已发货'!$C:$C&amp;'[1]2025年已发货'!$G:$G&amp;'[1]2025年已发货'!$H:$H,'[1]2025年已发货'!$E:$E,"未发货")</f>
        <v>3</v>
      </c>
      <c r="I1668" s="113" t="str">
        <f>VLOOKUP(B1668,辅助信息!E:I,3,FALSE)</f>
        <v>（华西萌海科创农业生态谷）成都市简阳市白金山水库</v>
      </c>
      <c r="J1668" s="113" t="str">
        <f>VLOOKUP(B1668,辅助信息!E:I,4,FALSE)</f>
        <v>石清国</v>
      </c>
      <c r="K1668" s="113">
        <f>VLOOKUP(J1668,辅助信息!H:I,2,FALSE)</f>
        <v>13458642015</v>
      </c>
      <c r="L1668" s="115" t="str">
        <f>VLOOKUP(B1668,辅助信息!E:J,6,FALSE)</f>
        <v>优先威钢,我方卸车,新老国标钢厂不加价可直发</v>
      </c>
      <c r="M1668" s="84">
        <v>45807</v>
      </c>
      <c r="O1668" s="55">
        <f ca="1" t="shared" si="91"/>
        <v>0</v>
      </c>
      <c r="P1668" s="55">
        <f ca="1" t="shared" si="92"/>
        <v>150</v>
      </c>
      <c r="Q1668" s="22" t="str">
        <f>VLOOKUP(B1668,辅助信息!E:M,9,FALSE)</f>
        <v>ZTWM-CDGS-XS-2024-0092-华西-萌海科创农业生态谷</v>
      </c>
      <c r="R1668" s="22" t="str">
        <f>_xlfn._xlws.FILTER(辅助信息!D:D,辅助信息!E:E=B1668)</f>
        <v>华西萌海-科创农业生态谷</v>
      </c>
    </row>
    <row r="1669" hidden="1" spans="2:18">
      <c r="B1669" s="33" t="s">
        <v>92</v>
      </c>
      <c r="C1669" s="63">
        <v>45806</v>
      </c>
      <c r="D1669" s="113" t="str">
        <f>VLOOKUP(B1669,辅助信息!E:K,7,FALSE)</f>
        <v>JWDDCD2025051800046</v>
      </c>
      <c r="E1669" s="113" t="str">
        <f>VLOOKUP(F1669,辅助信息!A:B,2,FALSE)</f>
        <v>螺纹钢</v>
      </c>
      <c r="F1669" s="33" t="s">
        <v>82</v>
      </c>
      <c r="G1669" s="29">
        <v>3</v>
      </c>
      <c r="H1669" s="114">
        <f>_xlfn.XLOOKUP(C1669&amp;F1669&amp;I1669&amp;J1669,'[1]2025年已发货'!$F:$F&amp;'[1]2025年已发货'!$C:$C&amp;'[1]2025年已发货'!$G:$G&amp;'[1]2025年已发货'!$H:$H,'[1]2025年已发货'!$E:$E,"未发货")</f>
        <v>3</v>
      </c>
      <c r="I1669" s="113" t="str">
        <f>VLOOKUP(B1669,辅助信息!E:I,3,FALSE)</f>
        <v>（华西萌海科创农业生态谷）成都市简阳市白金山水库</v>
      </c>
      <c r="J1669" s="113" t="str">
        <f>VLOOKUP(B1669,辅助信息!E:I,4,FALSE)</f>
        <v>石清国</v>
      </c>
      <c r="K1669" s="113">
        <f>VLOOKUP(J1669,辅助信息!H:I,2,FALSE)</f>
        <v>13458642015</v>
      </c>
      <c r="L1669" s="115" t="str">
        <f>VLOOKUP(B1669,辅助信息!E:J,6,FALSE)</f>
        <v>优先威钢,我方卸车,新老国标钢厂不加价可直发</v>
      </c>
      <c r="M1669" s="84">
        <v>45807</v>
      </c>
      <c r="O1669" s="55">
        <f ca="1" t="shared" si="91"/>
        <v>0</v>
      </c>
      <c r="P1669" s="55">
        <f ca="1" t="shared" si="92"/>
        <v>150</v>
      </c>
      <c r="Q1669" s="22" t="str">
        <f>VLOOKUP(B1669,辅助信息!E:M,9,FALSE)</f>
        <v>ZTWM-CDGS-XS-2024-0092-华西-萌海科创农业生态谷</v>
      </c>
      <c r="R1669" s="22" t="str">
        <f>_xlfn._xlws.FILTER(辅助信息!D:D,辅助信息!E:E=B1669)</f>
        <v>华西萌海-科创农业生态谷</v>
      </c>
    </row>
    <row r="1670" hidden="1" spans="2:18">
      <c r="B1670" s="33" t="s">
        <v>92</v>
      </c>
      <c r="C1670" s="63">
        <v>45806</v>
      </c>
      <c r="D1670" s="113" t="str">
        <f>VLOOKUP(B1670,辅助信息!E:K,7,FALSE)</f>
        <v>JWDDCD2025051800046</v>
      </c>
      <c r="E1670" s="113" t="str">
        <f>VLOOKUP(F1670,辅助信息!A:B,2,FALSE)</f>
        <v>螺纹钢</v>
      </c>
      <c r="F1670" s="33" t="s">
        <v>45</v>
      </c>
      <c r="G1670" s="29">
        <v>3</v>
      </c>
      <c r="H1670" s="114">
        <f>_xlfn.XLOOKUP(C1670&amp;F1670&amp;I1670&amp;J1670,'[1]2025年已发货'!$F:$F&amp;'[1]2025年已发货'!$C:$C&amp;'[1]2025年已发货'!$G:$G&amp;'[1]2025年已发货'!$H:$H,'[1]2025年已发货'!$E:$E,"未发货")</f>
        <v>3</v>
      </c>
      <c r="I1670" s="113" t="str">
        <f>VLOOKUP(B1670,辅助信息!E:I,3,FALSE)</f>
        <v>（华西萌海科创农业生态谷）成都市简阳市白金山水库</v>
      </c>
      <c r="J1670" s="113" t="str">
        <f>VLOOKUP(B1670,辅助信息!E:I,4,FALSE)</f>
        <v>石清国</v>
      </c>
      <c r="K1670" s="113">
        <f>VLOOKUP(J1670,辅助信息!H:I,2,FALSE)</f>
        <v>13458642015</v>
      </c>
      <c r="L1670" s="115" t="str">
        <f>VLOOKUP(B1670,辅助信息!E:J,6,FALSE)</f>
        <v>优先威钢,我方卸车,新老国标钢厂不加价可直发</v>
      </c>
      <c r="M1670" s="84">
        <v>45807</v>
      </c>
      <c r="O1670" s="55">
        <f ca="1" t="shared" si="91"/>
        <v>0</v>
      </c>
      <c r="P1670" s="55">
        <f ca="1" t="shared" si="92"/>
        <v>150</v>
      </c>
      <c r="Q1670" s="22" t="str">
        <f>VLOOKUP(B1670,辅助信息!E:M,9,FALSE)</f>
        <v>ZTWM-CDGS-XS-2024-0092-华西-萌海科创农业生态谷</v>
      </c>
      <c r="R1670" s="22" t="str">
        <f>_xlfn._xlws.FILTER(辅助信息!D:D,辅助信息!E:E=B1670)</f>
        <v>华西萌海-科创农业生态谷</v>
      </c>
    </row>
    <row r="1671" hidden="1" spans="2:18">
      <c r="B1671" s="33" t="s">
        <v>92</v>
      </c>
      <c r="C1671" s="63">
        <v>45806</v>
      </c>
      <c r="D1671" s="113" t="str">
        <f>VLOOKUP(B1671,辅助信息!E:K,7,FALSE)</f>
        <v>JWDDCD2025051800046</v>
      </c>
      <c r="E1671" s="113" t="str">
        <f>VLOOKUP(F1671,辅助信息!A:B,2,FALSE)</f>
        <v>螺纹钢</v>
      </c>
      <c r="F1671" s="33" t="s">
        <v>58</v>
      </c>
      <c r="G1671" s="29">
        <v>3</v>
      </c>
      <c r="H1671" s="114">
        <f>_xlfn.XLOOKUP(C1671&amp;F1671&amp;I1671&amp;J1671,'[1]2025年已发货'!$F:$F&amp;'[1]2025年已发货'!$C:$C&amp;'[1]2025年已发货'!$G:$G&amp;'[1]2025年已发货'!$H:$H,'[1]2025年已发货'!$E:$E,"未发货")</f>
        <v>3</v>
      </c>
      <c r="I1671" s="113" t="str">
        <f>VLOOKUP(B1671,辅助信息!E:I,3,FALSE)</f>
        <v>（华西萌海科创农业生态谷）成都市简阳市白金山水库</v>
      </c>
      <c r="J1671" s="113" t="str">
        <f>VLOOKUP(B1671,辅助信息!E:I,4,FALSE)</f>
        <v>石清国</v>
      </c>
      <c r="K1671" s="113">
        <f>VLOOKUP(J1671,辅助信息!H:I,2,FALSE)</f>
        <v>13458642015</v>
      </c>
      <c r="L1671" s="115" t="str">
        <f>VLOOKUP(B1671,辅助信息!E:J,6,FALSE)</f>
        <v>优先威钢,我方卸车,新老国标钢厂不加价可直发</v>
      </c>
      <c r="M1671" s="84">
        <v>45807</v>
      </c>
      <c r="O1671" s="55">
        <f ca="1" t="shared" si="91"/>
        <v>0</v>
      </c>
      <c r="P1671" s="55">
        <f ca="1" t="shared" si="92"/>
        <v>150</v>
      </c>
      <c r="Q1671" s="22" t="str">
        <f>VLOOKUP(B1671,辅助信息!E:M,9,FALSE)</f>
        <v>ZTWM-CDGS-XS-2024-0092-华西-萌海科创农业生态谷</v>
      </c>
      <c r="R1671" s="22" t="str">
        <f>_xlfn._xlws.FILTER(辅助信息!D:D,辅助信息!E:E=B1671)</f>
        <v>华西萌海-科创农业生态谷</v>
      </c>
    </row>
    <row r="1672" hidden="1" spans="2:18">
      <c r="B1672" s="33" t="s">
        <v>92</v>
      </c>
      <c r="C1672" s="63">
        <v>45806</v>
      </c>
      <c r="D1672" s="113" t="str">
        <f>VLOOKUP(B1672,辅助信息!E:K,7,FALSE)</f>
        <v>JWDDCD2025051800046</v>
      </c>
      <c r="E1672" s="113" t="str">
        <f>VLOOKUP(F1672,辅助信息!A:B,2,FALSE)</f>
        <v>螺纹钢</v>
      </c>
      <c r="F1672" s="33" t="s">
        <v>22</v>
      </c>
      <c r="G1672" s="29">
        <v>26</v>
      </c>
      <c r="H1672" s="114">
        <f>_xlfn.XLOOKUP(C1672&amp;F1672&amp;I1672&amp;J1672,'[1]2025年已发货'!$F:$F&amp;'[1]2025年已发货'!$C:$C&amp;'[1]2025年已发货'!$G:$G&amp;'[1]2025年已发货'!$H:$H,'[1]2025年已发货'!$E:$E,"未发货")</f>
        <v>26</v>
      </c>
      <c r="I1672" s="113" t="str">
        <f>VLOOKUP(B1672,辅助信息!E:I,3,FALSE)</f>
        <v>（华西萌海科创农业生态谷）成都市简阳市白金山水库</v>
      </c>
      <c r="J1672" s="113" t="str">
        <f>VLOOKUP(B1672,辅助信息!E:I,4,FALSE)</f>
        <v>石清国</v>
      </c>
      <c r="K1672" s="113">
        <f>VLOOKUP(J1672,辅助信息!H:I,2,FALSE)</f>
        <v>13458642015</v>
      </c>
      <c r="L1672" s="115" t="str">
        <f>VLOOKUP(B1672,辅助信息!E:J,6,FALSE)</f>
        <v>优先威钢,我方卸车,新老国标钢厂不加价可直发</v>
      </c>
      <c r="M1672" s="84">
        <v>45807</v>
      </c>
      <c r="O1672" s="55">
        <f ca="1" t="shared" si="91"/>
        <v>0</v>
      </c>
      <c r="P1672" s="55">
        <f ca="1" t="shared" si="92"/>
        <v>150</v>
      </c>
      <c r="Q1672" s="22" t="str">
        <f>VLOOKUP(B1672,辅助信息!E:M,9,FALSE)</f>
        <v>ZTWM-CDGS-XS-2024-0092-华西-萌海科创农业生态谷</v>
      </c>
      <c r="R1672" s="22" t="str">
        <f>_xlfn._xlws.FILTER(辅助信息!D:D,辅助信息!E:E=B1672)</f>
        <v>华西萌海-科创农业生态谷</v>
      </c>
    </row>
    <row r="1673" hidden="1" spans="2:18">
      <c r="B1673" s="33" t="s">
        <v>56</v>
      </c>
      <c r="C1673" s="63">
        <v>45806</v>
      </c>
      <c r="D1673" s="113" t="str">
        <f>VLOOKUP(B1673,辅助信息!E:K,7,FALSE)</f>
        <v>JWDDCD2025052800131</v>
      </c>
      <c r="E1673" s="113" t="str">
        <f>VLOOKUP(F1673,辅助信息!A:B,2,FALSE)</f>
        <v>螺纹钢</v>
      </c>
      <c r="F1673" s="33" t="s">
        <v>66</v>
      </c>
      <c r="G1673" s="29">
        <v>6</v>
      </c>
      <c r="H1673" s="114">
        <f>_xlfn.XLOOKUP(C1673&amp;F1673&amp;I1673&amp;J1673,'[1]2025年已发货'!$F:$F&amp;'[1]2025年已发货'!$C:$C&amp;'[1]2025年已发货'!$G:$G&amp;'[1]2025年已发货'!$H:$H,'[1]2025年已发货'!$E:$E,"未发货")</f>
        <v>6</v>
      </c>
      <c r="I1673" s="113" t="str">
        <f>VLOOKUP(B1673,辅助信息!E:I,3,FALSE)</f>
        <v>（商投建工达州中医药科技园-4工区-7号楼）达州市通川区达州中医药职业学院犀牛大道北段</v>
      </c>
      <c r="J1673" s="113" t="str">
        <f>VLOOKUP(B1673,辅助信息!E:I,4,FALSE)</f>
        <v>张扬</v>
      </c>
      <c r="K1673" s="113">
        <f>VLOOKUP(J1673,辅助信息!H:I,2,FALSE)</f>
        <v>18381904567</v>
      </c>
      <c r="L1673" s="115" t="str">
        <f>VLOOKUP(B1673,辅助信息!E:J,6,FALSE)</f>
        <v>控制炉批号！多了现场不收！,优先安排达钢,提前联系到场规格及数量</v>
      </c>
      <c r="M1673" s="84">
        <v>45807</v>
      </c>
      <c r="O1673" s="55">
        <f ca="1" t="shared" si="91"/>
        <v>0</v>
      </c>
      <c r="P1673" s="55">
        <f ca="1" t="shared" si="92"/>
        <v>150</v>
      </c>
      <c r="Q1673" s="22" t="str">
        <f>VLOOKUP(B1673,辅助信息!E:M,9,FALSE)</f>
        <v>ZTWM-CDGS-XS-2024-0134-商投建工达州中医药科技成果示范园项目</v>
      </c>
      <c r="R1673" s="22" t="str">
        <f>_xlfn._xlws.FILTER(辅助信息!D:D,辅助信息!E:E=B1673)</f>
        <v>商投建工达州中医药科技园</v>
      </c>
    </row>
    <row r="1674" hidden="1" spans="2:18">
      <c r="B1674" s="33" t="s">
        <v>56</v>
      </c>
      <c r="C1674" s="63">
        <v>45806</v>
      </c>
      <c r="D1674" s="113" t="str">
        <f>VLOOKUP(B1674,辅助信息!E:K,7,FALSE)</f>
        <v>JWDDCD2025052800131</v>
      </c>
      <c r="E1674" s="113" t="str">
        <f>VLOOKUP(F1674,辅助信息!A:B,2,FALSE)</f>
        <v>螺纹钢</v>
      </c>
      <c r="F1674" s="33" t="s">
        <v>45</v>
      </c>
      <c r="G1674" s="29">
        <v>9</v>
      </c>
      <c r="H1674" s="114">
        <f>_xlfn.XLOOKUP(C1674&amp;F1674&amp;I1674&amp;J1674,'[1]2025年已发货'!$F:$F&amp;'[1]2025年已发货'!$C:$C&amp;'[1]2025年已发货'!$G:$G&amp;'[1]2025年已发货'!$H:$H,'[1]2025年已发货'!$E:$E,"未发货")</f>
        <v>9</v>
      </c>
      <c r="I1674" s="113" t="str">
        <f>VLOOKUP(B1674,辅助信息!E:I,3,FALSE)</f>
        <v>（商投建工达州中医药科技园-4工区-7号楼）达州市通川区达州中医药职业学院犀牛大道北段</v>
      </c>
      <c r="J1674" s="113" t="str">
        <f>VLOOKUP(B1674,辅助信息!E:I,4,FALSE)</f>
        <v>张扬</v>
      </c>
      <c r="K1674" s="113">
        <f>VLOOKUP(J1674,辅助信息!H:I,2,FALSE)</f>
        <v>18381904567</v>
      </c>
      <c r="L1674" s="115" t="str">
        <f>VLOOKUP(B1674,辅助信息!E:J,6,FALSE)</f>
        <v>控制炉批号！多了现场不收！,优先安排达钢,提前联系到场规格及数量</v>
      </c>
      <c r="M1674" s="84">
        <v>45807</v>
      </c>
      <c r="O1674" s="55">
        <f ca="1" t="shared" si="91"/>
        <v>0</v>
      </c>
      <c r="P1674" s="55">
        <f ca="1" t="shared" si="92"/>
        <v>150</v>
      </c>
      <c r="Q1674" s="22" t="str">
        <f>VLOOKUP(B1674,辅助信息!E:M,9,FALSE)</f>
        <v>ZTWM-CDGS-XS-2024-0134-商投建工达州中医药科技成果示范园项目</v>
      </c>
      <c r="R1674" s="22" t="str">
        <f>_xlfn._xlws.FILTER(辅助信息!D:D,辅助信息!E:E=B1674)</f>
        <v>商投建工达州中医药科技园</v>
      </c>
    </row>
    <row r="1675" hidden="1" spans="2:18">
      <c r="B1675" s="33" t="s">
        <v>56</v>
      </c>
      <c r="C1675" s="63">
        <v>45806</v>
      </c>
      <c r="D1675" s="113" t="str">
        <f>VLOOKUP(B1675,辅助信息!E:K,7,FALSE)</f>
        <v>JWDDCD2025052800131</v>
      </c>
      <c r="E1675" s="113" t="str">
        <f>VLOOKUP(F1675,辅助信息!A:B,2,FALSE)</f>
        <v>螺纹钢</v>
      </c>
      <c r="F1675" s="33" t="s">
        <v>58</v>
      </c>
      <c r="G1675" s="29">
        <v>12</v>
      </c>
      <c r="H1675" s="114">
        <f>_xlfn.XLOOKUP(C1675&amp;F1675&amp;I1675&amp;J1675,'[1]2025年已发货'!$F:$F&amp;'[1]2025年已发货'!$C:$C&amp;'[1]2025年已发货'!$G:$G&amp;'[1]2025年已发货'!$H:$H,'[1]2025年已发货'!$E:$E,"未发货")</f>
        <v>12</v>
      </c>
      <c r="I1675" s="113" t="str">
        <f>VLOOKUP(B1675,辅助信息!E:I,3,FALSE)</f>
        <v>（商投建工达州中医药科技园-4工区-7号楼）达州市通川区达州中医药职业学院犀牛大道北段</v>
      </c>
      <c r="J1675" s="113" t="str">
        <f>VLOOKUP(B1675,辅助信息!E:I,4,FALSE)</f>
        <v>张扬</v>
      </c>
      <c r="K1675" s="113">
        <f>VLOOKUP(J1675,辅助信息!H:I,2,FALSE)</f>
        <v>18381904567</v>
      </c>
      <c r="L1675" s="115" t="str">
        <f>VLOOKUP(B1675,辅助信息!E:J,6,FALSE)</f>
        <v>控制炉批号！多了现场不收！,优先安排达钢,提前联系到场规格及数量</v>
      </c>
      <c r="M1675" s="84">
        <v>45807</v>
      </c>
      <c r="O1675" s="55">
        <f ca="1" t="shared" si="91"/>
        <v>0</v>
      </c>
      <c r="P1675" s="55">
        <f ca="1" t="shared" si="92"/>
        <v>150</v>
      </c>
      <c r="Q1675" s="22" t="str">
        <f>VLOOKUP(B1675,辅助信息!E:M,9,FALSE)</f>
        <v>ZTWM-CDGS-XS-2024-0134-商投建工达州中医药科技成果示范园项目</v>
      </c>
      <c r="R1675" s="22" t="str">
        <f>_xlfn._xlws.FILTER(辅助信息!D:D,辅助信息!E:E=B1675)</f>
        <v>商投建工达州中医药科技园</v>
      </c>
    </row>
    <row r="1676" hidden="1" spans="2:18">
      <c r="B1676" s="33" t="s">
        <v>56</v>
      </c>
      <c r="C1676" s="63">
        <v>45806</v>
      </c>
      <c r="D1676" s="113" t="str">
        <f>VLOOKUP(B1676,辅助信息!E:K,7,FALSE)</f>
        <v>JWDDCD2025052800131</v>
      </c>
      <c r="E1676" s="113" t="str">
        <f>VLOOKUP(F1676,辅助信息!A:B,2,FALSE)</f>
        <v>螺纹钢</v>
      </c>
      <c r="F1676" s="33" t="s">
        <v>22</v>
      </c>
      <c r="G1676" s="29">
        <v>9</v>
      </c>
      <c r="H1676" s="114">
        <f>_xlfn.XLOOKUP(C1676&amp;F1676&amp;I1676&amp;J1676,'[1]2025年已发货'!$F:$F&amp;'[1]2025年已发货'!$C:$C&amp;'[1]2025年已发货'!$G:$G&amp;'[1]2025年已发货'!$H:$H,'[1]2025年已发货'!$E:$E,"未发货")</f>
        <v>9</v>
      </c>
      <c r="I1676" s="113" t="str">
        <f>VLOOKUP(B1676,辅助信息!E:I,3,FALSE)</f>
        <v>（商投建工达州中医药科技园-4工区-7号楼）达州市通川区达州中医药职业学院犀牛大道北段</v>
      </c>
      <c r="J1676" s="113" t="str">
        <f>VLOOKUP(B1676,辅助信息!E:I,4,FALSE)</f>
        <v>张扬</v>
      </c>
      <c r="K1676" s="113">
        <f>VLOOKUP(J1676,辅助信息!H:I,2,FALSE)</f>
        <v>18381904567</v>
      </c>
      <c r="L1676" s="115" t="str">
        <f>VLOOKUP(B1676,辅助信息!E:J,6,FALSE)</f>
        <v>控制炉批号！多了现场不收！,优先安排达钢,提前联系到场规格及数量</v>
      </c>
      <c r="M1676" s="84">
        <v>45807</v>
      </c>
      <c r="O1676" s="55">
        <f ca="1" t="shared" si="91"/>
        <v>0</v>
      </c>
      <c r="P1676" s="55">
        <f ca="1" t="shared" si="92"/>
        <v>150</v>
      </c>
      <c r="Q1676" s="22" t="str">
        <f>VLOOKUP(B1676,辅助信息!E:M,9,FALSE)</f>
        <v>ZTWM-CDGS-XS-2024-0134-商投建工达州中医药科技成果示范园项目</v>
      </c>
      <c r="R1676" s="22" t="str">
        <f>_xlfn._xlws.FILTER(辅助信息!D:D,辅助信息!E:E=B1676)</f>
        <v>商投建工达州中医药科技园</v>
      </c>
    </row>
    <row r="1677" hidden="1" spans="2:17">
      <c r="B1677" s="113" t="s">
        <v>81</v>
      </c>
      <c r="C1677" s="63">
        <v>45806</v>
      </c>
      <c r="D1677" s="113" t="str">
        <f>VLOOKUP(B1677,辅助信息!E:K,7,FALSE)</f>
        <v>JWDDCD2025060900080</v>
      </c>
      <c r="E1677" s="113" t="str">
        <f>VLOOKUP(F1677,辅助信息!A:B,2,FALSE)</f>
        <v>盘螺</v>
      </c>
      <c r="F1677" s="113" t="s">
        <v>49</v>
      </c>
      <c r="G1677" s="114">
        <v>3</v>
      </c>
      <c r="H1677" s="114">
        <f>_xlfn.XLOOKUP(C1677&amp;F1677&amp;I1677&amp;J1677,'[1]2025年已发货'!$F:$F&amp;'[1]2025年已发货'!$C:$C&amp;'[1]2025年已发货'!$G:$G&amp;'[1]2025年已发货'!$H:$H,'[1]2025年已发货'!$E:$E,"未发货")</f>
        <v>2</v>
      </c>
      <c r="I1677" s="113" t="str">
        <f>VLOOKUP(B1677,辅助信息!E:I,3,FALSE)</f>
        <v>（华西简阳西城嘉苑）四川省成都市简阳市简城街道高屋村</v>
      </c>
      <c r="J1677" s="113" t="str">
        <f>VLOOKUP(B1677,辅助信息!E:I,4,FALSE)</f>
        <v>张瀚镭</v>
      </c>
      <c r="K1677" s="113">
        <f>VLOOKUP(J1677,辅助信息!H:I,2,FALSE)</f>
        <v>15884666220</v>
      </c>
      <c r="L1677" s="115" t="str">
        <f>VLOOKUP(B1677,辅助信息!E:J,6,FALSE)</f>
        <v>现场禁止使用氢能源挂车！优先威钢发货,我方卸车,新老国标钢厂不加价可直发，因陕钢多次出现磅差，项目拒绝使用</v>
      </c>
      <c r="M1677" s="84">
        <v>45807</v>
      </c>
      <c r="O1677" s="55">
        <f ca="1" t="shared" si="91"/>
        <v>0</v>
      </c>
      <c r="P1677" s="55">
        <f ca="1" t="shared" si="92"/>
        <v>150</v>
      </c>
      <c r="Q1677" s="22" t="str">
        <f>VLOOKUP(B1677,辅助信息!E:M,9,FALSE)</f>
        <v>ZTWM-CDGS-XS-2024-0030-华西集采-简州大道</v>
      </c>
    </row>
    <row r="1678" hidden="1" spans="2:17">
      <c r="B1678" s="113" t="s">
        <v>81</v>
      </c>
      <c r="C1678" s="63">
        <v>45806</v>
      </c>
      <c r="D1678" s="113" t="str">
        <f>VLOOKUP(B1678,辅助信息!E:K,7,FALSE)</f>
        <v>JWDDCD2025060900080</v>
      </c>
      <c r="E1678" s="113" t="str">
        <f>VLOOKUP(F1678,辅助信息!A:B,2,FALSE)</f>
        <v>盘螺</v>
      </c>
      <c r="F1678" s="113" t="s">
        <v>40</v>
      </c>
      <c r="G1678" s="114">
        <v>14</v>
      </c>
      <c r="H1678" s="114">
        <f>_xlfn.XLOOKUP(C1678&amp;F1678&amp;I1678&amp;J1678,'[1]2025年已发货'!$F:$F&amp;'[1]2025年已发货'!$C:$C&amp;'[1]2025年已发货'!$G:$G&amp;'[1]2025年已发货'!$H:$H,'[1]2025年已发货'!$E:$E,"未发货")</f>
        <v>15</v>
      </c>
      <c r="I1678" s="113" t="str">
        <f>VLOOKUP(B1678,辅助信息!E:I,3,FALSE)</f>
        <v>（华西简阳西城嘉苑）四川省成都市简阳市简城街道高屋村</v>
      </c>
      <c r="J1678" s="113" t="str">
        <f>VLOOKUP(B1678,辅助信息!E:I,4,FALSE)</f>
        <v>张瀚镭</v>
      </c>
      <c r="K1678" s="113">
        <f>VLOOKUP(J1678,辅助信息!H:I,2,FALSE)</f>
        <v>15884666220</v>
      </c>
      <c r="L1678" s="115" t="str">
        <f>VLOOKUP(B1678,辅助信息!E:J,6,FALSE)</f>
        <v>现场禁止使用氢能源挂车！优先威钢发货,我方卸车,新老国标钢厂不加价可直发，因陕钢多次出现磅差，项目拒绝使用</v>
      </c>
      <c r="M1678" s="84">
        <v>45807</v>
      </c>
      <c r="O1678" s="55">
        <f ca="1" t="shared" si="91"/>
        <v>0</v>
      </c>
      <c r="P1678" s="55">
        <f ca="1" t="shared" si="92"/>
        <v>150</v>
      </c>
      <c r="Q1678" s="22" t="str">
        <f>VLOOKUP(B1678,辅助信息!E:M,9,FALSE)</f>
        <v>ZTWM-CDGS-XS-2024-0030-华西集采-简州大道</v>
      </c>
    </row>
    <row r="1679" hidden="1" spans="2:17">
      <c r="B1679" s="113" t="s">
        <v>81</v>
      </c>
      <c r="C1679" s="63">
        <v>45806</v>
      </c>
      <c r="D1679" s="113" t="str">
        <f>VLOOKUP(B1679,辅助信息!E:K,7,FALSE)</f>
        <v>JWDDCD2025060900080</v>
      </c>
      <c r="E1679" s="113" t="str">
        <f>VLOOKUP(F1679,辅助信息!A:B,2,FALSE)</f>
        <v>盘螺</v>
      </c>
      <c r="F1679" s="113" t="s">
        <v>41</v>
      </c>
      <c r="G1679" s="114">
        <v>30</v>
      </c>
      <c r="H1679" s="114">
        <f>_xlfn.XLOOKUP(C1679&amp;F1679&amp;I1679&amp;J1679,'[1]2025年已发货'!$F:$F&amp;'[1]2025年已发货'!$C:$C&amp;'[1]2025年已发货'!$G:$G&amp;'[1]2025年已发货'!$H:$H,'[1]2025年已发货'!$E:$E,"未发货")</f>
        <v>30</v>
      </c>
      <c r="I1679" s="113" t="str">
        <f>VLOOKUP(B1679,辅助信息!E:I,3,FALSE)</f>
        <v>（华西简阳西城嘉苑）四川省成都市简阳市简城街道高屋村</v>
      </c>
      <c r="J1679" s="113" t="str">
        <f>VLOOKUP(B1679,辅助信息!E:I,4,FALSE)</f>
        <v>张瀚镭</v>
      </c>
      <c r="K1679" s="113">
        <f>VLOOKUP(J1679,辅助信息!H:I,2,FALSE)</f>
        <v>15884666220</v>
      </c>
      <c r="L1679" s="115" t="str">
        <f>VLOOKUP(B1679,辅助信息!E:J,6,FALSE)</f>
        <v>现场禁止使用氢能源挂车！优先威钢发货,我方卸车,新老国标钢厂不加价可直发，因陕钢多次出现磅差，项目拒绝使用</v>
      </c>
      <c r="M1679" s="84">
        <v>45807</v>
      </c>
      <c r="O1679" s="55">
        <f ca="1" t="shared" si="91"/>
        <v>0</v>
      </c>
      <c r="P1679" s="55">
        <f ca="1" t="shared" si="92"/>
        <v>150</v>
      </c>
      <c r="Q1679" s="22" t="str">
        <f>VLOOKUP(B1679,辅助信息!E:M,9,FALSE)</f>
        <v>ZTWM-CDGS-XS-2024-0030-华西集采-简州大道</v>
      </c>
    </row>
    <row r="1680" hidden="1" spans="2:17">
      <c r="B1680" s="113" t="s">
        <v>81</v>
      </c>
      <c r="C1680" s="63">
        <v>45806</v>
      </c>
      <c r="D1680" s="113" t="str">
        <f>VLOOKUP(B1680,辅助信息!E:K,7,FALSE)</f>
        <v>JWDDCD2025060900080</v>
      </c>
      <c r="E1680" s="113" t="str">
        <f>VLOOKUP(F1680,辅助信息!A:B,2,FALSE)</f>
        <v>盘螺</v>
      </c>
      <c r="F1680" s="113" t="s">
        <v>26</v>
      </c>
      <c r="G1680" s="114">
        <v>30</v>
      </c>
      <c r="H1680" s="114">
        <f>_xlfn.XLOOKUP(C1680&amp;F1680&amp;I1680&amp;J1680,'[1]2025年已发货'!$F:$F&amp;'[1]2025年已发货'!$C:$C&amp;'[1]2025年已发货'!$G:$G&amp;'[1]2025年已发货'!$H:$H,'[1]2025年已发货'!$E:$E,"未发货")</f>
        <v>30</v>
      </c>
      <c r="I1680" s="113" t="str">
        <f>VLOOKUP(B1680,辅助信息!E:I,3,FALSE)</f>
        <v>（华西简阳西城嘉苑）四川省成都市简阳市简城街道高屋村</v>
      </c>
      <c r="J1680" s="113" t="str">
        <f>VLOOKUP(B1680,辅助信息!E:I,4,FALSE)</f>
        <v>张瀚镭</v>
      </c>
      <c r="K1680" s="113">
        <f>VLOOKUP(J1680,辅助信息!H:I,2,FALSE)</f>
        <v>15884666220</v>
      </c>
      <c r="L1680" s="115" t="str">
        <f>VLOOKUP(B1680,辅助信息!E:J,6,FALSE)</f>
        <v>现场禁止使用氢能源挂车！优先威钢发货,我方卸车,新老国标钢厂不加价可直发，因陕钢多次出现磅差，项目拒绝使用</v>
      </c>
      <c r="M1680" s="84">
        <v>45807</v>
      </c>
      <c r="O1680" s="55">
        <f ca="1" t="shared" si="91"/>
        <v>0</v>
      </c>
      <c r="P1680" s="55">
        <f ca="1" t="shared" si="92"/>
        <v>150</v>
      </c>
      <c r="Q1680" s="22" t="str">
        <f>VLOOKUP(B1680,辅助信息!E:M,9,FALSE)</f>
        <v>ZTWM-CDGS-XS-2024-0030-华西集采-简州大道</v>
      </c>
    </row>
    <row r="1681" hidden="1" spans="2:17">
      <c r="B1681" s="113" t="s">
        <v>81</v>
      </c>
      <c r="C1681" s="63">
        <v>45806</v>
      </c>
      <c r="D1681" s="113" t="str">
        <f>VLOOKUP(B1681,辅助信息!E:K,7,FALSE)</f>
        <v>JWDDCD2025060900080</v>
      </c>
      <c r="E1681" s="113" t="str">
        <f>VLOOKUP(F1681,辅助信息!A:B,2,FALSE)</f>
        <v>螺纹钢</v>
      </c>
      <c r="F1681" s="113" t="s">
        <v>32</v>
      </c>
      <c r="G1681" s="114">
        <v>5</v>
      </c>
      <c r="H1681" s="114">
        <f>_xlfn.XLOOKUP(C1681&amp;F1681&amp;I1681&amp;J1681,'[1]2025年已发货'!$F:$F&amp;'[1]2025年已发货'!$C:$C&amp;'[1]2025年已发货'!$G:$G&amp;'[1]2025年已发货'!$H:$H,'[1]2025年已发货'!$E:$E,"未发货")</f>
        <v>6</v>
      </c>
      <c r="I1681" s="113" t="str">
        <f>VLOOKUP(B1681,辅助信息!E:I,3,FALSE)</f>
        <v>（华西简阳西城嘉苑）四川省成都市简阳市简城街道高屋村</v>
      </c>
      <c r="J1681" s="113" t="str">
        <f>VLOOKUP(B1681,辅助信息!E:I,4,FALSE)</f>
        <v>张瀚镭</v>
      </c>
      <c r="K1681" s="113">
        <f>VLOOKUP(J1681,辅助信息!H:I,2,FALSE)</f>
        <v>15884666220</v>
      </c>
      <c r="L1681" s="115" t="str">
        <f>VLOOKUP(B1681,辅助信息!E:J,6,FALSE)</f>
        <v>现场禁止使用氢能源挂车！优先威钢发货,我方卸车,新老国标钢厂不加价可直发，因陕钢多次出现磅差，项目拒绝使用</v>
      </c>
      <c r="M1681" s="84">
        <v>45807</v>
      </c>
      <c r="O1681" s="55">
        <f ca="1" t="shared" si="91"/>
        <v>0</v>
      </c>
      <c r="P1681" s="55">
        <f ca="1" t="shared" si="92"/>
        <v>150</v>
      </c>
      <c r="Q1681" s="22" t="str">
        <f>VLOOKUP(B1681,辅助信息!E:M,9,FALSE)</f>
        <v>ZTWM-CDGS-XS-2024-0030-华西集采-简州大道</v>
      </c>
    </row>
    <row r="1682" hidden="1" spans="2:17">
      <c r="B1682" s="113" t="s">
        <v>81</v>
      </c>
      <c r="C1682" s="63">
        <v>45806</v>
      </c>
      <c r="D1682" s="113" t="str">
        <f>VLOOKUP(B1682,辅助信息!E:K,7,FALSE)</f>
        <v>JWDDCD2025060900080</v>
      </c>
      <c r="E1682" s="113" t="str">
        <f>VLOOKUP(F1682,辅助信息!A:B,2,FALSE)</f>
        <v>螺纹钢</v>
      </c>
      <c r="F1682" s="113" t="s">
        <v>30</v>
      </c>
      <c r="G1682" s="114">
        <v>20</v>
      </c>
      <c r="H1682" s="114">
        <f>_xlfn.XLOOKUP(C1682&amp;F1682&amp;I1682&amp;J1682,'[1]2025年已发货'!$F:$F&amp;'[1]2025年已发货'!$C:$C&amp;'[1]2025年已发货'!$G:$G&amp;'[1]2025年已发货'!$H:$H,'[1]2025年已发货'!$E:$E,"未发货")</f>
        <v>21</v>
      </c>
      <c r="I1682" s="113" t="str">
        <f>VLOOKUP(B1682,辅助信息!E:I,3,FALSE)</f>
        <v>（华西简阳西城嘉苑）四川省成都市简阳市简城街道高屋村</v>
      </c>
      <c r="J1682" s="113" t="str">
        <f>VLOOKUP(B1682,辅助信息!E:I,4,FALSE)</f>
        <v>张瀚镭</v>
      </c>
      <c r="K1682" s="113">
        <f>VLOOKUP(J1682,辅助信息!H:I,2,FALSE)</f>
        <v>15884666220</v>
      </c>
      <c r="L1682" s="115" t="str">
        <f>VLOOKUP(B1682,辅助信息!E:J,6,FALSE)</f>
        <v>现场禁止使用氢能源挂车！优先威钢发货,我方卸车,新老国标钢厂不加价可直发，因陕钢多次出现磅差，项目拒绝使用</v>
      </c>
      <c r="M1682" s="84">
        <v>45807</v>
      </c>
      <c r="O1682" s="55">
        <f ca="1" t="shared" si="91"/>
        <v>0</v>
      </c>
      <c r="P1682" s="55">
        <f ca="1" t="shared" si="92"/>
        <v>150</v>
      </c>
      <c r="Q1682" s="22" t="str">
        <f>VLOOKUP(B1682,辅助信息!E:M,9,FALSE)</f>
        <v>ZTWM-CDGS-XS-2024-0030-华西集采-简州大道</v>
      </c>
    </row>
    <row r="1683" hidden="1" spans="2:17">
      <c r="B1683" s="113" t="s">
        <v>81</v>
      </c>
      <c r="C1683" s="63">
        <v>45806</v>
      </c>
      <c r="D1683" s="113" t="str">
        <f>VLOOKUP(B1683,辅助信息!E:K,7,FALSE)</f>
        <v>JWDDCD2025060900080</v>
      </c>
      <c r="E1683" s="113" t="str">
        <f>VLOOKUP(F1683,辅助信息!A:B,2,FALSE)</f>
        <v>螺纹钢</v>
      </c>
      <c r="F1683" s="113" t="s">
        <v>33</v>
      </c>
      <c r="G1683" s="114">
        <v>32</v>
      </c>
      <c r="H1683" s="114">
        <f>_xlfn.XLOOKUP(C1683&amp;F1683&amp;I1683&amp;J1683,'[1]2025年已发货'!$F:$F&amp;'[1]2025年已发货'!$C:$C&amp;'[1]2025年已发货'!$G:$G&amp;'[1]2025年已发货'!$H:$H,'[1]2025年已发货'!$E:$E,"未发货")</f>
        <v>33</v>
      </c>
      <c r="I1683" s="113" t="str">
        <f>VLOOKUP(B1683,辅助信息!E:I,3,FALSE)</f>
        <v>（华西简阳西城嘉苑）四川省成都市简阳市简城街道高屋村</v>
      </c>
      <c r="J1683" s="113" t="str">
        <f>VLOOKUP(B1683,辅助信息!E:I,4,FALSE)</f>
        <v>张瀚镭</v>
      </c>
      <c r="K1683" s="113">
        <f>VLOOKUP(J1683,辅助信息!H:I,2,FALSE)</f>
        <v>15884666220</v>
      </c>
      <c r="L1683" s="115" t="str">
        <f>VLOOKUP(B1683,辅助信息!E:J,6,FALSE)</f>
        <v>现场禁止使用氢能源挂车！优先威钢发货,我方卸车,新老国标钢厂不加价可直发，因陕钢多次出现磅差，项目拒绝使用</v>
      </c>
      <c r="M1683" s="84">
        <v>45807</v>
      </c>
      <c r="O1683" s="55">
        <f ca="1" t="shared" si="91"/>
        <v>0</v>
      </c>
      <c r="P1683" s="55">
        <f ca="1" t="shared" si="92"/>
        <v>150</v>
      </c>
      <c r="Q1683" s="22" t="str">
        <f>VLOOKUP(B1683,辅助信息!E:M,9,FALSE)</f>
        <v>ZTWM-CDGS-XS-2024-0030-华西集采-简州大道</v>
      </c>
    </row>
    <row r="1684" hidden="1" spans="2:17">
      <c r="B1684" s="113" t="s">
        <v>81</v>
      </c>
      <c r="C1684" s="63">
        <v>45806</v>
      </c>
      <c r="D1684" s="113" t="str">
        <f>VLOOKUP(B1684,辅助信息!E:K,7,FALSE)</f>
        <v>JWDDCD2025060900080</v>
      </c>
      <c r="E1684" s="113" t="str">
        <f>VLOOKUP(F1684,辅助信息!A:B,2,FALSE)</f>
        <v>螺纹钢</v>
      </c>
      <c r="F1684" s="113" t="s">
        <v>28</v>
      </c>
      <c r="G1684" s="114">
        <v>3</v>
      </c>
      <c r="H1684" s="114">
        <f>_xlfn.XLOOKUP(C1684&amp;F1684&amp;I1684&amp;J1684,'[1]2025年已发货'!$F:$F&amp;'[1]2025年已发货'!$C:$C&amp;'[1]2025年已发货'!$G:$G&amp;'[1]2025年已发货'!$H:$H,'[1]2025年已发货'!$E:$E,"未发货")</f>
        <v>3</v>
      </c>
      <c r="I1684" s="113" t="str">
        <f>VLOOKUP(B1684,辅助信息!E:I,3,FALSE)</f>
        <v>（华西简阳西城嘉苑）四川省成都市简阳市简城街道高屋村</v>
      </c>
      <c r="J1684" s="113" t="str">
        <f>VLOOKUP(B1684,辅助信息!E:I,4,FALSE)</f>
        <v>张瀚镭</v>
      </c>
      <c r="K1684" s="113">
        <f>VLOOKUP(J1684,辅助信息!H:I,2,FALSE)</f>
        <v>15884666220</v>
      </c>
      <c r="L1684" s="115" t="str">
        <f>VLOOKUP(B1684,辅助信息!E:J,6,FALSE)</f>
        <v>现场禁止使用氢能源挂车！优先威钢发货,我方卸车,新老国标钢厂不加价可直发，因陕钢多次出现磅差，项目拒绝使用</v>
      </c>
      <c r="M1684" s="84">
        <v>45807</v>
      </c>
      <c r="O1684" s="55">
        <f ca="1" t="shared" si="91"/>
        <v>0</v>
      </c>
      <c r="P1684" s="55">
        <f ca="1" t="shared" si="92"/>
        <v>150</v>
      </c>
      <c r="Q1684" s="22" t="str">
        <f>VLOOKUP(B1684,辅助信息!E:M,9,FALSE)</f>
        <v>ZTWM-CDGS-XS-2024-0030-华西集采-简州大道</v>
      </c>
    </row>
    <row r="1685" hidden="1" spans="2:17">
      <c r="B1685" s="113" t="s">
        <v>81</v>
      </c>
      <c r="C1685" s="63">
        <v>45806</v>
      </c>
      <c r="D1685" s="113" t="str">
        <f>VLOOKUP(B1685,辅助信息!E:K,7,FALSE)</f>
        <v>JWDDCD2025060900080</v>
      </c>
      <c r="E1685" s="113" t="str">
        <f>VLOOKUP(F1685,辅助信息!A:B,2,FALSE)</f>
        <v>螺纹钢</v>
      </c>
      <c r="F1685" s="113" t="s">
        <v>18</v>
      </c>
      <c r="G1685" s="114">
        <v>3</v>
      </c>
      <c r="H1685" s="114">
        <f>_xlfn.XLOOKUP(C1685&amp;F1685&amp;I1685&amp;J1685,'[1]2025年已发货'!$F:$F&amp;'[1]2025年已发货'!$C:$C&amp;'[1]2025年已发货'!$G:$G&amp;'[1]2025年已发货'!$H:$H,'[1]2025年已发货'!$E:$E,"未发货")</f>
        <v>3</v>
      </c>
      <c r="I1685" s="113" t="str">
        <f>VLOOKUP(B1685,辅助信息!E:I,3,FALSE)</f>
        <v>（华西简阳西城嘉苑）四川省成都市简阳市简城街道高屋村</v>
      </c>
      <c r="J1685" s="113" t="str">
        <f>VLOOKUP(B1685,辅助信息!E:I,4,FALSE)</f>
        <v>张瀚镭</v>
      </c>
      <c r="K1685" s="113">
        <f>VLOOKUP(J1685,辅助信息!H:I,2,FALSE)</f>
        <v>15884666220</v>
      </c>
      <c r="L1685" s="115" t="str">
        <f>VLOOKUP(B1685,辅助信息!E:J,6,FALSE)</f>
        <v>现场禁止使用氢能源挂车！优先威钢发货,我方卸车,新老国标钢厂不加价可直发，因陕钢多次出现磅差，项目拒绝使用</v>
      </c>
      <c r="M1685" s="84">
        <v>45807</v>
      </c>
      <c r="O1685" s="55">
        <f ca="1" t="shared" si="91"/>
        <v>0</v>
      </c>
      <c r="P1685" s="55">
        <f ca="1" t="shared" si="92"/>
        <v>150</v>
      </c>
      <c r="Q1685" s="22" t="str">
        <f>VLOOKUP(B1685,辅助信息!E:M,9,FALSE)</f>
        <v>ZTWM-CDGS-XS-2024-0030-华西集采-简州大道</v>
      </c>
    </row>
    <row r="1686" hidden="1" spans="2:18">
      <c r="B1686" s="33" t="s">
        <v>31</v>
      </c>
      <c r="C1686" s="63">
        <v>45810</v>
      </c>
      <c r="D1686" s="113" t="str">
        <f>VLOOKUP(B1686,辅助信息!E:K,7,FALSE)</f>
        <v>JWDDCD2024121000136</v>
      </c>
      <c r="E1686" s="113" t="str">
        <f>VLOOKUP(F1686,辅助信息!A:B,2,FALSE)</f>
        <v>盘螺</v>
      </c>
      <c r="F1686" s="33" t="s">
        <v>49</v>
      </c>
      <c r="G1686" s="29">
        <v>15</v>
      </c>
      <c r="H1686" s="114">
        <f>_xlfn.XLOOKUP(C1686&amp;F1686&amp;I1686&amp;J1686,'[1]2025年已发货'!$F:$F&amp;'[1]2025年已发货'!$C:$C&amp;'[1]2025年已发货'!$G:$G&amp;'[1]2025年已发货'!$H:$H,'[1]2025年已发货'!$E:$E,"未发货")</f>
        <v>15</v>
      </c>
      <c r="I1686" s="113" t="str">
        <f>VLOOKUP(B1686,辅助信息!E:I,3,FALSE)</f>
        <v>（四川商建-射洪城乡一体化项目）遂宁市射洪市忠新幼儿园北侧约220米新溪小区</v>
      </c>
      <c r="J1686" s="113" t="str">
        <f>VLOOKUP(B1686,辅助信息!E:I,4,FALSE)</f>
        <v>柏子刚</v>
      </c>
      <c r="K1686" s="113">
        <f>VLOOKUP(J1686,辅助信息!H:I,2,FALSE)</f>
        <v>15692885305</v>
      </c>
      <c r="L1686" s="115" t="str">
        <f>VLOOKUP(B1686,辅助信息!E:J,6,FALSE)</f>
        <v>提前联系到场规格及数量</v>
      </c>
      <c r="M1686" s="84">
        <v>45813</v>
      </c>
      <c r="O1686" s="55">
        <f ca="1" t="shared" ref="O1686:O1711" si="93">IF(OR(M1686="",N1686&lt;&gt;""),"",MAX(M1686-TODAY(),0))</f>
        <v>0</v>
      </c>
      <c r="P1686" s="55">
        <f ca="1" t="shared" ref="P1686:P1711" si="94">IF(M1686="","",IF(N1686&lt;&gt;"",MAX(N1686-M1686,0),IF(TODAY()&gt;M1686,TODAY()-M1686,0)))</f>
        <v>144</v>
      </c>
      <c r="Q1686" s="22" t="str">
        <f>VLOOKUP(B1686,辅助信息!E:M,9,FALSE)</f>
        <v>ZTWM-CDGS-XS-2024-0179-四川商投-射洪城乡一体化建设项目</v>
      </c>
      <c r="R1686" s="22" t="str">
        <f>_xlfn._xlws.FILTER(辅助信息!D:D,辅助信息!E:E=B1686)</f>
        <v>四川商建
射洪城乡一体化项目</v>
      </c>
    </row>
    <row r="1687" hidden="1" spans="2:18">
      <c r="B1687" s="33" t="s">
        <v>31</v>
      </c>
      <c r="C1687" s="63">
        <v>45810</v>
      </c>
      <c r="D1687" s="113" t="str">
        <f>VLOOKUP(B1687,辅助信息!E:K,7,FALSE)</f>
        <v>JWDDCD2024121000136</v>
      </c>
      <c r="E1687" s="113" t="str">
        <f>VLOOKUP(F1687,辅助信息!A:B,2,FALSE)</f>
        <v>螺纹钢</v>
      </c>
      <c r="F1687" s="33" t="s">
        <v>66</v>
      </c>
      <c r="G1687" s="29">
        <v>6</v>
      </c>
      <c r="H1687" s="114">
        <f>_xlfn.XLOOKUP(C1687&amp;F1687&amp;I1687&amp;J1687,'[1]2025年已发货'!$F:$F&amp;'[1]2025年已发货'!$C:$C&amp;'[1]2025年已发货'!$G:$G&amp;'[1]2025年已发货'!$H:$H,'[1]2025年已发货'!$E:$E,"未发货")</f>
        <v>6</v>
      </c>
      <c r="I1687" s="113" t="str">
        <f>VLOOKUP(B1687,辅助信息!E:I,3,FALSE)</f>
        <v>（四川商建-射洪城乡一体化项目）遂宁市射洪市忠新幼儿园北侧约220米新溪小区</v>
      </c>
      <c r="J1687" s="113" t="str">
        <f>VLOOKUP(B1687,辅助信息!E:I,4,FALSE)</f>
        <v>柏子刚</v>
      </c>
      <c r="K1687" s="113">
        <f>VLOOKUP(J1687,辅助信息!H:I,2,FALSE)</f>
        <v>15692885305</v>
      </c>
      <c r="L1687" s="115" t="str">
        <f>VLOOKUP(B1687,辅助信息!E:J,6,FALSE)</f>
        <v>提前联系到场规格及数量</v>
      </c>
      <c r="M1687" s="84">
        <v>45813</v>
      </c>
      <c r="O1687" s="55">
        <f ca="1" t="shared" si="93"/>
        <v>0</v>
      </c>
      <c r="P1687" s="55">
        <f ca="1" t="shared" si="94"/>
        <v>144</v>
      </c>
      <c r="Q1687" s="22" t="str">
        <f>VLOOKUP(B1687,辅助信息!E:M,9,FALSE)</f>
        <v>ZTWM-CDGS-XS-2024-0179-四川商投-射洪城乡一体化建设项目</v>
      </c>
      <c r="R1687" s="22" t="str">
        <f>_xlfn._xlws.FILTER(辅助信息!D:D,辅助信息!E:E=B1687)</f>
        <v>四川商建
射洪城乡一体化项目</v>
      </c>
    </row>
    <row r="1688" hidden="1" spans="2:18">
      <c r="B1688" s="33" t="s">
        <v>31</v>
      </c>
      <c r="C1688" s="63">
        <v>45810</v>
      </c>
      <c r="D1688" s="113" t="str">
        <f>VLOOKUP(B1688,辅助信息!E:K,7,FALSE)</f>
        <v>JWDDCD2024121000136</v>
      </c>
      <c r="E1688" s="113" t="str">
        <f>VLOOKUP(F1688,辅助信息!A:B,2,FALSE)</f>
        <v>螺纹钢</v>
      </c>
      <c r="F1688" s="33" t="s">
        <v>46</v>
      </c>
      <c r="G1688" s="29">
        <v>9</v>
      </c>
      <c r="H1688" s="114">
        <f>_xlfn.XLOOKUP(C1688&amp;F1688&amp;I1688&amp;J1688,'[1]2025年已发货'!$F:$F&amp;'[1]2025年已发货'!$C:$C&amp;'[1]2025年已发货'!$G:$G&amp;'[1]2025年已发货'!$H:$H,'[1]2025年已发货'!$E:$E,"未发货")</f>
        <v>9</v>
      </c>
      <c r="I1688" s="113" t="str">
        <f>VLOOKUP(B1688,辅助信息!E:I,3,FALSE)</f>
        <v>（四川商建-射洪城乡一体化项目）遂宁市射洪市忠新幼儿园北侧约220米新溪小区</v>
      </c>
      <c r="J1688" s="113" t="str">
        <f>VLOOKUP(B1688,辅助信息!E:I,4,FALSE)</f>
        <v>柏子刚</v>
      </c>
      <c r="K1688" s="113">
        <f>VLOOKUP(J1688,辅助信息!H:I,2,FALSE)</f>
        <v>15692885305</v>
      </c>
      <c r="L1688" s="115" t="str">
        <f>VLOOKUP(B1688,辅助信息!E:J,6,FALSE)</f>
        <v>提前联系到场规格及数量</v>
      </c>
      <c r="M1688" s="84">
        <v>45813</v>
      </c>
      <c r="O1688" s="55">
        <f ca="1" t="shared" si="93"/>
        <v>0</v>
      </c>
      <c r="P1688" s="55">
        <f ca="1" t="shared" si="94"/>
        <v>144</v>
      </c>
      <c r="Q1688" s="22" t="str">
        <f>VLOOKUP(B1688,辅助信息!E:M,9,FALSE)</f>
        <v>ZTWM-CDGS-XS-2024-0179-四川商投-射洪城乡一体化建设项目</v>
      </c>
      <c r="R1688" s="22" t="str">
        <f>_xlfn._xlws.FILTER(辅助信息!D:D,辅助信息!E:E=B1688)</f>
        <v>四川商建
射洪城乡一体化项目</v>
      </c>
    </row>
    <row r="1689" hidden="1" spans="2:18">
      <c r="B1689" s="33" t="s">
        <v>31</v>
      </c>
      <c r="C1689" s="63">
        <v>45810</v>
      </c>
      <c r="D1689" s="113" t="str">
        <f>VLOOKUP(B1689,辅助信息!E:K,7,FALSE)</f>
        <v>JWDDCD2024121000136</v>
      </c>
      <c r="E1689" s="113" t="str">
        <f>VLOOKUP(F1689,辅助信息!A:B,2,FALSE)</f>
        <v>螺纹钢</v>
      </c>
      <c r="F1689" s="33" t="s">
        <v>22</v>
      </c>
      <c r="G1689" s="29">
        <v>40</v>
      </c>
      <c r="H1689" s="114">
        <f>_xlfn.XLOOKUP(C1689&amp;F1689&amp;I1689&amp;J1689,'[1]2025年已发货'!$F:$F&amp;'[1]2025年已发货'!$C:$C&amp;'[1]2025年已发货'!$G:$G&amp;'[1]2025年已发货'!$H:$H,'[1]2025年已发货'!$E:$E,"未发货")</f>
        <v>40</v>
      </c>
      <c r="I1689" s="113" t="str">
        <f>VLOOKUP(B1689,辅助信息!E:I,3,FALSE)</f>
        <v>（四川商建-射洪城乡一体化项目）遂宁市射洪市忠新幼儿园北侧约220米新溪小区</v>
      </c>
      <c r="J1689" s="113" t="str">
        <f>VLOOKUP(B1689,辅助信息!E:I,4,FALSE)</f>
        <v>柏子刚</v>
      </c>
      <c r="K1689" s="113">
        <f>VLOOKUP(J1689,辅助信息!H:I,2,FALSE)</f>
        <v>15692885305</v>
      </c>
      <c r="L1689" s="115" t="str">
        <f>VLOOKUP(B1689,辅助信息!E:J,6,FALSE)</f>
        <v>提前联系到场规格及数量</v>
      </c>
      <c r="M1689" s="84">
        <v>45813</v>
      </c>
      <c r="O1689" s="55">
        <f ca="1" t="shared" si="93"/>
        <v>0</v>
      </c>
      <c r="P1689" s="55">
        <f ca="1" t="shared" si="94"/>
        <v>144</v>
      </c>
      <c r="Q1689" s="22" t="str">
        <f>VLOOKUP(B1689,辅助信息!E:M,9,FALSE)</f>
        <v>ZTWM-CDGS-XS-2024-0179-四川商投-射洪城乡一体化建设项目</v>
      </c>
      <c r="R1689" s="22" t="str">
        <f>_xlfn._xlws.FILTER(辅助信息!D:D,辅助信息!E:E=B1689)</f>
        <v>四川商建
射洪城乡一体化项目</v>
      </c>
    </row>
    <row r="1690" hidden="1" spans="2:18">
      <c r="B1690" s="33" t="s">
        <v>81</v>
      </c>
      <c r="C1690" s="63">
        <v>45810</v>
      </c>
      <c r="D1690" s="113" t="str">
        <f>VLOOKUP(B1690,辅助信息!E:K,7,FALSE)</f>
        <v>JWDDCD2025060900080</v>
      </c>
      <c r="E1690" s="113" t="str">
        <f>VLOOKUP(F1690,辅助信息!A:B,2,FALSE)</f>
        <v>高线</v>
      </c>
      <c r="F1690" s="33" t="s">
        <v>53</v>
      </c>
      <c r="G1690" s="29">
        <v>2</v>
      </c>
      <c r="H1690" s="114" t="str">
        <f>_xlfn.XLOOKUP(C1690&amp;F1690&amp;I1690&amp;J1690,'[1]2025年已发货'!$F:$F&amp;'[1]2025年已发货'!$C:$C&amp;'[1]2025年已发货'!$G:$G&amp;'[1]2025年已发货'!$H:$H,'[1]2025年已发货'!$E:$E,"未发货")</f>
        <v>未发货</v>
      </c>
      <c r="I1690" s="113" t="str">
        <f>VLOOKUP(B1690,辅助信息!E:I,3,FALSE)</f>
        <v>（华西简阳西城嘉苑）四川省成都市简阳市简城街道高屋村</v>
      </c>
      <c r="J1690" s="113" t="str">
        <f>VLOOKUP(B1690,辅助信息!E:I,4,FALSE)</f>
        <v>张瀚镭</v>
      </c>
      <c r="K1690" s="113">
        <f>VLOOKUP(J1690,辅助信息!H:I,2,FALSE)</f>
        <v>15884666220</v>
      </c>
      <c r="L1690" s="115" t="str">
        <f>VLOOKUP(B1690,辅助信息!E:J,6,FALSE)</f>
        <v>现场禁止使用氢能源挂车！优先威钢发货,我方卸车,新老国标钢厂不加价可直发，因陕钢多次出现磅差，项目拒绝使用</v>
      </c>
      <c r="M1690" s="84">
        <v>45811</v>
      </c>
      <c r="O1690" s="55">
        <f ca="1" t="shared" si="93"/>
        <v>0</v>
      </c>
      <c r="P1690" s="55">
        <f ca="1" t="shared" si="94"/>
        <v>146</v>
      </c>
      <c r="Q1690" s="22" t="str">
        <f>VLOOKUP(B1690,辅助信息!E:M,9,FALSE)</f>
        <v>ZTWM-CDGS-XS-2024-0030-华西集采-简州大道</v>
      </c>
      <c r="R1690" s="22" t="str">
        <f>_xlfn._xlws.FILTER(辅助信息!D:D,辅助信息!E:E=B1690)</f>
        <v>华西简阳西城嘉苑</v>
      </c>
    </row>
    <row r="1691" hidden="1" spans="2:18">
      <c r="B1691" s="33" t="s">
        <v>81</v>
      </c>
      <c r="C1691" s="63">
        <v>45810</v>
      </c>
      <c r="D1691" s="113" t="str">
        <f>VLOOKUP(B1691,辅助信息!E:K,7,FALSE)</f>
        <v>JWDDCD2025060900080</v>
      </c>
      <c r="E1691" s="113" t="str">
        <f>VLOOKUP(F1691,辅助信息!A:B,2,FALSE)</f>
        <v>盘螺</v>
      </c>
      <c r="F1691" s="33" t="s">
        <v>49</v>
      </c>
      <c r="G1691" s="29">
        <v>4.5</v>
      </c>
      <c r="H1691" s="114" t="str">
        <f>_xlfn.XLOOKUP(C1691&amp;F1691&amp;I1691&amp;J1691,'[1]2025年已发货'!$F:$F&amp;'[1]2025年已发货'!$C:$C&amp;'[1]2025年已发货'!$G:$G&amp;'[1]2025年已发货'!$H:$H,'[1]2025年已发货'!$E:$E,"未发货")</f>
        <v>未发货</v>
      </c>
      <c r="I1691" s="113" t="str">
        <f>VLOOKUP(B1691,辅助信息!E:I,3,FALSE)</f>
        <v>（华西简阳西城嘉苑）四川省成都市简阳市简城街道高屋村</v>
      </c>
      <c r="J1691" s="113" t="str">
        <f>VLOOKUP(B1691,辅助信息!E:I,4,FALSE)</f>
        <v>张瀚镭</v>
      </c>
      <c r="K1691" s="113">
        <f>VLOOKUP(J1691,辅助信息!H:I,2,FALSE)</f>
        <v>15884666220</v>
      </c>
      <c r="L1691" s="115" t="str">
        <f>VLOOKUP(B1691,辅助信息!E:J,6,FALSE)</f>
        <v>现场禁止使用氢能源挂车！优先威钢发货,我方卸车,新老国标钢厂不加价可直发，因陕钢多次出现磅差，项目拒绝使用</v>
      </c>
      <c r="M1691" s="84">
        <v>45811</v>
      </c>
      <c r="O1691" s="55">
        <f ca="1" t="shared" si="93"/>
        <v>0</v>
      </c>
      <c r="P1691" s="55">
        <f ca="1" t="shared" si="94"/>
        <v>146</v>
      </c>
      <c r="Q1691" s="22" t="str">
        <f>VLOOKUP(B1691,辅助信息!E:M,9,FALSE)</f>
        <v>ZTWM-CDGS-XS-2024-0030-华西集采-简州大道</v>
      </c>
      <c r="R1691" s="22" t="str">
        <f>_xlfn._xlws.FILTER(辅助信息!D:D,辅助信息!E:E=B1691)</f>
        <v>华西简阳西城嘉苑</v>
      </c>
    </row>
    <row r="1692" hidden="1" spans="2:18">
      <c r="B1692" s="33" t="s">
        <v>81</v>
      </c>
      <c r="C1692" s="63">
        <v>45810</v>
      </c>
      <c r="D1692" s="113" t="str">
        <f>VLOOKUP(B1692,辅助信息!E:K,7,FALSE)</f>
        <v>JWDDCD2025060900080</v>
      </c>
      <c r="E1692" s="113" t="str">
        <f>VLOOKUP(F1692,辅助信息!A:B,2,FALSE)</f>
        <v>盘螺</v>
      </c>
      <c r="F1692" s="33" t="s">
        <v>40</v>
      </c>
      <c r="G1692" s="29">
        <v>11</v>
      </c>
      <c r="H1692" s="114">
        <f>_xlfn.XLOOKUP(C1692&amp;F1692&amp;I1692&amp;J1692,'[1]2025年已发货'!$F:$F&amp;'[1]2025年已发货'!$C:$C&amp;'[1]2025年已发货'!$G:$G&amp;'[1]2025年已发货'!$H:$H,'[1]2025年已发货'!$E:$E,"未发货")</f>
        <v>11</v>
      </c>
      <c r="I1692" s="113" t="str">
        <f>VLOOKUP(B1692,辅助信息!E:I,3,FALSE)</f>
        <v>（华西简阳西城嘉苑）四川省成都市简阳市简城街道高屋村</v>
      </c>
      <c r="J1692" s="113" t="str">
        <f>VLOOKUP(B1692,辅助信息!E:I,4,FALSE)</f>
        <v>张瀚镭</v>
      </c>
      <c r="K1692" s="113">
        <f>VLOOKUP(J1692,辅助信息!H:I,2,FALSE)</f>
        <v>15884666220</v>
      </c>
      <c r="L1692" s="115" t="str">
        <f>VLOOKUP(B1692,辅助信息!E:J,6,FALSE)</f>
        <v>现场禁止使用氢能源挂车！优先威钢发货,我方卸车,新老国标钢厂不加价可直发，因陕钢多次出现磅差，项目拒绝使用</v>
      </c>
      <c r="M1692" s="84">
        <v>45811</v>
      </c>
      <c r="O1692" s="55">
        <f ca="1" t="shared" si="93"/>
        <v>0</v>
      </c>
      <c r="P1692" s="55">
        <f ca="1" t="shared" si="94"/>
        <v>146</v>
      </c>
      <c r="Q1692" s="22" t="str">
        <f>VLOOKUP(B1692,辅助信息!E:M,9,FALSE)</f>
        <v>ZTWM-CDGS-XS-2024-0030-华西集采-简州大道</v>
      </c>
      <c r="R1692" s="22" t="str">
        <f>_xlfn._xlws.FILTER(辅助信息!D:D,辅助信息!E:E=B1692)</f>
        <v>华西简阳西城嘉苑</v>
      </c>
    </row>
    <row r="1693" hidden="1" spans="2:18">
      <c r="B1693" s="33" t="s">
        <v>81</v>
      </c>
      <c r="C1693" s="63">
        <v>45810</v>
      </c>
      <c r="D1693" s="113" t="str">
        <f>VLOOKUP(B1693,辅助信息!E:K,7,FALSE)</f>
        <v>JWDDCD2025060900080</v>
      </c>
      <c r="E1693" s="113" t="str">
        <f>VLOOKUP(F1693,辅助信息!A:B,2,FALSE)</f>
        <v>盘螺</v>
      </c>
      <c r="F1693" s="33" t="s">
        <v>41</v>
      </c>
      <c r="G1693" s="29">
        <v>72</v>
      </c>
      <c r="H1693" s="114">
        <f>_xlfn.XLOOKUP(C1693&amp;F1693&amp;I1693&amp;J1693,'[1]2025年已发货'!$F:$F&amp;'[1]2025年已发货'!$C:$C&amp;'[1]2025年已发货'!$G:$G&amp;'[1]2025年已发货'!$H:$H,'[1]2025年已发货'!$E:$E,"未发货")</f>
        <v>24</v>
      </c>
      <c r="I1693" s="113" t="str">
        <f>VLOOKUP(B1693,辅助信息!E:I,3,FALSE)</f>
        <v>（华西简阳西城嘉苑）四川省成都市简阳市简城街道高屋村</v>
      </c>
      <c r="J1693" s="113" t="str">
        <f>VLOOKUP(B1693,辅助信息!E:I,4,FALSE)</f>
        <v>张瀚镭</v>
      </c>
      <c r="K1693" s="113">
        <f>VLOOKUP(J1693,辅助信息!H:I,2,FALSE)</f>
        <v>15884666220</v>
      </c>
      <c r="L1693" s="115" t="str">
        <f>VLOOKUP(B1693,辅助信息!E:J,6,FALSE)</f>
        <v>现场禁止使用氢能源挂车！优先威钢发货,我方卸车,新老国标钢厂不加价可直发，因陕钢多次出现磅差，项目拒绝使用</v>
      </c>
      <c r="M1693" s="84">
        <v>45811</v>
      </c>
      <c r="O1693" s="55">
        <f ca="1" t="shared" si="93"/>
        <v>0</v>
      </c>
      <c r="P1693" s="55">
        <f ca="1" t="shared" si="94"/>
        <v>146</v>
      </c>
      <c r="Q1693" s="22" t="str">
        <f>VLOOKUP(B1693,辅助信息!E:M,9,FALSE)</f>
        <v>ZTWM-CDGS-XS-2024-0030-华西集采-简州大道</v>
      </c>
      <c r="R1693" s="22" t="str">
        <f>_xlfn._xlws.FILTER(辅助信息!D:D,辅助信息!E:E=B1693)</f>
        <v>华西简阳西城嘉苑</v>
      </c>
    </row>
    <row r="1694" hidden="1" spans="2:18">
      <c r="B1694" s="33" t="s">
        <v>81</v>
      </c>
      <c r="C1694" s="63">
        <v>45810</v>
      </c>
      <c r="D1694" s="113" t="str">
        <f>VLOOKUP(B1694,辅助信息!E:K,7,FALSE)</f>
        <v>JWDDCD2025060900080</v>
      </c>
      <c r="E1694" s="113" t="str">
        <f>VLOOKUP(F1694,辅助信息!A:B,2,FALSE)</f>
        <v>盘螺</v>
      </c>
      <c r="F1694" s="33" t="s">
        <v>26</v>
      </c>
      <c r="G1694" s="29">
        <v>51</v>
      </c>
      <c r="H1694" s="114">
        <f>_xlfn.XLOOKUP(C1694&amp;F1694&amp;I1694&amp;J1694,'[1]2025年已发货'!$F:$F&amp;'[1]2025年已发货'!$C:$C&amp;'[1]2025年已发货'!$G:$G&amp;'[1]2025年已发货'!$H:$H,'[1]2025年已发货'!$E:$E,"未发货")</f>
        <v>35</v>
      </c>
      <c r="I1694" s="113" t="str">
        <f>VLOOKUP(B1694,辅助信息!E:I,3,FALSE)</f>
        <v>（华西简阳西城嘉苑）四川省成都市简阳市简城街道高屋村</v>
      </c>
      <c r="J1694" s="113" t="str">
        <f>VLOOKUP(B1694,辅助信息!E:I,4,FALSE)</f>
        <v>张瀚镭</v>
      </c>
      <c r="K1694" s="113">
        <f>VLOOKUP(J1694,辅助信息!H:I,2,FALSE)</f>
        <v>15884666220</v>
      </c>
      <c r="L1694" s="115" t="str">
        <f>VLOOKUP(B1694,辅助信息!E:J,6,FALSE)</f>
        <v>现场禁止使用氢能源挂车！优先威钢发货,我方卸车,新老国标钢厂不加价可直发，因陕钢多次出现磅差，项目拒绝使用</v>
      </c>
      <c r="M1694" s="84">
        <v>45811</v>
      </c>
      <c r="O1694" s="55">
        <f ca="1" t="shared" si="93"/>
        <v>0</v>
      </c>
      <c r="P1694" s="55">
        <f ca="1" t="shared" si="94"/>
        <v>146</v>
      </c>
      <c r="Q1694" s="22" t="str">
        <f>VLOOKUP(B1694,辅助信息!E:M,9,FALSE)</f>
        <v>ZTWM-CDGS-XS-2024-0030-华西集采-简州大道</v>
      </c>
      <c r="R1694" s="22" t="str">
        <f>_xlfn._xlws.FILTER(辅助信息!D:D,辅助信息!E:E=B1694)</f>
        <v>华西简阳西城嘉苑</v>
      </c>
    </row>
    <row r="1695" hidden="1" spans="2:18">
      <c r="B1695" s="33" t="s">
        <v>81</v>
      </c>
      <c r="C1695" s="63">
        <v>45810</v>
      </c>
      <c r="D1695" s="113" t="str">
        <f>VLOOKUP(B1695,辅助信息!E:K,7,FALSE)</f>
        <v>JWDDCD2025060900080</v>
      </c>
      <c r="E1695" s="113" t="str">
        <f>VLOOKUP(F1695,辅助信息!A:B,2,FALSE)</f>
        <v>螺纹钢</v>
      </c>
      <c r="F1695" s="33" t="s">
        <v>19</v>
      </c>
      <c r="G1695" s="29">
        <v>17</v>
      </c>
      <c r="H1695" s="114">
        <f>_xlfn.XLOOKUP(C1695&amp;F1695&amp;I1695&amp;J1695,'[1]2025年已发货'!$F:$F&amp;'[1]2025年已发货'!$C:$C&amp;'[1]2025年已发货'!$G:$G&amp;'[1]2025年已发货'!$H:$H,'[1]2025年已发货'!$E:$E,"未发货")</f>
        <v>17</v>
      </c>
      <c r="I1695" s="113" t="str">
        <f>VLOOKUP(B1695,辅助信息!E:I,3,FALSE)</f>
        <v>（华西简阳西城嘉苑）四川省成都市简阳市简城街道高屋村</v>
      </c>
      <c r="J1695" s="113" t="str">
        <f>VLOOKUP(B1695,辅助信息!E:I,4,FALSE)</f>
        <v>张瀚镭</v>
      </c>
      <c r="K1695" s="113">
        <f>VLOOKUP(J1695,辅助信息!H:I,2,FALSE)</f>
        <v>15884666220</v>
      </c>
      <c r="L1695" s="115" t="str">
        <f>VLOOKUP(B1695,辅助信息!E:J,6,FALSE)</f>
        <v>现场禁止使用氢能源挂车！优先威钢发货,我方卸车,新老国标钢厂不加价可直发，因陕钢多次出现磅差，项目拒绝使用</v>
      </c>
      <c r="M1695" s="84">
        <v>45811</v>
      </c>
      <c r="O1695" s="55">
        <f ca="1" t="shared" si="93"/>
        <v>0</v>
      </c>
      <c r="P1695" s="55">
        <f ca="1" t="shared" si="94"/>
        <v>146</v>
      </c>
      <c r="Q1695" s="22" t="str">
        <f>VLOOKUP(B1695,辅助信息!E:M,9,FALSE)</f>
        <v>ZTWM-CDGS-XS-2024-0030-华西集采-简州大道</v>
      </c>
      <c r="R1695" s="22" t="str">
        <f>_xlfn._xlws.FILTER(辅助信息!D:D,辅助信息!E:E=B1695)</f>
        <v>华西简阳西城嘉苑</v>
      </c>
    </row>
    <row r="1696" hidden="1" spans="2:18">
      <c r="B1696" s="33" t="s">
        <v>81</v>
      </c>
      <c r="C1696" s="63">
        <v>45810</v>
      </c>
      <c r="D1696" s="113" t="str">
        <f>VLOOKUP(B1696,辅助信息!E:K,7,FALSE)</f>
        <v>JWDDCD2025060900080</v>
      </c>
      <c r="E1696" s="113" t="str">
        <f>VLOOKUP(F1696,辅助信息!A:B,2,FALSE)</f>
        <v>螺纹钢</v>
      </c>
      <c r="F1696" s="33" t="s">
        <v>32</v>
      </c>
      <c r="G1696" s="29">
        <v>68</v>
      </c>
      <c r="H1696" s="114">
        <f>_xlfn.XLOOKUP(C1696&amp;F1696&amp;I1696&amp;J1696,'[1]2025年已发货'!$F:$F&amp;'[1]2025年已发货'!$C:$C&amp;'[1]2025年已发货'!$G:$G&amp;'[1]2025年已发货'!$H:$H,'[1]2025年已发货'!$E:$E,"未发货")</f>
        <v>68</v>
      </c>
      <c r="I1696" s="113" t="str">
        <f>VLOOKUP(B1696,辅助信息!E:I,3,FALSE)</f>
        <v>（华西简阳西城嘉苑）四川省成都市简阳市简城街道高屋村</v>
      </c>
      <c r="J1696" s="113" t="str">
        <f>VLOOKUP(B1696,辅助信息!E:I,4,FALSE)</f>
        <v>张瀚镭</v>
      </c>
      <c r="K1696" s="113">
        <f>VLOOKUP(J1696,辅助信息!H:I,2,FALSE)</f>
        <v>15884666220</v>
      </c>
      <c r="L1696" s="115" t="str">
        <f>VLOOKUP(B1696,辅助信息!E:J,6,FALSE)</f>
        <v>现场禁止使用氢能源挂车！优先威钢发货,我方卸车,新老国标钢厂不加价可直发，因陕钢多次出现磅差，项目拒绝使用</v>
      </c>
      <c r="M1696" s="84">
        <v>45811</v>
      </c>
      <c r="O1696" s="55">
        <f ca="1" t="shared" si="93"/>
        <v>0</v>
      </c>
      <c r="P1696" s="55">
        <f ca="1" t="shared" si="94"/>
        <v>146</v>
      </c>
      <c r="Q1696" s="22" t="str">
        <f>VLOOKUP(B1696,辅助信息!E:M,9,FALSE)</f>
        <v>ZTWM-CDGS-XS-2024-0030-华西集采-简州大道</v>
      </c>
      <c r="R1696" s="22" t="str">
        <f>_xlfn._xlws.FILTER(辅助信息!D:D,辅助信息!E:E=B1696)</f>
        <v>华西简阳西城嘉苑</v>
      </c>
    </row>
    <row r="1697" hidden="1" spans="2:18">
      <c r="B1697" s="33" t="s">
        <v>81</v>
      </c>
      <c r="C1697" s="63">
        <v>45810</v>
      </c>
      <c r="D1697" s="113" t="str">
        <f>VLOOKUP(B1697,辅助信息!E:K,7,FALSE)</f>
        <v>JWDDCD2025060900080</v>
      </c>
      <c r="E1697" s="113" t="str">
        <f>VLOOKUP(F1697,辅助信息!A:B,2,FALSE)</f>
        <v>螺纹钢</v>
      </c>
      <c r="F1697" s="33" t="s">
        <v>30</v>
      </c>
      <c r="G1697" s="29">
        <v>20</v>
      </c>
      <c r="H1697" s="114">
        <f>_xlfn.XLOOKUP(C1697&amp;F1697&amp;I1697&amp;J1697,'[1]2025年已发货'!$F:$F&amp;'[1]2025年已发货'!$C:$C&amp;'[1]2025年已发货'!$G:$G&amp;'[1]2025年已发货'!$H:$H,'[1]2025年已发货'!$E:$E,"未发货")</f>
        <v>20</v>
      </c>
      <c r="I1697" s="113" t="str">
        <f>VLOOKUP(B1697,辅助信息!E:I,3,FALSE)</f>
        <v>（华西简阳西城嘉苑）四川省成都市简阳市简城街道高屋村</v>
      </c>
      <c r="J1697" s="113" t="str">
        <f>VLOOKUP(B1697,辅助信息!E:I,4,FALSE)</f>
        <v>张瀚镭</v>
      </c>
      <c r="K1697" s="113">
        <f>VLOOKUP(J1697,辅助信息!H:I,2,FALSE)</f>
        <v>15884666220</v>
      </c>
      <c r="L1697" s="115" t="str">
        <f>VLOOKUP(B1697,辅助信息!E:J,6,FALSE)</f>
        <v>现场禁止使用氢能源挂车！优先威钢发货,我方卸车,新老国标钢厂不加价可直发，因陕钢多次出现磅差，项目拒绝使用</v>
      </c>
      <c r="M1697" s="84">
        <v>45811</v>
      </c>
      <c r="O1697" s="55">
        <f ca="1" t="shared" si="93"/>
        <v>0</v>
      </c>
      <c r="P1697" s="55">
        <f ca="1" t="shared" si="94"/>
        <v>146</v>
      </c>
      <c r="Q1697" s="22" t="str">
        <f>VLOOKUP(B1697,辅助信息!E:M,9,FALSE)</f>
        <v>ZTWM-CDGS-XS-2024-0030-华西集采-简州大道</v>
      </c>
      <c r="R1697" s="22" t="str">
        <f>_xlfn._xlws.FILTER(辅助信息!D:D,辅助信息!E:E=B1697)</f>
        <v>华西简阳西城嘉苑</v>
      </c>
    </row>
    <row r="1698" hidden="1" spans="2:18">
      <c r="B1698" s="33" t="s">
        <v>81</v>
      </c>
      <c r="C1698" s="63">
        <v>45810</v>
      </c>
      <c r="D1698" s="113" t="str">
        <f>VLOOKUP(B1698,辅助信息!E:K,7,FALSE)</f>
        <v>JWDDCD2025060900080</v>
      </c>
      <c r="E1698" s="113" t="str">
        <f>VLOOKUP(F1698,辅助信息!A:B,2,FALSE)</f>
        <v>螺纹钢</v>
      </c>
      <c r="F1698" s="33" t="s">
        <v>33</v>
      </c>
      <c r="G1698" s="29">
        <v>94</v>
      </c>
      <c r="H1698" s="114">
        <f>_xlfn.XLOOKUP(C1698&amp;F1698&amp;I1698&amp;J1698,'[1]2025年已发货'!$F:$F&amp;'[1]2025年已发货'!$C:$C&amp;'[1]2025年已发货'!$G:$G&amp;'[1]2025年已发货'!$H:$H,'[1]2025年已发货'!$E:$E,"未发货")</f>
        <v>94</v>
      </c>
      <c r="I1698" s="113" t="str">
        <f>VLOOKUP(B1698,辅助信息!E:I,3,FALSE)</f>
        <v>（华西简阳西城嘉苑）四川省成都市简阳市简城街道高屋村</v>
      </c>
      <c r="J1698" s="113" t="str">
        <f>VLOOKUP(B1698,辅助信息!E:I,4,FALSE)</f>
        <v>张瀚镭</v>
      </c>
      <c r="K1698" s="113">
        <f>VLOOKUP(J1698,辅助信息!H:I,2,FALSE)</f>
        <v>15884666220</v>
      </c>
      <c r="L1698" s="115" t="str">
        <f>VLOOKUP(B1698,辅助信息!E:J,6,FALSE)</f>
        <v>现场禁止使用氢能源挂车！优先威钢发货,我方卸车,新老国标钢厂不加价可直发，因陕钢多次出现磅差，项目拒绝使用</v>
      </c>
      <c r="M1698" s="84">
        <v>45811</v>
      </c>
      <c r="O1698" s="55">
        <f ca="1" t="shared" si="93"/>
        <v>0</v>
      </c>
      <c r="P1698" s="55">
        <f ca="1" t="shared" si="94"/>
        <v>146</v>
      </c>
      <c r="Q1698" s="22" t="str">
        <f>VLOOKUP(B1698,辅助信息!E:M,9,FALSE)</f>
        <v>ZTWM-CDGS-XS-2024-0030-华西集采-简州大道</v>
      </c>
      <c r="R1698" s="22" t="str">
        <f>_xlfn._xlws.FILTER(辅助信息!D:D,辅助信息!E:E=B1698)</f>
        <v>华西简阳西城嘉苑</v>
      </c>
    </row>
    <row r="1699" hidden="1" spans="2:18">
      <c r="B1699" s="33" t="s">
        <v>81</v>
      </c>
      <c r="C1699" s="63">
        <v>45810</v>
      </c>
      <c r="D1699" s="113" t="str">
        <f>VLOOKUP(B1699,辅助信息!E:K,7,FALSE)</f>
        <v>JWDDCD2025060900080</v>
      </c>
      <c r="E1699" s="113" t="str">
        <f>VLOOKUP(F1699,辅助信息!A:B,2,FALSE)</f>
        <v>螺纹钢</v>
      </c>
      <c r="F1699" s="33" t="s">
        <v>28</v>
      </c>
      <c r="G1699" s="29">
        <v>12</v>
      </c>
      <c r="H1699" s="114">
        <f>_xlfn.XLOOKUP(C1699&amp;F1699&amp;I1699&amp;J1699,'[1]2025年已发货'!$F:$F&amp;'[1]2025年已发货'!$C:$C&amp;'[1]2025年已发货'!$G:$G&amp;'[1]2025年已发货'!$H:$H,'[1]2025年已发货'!$E:$E,"未发货")</f>
        <v>12</v>
      </c>
      <c r="I1699" s="113" t="str">
        <f>VLOOKUP(B1699,辅助信息!E:I,3,FALSE)</f>
        <v>（华西简阳西城嘉苑）四川省成都市简阳市简城街道高屋村</v>
      </c>
      <c r="J1699" s="113" t="str">
        <f>VLOOKUP(B1699,辅助信息!E:I,4,FALSE)</f>
        <v>张瀚镭</v>
      </c>
      <c r="K1699" s="113">
        <f>VLOOKUP(J1699,辅助信息!H:I,2,FALSE)</f>
        <v>15884666220</v>
      </c>
      <c r="L1699" s="115" t="str">
        <f>VLOOKUP(B1699,辅助信息!E:J,6,FALSE)</f>
        <v>现场禁止使用氢能源挂车！优先威钢发货,我方卸车,新老国标钢厂不加价可直发，因陕钢多次出现磅差，项目拒绝使用</v>
      </c>
      <c r="M1699" s="84">
        <v>45811</v>
      </c>
      <c r="O1699" s="55">
        <f ca="1" t="shared" si="93"/>
        <v>0</v>
      </c>
      <c r="P1699" s="55">
        <f ca="1" t="shared" si="94"/>
        <v>146</v>
      </c>
      <c r="Q1699" s="22" t="str">
        <f>VLOOKUP(B1699,辅助信息!E:M,9,FALSE)</f>
        <v>ZTWM-CDGS-XS-2024-0030-华西集采-简州大道</v>
      </c>
      <c r="R1699" s="22" t="str">
        <f>_xlfn._xlws.FILTER(辅助信息!D:D,辅助信息!E:E=B1699)</f>
        <v>华西简阳西城嘉苑</v>
      </c>
    </row>
    <row r="1700" hidden="1" spans="2:18">
      <c r="B1700" s="76" t="s">
        <v>81</v>
      </c>
      <c r="C1700" s="77">
        <v>45810</v>
      </c>
      <c r="D1700" s="117" t="str">
        <f>VLOOKUP(B1700,辅助信息!E:K,7,FALSE)</f>
        <v>JWDDCD2025060900080</v>
      </c>
      <c r="E1700" s="117" t="str">
        <f>VLOOKUP(F1700,辅助信息!A:B,2,FALSE)</f>
        <v>螺纹钢</v>
      </c>
      <c r="F1700" s="76" t="s">
        <v>18</v>
      </c>
      <c r="G1700" s="78">
        <v>36</v>
      </c>
      <c r="H1700" s="118">
        <f>_xlfn.XLOOKUP(C1700&amp;F1700&amp;I1700&amp;J1700,'[1]2025年已发货'!$F:$F&amp;'[1]2025年已发货'!$C:$C&amp;'[1]2025年已发货'!$G:$G&amp;'[1]2025年已发货'!$H:$H,'[1]2025年已发货'!$E:$E,"未发货")</f>
        <v>36</v>
      </c>
      <c r="I1700" s="117" t="str">
        <f>VLOOKUP(B1700,辅助信息!E:I,3,FALSE)</f>
        <v>（华西简阳西城嘉苑）四川省成都市简阳市简城街道高屋村</v>
      </c>
      <c r="J1700" s="117" t="str">
        <f>VLOOKUP(B1700,辅助信息!E:I,4,FALSE)</f>
        <v>张瀚镭</v>
      </c>
      <c r="K1700" s="117">
        <f>VLOOKUP(J1700,辅助信息!H:I,2,FALSE)</f>
        <v>15884666220</v>
      </c>
      <c r="L1700" s="119" t="str">
        <f>VLOOKUP(B1700,辅助信息!E:J,6,FALSE)</f>
        <v>现场禁止使用氢能源挂车！优先威钢发货,我方卸车,新老国标钢厂不加价可直发，因陕钢多次出现磅差，项目拒绝使用</v>
      </c>
      <c r="M1700" s="84">
        <v>45811</v>
      </c>
      <c r="O1700" s="55">
        <f ca="1" t="shared" si="93"/>
        <v>0</v>
      </c>
      <c r="P1700" s="55">
        <f ca="1" t="shared" si="94"/>
        <v>146</v>
      </c>
      <c r="Q1700" s="22" t="str">
        <f>VLOOKUP(B1700,辅助信息!E:M,9,FALSE)</f>
        <v>ZTWM-CDGS-XS-2024-0030-华西集采-简州大道</v>
      </c>
      <c r="R1700" s="22" t="str">
        <f>_xlfn._xlws.FILTER(辅助信息!D:D,辅助信息!E:E=B1700)</f>
        <v>华西简阳西城嘉苑</v>
      </c>
    </row>
    <row r="1701" hidden="1" spans="2:18">
      <c r="B1701" s="113" t="s">
        <v>81</v>
      </c>
      <c r="C1701" s="63">
        <v>45811</v>
      </c>
      <c r="D1701" s="113" t="str">
        <f>VLOOKUP(B1701,辅助信息!E:K,7,FALSE)</f>
        <v>JWDDCD2025060900080</v>
      </c>
      <c r="E1701" s="113" t="str">
        <f>VLOOKUP(F1701,辅助信息!A:B,2,FALSE)</f>
        <v>高线</v>
      </c>
      <c r="F1701" s="113" t="s">
        <v>53</v>
      </c>
      <c r="G1701" s="114">
        <v>2</v>
      </c>
      <c r="H1701" s="114" t="str">
        <f>_xlfn.XLOOKUP(C1701&amp;F1701&amp;I1701&amp;J1701,'[1]2025年已发货'!$F:$F&amp;'[1]2025年已发货'!$C:$C&amp;'[1]2025年已发货'!$G:$G&amp;'[1]2025年已发货'!$H:$H,'[1]2025年已发货'!$E:$E,"未发货")</f>
        <v>未发货</v>
      </c>
      <c r="I1701" s="113" t="str">
        <f>VLOOKUP(B1701,辅助信息!E:I,3,FALSE)</f>
        <v>（华西简阳西城嘉苑）四川省成都市简阳市简城街道高屋村</v>
      </c>
      <c r="J1701" s="113" t="str">
        <f>VLOOKUP(B1701,辅助信息!E:I,4,FALSE)</f>
        <v>张瀚镭</v>
      </c>
      <c r="K1701" s="113">
        <f>VLOOKUP(J1701,辅助信息!H:I,2,FALSE)</f>
        <v>15884666220</v>
      </c>
      <c r="L1701" s="115" t="str">
        <f>VLOOKUP(B1701,辅助信息!E:J,6,FALSE)</f>
        <v>现场禁止使用氢能源挂车！优先威钢发货,我方卸车,新老国标钢厂不加价可直发，因陕钢多次出现磅差，项目拒绝使用</v>
      </c>
      <c r="M1701" s="97">
        <v>45812</v>
      </c>
      <c r="O1701" s="55">
        <f ca="1" t="shared" si="93"/>
        <v>0</v>
      </c>
      <c r="P1701" s="55">
        <f ca="1" t="shared" si="94"/>
        <v>145</v>
      </c>
      <c r="Q1701" s="22" t="str">
        <f>VLOOKUP(B1701,辅助信息!E:M,9,FALSE)</f>
        <v>ZTWM-CDGS-XS-2024-0030-华西集采-简州大道</v>
      </c>
      <c r="R1701" s="22" t="str">
        <f>_xlfn._xlws.FILTER(辅助信息!D:D,辅助信息!E:E=B1701)</f>
        <v>华西简阳西城嘉苑</v>
      </c>
    </row>
    <row r="1702" hidden="1" spans="2:18">
      <c r="B1702" s="113" t="s">
        <v>81</v>
      </c>
      <c r="C1702" s="63">
        <v>45811</v>
      </c>
      <c r="D1702" s="113" t="str">
        <f>VLOOKUP(B1702,辅助信息!E:K,7,FALSE)</f>
        <v>JWDDCD2025060900080</v>
      </c>
      <c r="E1702" s="113" t="str">
        <f>VLOOKUP(F1702,辅助信息!A:B,2,FALSE)</f>
        <v>盘螺</v>
      </c>
      <c r="F1702" s="113" t="s">
        <v>49</v>
      </c>
      <c r="G1702" s="114">
        <v>4.5</v>
      </c>
      <c r="H1702" s="114" t="str">
        <f>_xlfn.XLOOKUP(C1702&amp;F1702&amp;I1702&amp;J1702,'[1]2025年已发货'!$F:$F&amp;'[1]2025年已发货'!$C:$C&amp;'[1]2025年已发货'!$G:$G&amp;'[1]2025年已发货'!$H:$H,'[1]2025年已发货'!$E:$E,"未发货")</f>
        <v>未发货</v>
      </c>
      <c r="I1702" s="113" t="str">
        <f>VLOOKUP(B1702,辅助信息!E:I,3,FALSE)</f>
        <v>（华西简阳西城嘉苑）四川省成都市简阳市简城街道高屋村</v>
      </c>
      <c r="J1702" s="113" t="str">
        <f>VLOOKUP(B1702,辅助信息!E:I,4,FALSE)</f>
        <v>张瀚镭</v>
      </c>
      <c r="K1702" s="113">
        <f>VLOOKUP(J1702,辅助信息!H:I,2,FALSE)</f>
        <v>15884666220</v>
      </c>
      <c r="L1702" s="115" t="str">
        <f>VLOOKUP(B1702,辅助信息!E:J,6,FALSE)</f>
        <v>现场禁止使用氢能源挂车！优先威钢发货,我方卸车,新老国标钢厂不加价可直发，因陕钢多次出现磅差，项目拒绝使用</v>
      </c>
      <c r="M1702" s="97">
        <v>45812</v>
      </c>
      <c r="O1702" s="55">
        <f ca="1" t="shared" si="93"/>
        <v>0</v>
      </c>
      <c r="P1702" s="55">
        <f ca="1" t="shared" si="94"/>
        <v>145</v>
      </c>
      <c r="Q1702" s="22" t="str">
        <f>VLOOKUP(B1702,辅助信息!E:M,9,FALSE)</f>
        <v>ZTWM-CDGS-XS-2024-0030-华西集采-简州大道</v>
      </c>
      <c r="R1702" s="22" t="str">
        <f>_xlfn._xlws.FILTER(辅助信息!D:D,辅助信息!E:E=B1702)</f>
        <v>华西简阳西城嘉苑</v>
      </c>
    </row>
    <row r="1703" hidden="1" spans="2:18">
      <c r="B1703" s="113" t="s">
        <v>81</v>
      </c>
      <c r="C1703" s="63">
        <v>45811</v>
      </c>
      <c r="D1703" s="113" t="str">
        <f>VLOOKUP(B1703,辅助信息!E:K,7,FALSE)</f>
        <v>JWDDCD2025060900080</v>
      </c>
      <c r="E1703" s="113" t="str">
        <f>VLOOKUP(F1703,辅助信息!A:B,2,FALSE)</f>
        <v>盘螺</v>
      </c>
      <c r="F1703" s="113" t="s">
        <v>41</v>
      </c>
      <c r="G1703" s="114">
        <f>72-24</f>
        <v>48</v>
      </c>
      <c r="H1703" s="114">
        <f>_xlfn.XLOOKUP(C1703&amp;F1703&amp;I1703&amp;J1703,'[1]2025年已发货'!$F:$F&amp;'[1]2025年已发货'!$C:$C&amp;'[1]2025年已发货'!$G:$G&amp;'[1]2025年已发货'!$H:$H,'[1]2025年已发货'!$E:$E,"未发货")</f>
        <v>39</v>
      </c>
      <c r="I1703" s="113" t="str">
        <f>VLOOKUP(B1703,辅助信息!E:I,3,FALSE)</f>
        <v>（华西简阳西城嘉苑）四川省成都市简阳市简城街道高屋村</v>
      </c>
      <c r="J1703" s="113" t="str">
        <f>VLOOKUP(B1703,辅助信息!E:I,4,FALSE)</f>
        <v>张瀚镭</v>
      </c>
      <c r="K1703" s="113">
        <f>VLOOKUP(J1703,辅助信息!H:I,2,FALSE)</f>
        <v>15884666220</v>
      </c>
      <c r="L1703" s="115" t="str">
        <f>VLOOKUP(B1703,辅助信息!E:J,6,FALSE)</f>
        <v>现场禁止使用氢能源挂车！优先威钢发货,我方卸车,新老国标钢厂不加价可直发，因陕钢多次出现磅差，项目拒绝使用</v>
      </c>
      <c r="M1703" s="97">
        <v>45812</v>
      </c>
      <c r="O1703" s="55">
        <f ca="1" t="shared" si="93"/>
        <v>0</v>
      </c>
      <c r="P1703" s="55">
        <f ca="1" t="shared" si="94"/>
        <v>145</v>
      </c>
      <c r="Q1703" s="22" t="str">
        <f>VLOOKUP(B1703,辅助信息!E:M,9,FALSE)</f>
        <v>ZTWM-CDGS-XS-2024-0030-华西集采-简州大道</v>
      </c>
      <c r="R1703" s="22" t="str">
        <f>_xlfn._xlws.FILTER(辅助信息!D:D,辅助信息!E:E=B1703)</f>
        <v>华西简阳西城嘉苑</v>
      </c>
    </row>
    <row r="1704" hidden="1" spans="2:18">
      <c r="B1704" s="113" t="s">
        <v>81</v>
      </c>
      <c r="C1704" s="63">
        <v>45811</v>
      </c>
      <c r="D1704" s="113" t="str">
        <f>VLOOKUP(B1704,辅助信息!E:K,7,FALSE)</f>
        <v>JWDDCD2025060900080</v>
      </c>
      <c r="E1704" s="113" t="str">
        <f>VLOOKUP(F1704,辅助信息!A:B,2,FALSE)</f>
        <v>螺纹钢</v>
      </c>
      <c r="F1704" s="33" t="s">
        <v>58</v>
      </c>
      <c r="G1704" s="29">
        <v>9</v>
      </c>
      <c r="H1704" s="114">
        <f>_xlfn.XLOOKUP(C1704&amp;F1704&amp;I1704&amp;J1704,'[1]2025年已发货'!$F:$F&amp;'[1]2025年已发货'!$C:$C&amp;'[1]2025年已发货'!$G:$G&amp;'[1]2025年已发货'!$H:$H,'[1]2025年已发货'!$E:$E,"未发货")</f>
        <v>9</v>
      </c>
      <c r="I1704" s="113" t="str">
        <f>VLOOKUP(B1704,辅助信息!E:I,3,FALSE)</f>
        <v>（华西简阳西城嘉苑）四川省成都市简阳市简城街道高屋村</v>
      </c>
      <c r="J1704" s="113" t="str">
        <f>VLOOKUP(B1704,辅助信息!E:I,4,FALSE)</f>
        <v>张瀚镭</v>
      </c>
      <c r="K1704" s="113">
        <f>VLOOKUP(J1704,辅助信息!H:I,2,FALSE)</f>
        <v>15884666220</v>
      </c>
      <c r="L1704" s="115" t="str">
        <f>VLOOKUP(B1704,辅助信息!E:J,6,FALSE)</f>
        <v>现场禁止使用氢能源挂车！优先威钢发货,我方卸车,新老国标钢厂不加价可直发，因陕钢多次出现磅差，项目拒绝使用</v>
      </c>
      <c r="M1704" s="97">
        <v>45812</v>
      </c>
      <c r="O1704" s="55">
        <f ca="1" t="shared" ref="O1704:O1729" si="95">IF(OR(M1704="",N1704&lt;&gt;""),"",MAX(M1704-TODAY(),0))</f>
        <v>0</v>
      </c>
      <c r="P1704" s="55">
        <f ca="1" t="shared" ref="P1704:P1729" si="96">IF(M1704="","",IF(N1704&lt;&gt;"",MAX(N1704-M1704,0),IF(TODAY()&gt;M1704,TODAY()-M1704,0)))</f>
        <v>145</v>
      </c>
      <c r="Q1704" s="22" t="str">
        <f>VLOOKUP(B1704,辅助信息!E:M,9,FALSE)</f>
        <v>ZTWM-CDGS-XS-2024-0030-华西集采-简州大道</v>
      </c>
      <c r="R1704" s="22" t="str">
        <f>_xlfn._xlws.FILTER(辅助信息!D:D,辅助信息!E:E=B1704)</f>
        <v>华西简阳西城嘉苑</v>
      </c>
    </row>
    <row r="1705" hidden="1" spans="2:18">
      <c r="B1705" s="113" t="s">
        <v>81</v>
      </c>
      <c r="C1705" s="63">
        <v>45811</v>
      </c>
      <c r="D1705" s="113" t="str">
        <f>VLOOKUP(B1705,辅助信息!E:K,7,FALSE)</f>
        <v>JWDDCD2025060900080</v>
      </c>
      <c r="E1705" s="113" t="str">
        <f>VLOOKUP(F1705,辅助信息!A:B,2,FALSE)</f>
        <v>螺纹钢</v>
      </c>
      <c r="F1705" s="33" t="s">
        <v>46</v>
      </c>
      <c r="G1705" s="29">
        <v>5</v>
      </c>
      <c r="H1705" s="114" t="str">
        <f>_xlfn.XLOOKUP(C1705&amp;F1705&amp;I1705&amp;J1705,'[1]2025年已发货'!$F:$F&amp;'[1]2025年已发货'!$C:$C&amp;'[1]2025年已发货'!$G:$G&amp;'[1]2025年已发货'!$H:$H,'[1]2025年已发货'!$E:$E,"未发货")</f>
        <v>未发货</v>
      </c>
      <c r="I1705" s="113" t="str">
        <f>VLOOKUP(B1705,辅助信息!E:I,3,FALSE)</f>
        <v>（华西简阳西城嘉苑）四川省成都市简阳市简城街道高屋村</v>
      </c>
      <c r="J1705" s="113" t="str">
        <f>VLOOKUP(B1705,辅助信息!E:I,4,FALSE)</f>
        <v>张瀚镭</v>
      </c>
      <c r="K1705" s="113">
        <f>VLOOKUP(J1705,辅助信息!H:I,2,FALSE)</f>
        <v>15884666220</v>
      </c>
      <c r="L1705" s="115" t="str">
        <f>VLOOKUP(B1705,辅助信息!E:J,6,FALSE)</f>
        <v>现场禁止使用氢能源挂车！优先威钢发货,我方卸车,新老国标钢厂不加价可直发，因陕钢多次出现磅差，项目拒绝使用</v>
      </c>
      <c r="M1705" s="97">
        <v>45812</v>
      </c>
      <c r="O1705" s="55">
        <f ca="1" t="shared" si="95"/>
        <v>0</v>
      </c>
      <c r="P1705" s="55">
        <f ca="1" t="shared" si="96"/>
        <v>145</v>
      </c>
      <c r="Q1705" s="22" t="str">
        <f>VLOOKUP(B1705,辅助信息!E:M,9,FALSE)</f>
        <v>ZTWM-CDGS-XS-2024-0030-华西集采-简州大道</v>
      </c>
      <c r="R1705" s="22" t="str">
        <f>_xlfn._xlws.FILTER(辅助信息!D:D,辅助信息!E:E=B1705)</f>
        <v>华西简阳西城嘉苑</v>
      </c>
    </row>
    <row r="1706" hidden="1" spans="2:18">
      <c r="B1706" s="113" t="s">
        <v>81</v>
      </c>
      <c r="C1706" s="63">
        <v>45811</v>
      </c>
      <c r="D1706" s="113" t="str">
        <f>VLOOKUP(B1706,辅助信息!E:K,7,FALSE)</f>
        <v>JWDDCD2025060900080</v>
      </c>
      <c r="E1706" s="113" t="str">
        <f>VLOOKUP(F1706,辅助信息!A:B,2,FALSE)</f>
        <v>螺纹钢</v>
      </c>
      <c r="F1706" s="33" t="s">
        <v>22</v>
      </c>
      <c r="G1706" s="29">
        <v>24</v>
      </c>
      <c r="H1706" s="114">
        <f>_xlfn.XLOOKUP(C1706&amp;F1706&amp;I1706&amp;J1706,'[1]2025年已发货'!$F:$F&amp;'[1]2025年已发货'!$C:$C&amp;'[1]2025年已发货'!$G:$G&amp;'[1]2025年已发货'!$H:$H,'[1]2025年已发货'!$E:$E,"未发货")</f>
        <v>24</v>
      </c>
      <c r="I1706" s="113" t="str">
        <f>VLOOKUP(B1706,辅助信息!E:I,3,FALSE)</f>
        <v>（华西简阳西城嘉苑）四川省成都市简阳市简城街道高屋村</v>
      </c>
      <c r="J1706" s="113" t="str">
        <f>VLOOKUP(B1706,辅助信息!E:I,4,FALSE)</f>
        <v>张瀚镭</v>
      </c>
      <c r="K1706" s="113">
        <f>VLOOKUP(J1706,辅助信息!H:I,2,FALSE)</f>
        <v>15884666220</v>
      </c>
      <c r="L1706" s="115" t="str">
        <f>VLOOKUP(B1706,辅助信息!E:J,6,FALSE)</f>
        <v>现场禁止使用氢能源挂车！优先威钢发货,我方卸车,新老国标钢厂不加价可直发，因陕钢多次出现磅差，项目拒绝使用</v>
      </c>
      <c r="M1706" s="97">
        <v>45812</v>
      </c>
      <c r="O1706" s="55">
        <f ca="1" t="shared" si="95"/>
        <v>0</v>
      </c>
      <c r="P1706" s="55">
        <f ca="1" t="shared" si="96"/>
        <v>145</v>
      </c>
      <c r="Q1706" s="22" t="str">
        <f>VLOOKUP(B1706,辅助信息!E:M,9,FALSE)</f>
        <v>ZTWM-CDGS-XS-2024-0030-华西集采-简州大道</v>
      </c>
      <c r="R1706" s="22" t="str">
        <f>_xlfn._xlws.FILTER(辅助信息!D:D,辅助信息!E:E=B1706)</f>
        <v>华西简阳西城嘉苑</v>
      </c>
    </row>
    <row r="1707" hidden="1" spans="2:18">
      <c r="B1707" s="113" t="s">
        <v>81</v>
      </c>
      <c r="C1707" s="63">
        <v>45812</v>
      </c>
      <c r="D1707" s="113" t="str">
        <f>VLOOKUP(B1707,辅助信息!E:K,7,FALSE)</f>
        <v>JWDDCD2025060900080</v>
      </c>
      <c r="E1707" s="113" t="str">
        <f>VLOOKUP(F1707,辅助信息!A:B,2,FALSE)</f>
        <v>高线</v>
      </c>
      <c r="F1707" s="113" t="s">
        <v>53</v>
      </c>
      <c r="G1707" s="114">
        <v>2</v>
      </c>
      <c r="H1707" s="114" t="str">
        <f>_xlfn.XLOOKUP(C1707&amp;F1707&amp;I1707&amp;J1707,'[1]2025年已发货'!$F:$F&amp;'[1]2025年已发货'!$C:$C&amp;'[1]2025年已发货'!$G:$G&amp;'[1]2025年已发货'!$H:$H,'[1]2025年已发货'!$E:$E,"未发货")</f>
        <v>未发货</v>
      </c>
      <c r="I1707" s="113" t="str">
        <f>VLOOKUP(B1707,辅助信息!E:I,3,FALSE)</f>
        <v>（华西简阳西城嘉苑）四川省成都市简阳市简城街道高屋村</v>
      </c>
      <c r="J1707" s="113" t="str">
        <f>VLOOKUP(B1707,辅助信息!E:I,4,FALSE)</f>
        <v>张瀚镭</v>
      </c>
      <c r="K1707" s="113">
        <f>VLOOKUP(J1707,辅助信息!H:I,2,FALSE)</f>
        <v>15884666220</v>
      </c>
      <c r="L1707" s="115" t="str">
        <f>VLOOKUP(B1707,辅助信息!E:J,6,FALSE)</f>
        <v>现场禁止使用氢能源挂车！优先威钢发货,我方卸车,新老国标钢厂不加价可直发，因陕钢多次出现磅差，项目拒绝使用</v>
      </c>
      <c r="M1707" s="97">
        <v>45813</v>
      </c>
      <c r="O1707" s="55">
        <f ca="1" t="shared" si="95"/>
        <v>0</v>
      </c>
      <c r="P1707" s="55">
        <f ca="1" t="shared" si="96"/>
        <v>144</v>
      </c>
      <c r="Q1707" s="22" t="str">
        <f>VLOOKUP(B1707,辅助信息!E:M,9,FALSE)</f>
        <v>ZTWM-CDGS-XS-2024-0030-华西集采-简州大道</v>
      </c>
      <c r="R1707" s="22" t="str">
        <f>_xlfn._xlws.FILTER(辅助信息!D:D,辅助信息!E:E=B1707)</f>
        <v>华西简阳西城嘉苑</v>
      </c>
    </row>
    <row r="1708" hidden="1" spans="2:18">
      <c r="B1708" s="113" t="s">
        <v>81</v>
      </c>
      <c r="C1708" s="63">
        <v>45812</v>
      </c>
      <c r="D1708" s="113" t="str">
        <f>VLOOKUP(B1708,辅助信息!E:K,7,FALSE)</f>
        <v>JWDDCD2025060900080</v>
      </c>
      <c r="E1708" s="113" t="str">
        <f>VLOOKUP(F1708,辅助信息!A:B,2,FALSE)</f>
        <v>盘螺</v>
      </c>
      <c r="F1708" s="113" t="s">
        <v>49</v>
      </c>
      <c r="G1708" s="114">
        <v>7.5</v>
      </c>
      <c r="H1708" s="114" t="str">
        <f>_xlfn.XLOOKUP(C1708&amp;F1708&amp;I1708&amp;J1708,'[1]2025年已发货'!$F:$F&amp;'[1]2025年已发货'!$C:$C&amp;'[1]2025年已发货'!$G:$G&amp;'[1]2025年已发货'!$H:$H,'[1]2025年已发货'!$E:$E,"未发货")</f>
        <v>未发货</v>
      </c>
      <c r="I1708" s="113" t="str">
        <f>VLOOKUP(B1708,辅助信息!E:I,3,FALSE)</f>
        <v>（华西简阳西城嘉苑）四川省成都市简阳市简城街道高屋村</v>
      </c>
      <c r="J1708" s="113" t="str">
        <f>VLOOKUP(B1708,辅助信息!E:I,4,FALSE)</f>
        <v>张瀚镭</v>
      </c>
      <c r="K1708" s="113">
        <f>VLOOKUP(J1708,辅助信息!H:I,2,FALSE)</f>
        <v>15884666220</v>
      </c>
      <c r="L1708" s="115" t="str">
        <f>VLOOKUP(B1708,辅助信息!E:J,6,FALSE)</f>
        <v>现场禁止使用氢能源挂车！优先威钢发货,我方卸车,新老国标钢厂不加价可直发，因陕钢多次出现磅差，项目拒绝使用</v>
      </c>
      <c r="M1708" s="97">
        <v>45813</v>
      </c>
      <c r="O1708" s="55">
        <f ca="1" t="shared" si="95"/>
        <v>0</v>
      </c>
      <c r="P1708" s="55">
        <f ca="1" t="shared" si="96"/>
        <v>144</v>
      </c>
      <c r="Q1708" s="22" t="str">
        <f>VLOOKUP(B1708,辅助信息!E:M,9,FALSE)</f>
        <v>ZTWM-CDGS-XS-2024-0030-华西集采-简州大道</v>
      </c>
      <c r="R1708" s="22" t="str">
        <f>_xlfn._xlws.FILTER(辅助信息!D:D,辅助信息!E:E=B1708)</f>
        <v>华西简阳西城嘉苑</v>
      </c>
    </row>
    <row r="1709" hidden="1" spans="2:18">
      <c r="B1709" s="113" t="s">
        <v>81</v>
      </c>
      <c r="C1709" s="63">
        <v>45812</v>
      </c>
      <c r="D1709" s="113" t="str">
        <f>VLOOKUP(B1709,辅助信息!E:K,7,FALSE)</f>
        <v>JWDDCD2025060900080</v>
      </c>
      <c r="E1709" s="113" t="str">
        <f>VLOOKUP(F1709,辅助信息!A:B,2,FALSE)</f>
        <v>盘螺</v>
      </c>
      <c r="F1709" s="113" t="s">
        <v>40</v>
      </c>
      <c r="G1709" s="114">
        <v>3</v>
      </c>
      <c r="H1709" s="114">
        <f>_xlfn.XLOOKUP(C1709&amp;F1709&amp;I1709&amp;J1709,'[1]2025年已发货'!$F:$F&amp;'[1]2025年已发货'!$C:$C&amp;'[1]2025年已发货'!$G:$G&amp;'[1]2025年已发货'!$H:$H,'[1]2025年已发货'!$E:$E,"未发货")</f>
        <v>2.5</v>
      </c>
      <c r="I1709" s="113" t="str">
        <f>VLOOKUP(B1709,辅助信息!E:I,3,FALSE)</f>
        <v>（华西简阳西城嘉苑）四川省成都市简阳市简城街道高屋村</v>
      </c>
      <c r="J1709" s="113" t="str">
        <f>VLOOKUP(B1709,辅助信息!E:I,4,FALSE)</f>
        <v>张瀚镭</v>
      </c>
      <c r="K1709" s="113">
        <f>VLOOKUP(J1709,辅助信息!H:I,2,FALSE)</f>
        <v>15884666220</v>
      </c>
      <c r="L1709" s="115" t="str">
        <f>VLOOKUP(B1709,辅助信息!E:J,6,FALSE)</f>
        <v>现场禁止使用氢能源挂车！优先威钢发货,我方卸车,新老国标钢厂不加价可直发，因陕钢多次出现磅差，项目拒绝使用</v>
      </c>
      <c r="M1709" s="97">
        <v>45813</v>
      </c>
      <c r="O1709" s="55">
        <f ca="1" t="shared" si="95"/>
        <v>0</v>
      </c>
      <c r="P1709" s="55">
        <f ca="1" t="shared" si="96"/>
        <v>144</v>
      </c>
      <c r="Q1709" s="22" t="str">
        <f>VLOOKUP(B1709,辅助信息!E:M,9,FALSE)</f>
        <v>ZTWM-CDGS-XS-2024-0030-华西集采-简州大道</v>
      </c>
      <c r="R1709" s="22" t="str">
        <f>_xlfn._xlws.FILTER(辅助信息!D:D,辅助信息!E:E=B1709)</f>
        <v>华西简阳西城嘉苑</v>
      </c>
    </row>
    <row r="1710" hidden="1" spans="2:18">
      <c r="B1710" s="113" t="s">
        <v>81</v>
      </c>
      <c r="C1710" s="63">
        <v>45812</v>
      </c>
      <c r="D1710" s="113" t="str">
        <f>VLOOKUP(B1710,辅助信息!E:K,7,FALSE)</f>
        <v>JWDDCD2025060900080</v>
      </c>
      <c r="E1710" s="113" t="str">
        <f>VLOOKUP(F1710,辅助信息!A:B,2,FALSE)</f>
        <v>盘螺</v>
      </c>
      <c r="F1710" s="113" t="s">
        <v>41</v>
      </c>
      <c r="G1710" s="114">
        <v>12</v>
      </c>
      <c r="H1710" s="114">
        <f>_xlfn.XLOOKUP(C1710&amp;F1710&amp;I1710&amp;J1710,'[1]2025年已发货'!$F:$F&amp;'[1]2025年已发货'!$C:$C&amp;'[1]2025年已发货'!$G:$G&amp;'[1]2025年已发货'!$H:$H,'[1]2025年已发货'!$E:$E,"未发货")</f>
        <v>12</v>
      </c>
      <c r="I1710" s="113" t="str">
        <f>VLOOKUP(B1710,辅助信息!E:I,3,FALSE)</f>
        <v>（华西简阳西城嘉苑）四川省成都市简阳市简城街道高屋村</v>
      </c>
      <c r="J1710" s="113" t="str">
        <f>VLOOKUP(B1710,辅助信息!E:I,4,FALSE)</f>
        <v>张瀚镭</v>
      </c>
      <c r="K1710" s="113">
        <f>VLOOKUP(J1710,辅助信息!H:I,2,FALSE)</f>
        <v>15884666220</v>
      </c>
      <c r="L1710" s="115" t="str">
        <f>VLOOKUP(B1710,辅助信息!E:J,6,FALSE)</f>
        <v>现场禁止使用氢能源挂车！优先威钢发货,我方卸车,新老国标钢厂不加价可直发，因陕钢多次出现磅差，项目拒绝使用</v>
      </c>
      <c r="M1710" s="97">
        <v>45813</v>
      </c>
      <c r="O1710" s="55">
        <f ca="1" t="shared" si="95"/>
        <v>0</v>
      </c>
      <c r="P1710" s="55">
        <f ca="1" t="shared" si="96"/>
        <v>144</v>
      </c>
      <c r="Q1710" s="22" t="str">
        <f>VLOOKUP(B1710,辅助信息!E:M,9,FALSE)</f>
        <v>ZTWM-CDGS-XS-2024-0030-华西集采-简州大道</v>
      </c>
      <c r="R1710" s="22" t="str">
        <f>_xlfn._xlws.FILTER(辅助信息!D:D,辅助信息!E:E=B1710)</f>
        <v>华西简阳西城嘉苑</v>
      </c>
    </row>
    <row r="1711" hidden="1" spans="2:18">
      <c r="B1711" s="113" t="s">
        <v>81</v>
      </c>
      <c r="C1711" s="63">
        <v>45812</v>
      </c>
      <c r="D1711" s="113" t="str">
        <f>VLOOKUP(B1711,辅助信息!E:K,7,FALSE)</f>
        <v>JWDDCD2025060900080</v>
      </c>
      <c r="E1711" s="113" t="str">
        <f>VLOOKUP(F1711,辅助信息!A:B,2,FALSE)</f>
        <v>盘螺</v>
      </c>
      <c r="F1711" s="113" t="s">
        <v>26</v>
      </c>
      <c r="G1711" s="114">
        <v>8</v>
      </c>
      <c r="H1711" s="114">
        <f>_xlfn.XLOOKUP(C1711&amp;F1711&amp;I1711&amp;J1711,'[1]2025年已发货'!$F:$F&amp;'[1]2025年已发货'!$C:$C&amp;'[1]2025年已发货'!$G:$G&amp;'[1]2025年已发货'!$H:$H,'[1]2025年已发货'!$E:$E,"未发货")</f>
        <v>7</v>
      </c>
      <c r="I1711" s="113" t="str">
        <f>VLOOKUP(B1711,辅助信息!E:I,3,FALSE)</f>
        <v>（华西简阳西城嘉苑）四川省成都市简阳市简城街道高屋村</v>
      </c>
      <c r="J1711" s="113" t="str">
        <f>VLOOKUP(B1711,辅助信息!E:I,4,FALSE)</f>
        <v>张瀚镭</v>
      </c>
      <c r="K1711" s="113">
        <f>VLOOKUP(J1711,辅助信息!H:I,2,FALSE)</f>
        <v>15884666220</v>
      </c>
      <c r="L1711" s="115" t="str">
        <f>VLOOKUP(B1711,辅助信息!E:J,6,FALSE)</f>
        <v>现场禁止使用氢能源挂车！优先威钢发货,我方卸车,新老国标钢厂不加价可直发，因陕钢多次出现磅差，项目拒绝使用</v>
      </c>
      <c r="M1711" s="97">
        <v>45813</v>
      </c>
      <c r="O1711" s="55">
        <f ca="1" t="shared" si="95"/>
        <v>0</v>
      </c>
      <c r="P1711" s="55">
        <f ca="1" t="shared" si="96"/>
        <v>144</v>
      </c>
      <c r="Q1711" s="22" t="str">
        <f>VLOOKUP(B1711,辅助信息!E:M,9,FALSE)</f>
        <v>ZTWM-CDGS-XS-2024-0030-华西集采-简州大道</v>
      </c>
      <c r="R1711" s="22" t="str">
        <f>_xlfn._xlws.FILTER(辅助信息!D:D,辅助信息!E:E=B1711)</f>
        <v>华西简阳西城嘉苑</v>
      </c>
    </row>
    <row r="1712" hidden="1" spans="2:18">
      <c r="B1712" s="113" t="s">
        <v>81</v>
      </c>
      <c r="C1712" s="63">
        <v>45812</v>
      </c>
      <c r="D1712" s="113" t="str">
        <f>VLOOKUP(B1712,辅助信息!E:K,7,FALSE)</f>
        <v>JWDDCD2025060900080</v>
      </c>
      <c r="E1712" s="113" t="str">
        <f>VLOOKUP(F1712,辅助信息!A:B,2,FALSE)</f>
        <v>螺纹钢</v>
      </c>
      <c r="F1712" s="113" t="s">
        <v>19</v>
      </c>
      <c r="G1712" s="114">
        <v>72</v>
      </c>
      <c r="H1712" s="114">
        <v>62</v>
      </c>
      <c r="I1712" s="113" t="str">
        <f>VLOOKUP(B1712,辅助信息!E:I,3,FALSE)</f>
        <v>（华西简阳西城嘉苑）四川省成都市简阳市简城街道高屋村</v>
      </c>
      <c r="J1712" s="113" t="str">
        <f>VLOOKUP(B1712,辅助信息!E:I,4,FALSE)</f>
        <v>张瀚镭</v>
      </c>
      <c r="K1712" s="113">
        <f>VLOOKUP(J1712,辅助信息!H:I,2,FALSE)</f>
        <v>15884666220</v>
      </c>
      <c r="L1712" s="115" t="str">
        <f>VLOOKUP(B1712,辅助信息!E:J,6,FALSE)</f>
        <v>现场禁止使用氢能源挂车！优先威钢发货,我方卸车,新老国标钢厂不加价可直发，因陕钢多次出现磅差，项目拒绝使用</v>
      </c>
      <c r="M1712" s="97">
        <v>45813</v>
      </c>
      <c r="O1712" s="55">
        <f ca="1" t="shared" si="95"/>
        <v>0</v>
      </c>
      <c r="P1712" s="55">
        <f ca="1" t="shared" si="96"/>
        <v>144</v>
      </c>
      <c r="Q1712" s="22" t="str">
        <f>VLOOKUP(B1712,辅助信息!E:M,9,FALSE)</f>
        <v>ZTWM-CDGS-XS-2024-0030-华西集采-简州大道</v>
      </c>
      <c r="R1712" s="22" t="str">
        <f>_xlfn._xlws.FILTER(辅助信息!D:D,辅助信息!E:E=B1712)</f>
        <v>华西简阳西城嘉苑</v>
      </c>
    </row>
    <row r="1713" hidden="1" spans="2:18">
      <c r="B1713" s="113" t="s">
        <v>81</v>
      </c>
      <c r="C1713" s="63">
        <v>45812</v>
      </c>
      <c r="D1713" s="113" t="str">
        <f>VLOOKUP(B1713,辅助信息!E:K,7,FALSE)</f>
        <v>JWDDCD2025060900080</v>
      </c>
      <c r="E1713" s="113" t="str">
        <f>VLOOKUP(F1713,辅助信息!A:B,2,FALSE)</f>
        <v>螺纹钢</v>
      </c>
      <c r="F1713" s="113" t="s">
        <v>32</v>
      </c>
      <c r="G1713" s="114">
        <v>12</v>
      </c>
      <c r="H1713" s="114">
        <f>_xlfn.XLOOKUP(C1713&amp;F1713&amp;I1713&amp;J1713,'[1]2025年已发货'!$F:$F&amp;'[1]2025年已发货'!$C:$C&amp;'[1]2025年已发货'!$G:$G&amp;'[1]2025年已发货'!$H:$H,'[1]2025年已发货'!$E:$E,"未发货")</f>
        <v>12</v>
      </c>
      <c r="I1713" s="113" t="str">
        <f>VLOOKUP(B1713,辅助信息!E:I,3,FALSE)</f>
        <v>（华西简阳西城嘉苑）四川省成都市简阳市简城街道高屋村</v>
      </c>
      <c r="J1713" s="113" t="str">
        <f>VLOOKUP(B1713,辅助信息!E:I,4,FALSE)</f>
        <v>张瀚镭</v>
      </c>
      <c r="K1713" s="113">
        <f>VLOOKUP(J1713,辅助信息!H:I,2,FALSE)</f>
        <v>15884666220</v>
      </c>
      <c r="L1713" s="115" t="str">
        <f>VLOOKUP(B1713,辅助信息!E:J,6,FALSE)</f>
        <v>现场禁止使用氢能源挂车！优先威钢发货,我方卸车,新老国标钢厂不加价可直发，因陕钢多次出现磅差，项目拒绝使用</v>
      </c>
      <c r="M1713" s="97">
        <v>45813</v>
      </c>
      <c r="O1713" s="55">
        <f ca="1" t="shared" si="95"/>
        <v>0</v>
      </c>
      <c r="P1713" s="55">
        <f ca="1" t="shared" si="96"/>
        <v>144</v>
      </c>
      <c r="Q1713" s="22" t="str">
        <f>VLOOKUP(B1713,辅助信息!E:M,9,FALSE)</f>
        <v>ZTWM-CDGS-XS-2024-0030-华西集采-简州大道</v>
      </c>
      <c r="R1713" s="22" t="str">
        <f>_xlfn._xlws.FILTER(辅助信息!D:D,辅助信息!E:E=B1713)</f>
        <v>华西简阳西城嘉苑</v>
      </c>
    </row>
    <row r="1714" hidden="1" spans="2:18">
      <c r="B1714" s="113" t="s">
        <v>81</v>
      </c>
      <c r="C1714" s="63">
        <v>45812</v>
      </c>
      <c r="D1714" s="113" t="str">
        <f>VLOOKUP(B1714,辅助信息!E:K,7,FALSE)</f>
        <v>JWDDCD2025060900080</v>
      </c>
      <c r="E1714" s="113" t="str">
        <f>VLOOKUP(F1714,辅助信息!A:B,2,FALSE)</f>
        <v>螺纹钢</v>
      </c>
      <c r="F1714" s="113" t="s">
        <v>30</v>
      </c>
      <c r="G1714" s="114">
        <v>7</v>
      </c>
      <c r="H1714" s="114">
        <f>_xlfn.XLOOKUP(C1714&amp;F1714&amp;I1714&amp;J1714,'[1]2025年已发货'!$F:$F&amp;'[1]2025年已发货'!$C:$C&amp;'[1]2025年已发货'!$G:$G&amp;'[1]2025年已发货'!$H:$H,'[1]2025年已发货'!$E:$E,"未发货")</f>
        <v>6</v>
      </c>
      <c r="I1714" s="113" t="str">
        <f>VLOOKUP(B1714,辅助信息!E:I,3,FALSE)</f>
        <v>（华西简阳西城嘉苑）四川省成都市简阳市简城街道高屋村</v>
      </c>
      <c r="J1714" s="113" t="str">
        <f>VLOOKUP(B1714,辅助信息!E:I,4,FALSE)</f>
        <v>张瀚镭</v>
      </c>
      <c r="K1714" s="113">
        <f>VLOOKUP(J1714,辅助信息!H:I,2,FALSE)</f>
        <v>15884666220</v>
      </c>
      <c r="L1714" s="115" t="str">
        <f>VLOOKUP(B1714,辅助信息!E:J,6,FALSE)</f>
        <v>现场禁止使用氢能源挂车！优先威钢发货,我方卸车,新老国标钢厂不加价可直发，因陕钢多次出现磅差，项目拒绝使用</v>
      </c>
      <c r="M1714" s="97">
        <v>45813</v>
      </c>
      <c r="O1714" s="55">
        <f ca="1" t="shared" si="95"/>
        <v>0</v>
      </c>
      <c r="P1714" s="55">
        <f ca="1" t="shared" si="96"/>
        <v>144</v>
      </c>
      <c r="Q1714" s="22" t="str">
        <f>VLOOKUP(B1714,辅助信息!E:M,9,FALSE)</f>
        <v>ZTWM-CDGS-XS-2024-0030-华西集采-简州大道</v>
      </c>
      <c r="R1714" s="22" t="str">
        <f>_xlfn._xlws.FILTER(辅助信息!D:D,辅助信息!E:E=B1714)</f>
        <v>华西简阳西城嘉苑</v>
      </c>
    </row>
    <row r="1715" hidden="1" spans="2:18">
      <c r="B1715" s="113" t="s">
        <v>81</v>
      </c>
      <c r="C1715" s="63">
        <v>45812</v>
      </c>
      <c r="D1715" s="113" t="str">
        <f>VLOOKUP(B1715,辅助信息!E:K,7,FALSE)</f>
        <v>JWDDCD2025060900080</v>
      </c>
      <c r="E1715" s="113" t="str">
        <f>VLOOKUP(F1715,辅助信息!A:B,2,FALSE)</f>
        <v>螺纹钢</v>
      </c>
      <c r="F1715" s="113" t="s">
        <v>33</v>
      </c>
      <c r="G1715" s="114">
        <v>18</v>
      </c>
      <c r="H1715" s="114">
        <f>_xlfn.XLOOKUP(C1715&amp;F1715&amp;I1715&amp;J1715,'[1]2025年已发货'!$F:$F&amp;'[1]2025年已发货'!$C:$C&amp;'[1]2025年已发货'!$G:$G&amp;'[1]2025年已发货'!$H:$H,'[1]2025年已发货'!$E:$E,"未发货")</f>
        <v>18</v>
      </c>
      <c r="I1715" s="113" t="str">
        <f>VLOOKUP(B1715,辅助信息!E:I,3,FALSE)</f>
        <v>（华西简阳西城嘉苑）四川省成都市简阳市简城街道高屋村</v>
      </c>
      <c r="J1715" s="113" t="str">
        <f>VLOOKUP(B1715,辅助信息!E:I,4,FALSE)</f>
        <v>张瀚镭</v>
      </c>
      <c r="K1715" s="113">
        <f>VLOOKUP(J1715,辅助信息!H:I,2,FALSE)</f>
        <v>15884666220</v>
      </c>
      <c r="L1715" s="115" t="str">
        <f>VLOOKUP(B1715,辅助信息!E:J,6,FALSE)</f>
        <v>现场禁止使用氢能源挂车！优先威钢发货,我方卸车,新老国标钢厂不加价可直发，因陕钢多次出现磅差，项目拒绝使用</v>
      </c>
      <c r="M1715" s="97">
        <v>45813</v>
      </c>
      <c r="O1715" s="55">
        <f ca="1" t="shared" si="95"/>
        <v>0</v>
      </c>
      <c r="P1715" s="55">
        <f ca="1" t="shared" si="96"/>
        <v>144</v>
      </c>
      <c r="Q1715" s="22" t="str">
        <f>VLOOKUP(B1715,辅助信息!E:M,9,FALSE)</f>
        <v>ZTWM-CDGS-XS-2024-0030-华西集采-简州大道</v>
      </c>
      <c r="R1715" s="22" t="str">
        <f>_xlfn._xlws.FILTER(辅助信息!D:D,辅助信息!E:E=B1715)</f>
        <v>华西简阳西城嘉苑</v>
      </c>
    </row>
    <row r="1716" hidden="1" spans="2:18">
      <c r="B1716" s="113" t="s">
        <v>81</v>
      </c>
      <c r="C1716" s="63">
        <v>45812</v>
      </c>
      <c r="D1716" s="113" t="str">
        <f>VLOOKUP(B1716,辅助信息!E:K,7,FALSE)</f>
        <v>JWDDCD2025060900080</v>
      </c>
      <c r="E1716" s="113" t="str">
        <f>VLOOKUP(F1716,辅助信息!A:B,2,FALSE)</f>
        <v>螺纹钢</v>
      </c>
      <c r="F1716" s="113" t="s">
        <v>28</v>
      </c>
      <c r="G1716" s="114">
        <v>8</v>
      </c>
      <c r="H1716" s="114">
        <f>_xlfn.XLOOKUP(C1716&amp;F1716&amp;I1716&amp;J1716,'[1]2025年已发货'!$F:$F&amp;'[1]2025年已发货'!$C:$C&amp;'[1]2025年已发货'!$G:$G&amp;'[1]2025年已发货'!$H:$H,'[1]2025年已发货'!$E:$E,"未发货")</f>
        <v>8</v>
      </c>
      <c r="I1716" s="113" t="str">
        <f>VLOOKUP(B1716,辅助信息!E:I,3,FALSE)</f>
        <v>（华西简阳西城嘉苑）四川省成都市简阳市简城街道高屋村</v>
      </c>
      <c r="J1716" s="113" t="str">
        <f>VLOOKUP(B1716,辅助信息!E:I,4,FALSE)</f>
        <v>张瀚镭</v>
      </c>
      <c r="K1716" s="113">
        <f>VLOOKUP(J1716,辅助信息!H:I,2,FALSE)</f>
        <v>15884666220</v>
      </c>
      <c r="L1716" s="115" t="str">
        <f>VLOOKUP(B1716,辅助信息!E:J,6,FALSE)</f>
        <v>现场禁止使用氢能源挂车！优先威钢发货,我方卸车,新老国标钢厂不加价可直发，因陕钢多次出现磅差，项目拒绝使用</v>
      </c>
      <c r="M1716" s="97">
        <v>45813</v>
      </c>
      <c r="O1716" s="55">
        <f ca="1" t="shared" si="95"/>
        <v>0</v>
      </c>
      <c r="P1716" s="55">
        <f ca="1" t="shared" si="96"/>
        <v>144</v>
      </c>
      <c r="Q1716" s="22" t="str">
        <f>VLOOKUP(B1716,辅助信息!E:M,9,FALSE)</f>
        <v>ZTWM-CDGS-XS-2024-0030-华西集采-简州大道</v>
      </c>
      <c r="R1716" s="22" t="str">
        <f>_xlfn._xlws.FILTER(辅助信息!D:D,辅助信息!E:E=B1716)</f>
        <v>华西简阳西城嘉苑</v>
      </c>
    </row>
    <row r="1717" hidden="1" spans="2:18">
      <c r="B1717" s="113" t="s">
        <v>81</v>
      </c>
      <c r="C1717" s="63">
        <v>45812</v>
      </c>
      <c r="D1717" s="113" t="str">
        <f>VLOOKUP(B1717,辅助信息!E:K,7,FALSE)</f>
        <v>JWDDCD2025060900080</v>
      </c>
      <c r="E1717" s="113" t="str">
        <f>VLOOKUP(F1717,辅助信息!A:B,2,FALSE)</f>
        <v>螺纹钢</v>
      </c>
      <c r="F1717" s="113" t="s">
        <v>18</v>
      </c>
      <c r="G1717" s="114">
        <v>13</v>
      </c>
      <c r="H1717" s="114">
        <f>_xlfn.XLOOKUP(C1717&amp;F1717&amp;I1717&amp;J1717,'[1]2025年已发货'!$F:$F&amp;'[1]2025年已发货'!$C:$C&amp;'[1]2025年已发货'!$G:$G&amp;'[1]2025年已发货'!$H:$H,'[1]2025年已发货'!$E:$E,"未发货")</f>
        <v>12</v>
      </c>
      <c r="I1717" s="113" t="str">
        <f>VLOOKUP(B1717,辅助信息!E:I,3,FALSE)</f>
        <v>（华西简阳西城嘉苑）四川省成都市简阳市简城街道高屋村</v>
      </c>
      <c r="J1717" s="113" t="str">
        <f>VLOOKUP(B1717,辅助信息!E:I,4,FALSE)</f>
        <v>张瀚镭</v>
      </c>
      <c r="K1717" s="113">
        <f>VLOOKUP(J1717,辅助信息!H:I,2,FALSE)</f>
        <v>15884666220</v>
      </c>
      <c r="L1717" s="115" t="str">
        <f>VLOOKUP(B1717,辅助信息!E:J,6,FALSE)</f>
        <v>现场禁止使用氢能源挂车！优先威钢发货,我方卸车,新老国标钢厂不加价可直发，因陕钢多次出现磅差，项目拒绝使用</v>
      </c>
      <c r="M1717" s="97">
        <v>45813</v>
      </c>
      <c r="O1717" s="55">
        <f ca="1" t="shared" si="95"/>
        <v>0</v>
      </c>
      <c r="P1717" s="55">
        <f ca="1" t="shared" si="96"/>
        <v>144</v>
      </c>
      <c r="Q1717" s="22" t="str">
        <f>VLOOKUP(B1717,辅助信息!E:M,9,FALSE)</f>
        <v>ZTWM-CDGS-XS-2024-0030-华西集采-简州大道</v>
      </c>
      <c r="R1717" s="22" t="str">
        <f>_xlfn._xlws.FILTER(辅助信息!D:D,辅助信息!E:E=B1717)</f>
        <v>华西简阳西城嘉苑</v>
      </c>
    </row>
    <row r="1718" hidden="1" spans="2:18">
      <c r="B1718" s="113" t="s">
        <v>81</v>
      </c>
      <c r="C1718" s="63">
        <v>45812</v>
      </c>
      <c r="D1718" s="113" t="str">
        <f>VLOOKUP(B1718,辅助信息!E:K,7,FALSE)</f>
        <v>JWDDCD2025060900080</v>
      </c>
      <c r="E1718" s="113" t="str">
        <f>VLOOKUP(F1718,辅助信息!A:B,2,FALSE)</f>
        <v>螺纹钢</v>
      </c>
      <c r="F1718" s="113" t="s">
        <v>46</v>
      </c>
      <c r="G1718" s="114">
        <v>5</v>
      </c>
      <c r="H1718" s="114">
        <f>_xlfn.XLOOKUP(C1718&amp;F1718&amp;I1718&amp;J1718,'[1]2025年已发货'!$F:$F&amp;'[1]2025年已发货'!$C:$C&amp;'[1]2025年已发货'!$G:$G&amp;'[1]2025年已发货'!$H:$H,'[1]2025年已发货'!$E:$E,"未发货")</f>
        <v>5</v>
      </c>
      <c r="I1718" s="113" t="str">
        <f>VLOOKUP(B1718,辅助信息!E:I,3,FALSE)</f>
        <v>（华西简阳西城嘉苑）四川省成都市简阳市简城街道高屋村</v>
      </c>
      <c r="J1718" s="113" t="str">
        <f>VLOOKUP(B1718,辅助信息!E:I,4,FALSE)</f>
        <v>张瀚镭</v>
      </c>
      <c r="K1718" s="113">
        <f>VLOOKUP(J1718,辅助信息!H:I,2,FALSE)</f>
        <v>15884666220</v>
      </c>
      <c r="L1718" s="115" t="str">
        <f>VLOOKUP(B1718,辅助信息!E:J,6,FALSE)</f>
        <v>现场禁止使用氢能源挂车！优先威钢发货,我方卸车,新老国标钢厂不加价可直发，因陕钢多次出现磅差，项目拒绝使用</v>
      </c>
      <c r="M1718" s="97">
        <v>45813</v>
      </c>
      <c r="O1718" s="55">
        <f ca="1" t="shared" si="95"/>
        <v>0</v>
      </c>
      <c r="P1718" s="55">
        <f ca="1" t="shared" si="96"/>
        <v>144</v>
      </c>
      <c r="Q1718" s="22" t="str">
        <f>VLOOKUP(B1718,辅助信息!E:M,9,FALSE)</f>
        <v>ZTWM-CDGS-XS-2024-0030-华西集采-简州大道</v>
      </c>
      <c r="R1718" s="22" t="str">
        <f>_xlfn._xlws.FILTER(辅助信息!D:D,辅助信息!E:E=B1718)</f>
        <v>华西简阳西城嘉苑</v>
      </c>
    </row>
    <row r="1719" hidden="1" spans="2:18">
      <c r="B1719" s="33" t="s">
        <v>159</v>
      </c>
      <c r="C1719" s="63">
        <v>45812</v>
      </c>
      <c r="D1719" s="113" t="str">
        <f>VLOOKUP(B1719,辅助信息!E:K,7,FALSE)</f>
        <v>JWDDCD2025052800131</v>
      </c>
      <c r="E1719" s="113" t="str">
        <f>VLOOKUP(F1719,辅助信息!A:B,2,FALSE)</f>
        <v>高线</v>
      </c>
      <c r="F1719" s="33" t="s">
        <v>57</v>
      </c>
      <c r="G1719" s="114">
        <v>17.5</v>
      </c>
      <c r="H1719" s="114" t="str">
        <f>_xlfn.XLOOKUP(C1719&amp;F1719&amp;I1719&amp;J1719,'[1]2025年已发货'!$F:$F&amp;'[1]2025年已发货'!$C:$C&amp;'[1]2025年已发货'!$G:$G&amp;'[1]2025年已发货'!$H:$H,'[1]2025年已发货'!$E:$E,"未发货")</f>
        <v>未发货</v>
      </c>
      <c r="I1719" s="113" t="str">
        <f>VLOOKUP(B1719,辅助信息!E:I,3,FALSE)</f>
        <v>（商投建工达州中医药科技园-3工区）达州市通川区达州中医药职业学院犀牛大道北段</v>
      </c>
      <c r="J1719" s="113" t="str">
        <f>VLOOKUP(B1719,辅助信息!E:I,4,FALSE)</f>
        <v>程黄刚</v>
      </c>
      <c r="K1719" s="113">
        <f>VLOOKUP(J1719,辅助信息!H:I,2,FALSE)</f>
        <v>15108211617</v>
      </c>
      <c r="L1719" s="115" t="str">
        <f>VLOOKUP(B1719,辅助信息!E:J,6,FALSE)</f>
        <v>控制炉批号！多了现场不收！,优先安排达钢,提前联系到场规格及数量</v>
      </c>
      <c r="M1719" s="97">
        <v>45813</v>
      </c>
      <c r="O1719" s="55">
        <f ca="1" t="shared" si="95"/>
        <v>0</v>
      </c>
      <c r="P1719" s="55">
        <f ca="1" t="shared" si="96"/>
        <v>144</v>
      </c>
      <c r="Q1719" s="22" t="str">
        <f>VLOOKUP(B1719,辅助信息!E:M,9,FALSE)</f>
        <v>ZTWM-CDGS-XS-2024-0134-商投建工达州中医药科技成果示范园项目</v>
      </c>
      <c r="R1719" s="22" t="str">
        <f>_xlfn._xlws.FILTER(辅助信息!D:D,辅助信息!E:E=B1719)</f>
        <v>商投建工达州中医药科技园</v>
      </c>
    </row>
    <row r="1720" hidden="1" spans="2:18">
      <c r="B1720" s="33" t="s">
        <v>159</v>
      </c>
      <c r="C1720" s="63">
        <v>45812</v>
      </c>
      <c r="D1720" s="113" t="str">
        <f>VLOOKUP(B1720,辅助信息!E:K,7,FALSE)</f>
        <v>JWDDCD2025052800131</v>
      </c>
      <c r="E1720" s="113" t="str">
        <f>VLOOKUP(F1720,辅助信息!A:B,2,FALSE)</f>
        <v>盘螺</v>
      </c>
      <c r="F1720" s="33" t="s">
        <v>40</v>
      </c>
      <c r="G1720" s="114">
        <v>17.5</v>
      </c>
      <c r="H1720" s="114">
        <f>_xlfn.XLOOKUP(C1720&amp;F1720&amp;I1720&amp;J1720,'[1]2025年已发货'!$F:$F&amp;'[1]2025年已发货'!$C:$C&amp;'[1]2025年已发货'!$G:$G&amp;'[1]2025年已发货'!$H:$H,'[1]2025年已发货'!$E:$E,"未发货")</f>
        <v>17</v>
      </c>
      <c r="I1720" s="113" t="str">
        <f>VLOOKUP(B1720,辅助信息!E:I,3,FALSE)</f>
        <v>（商投建工达州中医药科技园-3工区）达州市通川区达州中医药职业学院犀牛大道北段</v>
      </c>
      <c r="J1720" s="113" t="str">
        <f>VLOOKUP(B1720,辅助信息!E:I,4,FALSE)</f>
        <v>程黄刚</v>
      </c>
      <c r="K1720" s="113">
        <f>VLOOKUP(J1720,辅助信息!H:I,2,FALSE)</f>
        <v>15108211617</v>
      </c>
      <c r="L1720" s="115" t="str">
        <f>VLOOKUP(B1720,辅助信息!E:J,6,FALSE)</f>
        <v>控制炉批号！多了现场不收！,优先安排达钢,提前联系到场规格及数量</v>
      </c>
      <c r="M1720" s="97">
        <v>45813</v>
      </c>
      <c r="O1720" s="55">
        <f ca="1" t="shared" si="95"/>
        <v>0</v>
      </c>
      <c r="P1720" s="55">
        <f ca="1" t="shared" si="96"/>
        <v>144</v>
      </c>
      <c r="Q1720" s="22" t="str">
        <f>VLOOKUP(B1720,辅助信息!E:M,9,FALSE)</f>
        <v>ZTWM-CDGS-XS-2024-0134-商投建工达州中医药科技成果示范园项目</v>
      </c>
      <c r="R1720" s="22" t="str">
        <f>_xlfn._xlws.FILTER(辅助信息!D:D,辅助信息!E:E=B1720)</f>
        <v>商投建工达州中医药科技园</v>
      </c>
    </row>
    <row r="1721" hidden="1" spans="2:18">
      <c r="B1721" s="33" t="s">
        <v>159</v>
      </c>
      <c r="C1721" s="63">
        <v>45812</v>
      </c>
      <c r="D1721" s="113" t="str">
        <f>VLOOKUP(B1721,辅助信息!E:K,7,FALSE)</f>
        <v>JWDDCD2025052800131</v>
      </c>
      <c r="E1721" s="113" t="str">
        <f>VLOOKUP(F1721,辅助信息!A:B,2,FALSE)</f>
        <v>盘螺</v>
      </c>
      <c r="F1721" s="33" t="s">
        <v>41</v>
      </c>
      <c r="G1721" s="114">
        <v>25</v>
      </c>
      <c r="H1721" s="114">
        <f>_xlfn.XLOOKUP(C1721&amp;F1721&amp;I1721&amp;J1721,'[1]2025年已发货'!$F:$F&amp;'[1]2025年已发货'!$C:$C&amp;'[1]2025年已发货'!$G:$G&amp;'[1]2025年已发货'!$H:$H,'[1]2025年已发货'!$E:$E,"未发货")</f>
        <v>25</v>
      </c>
      <c r="I1721" s="113" t="str">
        <f>VLOOKUP(B1721,辅助信息!E:I,3,FALSE)</f>
        <v>（商投建工达州中医药科技园-3工区）达州市通川区达州中医药职业学院犀牛大道北段</v>
      </c>
      <c r="J1721" s="113" t="str">
        <f>VLOOKUP(B1721,辅助信息!E:I,4,FALSE)</f>
        <v>程黄刚</v>
      </c>
      <c r="K1721" s="113">
        <f>VLOOKUP(J1721,辅助信息!H:I,2,FALSE)</f>
        <v>15108211617</v>
      </c>
      <c r="L1721" s="115" t="str">
        <f>VLOOKUP(B1721,辅助信息!E:J,6,FALSE)</f>
        <v>控制炉批号！多了现场不收！,优先安排达钢,提前联系到场规格及数量</v>
      </c>
      <c r="M1721" s="97">
        <v>45813</v>
      </c>
      <c r="O1721" s="55">
        <f ca="1" t="shared" si="95"/>
        <v>0</v>
      </c>
      <c r="P1721" s="55">
        <f ca="1" t="shared" si="96"/>
        <v>144</v>
      </c>
      <c r="Q1721" s="22" t="str">
        <f>VLOOKUP(B1721,辅助信息!E:M,9,FALSE)</f>
        <v>ZTWM-CDGS-XS-2024-0134-商投建工达州中医药科技成果示范园项目</v>
      </c>
      <c r="R1721" s="22" t="str">
        <f>_xlfn._xlws.FILTER(辅助信息!D:D,辅助信息!E:E=B1721)</f>
        <v>商投建工达州中医药科技园</v>
      </c>
    </row>
    <row r="1722" hidden="1" spans="2:18">
      <c r="B1722" s="33" t="s">
        <v>159</v>
      </c>
      <c r="C1722" s="63">
        <v>45812</v>
      </c>
      <c r="D1722" s="113" t="str">
        <f>VLOOKUP(B1722,辅助信息!E:K,7,FALSE)</f>
        <v>JWDDCD2025052800131</v>
      </c>
      <c r="E1722" s="113" t="str">
        <f>VLOOKUP(F1722,辅助信息!A:B,2,FALSE)</f>
        <v>螺纹钢</v>
      </c>
      <c r="F1722" s="33" t="s">
        <v>30</v>
      </c>
      <c r="G1722" s="114">
        <v>6</v>
      </c>
      <c r="H1722" s="114">
        <f>_xlfn.XLOOKUP(C1722&amp;F1722&amp;I1722&amp;J1722,'[1]2025年已发货'!$F:$F&amp;'[1]2025年已发货'!$C:$C&amp;'[1]2025年已发货'!$G:$G&amp;'[1]2025年已发货'!$H:$H,'[1]2025年已发货'!$E:$E,"未发货")</f>
        <v>6</v>
      </c>
      <c r="I1722" s="113" t="str">
        <f>VLOOKUP(B1722,辅助信息!E:I,3,FALSE)</f>
        <v>（商投建工达州中医药科技园-3工区）达州市通川区达州中医药职业学院犀牛大道北段</v>
      </c>
      <c r="J1722" s="113" t="str">
        <f>VLOOKUP(B1722,辅助信息!E:I,4,FALSE)</f>
        <v>程黄刚</v>
      </c>
      <c r="K1722" s="113">
        <f>VLOOKUP(J1722,辅助信息!H:I,2,FALSE)</f>
        <v>15108211617</v>
      </c>
      <c r="L1722" s="115" t="str">
        <f>VLOOKUP(B1722,辅助信息!E:J,6,FALSE)</f>
        <v>控制炉批号！多了现场不收！,优先安排达钢,提前联系到场规格及数量</v>
      </c>
      <c r="M1722" s="97">
        <v>45813</v>
      </c>
      <c r="O1722" s="55">
        <f ca="1" t="shared" si="95"/>
        <v>0</v>
      </c>
      <c r="P1722" s="55">
        <f ca="1" t="shared" si="96"/>
        <v>144</v>
      </c>
      <c r="Q1722" s="22" t="str">
        <f>VLOOKUP(B1722,辅助信息!E:M,9,FALSE)</f>
        <v>ZTWM-CDGS-XS-2024-0134-商投建工达州中医药科技成果示范园项目</v>
      </c>
      <c r="R1722" s="22" t="str">
        <f>_xlfn._xlws.FILTER(辅助信息!D:D,辅助信息!E:E=B1722)</f>
        <v>商投建工达州中医药科技园</v>
      </c>
    </row>
    <row r="1723" hidden="1" spans="2:18">
      <c r="B1723" s="33" t="s">
        <v>159</v>
      </c>
      <c r="C1723" s="63">
        <v>45812</v>
      </c>
      <c r="D1723" s="113" t="str">
        <f>VLOOKUP(B1723,辅助信息!E:K,7,FALSE)</f>
        <v>JWDDCD2025052800131</v>
      </c>
      <c r="E1723" s="113" t="str">
        <f>VLOOKUP(F1723,辅助信息!A:B,2,FALSE)</f>
        <v>螺纹钢</v>
      </c>
      <c r="F1723" s="33" t="s">
        <v>66</v>
      </c>
      <c r="G1723" s="114">
        <v>6</v>
      </c>
      <c r="H1723" s="114" t="str">
        <f>_xlfn.XLOOKUP(C1723&amp;F1723&amp;I1723&amp;J1723,'[1]2025年已发货'!$F:$F&amp;'[1]2025年已发货'!$C:$C&amp;'[1]2025年已发货'!$G:$G&amp;'[1]2025年已发货'!$H:$H,'[1]2025年已发货'!$E:$E,"未发货")</f>
        <v>未发货</v>
      </c>
      <c r="I1723" s="113" t="str">
        <f>VLOOKUP(B1723,辅助信息!E:I,3,FALSE)</f>
        <v>（商投建工达州中医药科技园-3工区）达州市通川区达州中医药职业学院犀牛大道北段</v>
      </c>
      <c r="J1723" s="113" t="str">
        <f>VLOOKUP(B1723,辅助信息!E:I,4,FALSE)</f>
        <v>程黄刚</v>
      </c>
      <c r="K1723" s="113">
        <f>VLOOKUP(J1723,辅助信息!H:I,2,FALSE)</f>
        <v>15108211617</v>
      </c>
      <c r="L1723" s="115" t="str">
        <f>VLOOKUP(B1723,辅助信息!E:J,6,FALSE)</f>
        <v>控制炉批号！多了现场不收！,优先安排达钢,提前联系到场规格及数量</v>
      </c>
      <c r="M1723" s="97">
        <v>45813</v>
      </c>
      <c r="O1723" s="55">
        <f ca="1" t="shared" si="95"/>
        <v>0</v>
      </c>
      <c r="P1723" s="55">
        <f ca="1" t="shared" si="96"/>
        <v>144</v>
      </c>
      <c r="Q1723" s="22" t="str">
        <f>VLOOKUP(B1723,辅助信息!E:M,9,FALSE)</f>
        <v>ZTWM-CDGS-XS-2024-0134-商投建工达州中医药科技成果示范园项目</v>
      </c>
      <c r="R1723" s="22" t="str">
        <f>_xlfn._xlws.FILTER(辅助信息!D:D,辅助信息!E:E=B1723)</f>
        <v>商投建工达州中医药科技园</v>
      </c>
    </row>
    <row r="1724" hidden="1" spans="2:18">
      <c r="B1724" s="33" t="s">
        <v>159</v>
      </c>
      <c r="C1724" s="63">
        <v>45812</v>
      </c>
      <c r="D1724" s="113" t="str">
        <f>VLOOKUP(B1724,辅助信息!E:K,7,FALSE)</f>
        <v>JWDDCD2025052800131</v>
      </c>
      <c r="E1724" s="113" t="str">
        <f>VLOOKUP(F1724,辅助信息!A:B,2,FALSE)</f>
        <v>螺纹钢</v>
      </c>
      <c r="F1724" s="33" t="s">
        <v>82</v>
      </c>
      <c r="G1724" s="114">
        <v>3</v>
      </c>
      <c r="H1724" s="114" t="str">
        <f>_xlfn.XLOOKUP(C1724&amp;F1724&amp;I1724&amp;J1724,'[1]2025年已发货'!$F:$F&amp;'[1]2025年已发货'!$C:$C&amp;'[1]2025年已发货'!$G:$G&amp;'[1]2025年已发货'!$H:$H,'[1]2025年已发货'!$E:$E,"未发货")</f>
        <v>未发货</v>
      </c>
      <c r="I1724" s="113" t="str">
        <f>VLOOKUP(B1724,辅助信息!E:I,3,FALSE)</f>
        <v>（商投建工达州中医药科技园-3工区）达州市通川区达州中医药职业学院犀牛大道北段</v>
      </c>
      <c r="J1724" s="113" t="str">
        <f>VLOOKUP(B1724,辅助信息!E:I,4,FALSE)</f>
        <v>程黄刚</v>
      </c>
      <c r="K1724" s="113">
        <f>VLOOKUP(J1724,辅助信息!H:I,2,FALSE)</f>
        <v>15108211617</v>
      </c>
      <c r="L1724" s="115" t="str">
        <f>VLOOKUP(B1724,辅助信息!E:J,6,FALSE)</f>
        <v>控制炉批号！多了现场不收！,优先安排达钢,提前联系到场规格及数量</v>
      </c>
      <c r="M1724" s="97">
        <v>45813</v>
      </c>
      <c r="O1724" s="55">
        <f ca="1" t="shared" si="95"/>
        <v>0</v>
      </c>
      <c r="P1724" s="55">
        <f ca="1" t="shared" si="96"/>
        <v>144</v>
      </c>
      <c r="Q1724" s="22" t="str">
        <f>VLOOKUP(B1724,辅助信息!E:M,9,FALSE)</f>
        <v>ZTWM-CDGS-XS-2024-0134-商投建工达州中医药科技成果示范园项目</v>
      </c>
      <c r="R1724" s="22" t="str">
        <f>_xlfn._xlws.FILTER(辅助信息!D:D,辅助信息!E:E=B1724)</f>
        <v>商投建工达州中医药科技园</v>
      </c>
    </row>
    <row r="1725" hidden="1" spans="2:18">
      <c r="B1725" s="33" t="s">
        <v>159</v>
      </c>
      <c r="C1725" s="63">
        <v>45812</v>
      </c>
      <c r="D1725" s="113" t="str">
        <f>VLOOKUP(B1725,辅助信息!E:K,7,FALSE)</f>
        <v>JWDDCD2025052800131</v>
      </c>
      <c r="E1725" s="113" t="str">
        <f>VLOOKUP(F1725,辅助信息!A:B,2,FALSE)</f>
        <v>螺纹钢</v>
      </c>
      <c r="F1725" s="33" t="s">
        <v>45</v>
      </c>
      <c r="G1725" s="114">
        <v>6</v>
      </c>
      <c r="H1725" s="114" t="str">
        <f>_xlfn.XLOOKUP(C1725&amp;F1725&amp;I1725&amp;J1725,'[1]2025年已发货'!$F:$F&amp;'[1]2025年已发货'!$C:$C&amp;'[1]2025年已发货'!$G:$G&amp;'[1]2025年已发货'!$H:$H,'[1]2025年已发货'!$E:$E,"未发货")</f>
        <v>未发货</v>
      </c>
      <c r="I1725" s="113" t="str">
        <f>VLOOKUP(B1725,辅助信息!E:I,3,FALSE)</f>
        <v>（商投建工达州中医药科技园-3工区）达州市通川区达州中医药职业学院犀牛大道北段</v>
      </c>
      <c r="J1725" s="113" t="str">
        <f>VLOOKUP(B1725,辅助信息!E:I,4,FALSE)</f>
        <v>程黄刚</v>
      </c>
      <c r="K1725" s="113">
        <f>VLOOKUP(J1725,辅助信息!H:I,2,FALSE)</f>
        <v>15108211617</v>
      </c>
      <c r="L1725" s="115" t="str">
        <f>VLOOKUP(B1725,辅助信息!E:J,6,FALSE)</f>
        <v>控制炉批号！多了现场不收！,优先安排达钢,提前联系到场规格及数量</v>
      </c>
      <c r="M1725" s="97">
        <v>45813</v>
      </c>
      <c r="O1725" s="55">
        <f ca="1" t="shared" si="95"/>
        <v>0</v>
      </c>
      <c r="P1725" s="55">
        <f ca="1" t="shared" si="96"/>
        <v>144</v>
      </c>
      <c r="Q1725" s="22" t="str">
        <f>VLOOKUP(B1725,辅助信息!E:M,9,FALSE)</f>
        <v>ZTWM-CDGS-XS-2024-0134-商投建工达州中医药科技成果示范园项目</v>
      </c>
      <c r="R1725" s="22" t="str">
        <f>_xlfn._xlws.FILTER(辅助信息!D:D,辅助信息!E:E=B1725)</f>
        <v>商投建工达州中医药科技园</v>
      </c>
    </row>
    <row r="1726" hidden="1" spans="2:18">
      <c r="B1726" s="33" t="s">
        <v>159</v>
      </c>
      <c r="C1726" s="63">
        <v>45812</v>
      </c>
      <c r="D1726" s="113" t="str">
        <f>VLOOKUP(B1726,辅助信息!E:K,7,FALSE)</f>
        <v>JWDDCD2025052800131</v>
      </c>
      <c r="E1726" s="113" t="str">
        <f>VLOOKUP(F1726,辅助信息!A:B,2,FALSE)</f>
        <v>螺纹钢</v>
      </c>
      <c r="F1726" s="33" t="s">
        <v>21</v>
      </c>
      <c r="G1726" s="114">
        <v>9</v>
      </c>
      <c r="H1726" s="114" t="str">
        <f>_xlfn.XLOOKUP(C1726&amp;F1726&amp;I1726&amp;J1726,'[1]2025年已发货'!$F:$F&amp;'[1]2025年已发货'!$C:$C&amp;'[1]2025年已发货'!$G:$G&amp;'[1]2025年已发货'!$H:$H,'[1]2025年已发货'!$E:$E,"未发货")</f>
        <v>未发货</v>
      </c>
      <c r="I1726" s="113" t="str">
        <f>VLOOKUP(B1726,辅助信息!E:I,3,FALSE)</f>
        <v>（商投建工达州中医药科技园-3工区）达州市通川区达州中医药职业学院犀牛大道北段</v>
      </c>
      <c r="J1726" s="113" t="str">
        <f>VLOOKUP(B1726,辅助信息!E:I,4,FALSE)</f>
        <v>程黄刚</v>
      </c>
      <c r="K1726" s="113">
        <f>VLOOKUP(J1726,辅助信息!H:I,2,FALSE)</f>
        <v>15108211617</v>
      </c>
      <c r="L1726" s="115" t="str">
        <f>VLOOKUP(B1726,辅助信息!E:J,6,FALSE)</f>
        <v>控制炉批号！多了现场不收！,优先安排达钢,提前联系到场规格及数量</v>
      </c>
      <c r="M1726" s="97">
        <v>45813</v>
      </c>
      <c r="O1726" s="55">
        <f ca="1" t="shared" si="95"/>
        <v>0</v>
      </c>
      <c r="P1726" s="55">
        <f ca="1" t="shared" si="96"/>
        <v>144</v>
      </c>
      <c r="Q1726" s="22" t="str">
        <f>VLOOKUP(B1726,辅助信息!E:M,9,FALSE)</f>
        <v>ZTWM-CDGS-XS-2024-0134-商投建工达州中医药科技成果示范园项目</v>
      </c>
      <c r="R1726" s="22" t="str">
        <f>_xlfn._xlws.FILTER(辅助信息!D:D,辅助信息!E:E=B1726)</f>
        <v>商投建工达州中医药科技园</v>
      </c>
    </row>
    <row r="1727" hidden="1" spans="2:18">
      <c r="B1727" s="33" t="s">
        <v>159</v>
      </c>
      <c r="C1727" s="63">
        <v>45812</v>
      </c>
      <c r="D1727" s="113" t="str">
        <f>VLOOKUP(B1727,辅助信息!E:K,7,FALSE)</f>
        <v>JWDDCD2025052800131</v>
      </c>
      <c r="E1727" s="113" t="str">
        <f>VLOOKUP(F1727,辅助信息!A:B,2,FALSE)</f>
        <v>螺纹钢</v>
      </c>
      <c r="F1727" s="33" t="s">
        <v>58</v>
      </c>
      <c r="G1727" s="114">
        <v>18</v>
      </c>
      <c r="H1727" s="114">
        <f>_xlfn.XLOOKUP(C1727&amp;F1727&amp;I1727&amp;J1727,'[1]2025年已发货'!$F:$F&amp;'[1]2025年已发货'!$C:$C&amp;'[1]2025年已发货'!$G:$G&amp;'[1]2025年已发货'!$H:$H,'[1]2025年已发货'!$E:$E,"未发货")</f>
        <v>13</v>
      </c>
      <c r="I1727" s="113" t="str">
        <f>VLOOKUP(B1727,辅助信息!E:I,3,FALSE)</f>
        <v>（商投建工达州中医药科技园-3工区）达州市通川区达州中医药职业学院犀牛大道北段</v>
      </c>
      <c r="J1727" s="113" t="str">
        <f>VLOOKUP(B1727,辅助信息!E:I,4,FALSE)</f>
        <v>程黄刚</v>
      </c>
      <c r="K1727" s="113">
        <f>VLOOKUP(J1727,辅助信息!H:I,2,FALSE)</f>
        <v>15108211617</v>
      </c>
      <c r="L1727" s="115" t="str">
        <f>VLOOKUP(B1727,辅助信息!E:J,6,FALSE)</f>
        <v>控制炉批号！多了现场不收！,优先安排达钢,提前联系到场规格及数量</v>
      </c>
      <c r="M1727" s="97">
        <v>45813</v>
      </c>
      <c r="O1727" s="55">
        <f ca="1" t="shared" si="95"/>
        <v>0</v>
      </c>
      <c r="P1727" s="55">
        <f ca="1" t="shared" si="96"/>
        <v>144</v>
      </c>
      <c r="Q1727" s="22" t="str">
        <f>VLOOKUP(B1727,辅助信息!E:M,9,FALSE)</f>
        <v>ZTWM-CDGS-XS-2024-0134-商投建工达州中医药科技成果示范园项目</v>
      </c>
      <c r="R1727" s="22" t="str">
        <f>_xlfn._xlws.FILTER(辅助信息!D:D,辅助信息!E:E=B1727)</f>
        <v>商投建工达州中医药科技园</v>
      </c>
    </row>
    <row r="1728" hidden="1" spans="2:18">
      <c r="B1728" s="33" t="s">
        <v>159</v>
      </c>
      <c r="C1728" s="63">
        <v>45812</v>
      </c>
      <c r="D1728" s="113" t="str">
        <f>VLOOKUP(B1728,辅助信息!E:K,7,FALSE)</f>
        <v>JWDDCD2025052800131</v>
      </c>
      <c r="E1728" s="113" t="str">
        <f>VLOOKUP(F1728,辅助信息!A:B,2,FALSE)</f>
        <v>螺纹钢</v>
      </c>
      <c r="F1728" s="33" t="s">
        <v>46</v>
      </c>
      <c r="G1728" s="114">
        <v>30</v>
      </c>
      <c r="H1728" s="114">
        <f>_xlfn.XLOOKUP(C1728&amp;F1728&amp;I1728&amp;J1728,'[1]2025年已发货'!$F:$F&amp;'[1]2025年已发货'!$C:$C&amp;'[1]2025年已发货'!$G:$G&amp;'[1]2025年已发货'!$H:$H,'[1]2025年已发货'!$E:$E,"未发货")</f>
        <v>22</v>
      </c>
      <c r="I1728" s="113" t="str">
        <f>VLOOKUP(B1728,辅助信息!E:I,3,FALSE)</f>
        <v>（商投建工达州中医药科技园-3工区）达州市通川区达州中医药职业学院犀牛大道北段</v>
      </c>
      <c r="J1728" s="113" t="str">
        <f>VLOOKUP(B1728,辅助信息!E:I,4,FALSE)</f>
        <v>程黄刚</v>
      </c>
      <c r="K1728" s="113">
        <f>VLOOKUP(J1728,辅助信息!H:I,2,FALSE)</f>
        <v>15108211617</v>
      </c>
      <c r="L1728" s="115" t="str">
        <f>VLOOKUP(B1728,辅助信息!E:J,6,FALSE)</f>
        <v>控制炉批号！多了现场不收！,优先安排达钢,提前联系到场规格及数量</v>
      </c>
      <c r="M1728" s="97">
        <v>45813</v>
      </c>
      <c r="O1728" s="55">
        <f ca="1" t="shared" si="95"/>
        <v>0</v>
      </c>
      <c r="P1728" s="55">
        <f ca="1" t="shared" si="96"/>
        <v>144</v>
      </c>
      <c r="Q1728" s="22" t="str">
        <f>VLOOKUP(B1728,辅助信息!E:M,9,FALSE)</f>
        <v>ZTWM-CDGS-XS-2024-0134-商投建工达州中医药科技成果示范园项目</v>
      </c>
      <c r="R1728" s="22" t="str">
        <f>_xlfn._xlws.FILTER(辅助信息!D:D,辅助信息!E:E=B1728)</f>
        <v>商投建工达州中医药科技园</v>
      </c>
    </row>
    <row r="1729" hidden="1" spans="2:18">
      <c r="B1729" s="33" t="s">
        <v>159</v>
      </c>
      <c r="C1729" s="63">
        <v>45812</v>
      </c>
      <c r="D1729" s="113" t="str">
        <f>VLOOKUP(B1729,辅助信息!E:K,7,FALSE)</f>
        <v>JWDDCD2025052800131</v>
      </c>
      <c r="E1729" s="113" t="str">
        <f>VLOOKUP(F1729,辅助信息!A:B,2,FALSE)</f>
        <v>螺纹钢</v>
      </c>
      <c r="F1729" s="33" t="s">
        <v>22</v>
      </c>
      <c r="G1729" s="114">
        <v>9</v>
      </c>
      <c r="H1729" s="114" t="str">
        <f>_xlfn.XLOOKUP(C1729&amp;F1729&amp;I1729&amp;J1729,'[1]2025年已发货'!$F:$F&amp;'[1]2025年已发货'!$C:$C&amp;'[1]2025年已发货'!$G:$G&amp;'[1]2025年已发货'!$H:$H,'[1]2025年已发货'!$E:$E,"未发货")</f>
        <v>未发货</v>
      </c>
      <c r="I1729" s="113" t="str">
        <f>VLOOKUP(B1729,辅助信息!E:I,3,FALSE)</f>
        <v>（商投建工达州中医药科技园-3工区）达州市通川区达州中医药职业学院犀牛大道北段</v>
      </c>
      <c r="J1729" s="113" t="str">
        <f>VLOOKUP(B1729,辅助信息!E:I,4,FALSE)</f>
        <v>程黄刚</v>
      </c>
      <c r="K1729" s="113">
        <f>VLOOKUP(J1729,辅助信息!H:I,2,FALSE)</f>
        <v>15108211617</v>
      </c>
      <c r="L1729" s="115" t="str">
        <f>VLOOKUP(B1729,辅助信息!E:J,6,FALSE)</f>
        <v>控制炉批号！多了现场不收！,优先安排达钢,提前联系到场规格及数量</v>
      </c>
      <c r="M1729" s="97">
        <v>45813</v>
      </c>
      <c r="O1729" s="55">
        <f ca="1" t="shared" si="95"/>
        <v>0</v>
      </c>
      <c r="P1729" s="55">
        <f ca="1" t="shared" si="96"/>
        <v>144</v>
      </c>
      <c r="Q1729" s="22" t="str">
        <f>VLOOKUP(B1729,辅助信息!E:M,9,FALSE)</f>
        <v>ZTWM-CDGS-XS-2024-0134-商投建工达州中医药科技成果示范园项目</v>
      </c>
      <c r="R1729" s="22" t="str">
        <f>_xlfn._xlws.FILTER(辅助信息!D:D,辅助信息!E:E=B1729)</f>
        <v>商投建工达州中医药科技园</v>
      </c>
    </row>
    <row r="1730" hidden="1" spans="2:18">
      <c r="B1730" s="33" t="s">
        <v>160</v>
      </c>
      <c r="C1730" s="63">
        <v>45812</v>
      </c>
      <c r="D1730" s="113" t="str">
        <f>VLOOKUP(B1730,辅助信息!E:K,7,FALSE)</f>
        <v>JWDDCD2025071500024</v>
      </c>
      <c r="E1730" s="113" t="str">
        <f>VLOOKUP(F1730,辅助信息!A:B,2,FALSE)</f>
        <v>盘螺</v>
      </c>
      <c r="F1730" s="33" t="s">
        <v>49</v>
      </c>
      <c r="G1730" s="29">
        <v>2</v>
      </c>
      <c r="H1730" s="114" t="str">
        <f>_xlfn.XLOOKUP(C1730&amp;F1730&amp;I1730&amp;J1730,'[1]2025年已发货'!$F:$F&amp;'[1]2025年已发货'!$C:$C&amp;'[1]2025年已发货'!$G:$G&amp;'[1]2025年已发货'!$H:$H,'[1]2025年已发货'!$E:$E,"未发货")</f>
        <v>未发货</v>
      </c>
      <c r="I1730" s="113" t="str">
        <f>VLOOKUP(B1730,辅助信息!E:I,3,FALSE)</f>
        <v>(中铁三局集团西渝高铁康渝段站房四标工程)重庆市九龙坡区华祥支路与华祥路交叉口重庆建工重庆西站TOD项目部</v>
      </c>
      <c r="J1730" s="113" t="str">
        <f>VLOOKUP(B1730,辅助信息!E:I,4,FALSE)</f>
        <v>卢庆江</v>
      </c>
      <c r="K1730" s="113">
        <f>VLOOKUP(J1730,辅助信息!H:I,2,FALSE)</f>
        <v>18883488177</v>
      </c>
      <c r="L1730" s="115" t="str">
        <f>VLOOKUP(B1730,辅助信息!E:J,6,FALSE)</f>
        <v>炉批号尽可能不要多</v>
      </c>
      <c r="M1730" s="97">
        <v>45813</v>
      </c>
      <c r="O1730" s="55">
        <f ca="1" t="shared" ref="O1730:O1752" si="97">IF(OR(M1730="",N1730&lt;&gt;""),"",MAX(M1730-TODAY(),0))</f>
        <v>0</v>
      </c>
      <c r="P1730" s="55">
        <f ca="1" t="shared" ref="P1730:P1752" si="98">IF(M1730="","",IF(N1730&lt;&gt;"",MAX(N1730-M1730,0),IF(TODAY()&gt;M1730,TODAY()-M1730,0)))</f>
        <v>144</v>
      </c>
      <c r="Q1730" s="22" t="str">
        <f>VLOOKUP(B1730,辅助信息!E:M,9,FALSE)</f>
        <v>ZTWM-CDGS-XS-2025-0029-中铁三局集团有限公司-西渝高铁康渝段站房四标项目</v>
      </c>
      <c r="R1730" s="22" t="str">
        <f>_xlfn._xlws.FILTER(辅助信息!D:D,辅助信息!E:E=B1730)</f>
        <v>中铁三局集团西渝高铁康渝段站房四标工程</v>
      </c>
    </row>
    <row r="1731" hidden="1" spans="2:18">
      <c r="B1731" s="33" t="s">
        <v>160</v>
      </c>
      <c r="C1731" s="63">
        <v>45812</v>
      </c>
      <c r="D1731" s="113" t="str">
        <f>VLOOKUP(B1731,辅助信息!E:K,7,FALSE)</f>
        <v>JWDDCD2025071500024</v>
      </c>
      <c r="E1731" s="113" t="str">
        <f>VLOOKUP(F1731,辅助信息!A:B,2,FALSE)</f>
        <v>盘螺</v>
      </c>
      <c r="F1731" s="33" t="s">
        <v>40</v>
      </c>
      <c r="G1731" s="29">
        <v>6</v>
      </c>
      <c r="H1731" s="114" t="str">
        <f>_xlfn.XLOOKUP(C1731&amp;F1731&amp;I1731&amp;J1731,'[1]2025年已发货'!$F:$F&amp;'[1]2025年已发货'!$C:$C&amp;'[1]2025年已发货'!$G:$G&amp;'[1]2025年已发货'!$H:$H,'[1]2025年已发货'!$E:$E,"未发货")</f>
        <v>未发货</v>
      </c>
      <c r="I1731" s="113" t="str">
        <f>VLOOKUP(B1731,辅助信息!E:I,3,FALSE)</f>
        <v>(中铁三局集团西渝高铁康渝段站房四标工程)重庆市九龙坡区华祥支路与华祥路交叉口重庆建工重庆西站TOD项目部</v>
      </c>
      <c r="J1731" s="113" t="str">
        <f>VLOOKUP(B1731,辅助信息!E:I,4,FALSE)</f>
        <v>卢庆江</v>
      </c>
      <c r="K1731" s="113">
        <f>VLOOKUP(J1731,辅助信息!H:I,2,FALSE)</f>
        <v>18883488177</v>
      </c>
      <c r="L1731" s="115" t="str">
        <f>VLOOKUP(B1731,辅助信息!E:J,6,FALSE)</f>
        <v>炉批号尽可能不要多</v>
      </c>
      <c r="M1731" s="97">
        <v>45813</v>
      </c>
      <c r="O1731" s="55">
        <f ca="1" t="shared" si="97"/>
        <v>0</v>
      </c>
      <c r="P1731" s="55">
        <f ca="1" t="shared" si="98"/>
        <v>144</v>
      </c>
      <c r="Q1731" s="22" t="str">
        <f>VLOOKUP(B1731,辅助信息!E:M,9,FALSE)</f>
        <v>ZTWM-CDGS-XS-2025-0029-中铁三局集团有限公司-西渝高铁康渝段站房四标项目</v>
      </c>
      <c r="R1731" s="22" t="str">
        <f>_xlfn._xlws.FILTER(辅助信息!D:D,辅助信息!E:E=B1731)</f>
        <v>中铁三局集团西渝高铁康渝段站房四标工程</v>
      </c>
    </row>
    <row r="1732" hidden="1" spans="2:18">
      <c r="B1732" s="33" t="s">
        <v>160</v>
      </c>
      <c r="C1732" s="63">
        <v>45812</v>
      </c>
      <c r="D1732" s="113" t="str">
        <f>VLOOKUP(B1732,辅助信息!E:K,7,FALSE)</f>
        <v>JWDDCD2025071500024</v>
      </c>
      <c r="E1732" s="113" t="str">
        <f>VLOOKUP(F1732,辅助信息!A:B,2,FALSE)</f>
        <v>盘螺</v>
      </c>
      <c r="F1732" s="33" t="s">
        <v>41</v>
      </c>
      <c r="G1732" s="29">
        <v>6</v>
      </c>
      <c r="H1732" s="114" t="str">
        <f>_xlfn.XLOOKUP(C1732&amp;F1732&amp;I1732&amp;J1732,'[1]2025年已发货'!$F:$F&amp;'[1]2025年已发货'!$C:$C&amp;'[1]2025年已发货'!$G:$G&amp;'[1]2025年已发货'!$H:$H,'[1]2025年已发货'!$E:$E,"未发货")</f>
        <v>未发货</v>
      </c>
      <c r="I1732" s="113" t="str">
        <f>VLOOKUP(B1732,辅助信息!E:I,3,FALSE)</f>
        <v>(中铁三局集团西渝高铁康渝段站房四标工程)重庆市九龙坡区华祥支路与华祥路交叉口重庆建工重庆西站TOD项目部</v>
      </c>
      <c r="J1732" s="113" t="str">
        <f>VLOOKUP(B1732,辅助信息!E:I,4,FALSE)</f>
        <v>卢庆江</v>
      </c>
      <c r="K1732" s="113">
        <f>VLOOKUP(J1732,辅助信息!H:I,2,FALSE)</f>
        <v>18883488177</v>
      </c>
      <c r="L1732" s="115" t="str">
        <f>VLOOKUP(B1732,辅助信息!E:J,6,FALSE)</f>
        <v>炉批号尽可能不要多</v>
      </c>
      <c r="M1732" s="97">
        <v>45813</v>
      </c>
      <c r="O1732" s="55">
        <f ca="1" t="shared" si="97"/>
        <v>0</v>
      </c>
      <c r="P1732" s="55">
        <f ca="1" t="shared" si="98"/>
        <v>144</v>
      </c>
      <c r="Q1732" s="22" t="str">
        <f>VLOOKUP(B1732,辅助信息!E:M,9,FALSE)</f>
        <v>ZTWM-CDGS-XS-2025-0029-中铁三局集团有限公司-西渝高铁康渝段站房四标项目</v>
      </c>
      <c r="R1732" s="22" t="str">
        <f>_xlfn._xlws.FILTER(辅助信息!D:D,辅助信息!E:E=B1732)</f>
        <v>中铁三局集团西渝高铁康渝段站房四标工程</v>
      </c>
    </row>
    <row r="1733" hidden="1" spans="2:18">
      <c r="B1733" s="33" t="s">
        <v>160</v>
      </c>
      <c r="C1733" s="63">
        <v>45812</v>
      </c>
      <c r="D1733" s="113" t="str">
        <f>VLOOKUP(B1733,辅助信息!E:K,7,FALSE)</f>
        <v>JWDDCD2025071500024</v>
      </c>
      <c r="E1733" s="113" t="str">
        <f>VLOOKUP(F1733,辅助信息!A:B,2,FALSE)</f>
        <v>螺纹钢</v>
      </c>
      <c r="F1733" s="33" t="s">
        <v>27</v>
      </c>
      <c r="G1733" s="29">
        <v>19</v>
      </c>
      <c r="H1733" s="114" t="str">
        <f>_xlfn.XLOOKUP(C1733&amp;F1733&amp;I1733&amp;J1733,'[1]2025年已发货'!$F:$F&amp;'[1]2025年已发货'!$C:$C&amp;'[1]2025年已发货'!$G:$G&amp;'[1]2025年已发货'!$H:$H,'[1]2025年已发货'!$E:$E,"未发货")</f>
        <v>未发货</v>
      </c>
      <c r="I1733" s="113" t="str">
        <f>VLOOKUP(B1733,辅助信息!E:I,3,FALSE)</f>
        <v>(中铁三局集团西渝高铁康渝段站房四标工程)重庆市九龙坡区华祥支路与华祥路交叉口重庆建工重庆西站TOD项目部</v>
      </c>
      <c r="J1733" s="113" t="str">
        <f>VLOOKUP(B1733,辅助信息!E:I,4,FALSE)</f>
        <v>卢庆江</v>
      </c>
      <c r="K1733" s="113">
        <f>VLOOKUP(J1733,辅助信息!H:I,2,FALSE)</f>
        <v>18883488177</v>
      </c>
      <c r="L1733" s="115" t="str">
        <f>VLOOKUP(B1733,辅助信息!E:J,6,FALSE)</f>
        <v>炉批号尽可能不要多</v>
      </c>
      <c r="M1733" s="97">
        <v>45813</v>
      </c>
      <c r="O1733" s="55">
        <f ca="1" t="shared" si="97"/>
        <v>0</v>
      </c>
      <c r="P1733" s="55">
        <f ca="1" t="shared" si="98"/>
        <v>144</v>
      </c>
      <c r="Q1733" s="22" t="str">
        <f>VLOOKUP(B1733,辅助信息!E:M,9,FALSE)</f>
        <v>ZTWM-CDGS-XS-2025-0029-中铁三局集团有限公司-西渝高铁康渝段站房四标项目</v>
      </c>
      <c r="R1733" s="22" t="str">
        <f>_xlfn._xlws.FILTER(辅助信息!D:D,辅助信息!E:E=B1733)</f>
        <v>中铁三局集团西渝高铁康渝段站房四标工程</v>
      </c>
    </row>
    <row r="1734" hidden="1" spans="2:18">
      <c r="B1734" s="33" t="s">
        <v>160</v>
      </c>
      <c r="C1734" s="63">
        <v>45812</v>
      </c>
      <c r="D1734" s="113" t="str">
        <f>VLOOKUP(B1734,辅助信息!E:K,7,FALSE)</f>
        <v>JWDDCD2025071500024</v>
      </c>
      <c r="E1734" s="113" t="str">
        <f>VLOOKUP(F1734,辅助信息!A:B,2,FALSE)</f>
        <v>螺纹钢</v>
      </c>
      <c r="F1734" s="33" t="s">
        <v>19</v>
      </c>
      <c r="G1734" s="29">
        <v>8</v>
      </c>
      <c r="H1734" s="114" t="str">
        <f>_xlfn.XLOOKUP(C1734&amp;F1734&amp;I1734&amp;J1734,'[1]2025年已发货'!$F:$F&amp;'[1]2025年已发货'!$C:$C&amp;'[1]2025年已发货'!$G:$G&amp;'[1]2025年已发货'!$H:$H,'[1]2025年已发货'!$E:$E,"未发货")</f>
        <v>未发货</v>
      </c>
      <c r="I1734" s="113" t="str">
        <f>VLOOKUP(B1734,辅助信息!E:I,3,FALSE)</f>
        <v>(中铁三局集团西渝高铁康渝段站房四标工程)重庆市九龙坡区华祥支路与华祥路交叉口重庆建工重庆西站TOD项目部</v>
      </c>
      <c r="J1734" s="113" t="str">
        <f>VLOOKUP(B1734,辅助信息!E:I,4,FALSE)</f>
        <v>卢庆江</v>
      </c>
      <c r="K1734" s="113">
        <f>VLOOKUP(J1734,辅助信息!H:I,2,FALSE)</f>
        <v>18883488177</v>
      </c>
      <c r="L1734" s="115" t="str">
        <f>VLOOKUP(B1734,辅助信息!E:J,6,FALSE)</f>
        <v>炉批号尽可能不要多</v>
      </c>
      <c r="M1734" s="97">
        <v>45813</v>
      </c>
      <c r="O1734" s="55">
        <f ca="1" t="shared" si="97"/>
        <v>0</v>
      </c>
      <c r="P1734" s="55">
        <f ca="1" t="shared" si="98"/>
        <v>144</v>
      </c>
      <c r="Q1734" s="22" t="str">
        <f>VLOOKUP(B1734,辅助信息!E:M,9,FALSE)</f>
        <v>ZTWM-CDGS-XS-2025-0029-中铁三局集团有限公司-西渝高铁康渝段站房四标项目</v>
      </c>
      <c r="R1734" s="22" t="str">
        <f>_xlfn._xlws.FILTER(辅助信息!D:D,辅助信息!E:E=B1734)</f>
        <v>中铁三局集团西渝高铁康渝段站房四标工程</v>
      </c>
    </row>
    <row r="1735" hidden="1" spans="2:18">
      <c r="B1735" s="33" t="s">
        <v>160</v>
      </c>
      <c r="C1735" s="63">
        <v>45812</v>
      </c>
      <c r="D1735" s="113" t="str">
        <f>VLOOKUP(B1735,辅助信息!E:K,7,FALSE)</f>
        <v>JWDDCD2025071500024</v>
      </c>
      <c r="E1735" s="113" t="str">
        <f>VLOOKUP(F1735,辅助信息!A:B,2,FALSE)</f>
        <v>螺纹钢</v>
      </c>
      <c r="F1735" s="33" t="s">
        <v>32</v>
      </c>
      <c r="G1735" s="29">
        <v>4</v>
      </c>
      <c r="H1735" s="114" t="str">
        <f>_xlfn.XLOOKUP(C1735&amp;F1735&amp;I1735&amp;J1735,'[1]2025年已发货'!$F:$F&amp;'[1]2025年已发货'!$C:$C&amp;'[1]2025年已发货'!$G:$G&amp;'[1]2025年已发货'!$H:$H,'[1]2025年已发货'!$E:$E,"未发货")</f>
        <v>未发货</v>
      </c>
      <c r="I1735" s="113" t="str">
        <f>VLOOKUP(B1735,辅助信息!E:I,3,FALSE)</f>
        <v>(中铁三局集团西渝高铁康渝段站房四标工程)重庆市九龙坡区华祥支路与华祥路交叉口重庆建工重庆西站TOD项目部</v>
      </c>
      <c r="J1735" s="113" t="str">
        <f>VLOOKUP(B1735,辅助信息!E:I,4,FALSE)</f>
        <v>卢庆江</v>
      </c>
      <c r="K1735" s="113">
        <f>VLOOKUP(J1735,辅助信息!H:I,2,FALSE)</f>
        <v>18883488177</v>
      </c>
      <c r="L1735" s="115" t="str">
        <f>VLOOKUP(B1735,辅助信息!E:J,6,FALSE)</f>
        <v>炉批号尽可能不要多</v>
      </c>
      <c r="M1735" s="97">
        <v>45813</v>
      </c>
      <c r="O1735" s="55">
        <f ca="1" t="shared" si="97"/>
        <v>0</v>
      </c>
      <c r="P1735" s="55">
        <f ca="1" t="shared" si="98"/>
        <v>144</v>
      </c>
      <c r="Q1735" s="22" t="str">
        <f>VLOOKUP(B1735,辅助信息!E:M,9,FALSE)</f>
        <v>ZTWM-CDGS-XS-2025-0029-中铁三局集团有限公司-西渝高铁康渝段站房四标项目</v>
      </c>
      <c r="R1735" s="22" t="str">
        <f>_xlfn._xlws.FILTER(辅助信息!D:D,辅助信息!E:E=B1735)</f>
        <v>中铁三局集团西渝高铁康渝段站房四标工程</v>
      </c>
    </row>
    <row r="1736" hidden="1" spans="2:18">
      <c r="B1736" s="33" t="s">
        <v>160</v>
      </c>
      <c r="C1736" s="63">
        <v>45812</v>
      </c>
      <c r="D1736" s="113" t="str">
        <f>VLOOKUP(B1736,辅助信息!E:K,7,FALSE)</f>
        <v>JWDDCD2025071500024</v>
      </c>
      <c r="E1736" s="113" t="str">
        <f>VLOOKUP(F1736,辅助信息!A:B,2,FALSE)</f>
        <v>螺纹钢</v>
      </c>
      <c r="F1736" s="33" t="s">
        <v>30</v>
      </c>
      <c r="G1736" s="29">
        <v>8</v>
      </c>
      <c r="H1736" s="114" t="str">
        <f>_xlfn.XLOOKUP(C1736&amp;F1736&amp;I1736&amp;J1736,'[1]2025年已发货'!$F:$F&amp;'[1]2025年已发货'!$C:$C&amp;'[1]2025年已发货'!$G:$G&amp;'[1]2025年已发货'!$H:$H,'[1]2025年已发货'!$E:$E,"未发货")</f>
        <v>未发货</v>
      </c>
      <c r="I1736" s="113" t="str">
        <f>VLOOKUP(B1736,辅助信息!E:I,3,FALSE)</f>
        <v>(中铁三局集团西渝高铁康渝段站房四标工程)重庆市九龙坡区华祥支路与华祥路交叉口重庆建工重庆西站TOD项目部</v>
      </c>
      <c r="J1736" s="113" t="str">
        <f>VLOOKUP(B1736,辅助信息!E:I,4,FALSE)</f>
        <v>卢庆江</v>
      </c>
      <c r="K1736" s="113">
        <f>VLOOKUP(J1736,辅助信息!H:I,2,FALSE)</f>
        <v>18883488177</v>
      </c>
      <c r="L1736" s="115" t="str">
        <f>VLOOKUP(B1736,辅助信息!E:J,6,FALSE)</f>
        <v>炉批号尽可能不要多</v>
      </c>
      <c r="M1736" s="97">
        <v>45813</v>
      </c>
      <c r="O1736" s="55">
        <f ca="1" t="shared" si="97"/>
        <v>0</v>
      </c>
      <c r="P1736" s="55">
        <f ca="1" t="shared" si="98"/>
        <v>144</v>
      </c>
      <c r="Q1736" s="22" t="str">
        <f>VLOOKUP(B1736,辅助信息!E:M,9,FALSE)</f>
        <v>ZTWM-CDGS-XS-2025-0029-中铁三局集团有限公司-西渝高铁康渝段站房四标项目</v>
      </c>
      <c r="R1736" s="22" t="str">
        <f>_xlfn._xlws.FILTER(辅助信息!D:D,辅助信息!E:E=B1736)</f>
        <v>中铁三局集团西渝高铁康渝段站房四标工程</v>
      </c>
    </row>
    <row r="1737" hidden="1" spans="2:18">
      <c r="B1737" s="33" t="s">
        <v>160</v>
      </c>
      <c r="C1737" s="63">
        <v>45812</v>
      </c>
      <c r="D1737" s="113" t="str">
        <f>VLOOKUP(B1737,辅助信息!E:K,7,FALSE)</f>
        <v>JWDDCD2025071500024</v>
      </c>
      <c r="E1737" s="113" t="str">
        <f>VLOOKUP(F1737,辅助信息!A:B,2,FALSE)</f>
        <v>螺纹钢</v>
      </c>
      <c r="F1737" s="33" t="s">
        <v>33</v>
      </c>
      <c r="G1737" s="29">
        <v>14</v>
      </c>
      <c r="H1737" s="114" t="str">
        <f>_xlfn.XLOOKUP(C1737&amp;F1737&amp;I1737&amp;J1737,'[1]2025年已发货'!$F:$F&amp;'[1]2025年已发货'!$C:$C&amp;'[1]2025年已发货'!$G:$G&amp;'[1]2025年已发货'!$H:$H,'[1]2025年已发货'!$E:$E,"未发货")</f>
        <v>未发货</v>
      </c>
      <c r="I1737" s="113" t="str">
        <f>VLOOKUP(B1737,辅助信息!E:I,3,FALSE)</f>
        <v>(中铁三局集团西渝高铁康渝段站房四标工程)重庆市九龙坡区华祥支路与华祥路交叉口重庆建工重庆西站TOD项目部</v>
      </c>
      <c r="J1737" s="113" t="str">
        <f>VLOOKUP(B1737,辅助信息!E:I,4,FALSE)</f>
        <v>卢庆江</v>
      </c>
      <c r="K1737" s="113">
        <f>VLOOKUP(J1737,辅助信息!H:I,2,FALSE)</f>
        <v>18883488177</v>
      </c>
      <c r="L1737" s="115" t="str">
        <f>VLOOKUP(B1737,辅助信息!E:J,6,FALSE)</f>
        <v>炉批号尽可能不要多</v>
      </c>
      <c r="M1737" s="97">
        <v>45813</v>
      </c>
      <c r="O1737" s="55">
        <f ca="1" t="shared" si="97"/>
        <v>0</v>
      </c>
      <c r="P1737" s="55">
        <f ca="1" t="shared" si="98"/>
        <v>144</v>
      </c>
      <c r="Q1737" s="22" t="str">
        <f>VLOOKUP(B1737,辅助信息!E:M,9,FALSE)</f>
        <v>ZTWM-CDGS-XS-2025-0029-中铁三局集团有限公司-西渝高铁康渝段站房四标项目</v>
      </c>
      <c r="R1737" s="22" t="str">
        <f>_xlfn._xlws.FILTER(辅助信息!D:D,辅助信息!E:E=B1737)</f>
        <v>中铁三局集团西渝高铁康渝段站房四标工程</v>
      </c>
    </row>
    <row r="1738" hidden="1" spans="2:18">
      <c r="B1738" s="33" t="s">
        <v>160</v>
      </c>
      <c r="C1738" s="63">
        <v>45812</v>
      </c>
      <c r="D1738" s="113" t="str">
        <f>VLOOKUP(B1738,辅助信息!E:K,7,FALSE)</f>
        <v>JWDDCD2025071500024</v>
      </c>
      <c r="E1738" s="113" t="str">
        <f>VLOOKUP(F1738,辅助信息!A:B,2,FALSE)</f>
        <v>螺纹钢</v>
      </c>
      <c r="F1738" s="33" t="s">
        <v>28</v>
      </c>
      <c r="G1738" s="29">
        <v>27</v>
      </c>
      <c r="H1738" s="114" t="str">
        <f>_xlfn.XLOOKUP(C1738&amp;F1738&amp;I1738&amp;J1738,'[1]2025年已发货'!$F:$F&amp;'[1]2025年已发货'!$C:$C&amp;'[1]2025年已发货'!$G:$G&amp;'[1]2025年已发货'!$H:$H,'[1]2025年已发货'!$E:$E,"未发货")</f>
        <v>未发货</v>
      </c>
      <c r="I1738" s="113" t="str">
        <f>VLOOKUP(B1738,辅助信息!E:I,3,FALSE)</f>
        <v>(中铁三局集团西渝高铁康渝段站房四标工程)重庆市九龙坡区华祥支路与华祥路交叉口重庆建工重庆西站TOD项目部</v>
      </c>
      <c r="J1738" s="113" t="str">
        <f>VLOOKUP(B1738,辅助信息!E:I,4,FALSE)</f>
        <v>卢庆江</v>
      </c>
      <c r="K1738" s="113">
        <f>VLOOKUP(J1738,辅助信息!H:I,2,FALSE)</f>
        <v>18883488177</v>
      </c>
      <c r="L1738" s="115" t="str">
        <f>VLOOKUP(B1738,辅助信息!E:J,6,FALSE)</f>
        <v>炉批号尽可能不要多</v>
      </c>
      <c r="M1738" s="97">
        <v>45813</v>
      </c>
      <c r="O1738" s="55">
        <f ca="1" t="shared" si="97"/>
        <v>0</v>
      </c>
      <c r="P1738" s="55">
        <f ca="1" t="shared" si="98"/>
        <v>144</v>
      </c>
      <c r="Q1738" s="22" t="str">
        <f>VLOOKUP(B1738,辅助信息!E:M,9,FALSE)</f>
        <v>ZTWM-CDGS-XS-2025-0029-中铁三局集团有限公司-西渝高铁康渝段站房四标项目</v>
      </c>
      <c r="R1738" s="22" t="str">
        <f>_xlfn._xlws.FILTER(辅助信息!D:D,辅助信息!E:E=B1738)</f>
        <v>中铁三局集团西渝高铁康渝段站房四标工程</v>
      </c>
    </row>
    <row r="1739" hidden="1" spans="2:18">
      <c r="B1739" s="33" t="s">
        <v>160</v>
      </c>
      <c r="C1739" s="63">
        <v>45812</v>
      </c>
      <c r="D1739" s="113" t="str">
        <f>VLOOKUP(B1739,辅助信息!E:K,7,FALSE)</f>
        <v>JWDDCD2025071500024</v>
      </c>
      <c r="E1739" s="113" t="str">
        <f>VLOOKUP(F1739,辅助信息!A:B,2,FALSE)</f>
        <v>螺纹钢</v>
      </c>
      <c r="F1739" s="33" t="s">
        <v>18</v>
      </c>
      <c r="G1739" s="29">
        <v>7</v>
      </c>
      <c r="H1739" s="114" t="str">
        <f>_xlfn.XLOOKUP(C1739&amp;F1739&amp;I1739&amp;J1739,'[1]2025年已发货'!$F:$F&amp;'[1]2025年已发货'!$C:$C&amp;'[1]2025年已发货'!$G:$G&amp;'[1]2025年已发货'!$H:$H,'[1]2025年已发货'!$E:$E,"未发货")</f>
        <v>未发货</v>
      </c>
      <c r="I1739" s="113" t="str">
        <f>VLOOKUP(B1739,辅助信息!E:I,3,FALSE)</f>
        <v>(中铁三局集团西渝高铁康渝段站房四标工程)重庆市九龙坡区华祥支路与华祥路交叉口重庆建工重庆西站TOD项目部</v>
      </c>
      <c r="J1739" s="113" t="str">
        <f>VLOOKUP(B1739,辅助信息!E:I,4,FALSE)</f>
        <v>卢庆江</v>
      </c>
      <c r="K1739" s="113">
        <f>VLOOKUP(J1739,辅助信息!H:I,2,FALSE)</f>
        <v>18883488177</v>
      </c>
      <c r="L1739" s="115" t="str">
        <f>VLOOKUP(B1739,辅助信息!E:J,6,FALSE)</f>
        <v>炉批号尽可能不要多</v>
      </c>
      <c r="M1739" s="97">
        <v>45813</v>
      </c>
      <c r="O1739" s="55">
        <f ca="1" t="shared" si="97"/>
        <v>0</v>
      </c>
      <c r="P1739" s="55">
        <f ca="1" t="shared" si="98"/>
        <v>144</v>
      </c>
      <c r="Q1739" s="22" t="str">
        <f>VLOOKUP(B1739,辅助信息!E:M,9,FALSE)</f>
        <v>ZTWM-CDGS-XS-2025-0029-中铁三局集团有限公司-西渝高铁康渝段站房四标项目</v>
      </c>
      <c r="R1739" s="22" t="str">
        <f>_xlfn._xlws.FILTER(辅助信息!D:D,辅助信息!E:E=B1739)</f>
        <v>中铁三局集团西渝高铁康渝段站房四标工程</v>
      </c>
    </row>
    <row r="1740" hidden="1" spans="2:18">
      <c r="B1740" s="33" t="s">
        <v>160</v>
      </c>
      <c r="C1740" s="63">
        <v>45812</v>
      </c>
      <c r="D1740" s="113" t="str">
        <f>VLOOKUP(B1740,辅助信息!E:K,7,FALSE)</f>
        <v>JWDDCD2025071500024</v>
      </c>
      <c r="E1740" s="113" t="str">
        <f>VLOOKUP(F1740,辅助信息!A:B,2,FALSE)</f>
        <v>螺纹钢</v>
      </c>
      <c r="F1740" s="33" t="s">
        <v>65</v>
      </c>
      <c r="G1740" s="29">
        <v>4</v>
      </c>
      <c r="H1740" s="114" t="str">
        <f>_xlfn.XLOOKUP(C1740&amp;F1740&amp;I1740&amp;J1740,'[1]2025年已发货'!$F:$F&amp;'[1]2025年已发货'!$C:$C&amp;'[1]2025年已发货'!$G:$G&amp;'[1]2025年已发货'!$H:$H,'[1]2025年已发货'!$E:$E,"未发货")</f>
        <v>未发货</v>
      </c>
      <c r="I1740" s="113" t="str">
        <f>VLOOKUP(B1740,辅助信息!E:I,3,FALSE)</f>
        <v>(中铁三局集团西渝高铁康渝段站房四标工程)重庆市九龙坡区华祥支路与华祥路交叉口重庆建工重庆西站TOD项目部</v>
      </c>
      <c r="J1740" s="113" t="str">
        <f>VLOOKUP(B1740,辅助信息!E:I,4,FALSE)</f>
        <v>卢庆江</v>
      </c>
      <c r="K1740" s="113">
        <f>VLOOKUP(J1740,辅助信息!H:I,2,FALSE)</f>
        <v>18883488177</v>
      </c>
      <c r="L1740" s="115" t="str">
        <f>VLOOKUP(B1740,辅助信息!E:J,6,FALSE)</f>
        <v>炉批号尽可能不要多</v>
      </c>
      <c r="M1740" s="97">
        <v>45813</v>
      </c>
      <c r="O1740" s="55">
        <f ca="1" t="shared" si="97"/>
        <v>0</v>
      </c>
      <c r="P1740" s="55">
        <f ca="1" t="shared" si="98"/>
        <v>144</v>
      </c>
      <c r="Q1740" s="22" t="str">
        <f>VLOOKUP(B1740,辅助信息!E:M,9,FALSE)</f>
        <v>ZTWM-CDGS-XS-2025-0029-中铁三局集团有限公司-西渝高铁康渝段站房四标项目</v>
      </c>
      <c r="R1740" s="22" t="str">
        <f>_xlfn._xlws.FILTER(辅助信息!D:D,辅助信息!E:E=B1740)</f>
        <v>中铁三局集团西渝高铁康渝段站房四标工程</v>
      </c>
    </row>
    <row r="1741" hidden="1" spans="2:18">
      <c r="B1741" s="113" t="s">
        <v>81</v>
      </c>
      <c r="C1741" s="63">
        <v>45813</v>
      </c>
      <c r="D1741" s="113" t="str">
        <f>VLOOKUP(B1741,辅助信息!E:K,7,FALSE)</f>
        <v>JWDDCD2025060900080</v>
      </c>
      <c r="E1741" s="113" t="str">
        <f>VLOOKUP(F1741,辅助信息!A:B,2,FALSE)</f>
        <v>高线</v>
      </c>
      <c r="F1741" s="113" t="s">
        <v>53</v>
      </c>
      <c r="G1741" s="114">
        <v>2</v>
      </c>
      <c r="H1741" s="114" t="str">
        <f>_xlfn.XLOOKUP(C1741&amp;F1741&amp;I1741&amp;J1741,'[1]2025年已发货'!$F:$F&amp;'[1]2025年已发货'!$C:$C&amp;'[1]2025年已发货'!$G:$G&amp;'[1]2025年已发货'!$H:$H,'[1]2025年已发货'!$E:$E,"未发货")</f>
        <v>未发货</v>
      </c>
      <c r="I1741" s="113" t="str">
        <f>VLOOKUP(B1741,辅助信息!E:I,3,FALSE)</f>
        <v>（华西简阳西城嘉苑）四川省成都市简阳市简城街道高屋村</v>
      </c>
      <c r="J1741" s="113" t="str">
        <f>VLOOKUP(B1741,辅助信息!E:I,4,FALSE)</f>
        <v>张瀚镭</v>
      </c>
      <c r="K1741" s="113">
        <f>VLOOKUP(J1741,辅助信息!H:I,2,FALSE)</f>
        <v>15884666220</v>
      </c>
      <c r="L1741" s="120" t="str">
        <f>VLOOKUP(B1741,辅助信息!E:J,6,FALSE)</f>
        <v>现场禁止使用氢能源挂车！优先威钢发货,我方卸车,新老国标钢厂不加价可直发，因陕钢多次出现磅差，项目拒绝使用</v>
      </c>
      <c r="M1741" s="84">
        <v>45813</v>
      </c>
      <c r="O1741" s="55">
        <f ca="1" t="shared" si="97"/>
        <v>0</v>
      </c>
      <c r="P1741" s="55">
        <f ca="1" t="shared" si="98"/>
        <v>144</v>
      </c>
      <c r="Q1741" s="22" t="str">
        <f>VLOOKUP(B1741,辅助信息!E:M,9,FALSE)</f>
        <v>ZTWM-CDGS-XS-2024-0030-华西集采-简州大道</v>
      </c>
      <c r="R1741" s="22" t="str">
        <f>_xlfn._xlws.FILTER(辅助信息!D:D,辅助信息!E:E=B1741)</f>
        <v>华西简阳西城嘉苑</v>
      </c>
    </row>
    <row r="1742" hidden="1" spans="2:18">
      <c r="B1742" s="113" t="s">
        <v>81</v>
      </c>
      <c r="C1742" s="63">
        <v>45813</v>
      </c>
      <c r="D1742" s="113" t="str">
        <f>VLOOKUP(B1742,辅助信息!E:K,7,FALSE)</f>
        <v>JWDDCD2025060900080</v>
      </c>
      <c r="E1742" s="113" t="str">
        <f>VLOOKUP(F1742,辅助信息!A:B,2,FALSE)</f>
        <v>盘螺</v>
      </c>
      <c r="F1742" s="113" t="s">
        <v>49</v>
      </c>
      <c r="G1742" s="114">
        <v>7.5</v>
      </c>
      <c r="H1742" s="114" t="str">
        <f>_xlfn.XLOOKUP(C1742&amp;F1742&amp;I1742&amp;J1742,'[1]2025年已发货'!$F:$F&amp;'[1]2025年已发货'!$C:$C&amp;'[1]2025年已发货'!$G:$G&amp;'[1]2025年已发货'!$H:$H,'[1]2025年已发货'!$E:$E,"未发货")</f>
        <v>未发货</v>
      </c>
      <c r="I1742" s="113" t="str">
        <f>VLOOKUP(B1742,辅助信息!E:I,3,FALSE)</f>
        <v>（华西简阳西城嘉苑）四川省成都市简阳市简城街道高屋村</v>
      </c>
      <c r="J1742" s="113" t="str">
        <f>VLOOKUP(B1742,辅助信息!E:I,4,FALSE)</f>
        <v>张瀚镭</v>
      </c>
      <c r="K1742" s="113">
        <f>VLOOKUP(J1742,辅助信息!H:I,2,FALSE)</f>
        <v>15884666220</v>
      </c>
      <c r="L1742" s="120" t="str">
        <f>VLOOKUP(B1742,辅助信息!E:J,6,FALSE)</f>
        <v>现场禁止使用氢能源挂车！优先威钢发货,我方卸车,新老国标钢厂不加价可直发，因陕钢多次出现磅差，项目拒绝使用</v>
      </c>
      <c r="M1742" s="84">
        <v>45813</v>
      </c>
      <c r="O1742" s="55">
        <f ca="1" t="shared" si="97"/>
        <v>0</v>
      </c>
      <c r="P1742" s="55">
        <f ca="1" t="shared" si="98"/>
        <v>144</v>
      </c>
      <c r="Q1742" s="22" t="str">
        <f>VLOOKUP(B1742,辅助信息!E:M,9,FALSE)</f>
        <v>ZTWM-CDGS-XS-2024-0030-华西集采-简州大道</v>
      </c>
      <c r="R1742" s="22" t="str">
        <f>_xlfn._xlws.FILTER(辅助信息!D:D,辅助信息!E:E=B1742)</f>
        <v>华西简阳西城嘉苑</v>
      </c>
    </row>
    <row r="1743" hidden="1" spans="2:18">
      <c r="B1743" s="113" t="s">
        <v>81</v>
      </c>
      <c r="C1743" s="63">
        <v>45813</v>
      </c>
      <c r="D1743" s="113" t="str">
        <f>VLOOKUP(B1743,辅助信息!E:K,7,FALSE)</f>
        <v>JWDDCD2025060900080</v>
      </c>
      <c r="E1743" s="113" t="str">
        <f>VLOOKUP(F1743,辅助信息!A:B,2,FALSE)</f>
        <v>螺纹钢</v>
      </c>
      <c r="F1743" s="113" t="s">
        <v>19</v>
      </c>
      <c r="G1743" s="114">
        <v>10</v>
      </c>
      <c r="H1743" s="114" t="str">
        <f>_xlfn.XLOOKUP(C1743&amp;F1743&amp;I1743&amp;J1743,'[1]2025年已发货'!$F:$F&amp;'[1]2025年已发货'!$C:$C&amp;'[1]2025年已发货'!$G:$G&amp;'[1]2025年已发货'!$H:$H,'[1]2025年已发货'!$E:$E,"未发货")</f>
        <v>未发货</v>
      </c>
      <c r="I1743" s="113" t="str">
        <f>VLOOKUP(B1743,辅助信息!E:I,3,FALSE)</f>
        <v>（华西简阳西城嘉苑）四川省成都市简阳市简城街道高屋村</v>
      </c>
      <c r="J1743" s="113" t="str">
        <f>VLOOKUP(B1743,辅助信息!E:I,4,FALSE)</f>
        <v>张瀚镭</v>
      </c>
      <c r="K1743" s="113">
        <f>VLOOKUP(J1743,辅助信息!H:I,2,FALSE)</f>
        <v>15884666220</v>
      </c>
      <c r="L1743" s="120" t="str">
        <f>VLOOKUP(B1743,辅助信息!E:J,6,FALSE)</f>
        <v>现场禁止使用氢能源挂车！优先威钢发货,我方卸车,新老国标钢厂不加价可直发，因陕钢多次出现磅差，项目拒绝使用</v>
      </c>
      <c r="M1743" s="84">
        <v>45813</v>
      </c>
      <c r="O1743" s="55">
        <f ca="1" t="shared" si="97"/>
        <v>0</v>
      </c>
      <c r="P1743" s="55">
        <f ca="1" t="shared" si="98"/>
        <v>144</v>
      </c>
      <c r="Q1743" s="22" t="str">
        <f>VLOOKUP(B1743,辅助信息!E:M,9,FALSE)</f>
        <v>ZTWM-CDGS-XS-2024-0030-华西集采-简州大道</v>
      </c>
      <c r="R1743" s="22" t="str">
        <f>_xlfn._xlws.FILTER(辅助信息!D:D,辅助信息!E:E=B1743)</f>
        <v>华西简阳西城嘉苑</v>
      </c>
    </row>
    <row r="1744" hidden="1" spans="2:18">
      <c r="B1744" s="113" t="s">
        <v>47</v>
      </c>
      <c r="C1744" s="63">
        <v>45813</v>
      </c>
      <c r="D1744" s="113" t="str">
        <f>VLOOKUP(B1744,辅助信息!E:K,7,FALSE)</f>
        <v>JWDDCD2025052800131</v>
      </c>
      <c r="E1744" s="113" t="str">
        <f>VLOOKUP(F1744,辅助信息!A:B,2,FALSE)</f>
        <v>高线</v>
      </c>
      <c r="F1744" s="113" t="s">
        <v>57</v>
      </c>
      <c r="G1744" s="114">
        <v>17.5</v>
      </c>
      <c r="H1744" s="114">
        <f>_xlfn.XLOOKUP(C1744&amp;F1744&amp;I1744&amp;J1744,'[1]2025年已发货'!$F:$F&amp;'[1]2025年已发货'!$C:$C&amp;'[1]2025年已发货'!$G:$G&amp;'[1]2025年已发货'!$H:$H,'[1]2025年已发货'!$E:$E,"未发货")</f>
        <v>17.5</v>
      </c>
      <c r="I1744" s="113" t="str">
        <f>VLOOKUP(B1744,辅助信息!E:I,3,FALSE)</f>
        <v>（商投建工达州中医药科技园-1工区）达州市通川区达州中医药职业学院犀牛大道北段</v>
      </c>
      <c r="J1744" s="113" t="str">
        <f>VLOOKUP(B1744,辅助信息!E:I,4,FALSE)</f>
        <v>程黄刚</v>
      </c>
      <c r="K1744" s="113">
        <f>VLOOKUP(J1744,辅助信息!H:I,2,FALSE)</f>
        <v>15108211617</v>
      </c>
      <c r="L1744" s="120" t="str">
        <f>VLOOKUP(B1744,辅助信息!E:J,6,FALSE)</f>
        <v>控制炉批号！多了现场不收！,优先安排达钢,提前联系到场规格及数量</v>
      </c>
      <c r="M1744" s="84">
        <v>45813</v>
      </c>
      <c r="O1744" s="55">
        <f ca="1" t="shared" si="97"/>
        <v>0</v>
      </c>
      <c r="P1744" s="55">
        <f ca="1" t="shared" si="98"/>
        <v>144</v>
      </c>
      <c r="Q1744" s="22" t="str">
        <f>VLOOKUP(B1744,辅助信息!E:M,9,FALSE)</f>
        <v>ZTWM-CDGS-XS-2024-0134-商投建工达州中医药科技成果示范园项目</v>
      </c>
      <c r="R1744" s="22" t="str">
        <f>_xlfn._xlws.FILTER(辅助信息!D:D,辅助信息!E:E=B1744)</f>
        <v>商投建工达州中医药科技园</v>
      </c>
    </row>
    <row r="1745" hidden="1" spans="2:18">
      <c r="B1745" s="113" t="s">
        <v>47</v>
      </c>
      <c r="C1745" s="63">
        <v>45813</v>
      </c>
      <c r="D1745" s="113" t="str">
        <f>VLOOKUP(B1745,辅助信息!E:K,7,FALSE)</f>
        <v>JWDDCD2025052800131</v>
      </c>
      <c r="E1745" s="113" t="str">
        <f>VLOOKUP(F1745,辅助信息!A:B,2,FALSE)</f>
        <v>螺纹钢</v>
      </c>
      <c r="F1745" s="113" t="s">
        <v>66</v>
      </c>
      <c r="G1745" s="114">
        <f>6+6</f>
        <v>12</v>
      </c>
      <c r="H1745" s="114">
        <f>_xlfn.XLOOKUP(C1745&amp;F1745&amp;I1745&amp;J1745,'[1]2025年已发货'!$F:$F&amp;'[1]2025年已发货'!$C:$C&amp;'[1]2025年已发货'!$G:$G&amp;'[1]2025年已发货'!$H:$H,'[1]2025年已发货'!$E:$E,"未发货")</f>
        <v>12</v>
      </c>
      <c r="I1745" s="113" t="str">
        <f>VLOOKUP(B1745,辅助信息!E:I,3,FALSE)</f>
        <v>（商投建工达州中医药科技园-1工区）达州市通川区达州中医药职业学院犀牛大道北段</v>
      </c>
      <c r="J1745" s="113" t="str">
        <f>VLOOKUP(B1745,辅助信息!E:I,4,FALSE)</f>
        <v>程黄刚</v>
      </c>
      <c r="K1745" s="113">
        <f>VLOOKUP(J1745,辅助信息!H:I,2,FALSE)</f>
        <v>15108211617</v>
      </c>
      <c r="L1745" s="120" t="str">
        <f>VLOOKUP(B1745,辅助信息!E:J,6,FALSE)</f>
        <v>控制炉批号！多了现场不收！,优先安排达钢,提前联系到场规格及数量</v>
      </c>
      <c r="M1745" s="84">
        <v>45813</v>
      </c>
      <c r="O1745" s="55">
        <f ca="1" t="shared" si="97"/>
        <v>0</v>
      </c>
      <c r="P1745" s="55">
        <f ca="1" t="shared" si="98"/>
        <v>144</v>
      </c>
      <c r="Q1745" s="22" t="str">
        <f>VLOOKUP(B1745,辅助信息!E:M,9,FALSE)</f>
        <v>ZTWM-CDGS-XS-2024-0134-商投建工达州中医药科技成果示范园项目</v>
      </c>
      <c r="R1745" s="22" t="str">
        <f>_xlfn._xlws.FILTER(辅助信息!D:D,辅助信息!E:E=B1745)</f>
        <v>商投建工达州中医药科技园</v>
      </c>
    </row>
    <row r="1746" hidden="1" spans="2:18">
      <c r="B1746" s="113" t="s">
        <v>47</v>
      </c>
      <c r="C1746" s="63">
        <v>45813</v>
      </c>
      <c r="D1746" s="113" t="str">
        <f>VLOOKUP(B1746,辅助信息!E:K,7,FALSE)</f>
        <v>JWDDCD2025052800131</v>
      </c>
      <c r="E1746" s="113" t="str">
        <f>VLOOKUP(F1746,辅助信息!A:B,2,FALSE)</f>
        <v>螺纹钢</v>
      </c>
      <c r="F1746" s="113" t="s">
        <v>82</v>
      </c>
      <c r="G1746" s="114">
        <f>3+6</f>
        <v>9</v>
      </c>
      <c r="H1746" s="114">
        <f>_xlfn.XLOOKUP(C1746&amp;F1746&amp;I1746&amp;J1746,'[1]2025年已发货'!$F:$F&amp;'[1]2025年已发货'!$C:$C&amp;'[1]2025年已发货'!$G:$G&amp;'[1]2025年已发货'!$H:$H,'[1]2025年已发货'!$E:$E,"未发货")</f>
        <v>9</v>
      </c>
      <c r="I1746" s="113" t="str">
        <f>VLOOKUP(B1746,辅助信息!E:I,3,FALSE)</f>
        <v>（商投建工达州中医药科技园-1工区）达州市通川区达州中医药职业学院犀牛大道北段</v>
      </c>
      <c r="J1746" s="113" t="str">
        <f>VLOOKUP(B1746,辅助信息!E:I,4,FALSE)</f>
        <v>程黄刚</v>
      </c>
      <c r="K1746" s="113">
        <f>VLOOKUP(J1746,辅助信息!H:I,2,FALSE)</f>
        <v>15108211617</v>
      </c>
      <c r="L1746" s="120" t="str">
        <f>VLOOKUP(B1746,辅助信息!E:J,6,FALSE)</f>
        <v>控制炉批号！多了现场不收！,优先安排达钢,提前联系到场规格及数量</v>
      </c>
      <c r="M1746" s="84">
        <v>45813</v>
      </c>
      <c r="O1746" s="55">
        <f ca="1" t="shared" si="97"/>
        <v>0</v>
      </c>
      <c r="P1746" s="55">
        <f ca="1" t="shared" si="98"/>
        <v>144</v>
      </c>
      <c r="Q1746" s="22" t="str">
        <f>VLOOKUP(B1746,辅助信息!E:M,9,FALSE)</f>
        <v>ZTWM-CDGS-XS-2024-0134-商投建工达州中医药科技成果示范园项目</v>
      </c>
      <c r="R1746" s="22" t="str">
        <f>_xlfn._xlws.FILTER(辅助信息!D:D,辅助信息!E:E=B1746)</f>
        <v>商投建工达州中医药科技园</v>
      </c>
    </row>
    <row r="1747" hidden="1" spans="2:18">
      <c r="B1747" s="113" t="s">
        <v>47</v>
      </c>
      <c r="C1747" s="63">
        <v>45813</v>
      </c>
      <c r="D1747" s="113" t="str">
        <f>VLOOKUP(B1747,辅助信息!E:K,7,FALSE)</f>
        <v>JWDDCD2025052800131</v>
      </c>
      <c r="E1747" s="113" t="str">
        <f>VLOOKUP(F1747,辅助信息!A:B,2,FALSE)</f>
        <v>螺纹钢</v>
      </c>
      <c r="F1747" s="113" t="s">
        <v>45</v>
      </c>
      <c r="G1747" s="114">
        <f>6+6</f>
        <v>12</v>
      </c>
      <c r="H1747" s="114">
        <f>_xlfn.XLOOKUP(C1747&amp;F1747&amp;I1747&amp;J1747,'[1]2025年已发货'!$F:$F&amp;'[1]2025年已发货'!$C:$C&amp;'[1]2025年已发货'!$G:$G&amp;'[1]2025年已发货'!$H:$H,'[1]2025年已发货'!$E:$E,"未发货")</f>
        <v>8</v>
      </c>
      <c r="I1747" s="113" t="str">
        <f>VLOOKUP(B1747,辅助信息!E:I,3,FALSE)</f>
        <v>（商投建工达州中医药科技园-1工区）达州市通川区达州中医药职业学院犀牛大道北段</v>
      </c>
      <c r="J1747" s="113" t="str">
        <f>VLOOKUP(B1747,辅助信息!E:I,4,FALSE)</f>
        <v>程黄刚</v>
      </c>
      <c r="K1747" s="113">
        <f>VLOOKUP(J1747,辅助信息!H:I,2,FALSE)</f>
        <v>15108211617</v>
      </c>
      <c r="L1747" s="120" t="str">
        <f>VLOOKUP(B1747,辅助信息!E:J,6,FALSE)</f>
        <v>控制炉批号！多了现场不收！,优先安排达钢,提前联系到场规格及数量</v>
      </c>
      <c r="M1747" s="84">
        <v>45813</v>
      </c>
      <c r="O1747" s="55">
        <f ca="1" t="shared" si="97"/>
        <v>0</v>
      </c>
      <c r="P1747" s="55">
        <f ca="1" t="shared" si="98"/>
        <v>144</v>
      </c>
      <c r="Q1747" s="22" t="str">
        <f>VLOOKUP(B1747,辅助信息!E:M,9,FALSE)</f>
        <v>ZTWM-CDGS-XS-2024-0134-商投建工达州中医药科技成果示范园项目</v>
      </c>
      <c r="R1747" s="22" t="str">
        <f>_xlfn._xlws.FILTER(辅助信息!D:D,辅助信息!E:E=B1747)</f>
        <v>商投建工达州中医药科技园</v>
      </c>
    </row>
    <row r="1748" hidden="1" spans="2:18">
      <c r="B1748" s="113" t="s">
        <v>47</v>
      </c>
      <c r="C1748" s="63">
        <v>45813</v>
      </c>
      <c r="D1748" s="113" t="str">
        <f>VLOOKUP(B1748,辅助信息!E:K,7,FALSE)</f>
        <v>JWDDCD2025052800131</v>
      </c>
      <c r="E1748" s="113" t="str">
        <f>VLOOKUP(F1748,辅助信息!A:B,2,FALSE)</f>
        <v>螺纹钢</v>
      </c>
      <c r="F1748" s="113" t="s">
        <v>21</v>
      </c>
      <c r="G1748" s="114">
        <f>9+6</f>
        <v>15</v>
      </c>
      <c r="H1748" s="114">
        <f>_xlfn.XLOOKUP(C1748&amp;F1748&amp;I1748&amp;J1748,'[1]2025年已发货'!$F:$F&amp;'[1]2025年已发货'!$C:$C&amp;'[1]2025年已发货'!$G:$G&amp;'[1]2025年已发货'!$H:$H,'[1]2025年已发货'!$E:$E,"未发货")</f>
        <v>8</v>
      </c>
      <c r="I1748" s="113" t="str">
        <f>VLOOKUP(B1748,辅助信息!E:I,3,FALSE)</f>
        <v>（商投建工达州中医药科技园-1工区）达州市通川区达州中医药职业学院犀牛大道北段</v>
      </c>
      <c r="J1748" s="113" t="str">
        <f>VLOOKUP(B1748,辅助信息!E:I,4,FALSE)</f>
        <v>程黄刚</v>
      </c>
      <c r="K1748" s="113">
        <f>VLOOKUP(J1748,辅助信息!H:I,2,FALSE)</f>
        <v>15108211617</v>
      </c>
      <c r="L1748" s="120" t="str">
        <f>VLOOKUP(B1748,辅助信息!E:J,6,FALSE)</f>
        <v>控制炉批号！多了现场不收！,优先安排达钢,提前联系到场规格及数量</v>
      </c>
      <c r="M1748" s="84">
        <v>45813</v>
      </c>
      <c r="O1748" s="55">
        <f ca="1" t="shared" si="97"/>
        <v>0</v>
      </c>
      <c r="P1748" s="55">
        <f ca="1" t="shared" si="98"/>
        <v>144</v>
      </c>
      <c r="Q1748" s="22" t="str">
        <f>VLOOKUP(B1748,辅助信息!E:M,9,FALSE)</f>
        <v>ZTWM-CDGS-XS-2024-0134-商投建工达州中医药科技成果示范园项目</v>
      </c>
      <c r="R1748" s="22" t="str">
        <f>_xlfn._xlws.FILTER(辅助信息!D:D,辅助信息!E:E=B1748)</f>
        <v>商投建工达州中医药科技园</v>
      </c>
    </row>
    <row r="1749" hidden="1" spans="2:18">
      <c r="B1749" s="113" t="s">
        <v>47</v>
      </c>
      <c r="C1749" s="63">
        <v>45813</v>
      </c>
      <c r="D1749" s="113" t="str">
        <f>VLOOKUP(B1749,辅助信息!E:K,7,FALSE)</f>
        <v>JWDDCD2025052800131</v>
      </c>
      <c r="E1749" s="113" t="str">
        <f>VLOOKUP(F1749,辅助信息!A:B,2,FALSE)</f>
        <v>螺纹钢</v>
      </c>
      <c r="F1749" s="113" t="s">
        <v>58</v>
      </c>
      <c r="G1749" s="114">
        <f>5+6</f>
        <v>11</v>
      </c>
      <c r="H1749" s="114">
        <f>_xlfn.XLOOKUP(C1749&amp;F1749&amp;I1749&amp;J1749,'[1]2025年已发货'!$F:$F&amp;'[1]2025年已发货'!$C:$C&amp;'[1]2025年已发货'!$G:$G&amp;'[1]2025年已发货'!$H:$H,'[1]2025年已发货'!$E:$E,"未发货")</f>
        <v>8</v>
      </c>
      <c r="I1749" s="113" t="str">
        <f>VLOOKUP(B1749,辅助信息!E:I,3,FALSE)</f>
        <v>（商投建工达州中医药科技园-1工区）达州市通川区达州中医药职业学院犀牛大道北段</v>
      </c>
      <c r="J1749" s="113" t="str">
        <f>VLOOKUP(B1749,辅助信息!E:I,4,FALSE)</f>
        <v>程黄刚</v>
      </c>
      <c r="K1749" s="113">
        <f>VLOOKUP(J1749,辅助信息!H:I,2,FALSE)</f>
        <v>15108211617</v>
      </c>
      <c r="L1749" s="120" t="str">
        <f>VLOOKUP(B1749,辅助信息!E:J,6,FALSE)</f>
        <v>控制炉批号！多了现场不收！,优先安排达钢,提前联系到场规格及数量</v>
      </c>
      <c r="M1749" s="84">
        <v>45813</v>
      </c>
      <c r="O1749" s="55">
        <f ca="1" t="shared" si="97"/>
        <v>0</v>
      </c>
      <c r="P1749" s="55">
        <f ca="1" t="shared" si="98"/>
        <v>144</v>
      </c>
      <c r="Q1749" s="22" t="str">
        <f>VLOOKUP(B1749,辅助信息!E:M,9,FALSE)</f>
        <v>ZTWM-CDGS-XS-2024-0134-商投建工达州中医药科技成果示范园项目</v>
      </c>
      <c r="R1749" s="22" t="str">
        <f>_xlfn._xlws.FILTER(辅助信息!D:D,辅助信息!E:E=B1749)</f>
        <v>商投建工达州中医药科技园</v>
      </c>
    </row>
    <row r="1750" hidden="1" spans="2:18">
      <c r="B1750" s="113" t="s">
        <v>47</v>
      </c>
      <c r="C1750" s="63">
        <v>45813</v>
      </c>
      <c r="D1750" s="113" t="str">
        <f>VLOOKUP(B1750,辅助信息!E:K,7,FALSE)</f>
        <v>JWDDCD2025052800131</v>
      </c>
      <c r="E1750" s="113" t="str">
        <f>VLOOKUP(F1750,辅助信息!A:B,2,FALSE)</f>
        <v>螺纹钢</v>
      </c>
      <c r="F1750" s="113" t="s">
        <v>46</v>
      </c>
      <c r="G1750" s="114">
        <f>8+6</f>
        <v>14</v>
      </c>
      <c r="H1750" s="114">
        <f>_xlfn.XLOOKUP(C1750&amp;F1750&amp;I1750&amp;J1750,'[1]2025年已发货'!$F:$F&amp;'[1]2025年已发货'!$C:$C&amp;'[1]2025年已发货'!$G:$G&amp;'[1]2025年已发货'!$H:$H,'[1]2025年已发货'!$E:$E,"未发货")</f>
        <v>10</v>
      </c>
      <c r="I1750" s="113" t="str">
        <f>VLOOKUP(B1750,辅助信息!E:I,3,FALSE)</f>
        <v>（商投建工达州中医药科技园-1工区）达州市通川区达州中医药职业学院犀牛大道北段</v>
      </c>
      <c r="J1750" s="113" t="str">
        <f>VLOOKUP(B1750,辅助信息!E:I,4,FALSE)</f>
        <v>程黄刚</v>
      </c>
      <c r="K1750" s="113">
        <f>VLOOKUP(J1750,辅助信息!H:I,2,FALSE)</f>
        <v>15108211617</v>
      </c>
      <c r="L1750" s="120" t="str">
        <f>VLOOKUP(B1750,辅助信息!E:J,6,FALSE)</f>
        <v>控制炉批号！多了现场不收！,优先安排达钢,提前联系到场规格及数量</v>
      </c>
      <c r="M1750" s="84">
        <v>45813</v>
      </c>
      <c r="O1750" s="55">
        <f ca="1" t="shared" si="97"/>
        <v>0</v>
      </c>
      <c r="P1750" s="55">
        <f ca="1" t="shared" si="98"/>
        <v>144</v>
      </c>
      <c r="Q1750" s="22" t="str">
        <f>VLOOKUP(B1750,辅助信息!E:M,9,FALSE)</f>
        <v>ZTWM-CDGS-XS-2024-0134-商投建工达州中医药科技成果示范园项目</v>
      </c>
      <c r="R1750" s="22" t="str">
        <f>_xlfn._xlws.FILTER(辅助信息!D:D,辅助信息!E:E=B1750)</f>
        <v>商投建工达州中医药科技园</v>
      </c>
    </row>
    <row r="1751" hidden="1" spans="2:18">
      <c r="B1751" s="113" t="s">
        <v>47</v>
      </c>
      <c r="C1751" s="63">
        <v>45813</v>
      </c>
      <c r="D1751" s="113" t="str">
        <f>VLOOKUP(B1751,辅助信息!E:K,7,FALSE)</f>
        <v>JWDDCD2025052800131</v>
      </c>
      <c r="E1751" s="113" t="str">
        <f>VLOOKUP(F1751,辅助信息!A:B,2,FALSE)</f>
        <v>螺纹钢</v>
      </c>
      <c r="F1751" s="113" t="s">
        <v>22</v>
      </c>
      <c r="G1751" s="114">
        <f>9+6</f>
        <v>15</v>
      </c>
      <c r="H1751" s="114">
        <f>_xlfn.XLOOKUP(C1751&amp;F1751&amp;I1751&amp;J1751,'[1]2025年已发货'!$F:$F&amp;'[1]2025年已发货'!$C:$C&amp;'[1]2025年已发货'!$G:$G&amp;'[1]2025年已发货'!$H:$H,'[1]2025年已发货'!$E:$E,"未发货")</f>
        <v>15</v>
      </c>
      <c r="I1751" s="113" t="str">
        <f>VLOOKUP(B1751,辅助信息!E:I,3,FALSE)</f>
        <v>（商投建工达州中医药科技园-1工区）达州市通川区达州中医药职业学院犀牛大道北段</v>
      </c>
      <c r="J1751" s="113" t="str">
        <f>VLOOKUP(B1751,辅助信息!E:I,4,FALSE)</f>
        <v>程黄刚</v>
      </c>
      <c r="K1751" s="113">
        <f>VLOOKUP(J1751,辅助信息!H:I,2,FALSE)</f>
        <v>15108211617</v>
      </c>
      <c r="L1751" s="120" t="str">
        <f>VLOOKUP(B1751,辅助信息!E:J,6,FALSE)</f>
        <v>控制炉批号！多了现场不收！,优先安排达钢,提前联系到场规格及数量</v>
      </c>
      <c r="M1751" s="84">
        <v>45813</v>
      </c>
      <c r="O1751" s="55">
        <f ca="1" t="shared" si="97"/>
        <v>0</v>
      </c>
      <c r="P1751" s="55">
        <f ca="1" t="shared" si="98"/>
        <v>144</v>
      </c>
      <c r="Q1751" s="22" t="str">
        <f>VLOOKUP(B1751,辅助信息!E:M,9,FALSE)</f>
        <v>ZTWM-CDGS-XS-2024-0134-商投建工达州中医药科技成果示范园项目</v>
      </c>
      <c r="R1751" s="22" t="str">
        <f>_xlfn._xlws.FILTER(辅助信息!D:D,辅助信息!E:E=B1751)</f>
        <v>商投建工达州中医药科技园</v>
      </c>
    </row>
    <row r="1752" hidden="1" spans="2:18">
      <c r="B1752" s="113" t="s">
        <v>47</v>
      </c>
      <c r="C1752" s="63">
        <v>45813</v>
      </c>
      <c r="D1752" s="113" t="str">
        <f>VLOOKUP(B1752,辅助信息!E:K,7,FALSE)</f>
        <v>JWDDCD2025052800131</v>
      </c>
      <c r="E1752" s="113" t="str">
        <f>VLOOKUP(F1752,辅助信息!A:B,2,FALSE)</f>
        <v>螺纹钢</v>
      </c>
      <c r="F1752" s="33" t="s">
        <v>19</v>
      </c>
      <c r="G1752" s="29">
        <v>56</v>
      </c>
      <c r="H1752" s="114">
        <f>_xlfn.XLOOKUP(C1752&amp;F1752&amp;I1752&amp;J1752,'[1]2025年已发货'!$F:$F&amp;'[1]2025年已发货'!$C:$C&amp;'[1]2025年已发货'!$G:$G&amp;'[1]2025年已发货'!$H:$H,'[1]2025年已发货'!$E:$E,"未发货")</f>
        <v>35</v>
      </c>
      <c r="I1752" s="113" t="str">
        <f>VLOOKUP(B1752,辅助信息!E:I,3,FALSE)</f>
        <v>（商投建工达州中医药科技园-1工区）达州市通川区达州中医药职业学院犀牛大道北段</v>
      </c>
      <c r="J1752" s="113" t="str">
        <f>VLOOKUP(B1752,辅助信息!E:I,4,FALSE)</f>
        <v>程黄刚</v>
      </c>
      <c r="K1752" s="113">
        <f>VLOOKUP(J1752,辅助信息!H:I,2,FALSE)</f>
        <v>15108211617</v>
      </c>
      <c r="L1752" s="120" t="str">
        <f>VLOOKUP(B1752,辅助信息!E:J,6,FALSE)</f>
        <v>控制炉批号！多了现场不收！,优先安排达钢,提前联系到场规格及数量</v>
      </c>
      <c r="M1752" s="84">
        <v>45813</v>
      </c>
      <c r="O1752" s="55">
        <f ca="1" t="shared" si="97"/>
        <v>0</v>
      </c>
      <c r="P1752" s="55">
        <f ca="1" t="shared" si="98"/>
        <v>144</v>
      </c>
      <c r="Q1752" s="22" t="str">
        <f>VLOOKUP(B1752,辅助信息!E:M,9,FALSE)</f>
        <v>ZTWM-CDGS-XS-2024-0134-商投建工达州中医药科技成果示范园项目</v>
      </c>
      <c r="R1752" s="22" t="str">
        <f>_xlfn._xlws.FILTER(辅助信息!D:D,辅助信息!E:E=B1752)</f>
        <v>商投建工达州中医药科技园</v>
      </c>
    </row>
    <row r="1753" hidden="1" spans="2:18">
      <c r="B1753" s="33" t="s">
        <v>92</v>
      </c>
      <c r="C1753" s="63">
        <v>45819</v>
      </c>
      <c r="D1753" s="113" t="str">
        <f>VLOOKUP(B1753,辅助信息!E:K,7,FALSE)</f>
        <v>JWDDCD2025051800046</v>
      </c>
      <c r="E1753" s="113" t="str">
        <f>VLOOKUP(F1753,辅助信息!A:B,2,FALSE)</f>
        <v>盘螺</v>
      </c>
      <c r="F1753" s="33" t="s">
        <v>49</v>
      </c>
      <c r="G1753" s="29">
        <v>4</v>
      </c>
      <c r="H1753" s="114">
        <v>4</v>
      </c>
      <c r="I1753" s="113" t="str">
        <f>VLOOKUP(B1753,辅助信息!E:I,3,FALSE)</f>
        <v>（华西萌海科创农业生态谷）成都市简阳市白金山水库</v>
      </c>
      <c r="J1753" s="113" t="str">
        <f>VLOOKUP(B1753,辅助信息!E:I,4,FALSE)</f>
        <v>石清国</v>
      </c>
      <c r="K1753" s="113">
        <f>VLOOKUP(J1753,辅助信息!H:I,2,FALSE)</f>
        <v>13458642015</v>
      </c>
      <c r="L1753" s="120" t="str">
        <f>VLOOKUP(B1753,辅助信息!E:J,6,FALSE)</f>
        <v>优先威钢,我方卸车,新老国标钢厂不加价可直发</v>
      </c>
      <c r="M1753" s="84">
        <v>45820</v>
      </c>
      <c r="O1753" s="55">
        <f ca="1" t="shared" ref="O1753:O1762" si="99">IF(OR(M1753="",N1753&lt;&gt;""),"",MAX(M1753-TODAY(),0))</f>
        <v>0</v>
      </c>
      <c r="P1753" s="55">
        <f ca="1" t="shared" ref="P1753:P1762" si="100">IF(M1753="","",IF(N1753&lt;&gt;"",MAX(N1753-M1753,0),IF(TODAY()&gt;M1753,TODAY()-M1753,0)))</f>
        <v>137</v>
      </c>
      <c r="Q1753" s="22" t="str">
        <f>VLOOKUP(B1753,辅助信息!E:M,9,FALSE)</f>
        <v>ZTWM-CDGS-XS-2024-0092-华西-萌海科创农业生态谷</v>
      </c>
      <c r="R1753" s="22" t="str">
        <f>_xlfn._xlws.FILTER(辅助信息!D:D,辅助信息!E:E=B1753)</f>
        <v>华西萌海-科创农业生态谷</v>
      </c>
    </row>
    <row r="1754" hidden="1" spans="2:18">
      <c r="B1754" s="33" t="s">
        <v>92</v>
      </c>
      <c r="C1754" s="63">
        <v>45819</v>
      </c>
      <c r="D1754" s="113" t="str">
        <f>VLOOKUP(B1754,辅助信息!E:K,7,FALSE)</f>
        <v>JWDDCD2025051800046</v>
      </c>
      <c r="E1754" s="113" t="str">
        <f>VLOOKUP(F1754,辅助信息!A:B,2,FALSE)</f>
        <v>盘螺</v>
      </c>
      <c r="F1754" s="33" t="s">
        <v>40</v>
      </c>
      <c r="G1754" s="29">
        <v>32</v>
      </c>
      <c r="H1754" s="114">
        <v>32</v>
      </c>
      <c r="I1754" s="113" t="str">
        <f>VLOOKUP(B1754,辅助信息!E:I,3,FALSE)</f>
        <v>（华西萌海科创农业生态谷）成都市简阳市白金山水库</v>
      </c>
      <c r="J1754" s="113" t="str">
        <f>VLOOKUP(B1754,辅助信息!E:I,4,FALSE)</f>
        <v>石清国</v>
      </c>
      <c r="K1754" s="113">
        <f>VLOOKUP(J1754,辅助信息!H:I,2,FALSE)</f>
        <v>13458642015</v>
      </c>
      <c r="L1754" s="120" t="str">
        <f>VLOOKUP(B1754,辅助信息!E:J,6,FALSE)</f>
        <v>优先威钢,我方卸车,新老国标钢厂不加价可直发</v>
      </c>
      <c r="M1754" s="84">
        <v>45820</v>
      </c>
      <c r="O1754" s="55">
        <f ca="1" t="shared" si="99"/>
        <v>0</v>
      </c>
      <c r="P1754" s="55">
        <f ca="1" t="shared" si="100"/>
        <v>137</v>
      </c>
      <c r="Q1754" s="22" t="str">
        <f>VLOOKUP(B1754,辅助信息!E:M,9,FALSE)</f>
        <v>ZTWM-CDGS-XS-2024-0092-华西-萌海科创农业生态谷</v>
      </c>
      <c r="R1754" s="22" t="str">
        <f>_xlfn._xlws.FILTER(辅助信息!D:D,辅助信息!E:E=B1754)</f>
        <v>华西萌海-科创农业生态谷</v>
      </c>
    </row>
    <row r="1755" hidden="1" spans="2:18">
      <c r="B1755" s="33" t="s">
        <v>92</v>
      </c>
      <c r="C1755" s="63">
        <v>45819</v>
      </c>
      <c r="D1755" s="113" t="str">
        <f>VLOOKUP(B1755,辅助信息!E:K,7,FALSE)</f>
        <v>JWDDCD2025051800046</v>
      </c>
      <c r="E1755" s="113" t="str">
        <f>VLOOKUP(F1755,辅助信息!A:B,2,FALSE)</f>
        <v>盘螺</v>
      </c>
      <c r="F1755" s="33" t="s">
        <v>41</v>
      </c>
      <c r="G1755" s="29">
        <v>16</v>
      </c>
      <c r="H1755" s="114">
        <v>16</v>
      </c>
      <c r="I1755" s="113" t="str">
        <f>VLOOKUP(B1755,辅助信息!E:I,3,FALSE)</f>
        <v>（华西萌海科创农业生态谷）成都市简阳市白金山水库</v>
      </c>
      <c r="J1755" s="113" t="str">
        <f>VLOOKUP(B1755,辅助信息!E:I,4,FALSE)</f>
        <v>石清国</v>
      </c>
      <c r="K1755" s="113">
        <f>VLOOKUP(J1755,辅助信息!H:I,2,FALSE)</f>
        <v>13458642015</v>
      </c>
      <c r="L1755" s="120" t="str">
        <f>VLOOKUP(B1755,辅助信息!E:J,6,FALSE)</f>
        <v>优先威钢,我方卸车,新老国标钢厂不加价可直发</v>
      </c>
      <c r="M1755" s="84">
        <v>45820</v>
      </c>
      <c r="O1755" s="55">
        <f ca="1" t="shared" si="99"/>
        <v>0</v>
      </c>
      <c r="P1755" s="55">
        <f ca="1" t="shared" si="100"/>
        <v>137</v>
      </c>
      <c r="Q1755" s="22" t="str">
        <f>VLOOKUP(B1755,辅助信息!E:M,9,FALSE)</f>
        <v>ZTWM-CDGS-XS-2024-0092-华西-萌海科创农业生态谷</v>
      </c>
      <c r="R1755" s="22" t="str">
        <f>_xlfn._xlws.FILTER(辅助信息!D:D,辅助信息!E:E=B1755)</f>
        <v>华西萌海-科创农业生态谷</v>
      </c>
    </row>
    <row r="1756" hidden="1" spans="2:18">
      <c r="B1756" s="33" t="s">
        <v>92</v>
      </c>
      <c r="C1756" s="63">
        <v>45819</v>
      </c>
      <c r="D1756" s="113" t="str">
        <f>VLOOKUP(B1756,辅助信息!E:K,7,FALSE)</f>
        <v>JWDDCD2025051800046</v>
      </c>
      <c r="E1756" s="113" t="str">
        <f>VLOOKUP(F1756,辅助信息!A:B,2,FALSE)</f>
        <v>螺纹钢</v>
      </c>
      <c r="F1756" s="33" t="s">
        <v>27</v>
      </c>
      <c r="G1756" s="29">
        <v>10</v>
      </c>
      <c r="H1756" s="114">
        <v>10</v>
      </c>
      <c r="I1756" s="113" t="str">
        <f>VLOOKUP(B1756,辅助信息!E:I,3,FALSE)</f>
        <v>（华西萌海科创农业生态谷）成都市简阳市白金山水库</v>
      </c>
      <c r="J1756" s="113" t="str">
        <f>VLOOKUP(B1756,辅助信息!E:I,4,FALSE)</f>
        <v>石清国</v>
      </c>
      <c r="K1756" s="113">
        <f>VLOOKUP(J1756,辅助信息!H:I,2,FALSE)</f>
        <v>13458642015</v>
      </c>
      <c r="L1756" s="120" t="str">
        <f>VLOOKUP(B1756,辅助信息!E:J,6,FALSE)</f>
        <v>优先威钢,我方卸车,新老国标钢厂不加价可直发</v>
      </c>
      <c r="M1756" s="84">
        <v>45820</v>
      </c>
      <c r="O1756" s="55">
        <f ca="1" t="shared" si="99"/>
        <v>0</v>
      </c>
      <c r="P1756" s="55">
        <f ca="1" t="shared" si="100"/>
        <v>137</v>
      </c>
      <c r="Q1756" s="22" t="str">
        <f>VLOOKUP(B1756,辅助信息!E:M,9,FALSE)</f>
        <v>ZTWM-CDGS-XS-2024-0092-华西-萌海科创农业生态谷</v>
      </c>
      <c r="R1756" s="22" t="str">
        <f>_xlfn._xlws.FILTER(辅助信息!D:D,辅助信息!E:E=B1756)</f>
        <v>华西萌海-科创农业生态谷</v>
      </c>
    </row>
    <row r="1757" hidden="1" spans="2:18">
      <c r="B1757" s="33" t="s">
        <v>92</v>
      </c>
      <c r="C1757" s="63">
        <v>45819</v>
      </c>
      <c r="D1757" s="113" t="str">
        <f>VLOOKUP(B1757,辅助信息!E:K,7,FALSE)</f>
        <v>JWDDCD2025051800046</v>
      </c>
      <c r="E1757" s="113" t="str">
        <f>VLOOKUP(F1757,辅助信息!A:B,2,FALSE)</f>
        <v>螺纹钢</v>
      </c>
      <c r="F1757" s="33" t="s">
        <v>19</v>
      </c>
      <c r="G1757" s="29">
        <v>6</v>
      </c>
      <c r="H1757" s="114">
        <v>6</v>
      </c>
      <c r="I1757" s="113" t="str">
        <f>VLOOKUP(B1757,辅助信息!E:I,3,FALSE)</f>
        <v>（华西萌海科创农业生态谷）成都市简阳市白金山水库</v>
      </c>
      <c r="J1757" s="113" t="str">
        <f>VLOOKUP(B1757,辅助信息!E:I,4,FALSE)</f>
        <v>石清国</v>
      </c>
      <c r="K1757" s="113">
        <f>VLOOKUP(J1757,辅助信息!H:I,2,FALSE)</f>
        <v>13458642015</v>
      </c>
      <c r="L1757" s="120" t="str">
        <f>VLOOKUP(B1757,辅助信息!E:J,6,FALSE)</f>
        <v>优先威钢,我方卸车,新老国标钢厂不加价可直发</v>
      </c>
      <c r="M1757" s="84">
        <v>45820</v>
      </c>
      <c r="O1757" s="55">
        <f ca="1" t="shared" si="99"/>
        <v>0</v>
      </c>
      <c r="P1757" s="55">
        <f ca="1" t="shared" si="100"/>
        <v>137</v>
      </c>
      <c r="Q1757" s="22" t="str">
        <f>VLOOKUP(B1757,辅助信息!E:M,9,FALSE)</f>
        <v>ZTWM-CDGS-XS-2024-0092-华西-萌海科创农业生态谷</v>
      </c>
      <c r="R1757" s="22" t="str">
        <f>_xlfn._xlws.FILTER(辅助信息!D:D,辅助信息!E:E=B1757)</f>
        <v>华西萌海-科创农业生态谷</v>
      </c>
    </row>
    <row r="1758" hidden="1" spans="2:18">
      <c r="B1758" s="33" t="s">
        <v>92</v>
      </c>
      <c r="C1758" s="63">
        <v>45819</v>
      </c>
      <c r="D1758" s="113" t="str">
        <f>VLOOKUP(B1758,辅助信息!E:K,7,FALSE)</f>
        <v>JWDDCD2025051800046</v>
      </c>
      <c r="E1758" s="113" t="str">
        <f>VLOOKUP(F1758,辅助信息!A:B,2,FALSE)</f>
        <v>螺纹钢</v>
      </c>
      <c r="F1758" s="33" t="s">
        <v>65</v>
      </c>
      <c r="G1758" s="29">
        <v>3</v>
      </c>
      <c r="H1758" s="114">
        <v>3</v>
      </c>
      <c r="I1758" s="113" t="str">
        <f>VLOOKUP(B1758,辅助信息!E:I,3,FALSE)</f>
        <v>（华西萌海科创农业生态谷）成都市简阳市白金山水库</v>
      </c>
      <c r="J1758" s="113" t="str">
        <f>VLOOKUP(B1758,辅助信息!E:I,4,FALSE)</f>
        <v>石清国</v>
      </c>
      <c r="K1758" s="113">
        <f>VLOOKUP(J1758,辅助信息!H:I,2,FALSE)</f>
        <v>13458642015</v>
      </c>
      <c r="L1758" s="120" t="str">
        <f>VLOOKUP(B1758,辅助信息!E:J,6,FALSE)</f>
        <v>优先威钢,我方卸车,新老国标钢厂不加价可直发</v>
      </c>
      <c r="M1758" s="84">
        <v>45820</v>
      </c>
      <c r="O1758" s="55">
        <f ca="1" t="shared" si="99"/>
        <v>0</v>
      </c>
      <c r="P1758" s="55">
        <f ca="1" t="shared" si="100"/>
        <v>137</v>
      </c>
      <c r="Q1758" s="22" t="str">
        <f>VLOOKUP(B1758,辅助信息!E:M,9,FALSE)</f>
        <v>ZTWM-CDGS-XS-2024-0092-华西-萌海科创农业生态谷</v>
      </c>
      <c r="R1758" s="22" t="str">
        <f>_xlfn._xlws.FILTER(辅助信息!D:D,辅助信息!E:E=B1758)</f>
        <v>华西萌海-科创农业生态谷</v>
      </c>
    </row>
    <row r="1759" hidden="1" spans="2:18">
      <c r="B1759" s="33" t="s">
        <v>81</v>
      </c>
      <c r="C1759" s="63">
        <v>45819</v>
      </c>
      <c r="D1759" s="113" t="str">
        <f>VLOOKUP(B1759,辅助信息!E:K,7,FALSE)</f>
        <v>JWDDCD2025060900080</v>
      </c>
      <c r="E1759" s="113" t="str">
        <f>VLOOKUP(F1759,辅助信息!A:B,2,FALSE)</f>
        <v>盘螺</v>
      </c>
      <c r="F1759" s="33" t="s">
        <v>40</v>
      </c>
      <c r="G1759" s="29">
        <v>5</v>
      </c>
      <c r="H1759" s="114" t="str">
        <f>_xlfn.XLOOKUP(C1759&amp;F1759&amp;I1759&amp;J1759,'[1]2025年已发货'!$F:$F&amp;'[1]2025年已发货'!$C:$C&amp;'[1]2025年已发货'!$G:$G&amp;'[1]2025年已发货'!$H:$H,'[1]2025年已发货'!$E:$E,"未发货")</f>
        <v>未发货</v>
      </c>
      <c r="I1759" s="113" t="str">
        <f>VLOOKUP(B1759,辅助信息!E:I,3,FALSE)</f>
        <v>（华西简阳西城嘉苑）四川省成都市简阳市简城街道高屋村</v>
      </c>
      <c r="J1759" s="113" t="str">
        <f>VLOOKUP(B1759,辅助信息!E:I,4,FALSE)</f>
        <v>张瀚镭</v>
      </c>
      <c r="K1759" s="113">
        <f>VLOOKUP(J1759,辅助信息!H:I,2,FALSE)</f>
        <v>15884666220</v>
      </c>
      <c r="L1759" s="120" t="str">
        <f>VLOOKUP(B1759,辅助信息!E:J,6,FALSE)</f>
        <v>现场禁止使用氢能源挂车！优先威钢发货,我方卸车,新老国标钢厂不加价可直发，因陕钢多次出现磅差，项目拒绝使用</v>
      </c>
      <c r="M1759" s="84">
        <v>45819</v>
      </c>
      <c r="O1759" s="55">
        <f ca="1" t="shared" si="99"/>
        <v>0</v>
      </c>
      <c r="P1759" s="55">
        <f ca="1" t="shared" si="100"/>
        <v>138</v>
      </c>
      <c r="Q1759" s="22" t="str">
        <f>VLOOKUP(B1759,辅助信息!E:M,9,FALSE)</f>
        <v>ZTWM-CDGS-XS-2024-0030-华西集采-简州大道</v>
      </c>
      <c r="R1759" s="22" t="str">
        <f>_xlfn._xlws.FILTER(辅助信息!D:D,辅助信息!E:E=B1759)</f>
        <v>华西简阳西城嘉苑</v>
      </c>
    </row>
    <row r="1760" hidden="1" spans="2:18">
      <c r="B1760" s="33" t="s">
        <v>81</v>
      </c>
      <c r="C1760" s="63">
        <v>45819</v>
      </c>
      <c r="D1760" s="113" t="str">
        <f>VLOOKUP(B1760,辅助信息!E:K,7,FALSE)</f>
        <v>JWDDCD2025060900080</v>
      </c>
      <c r="E1760" s="113" t="str">
        <f>VLOOKUP(F1760,辅助信息!A:B,2,FALSE)</f>
        <v>盘螺</v>
      </c>
      <c r="F1760" s="33" t="s">
        <v>41</v>
      </c>
      <c r="G1760" s="29">
        <v>14</v>
      </c>
      <c r="H1760" s="114" t="str">
        <f>_xlfn.XLOOKUP(C1760&amp;F1760&amp;I1760&amp;J1760,'[1]2025年已发货'!$F:$F&amp;'[1]2025年已发货'!$C:$C&amp;'[1]2025年已发货'!$G:$G&amp;'[1]2025年已发货'!$H:$H,'[1]2025年已发货'!$E:$E,"未发货")</f>
        <v>未发货</v>
      </c>
      <c r="I1760" s="113" t="str">
        <f>VLOOKUP(B1760,辅助信息!E:I,3,FALSE)</f>
        <v>（华西简阳西城嘉苑）四川省成都市简阳市简城街道高屋村</v>
      </c>
      <c r="J1760" s="113" t="str">
        <f>VLOOKUP(B1760,辅助信息!E:I,4,FALSE)</f>
        <v>张瀚镭</v>
      </c>
      <c r="K1760" s="113">
        <f>VLOOKUP(J1760,辅助信息!H:I,2,FALSE)</f>
        <v>15884666220</v>
      </c>
      <c r="L1760" s="120" t="str">
        <f>VLOOKUP(B1760,辅助信息!E:J,6,FALSE)</f>
        <v>现场禁止使用氢能源挂车！优先威钢发货,我方卸车,新老国标钢厂不加价可直发，因陕钢多次出现磅差，项目拒绝使用</v>
      </c>
      <c r="M1760" s="84">
        <v>45819</v>
      </c>
      <c r="O1760" s="55">
        <f ca="1" t="shared" si="99"/>
        <v>0</v>
      </c>
      <c r="P1760" s="55">
        <f ca="1" t="shared" si="100"/>
        <v>138</v>
      </c>
      <c r="Q1760" s="22" t="str">
        <f>VLOOKUP(B1760,辅助信息!E:M,9,FALSE)</f>
        <v>ZTWM-CDGS-XS-2024-0030-华西集采-简州大道</v>
      </c>
      <c r="R1760" s="22" t="str">
        <f>_xlfn._xlws.FILTER(辅助信息!D:D,辅助信息!E:E=B1760)</f>
        <v>华西简阳西城嘉苑</v>
      </c>
    </row>
    <row r="1761" hidden="1" spans="2:18">
      <c r="B1761" s="33" t="s">
        <v>81</v>
      </c>
      <c r="C1761" s="63">
        <v>45819</v>
      </c>
      <c r="D1761" s="113" t="str">
        <f>VLOOKUP(B1761,辅助信息!E:K,7,FALSE)</f>
        <v>JWDDCD2025060900080</v>
      </c>
      <c r="E1761" s="113" t="str">
        <f>VLOOKUP(F1761,辅助信息!A:B,2,FALSE)</f>
        <v>盘螺</v>
      </c>
      <c r="F1761" s="33" t="s">
        <v>26</v>
      </c>
      <c r="G1761" s="29">
        <v>33</v>
      </c>
      <c r="H1761" s="114">
        <f>_xlfn.XLOOKUP(C1761&amp;F1761&amp;I1761&amp;J1761,'[1]2025年已发货'!$F:$F&amp;'[1]2025年已发货'!$C:$C&amp;'[1]2025年已发货'!$G:$G&amp;'[1]2025年已发货'!$H:$H,'[1]2025年已发货'!$E:$E,"未发货")</f>
        <v>30</v>
      </c>
      <c r="I1761" s="113" t="str">
        <f>VLOOKUP(B1761,辅助信息!E:I,3,FALSE)</f>
        <v>（华西简阳西城嘉苑）四川省成都市简阳市简城街道高屋村</v>
      </c>
      <c r="J1761" s="113" t="str">
        <f>VLOOKUP(B1761,辅助信息!E:I,4,FALSE)</f>
        <v>张瀚镭</v>
      </c>
      <c r="K1761" s="113">
        <f>VLOOKUP(J1761,辅助信息!H:I,2,FALSE)</f>
        <v>15884666220</v>
      </c>
      <c r="L1761" s="120" t="str">
        <f>VLOOKUP(B1761,辅助信息!E:J,6,FALSE)</f>
        <v>现场禁止使用氢能源挂车！优先威钢发货,我方卸车,新老国标钢厂不加价可直发，因陕钢多次出现磅差，项目拒绝使用</v>
      </c>
      <c r="M1761" s="84">
        <v>45819</v>
      </c>
      <c r="O1761" s="55">
        <f ca="1" t="shared" si="99"/>
        <v>0</v>
      </c>
      <c r="P1761" s="55">
        <f ca="1" t="shared" si="100"/>
        <v>138</v>
      </c>
      <c r="Q1761" s="22" t="str">
        <f>VLOOKUP(B1761,辅助信息!E:M,9,FALSE)</f>
        <v>ZTWM-CDGS-XS-2024-0030-华西集采-简州大道</v>
      </c>
      <c r="R1761" s="22" t="str">
        <f>_xlfn._xlws.FILTER(辅助信息!D:D,辅助信息!E:E=B1761)</f>
        <v>华西简阳西城嘉苑</v>
      </c>
    </row>
    <row r="1762" hidden="1" spans="2:18">
      <c r="B1762" s="33" t="s">
        <v>81</v>
      </c>
      <c r="C1762" s="63">
        <v>45819</v>
      </c>
      <c r="D1762" s="113" t="str">
        <f>VLOOKUP(B1762,辅助信息!E:K,7,FALSE)</f>
        <v>JWDDCD2025060900080</v>
      </c>
      <c r="E1762" s="113" t="str">
        <f>VLOOKUP(F1762,辅助信息!A:B,2,FALSE)</f>
        <v>螺纹钢</v>
      </c>
      <c r="F1762" s="33" t="s">
        <v>32</v>
      </c>
      <c r="G1762" s="29">
        <v>22</v>
      </c>
      <c r="H1762" s="114">
        <f>_xlfn.XLOOKUP(C1762&amp;F1762&amp;I1762&amp;J1762,'[1]2025年已发货'!$F:$F&amp;'[1]2025年已发货'!$C:$C&amp;'[1]2025年已发货'!$G:$G&amp;'[1]2025年已发货'!$H:$H,'[1]2025年已发货'!$E:$E,"未发货")</f>
        <v>5</v>
      </c>
      <c r="I1762" s="113" t="str">
        <f>VLOOKUP(B1762,辅助信息!E:I,3,FALSE)</f>
        <v>（华西简阳西城嘉苑）四川省成都市简阳市简城街道高屋村</v>
      </c>
      <c r="J1762" s="113" t="str">
        <f>VLOOKUP(B1762,辅助信息!E:I,4,FALSE)</f>
        <v>张瀚镭</v>
      </c>
      <c r="K1762" s="113">
        <f>VLOOKUP(J1762,辅助信息!H:I,2,FALSE)</f>
        <v>15884666220</v>
      </c>
      <c r="L1762" s="120" t="str">
        <f>VLOOKUP(B1762,辅助信息!E:J,6,FALSE)</f>
        <v>现场禁止使用氢能源挂车！优先威钢发货,我方卸车,新老国标钢厂不加价可直发，因陕钢多次出现磅差，项目拒绝使用</v>
      </c>
      <c r="M1762" s="84">
        <v>45819</v>
      </c>
      <c r="O1762" s="55">
        <f ca="1" t="shared" si="99"/>
        <v>0</v>
      </c>
      <c r="P1762" s="55">
        <f ca="1" t="shared" si="100"/>
        <v>138</v>
      </c>
      <c r="Q1762" s="22" t="str">
        <f>VLOOKUP(B1762,辅助信息!E:M,9,FALSE)</f>
        <v>ZTWM-CDGS-XS-2024-0030-华西集采-简州大道</v>
      </c>
      <c r="R1762" s="22" t="str">
        <f>_xlfn._xlws.FILTER(辅助信息!D:D,辅助信息!E:E=B1762)</f>
        <v>华西简阳西城嘉苑</v>
      </c>
    </row>
    <row r="1763" hidden="1" spans="2:18">
      <c r="B1763" s="33" t="s">
        <v>161</v>
      </c>
      <c r="C1763" s="63">
        <v>45819</v>
      </c>
      <c r="D1763" s="113" t="str">
        <f>VLOOKUP(B1763,辅助信息!E:K,7,FALSE)</f>
        <v>JWDD2025071500089</v>
      </c>
      <c r="E1763" s="113" t="str">
        <f>VLOOKUP(F1763,辅助信息!A:B,2,FALSE)</f>
        <v>盘螺</v>
      </c>
      <c r="F1763" s="33" t="s">
        <v>41</v>
      </c>
      <c r="G1763" s="29">
        <v>16</v>
      </c>
      <c r="H1763" s="114" t="str">
        <f>_xlfn.XLOOKUP(C1763&amp;F1763&amp;I1763&amp;J1763,'[1]2025年已发货'!$F:$F&amp;'[1]2025年已发货'!$C:$C&amp;'[1]2025年已发货'!$G:$G&amp;'[1]2025年已发货'!$H:$H,'[1]2025年已发货'!$E:$E,"未发货")</f>
        <v>未发货</v>
      </c>
      <c r="I1763" s="113" t="str">
        <f>VLOOKUP(B1763,辅助信息!E:I,3,FALSE)</f>
        <v>(宜宾兴港三江新区长江工业园保障性租赁住房建设项目-1标)四川省宜宾市翠屏区永善路南段宜宾市三江新区长江工业园区</v>
      </c>
      <c r="J1763" s="113" t="str">
        <f>VLOOKUP(B1763,辅助信息!E:I,4,FALSE)</f>
        <v>赵元虎</v>
      </c>
      <c r="K1763" s="113">
        <f>VLOOKUP(J1763,辅助信息!H:I,2,FALSE)</f>
        <v>13684167136</v>
      </c>
      <c r="L1763" s="120" t="str">
        <f>VLOOKUP(B1763,辅助信息!E:J,6,FALSE)</f>
        <v>现场要求调度统一联系指定收货人，不单独发司机位置。锈货不收，装货前联系收货人核实到场规格,没提前告知进场规格现场不给予接收</v>
      </c>
      <c r="M1763" s="84">
        <v>45819</v>
      </c>
      <c r="O1763" s="55">
        <f ca="1" t="shared" ref="O1763:O1783" si="101">IF(OR(M1763="",N1763&lt;&gt;""),"",MAX(M1763-TODAY(),0))</f>
        <v>0</v>
      </c>
      <c r="P1763" s="55">
        <f ca="1" t="shared" ref="P1763:P1783" si="102">IF(M1763="","",IF(N1763&lt;&gt;"",MAX(N1763-M1763,0),IF(TODAY()&gt;M1763,TODAY()-M1763,0)))</f>
        <v>138</v>
      </c>
      <c r="Q1763" s="22" t="str">
        <f>VLOOKUP(B1763,辅助信息!E:M,9,FALSE)</f>
        <v>ZTWM-CDYXGS-XS-2025-0014-宜宾兴港建材-三江新区长江工业园片区保障性租赁住房建设项目</v>
      </c>
      <c r="R1763" s="22" t="str">
        <f>_xlfn._xlws.FILTER(辅助信息!D:D,辅助信息!E:E=B1763)</f>
        <v>宜宾兴港三江新区长江工业园建设项目</v>
      </c>
    </row>
    <row r="1764" hidden="1" spans="2:18">
      <c r="B1764" s="33" t="s">
        <v>161</v>
      </c>
      <c r="C1764" s="63">
        <v>45819</v>
      </c>
      <c r="D1764" s="113" t="str">
        <f>VLOOKUP(B1764,辅助信息!E:K,7,FALSE)</f>
        <v>JWDD2025071500089</v>
      </c>
      <c r="E1764" s="113" t="str">
        <f>VLOOKUP(F1764,辅助信息!A:B,2,FALSE)</f>
        <v>盘螺</v>
      </c>
      <c r="F1764" s="33" t="s">
        <v>26</v>
      </c>
      <c r="G1764" s="29">
        <v>9</v>
      </c>
      <c r="H1764" s="114" t="str">
        <f>_xlfn.XLOOKUP(C1764&amp;F1764&amp;I1764&amp;J1764,'[1]2025年已发货'!$F:$F&amp;'[1]2025年已发货'!$C:$C&amp;'[1]2025年已发货'!$G:$G&amp;'[1]2025年已发货'!$H:$H,'[1]2025年已发货'!$E:$E,"未发货")</f>
        <v>未发货</v>
      </c>
      <c r="I1764" s="113" t="str">
        <f>VLOOKUP(B1764,辅助信息!E:I,3,FALSE)</f>
        <v>(宜宾兴港三江新区长江工业园保障性租赁住房建设项目-1标)四川省宜宾市翠屏区永善路南段宜宾市三江新区长江工业园区</v>
      </c>
      <c r="J1764" s="113" t="str">
        <f>VLOOKUP(B1764,辅助信息!E:I,4,FALSE)</f>
        <v>赵元虎</v>
      </c>
      <c r="K1764" s="113">
        <f>VLOOKUP(J1764,辅助信息!H:I,2,FALSE)</f>
        <v>13684167136</v>
      </c>
      <c r="L1764" s="120" t="str">
        <f>VLOOKUP(B1764,辅助信息!E:J,6,FALSE)</f>
        <v>现场要求调度统一联系指定收货人，不单独发司机位置。锈货不收，装货前联系收货人核实到场规格,没提前告知进场规格现场不给予接收</v>
      </c>
      <c r="M1764" s="84">
        <v>45819</v>
      </c>
      <c r="O1764" s="55">
        <f ca="1" t="shared" si="101"/>
        <v>0</v>
      </c>
      <c r="P1764" s="55">
        <f ca="1" t="shared" si="102"/>
        <v>138</v>
      </c>
      <c r="Q1764" s="22" t="str">
        <f>VLOOKUP(B1764,辅助信息!E:M,9,FALSE)</f>
        <v>ZTWM-CDYXGS-XS-2025-0014-宜宾兴港建材-三江新区长江工业园片区保障性租赁住房建设项目</v>
      </c>
      <c r="R1764" s="22" t="str">
        <f>_xlfn._xlws.FILTER(辅助信息!D:D,辅助信息!E:E=B1764)</f>
        <v>宜宾兴港三江新区长江工业园建设项目</v>
      </c>
    </row>
    <row r="1765" hidden="1" spans="2:18">
      <c r="B1765" s="33" t="s">
        <v>161</v>
      </c>
      <c r="C1765" s="63">
        <v>45819</v>
      </c>
      <c r="D1765" s="113" t="str">
        <f>VLOOKUP(B1765,辅助信息!E:K,7,FALSE)</f>
        <v>JWDD2025071500089</v>
      </c>
      <c r="E1765" s="113" t="str">
        <f>VLOOKUP(F1765,辅助信息!A:B,2,FALSE)</f>
        <v>螺纹钢</v>
      </c>
      <c r="F1765" s="33" t="s">
        <v>19</v>
      </c>
      <c r="G1765" s="29">
        <v>4</v>
      </c>
      <c r="H1765" s="114" t="str">
        <f>_xlfn.XLOOKUP(C1765&amp;F1765&amp;I1765&amp;J1765,'[1]2025年已发货'!$F:$F&amp;'[1]2025年已发货'!$C:$C&amp;'[1]2025年已发货'!$G:$G&amp;'[1]2025年已发货'!$H:$H,'[1]2025年已发货'!$E:$E,"未发货")</f>
        <v>未发货</v>
      </c>
      <c r="I1765" s="113" t="str">
        <f>VLOOKUP(B1765,辅助信息!E:I,3,FALSE)</f>
        <v>(宜宾兴港三江新区长江工业园保障性租赁住房建设项目-1标)四川省宜宾市翠屏区永善路南段宜宾市三江新区长江工业园区</v>
      </c>
      <c r="J1765" s="113" t="str">
        <f>VLOOKUP(B1765,辅助信息!E:I,4,FALSE)</f>
        <v>赵元虎</v>
      </c>
      <c r="K1765" s="113">
        <f>VLOOKUP(J1765,辅助信息!H:I,2,FALSE)</f>
        <v>13684167136</v>
      </c>
      <c r="L1765" s="120" t="str">
        <f>VLOOKUP(B1765,辅助信息!E:J,6,FALSE)</f>
        <v>现场要求调度统一联系指定收货人，不单独发司机位置。锈货不收，装货前联系收货人核实到场规格,没提前告知进场规格现场不给予接收</v>
      </c>
      <c r="M1765" s="84">
        <v>45819</v>
      </c>
      <c r="O1765" s="55">
        <f ca="1" t="shared" si="101"/>
        <v>0</v>
      </c>
      <c r="P1765" s="55">
        <f ca="1" t="shared" si="102"/>
        <v>138</v>
      </c>
      <c r="Q1765" s="22" t="str">
        <f>VLOOKUP(B1765,辅助信息!E:M,9,FALSE)</f>
        <v>ZTWM-CDYXGS-XS-2025-0014-宜宾兴港建材-三江新区长江工业园片区保障性租赁住房建设项目</v>
      </c>
      <c r="R1765" s="22" t="str">
        <f>_xlfn._xlws.FILTER(辅助信息!D:D,辅助信息!E:E=B1765)</f>
        <v>宜宾兴港三江新区长江工业园建设项目</v>
      </c>
    </row>
    <row r="1766" hidden="1" spans="2:18">
      <c r="B1766" s="33" t="s">
        <v>161</v>
      </c>
      <c r="C1766" s="63">
        <v>45819</v>
      </c>
      <c r="D1766" s="113" t="str">
        <f>VLOOKUP(B1766,辅助信息!E:K,7,FALSE)</f>
        <v>JWDD2025071500089</v>
      </c>
      <c r="E1766" s="113" t="str">
        <f>VLOOKUP(F1766,辅助信息!A:B,2,FALSE)</f>
        <v>螺纹钢</v>
      </c>
      <c r="F1766" s="33" t="s">
        <v>30</v>
      </c>
      <c r="G1766" s="29">
        <v>90</v>
      </c>
      <c r="H1766" s="114" t="str">
        <f>_xlfn.XLOOKUP(C1766&amp;F1766&amp;I1766&amp;J1766,'[1]2025年已发货'!$F:$F&amp;'[1]2025年已发货'!$C:$C&amp;'[1]2025年已发货'!$G:$G&amp;'[1]2025年已发货'!$H:$H,'[1]2025年已发货'!$E:$E,"未发货")</f>
        <v>未发货</v>
      </c>
      <c r="I1766" s="113" t="str">
        <f>VLOOKUP(B1766,辅助信息!E:I,3,FALSE)</f>
        <v>(宜宾兴港三江新区长江工业园保障性租赁住房建设项目-1标)四川省宜宾市翠屏区永善路南段宜宾市三江新区长江工业园区</v>
      </c>
      <c r="J1766" s="113" t="str">
        <f>VLOOKUP(B1766,辅助信息!E:I,4,FALSE)</f>
        <v>赵元虎</v>
      </c>
      <c r="K1766" s="113">
        <f>VLOOKUP(J1766,辅助信息!H:I,2,FALSE)</f>
        <v>13684167136</v>
      </c>
      <c r="L1766" s="120" t="str">
        <f>VLOOKUP(B1766,辅助信息!E:J,6,FALSE)</f>
        <v>现场要求调度统一联系指定收货人，不单独发司机位置。锈货不收，装货前联系收货人核实到场规格,没提前告知进场规格现场不给予接收</v>
      </c>
      <c r="M1766" s="84">
        <v>45819</v>
      </c>
      <c r="O1766" s="55">
        <f ca="1" t="shared" si="101"/>
        <v>0</v>
      </c>
      <c r="P1766" s="55">
        <f ca="1" t="shared" si="102"/>
        <v>138</v>
      </c>
      <c r="Q1766" s="22" t="str">
        <f>VLOOKUP(B1766,辅助信息!E:M,9,FALSE)</f>
        <v>ZTWM-CDYXGS-XS-2025-0014-宜宾兴港建材-三江新区长江工业园片区保障性租赁住房建设项目</v>
      </c>
      <c r="R1766" s="22" t="str">
        <f>_xlfn._xlws.FILTER(辅助信息!D:D,辅助信息!E:E=B1766)</f>
        <v>宜宾兴港三江新区长江工业园建设项目</v>
      </c>
    </row>
    <row r="1767" hidden="1" spans="2:18">
      <c r="B1767" s="33" t="s">
        <v>162</v>
      </c>
      <c r="C1767" s="63">
        <v>45819</v>
      </c>
      <c r="D1767" s="113" t="str">
        <f>VLOOKUP(B1767,辅助信息!E:K,7,FALSE)</f>
        <v>JWDD2025071500089</v>
      </c>
      <c r="E1767" s="113" t="str">
        <f>VLOOKUP(F1767,辅助信息!A:B,2,FALSE)</f>
        <v>盘螺</v>
      </c>
      <c r="F1767" s="33" t="s">
        <v>41</v>
      </c>
      <c r="G1767" s="29">
        <v>30</v>
      </c>
      <c r="H1767" s="114" t="str">
        <f>_xlfn.XLOOKUP(C1767&amp;F1767&amp;I1767&amp;J1767,'[1]2025年已发货'!$F:$F&amp;'[1]2025年已发货'!$C:$C&amp;'[1]2025年已发货'!$G:$G&amp;'[1]2025年已发货'!$H:$H,'[1]2025年已发货'!$E:$E,"未发货")</f>
        <v>未发货</v>
      </c>
      <c r="I1767" s="113" t="str">
        <f>VLOOKUP(B1767,辅助信息!E:I,3,FALSE)</f>
        <v>(宜宾兴港三江新区长江工业园保障性租赁住房建设项目-2标)四川省宜宾市翠屏区永善路南段宜宾市三江新区长江工业园区</v>
      </c>
      <c r="J1767" s="113" t="str">
        <f>VLOOKUP(B1767,辅助信息!E:I,4,FALSE)</f>
        <v>赵元虎</v>
      </c>
      <c r="K1767" s="113">
        <f>VLOOKUP(J1767,辅助信息!H:I,2,FALSE)</f>
        <v>13684167136</v>
      </c>
      <c r="L1767" s="120" t="str">
        <f>VLOOKUP(B1767,辅助信息!E:J,6,FALSE)</f>
        <v>现场要求调度统一联系指定收货人，不单独发司机位置。锈货不收，装货前联系收货人核实到场规格,没提前告知进场规格现场不给予接收</v>
      </c>
      <c r="M1767" s="84">
        <v>45819</v>
      </c>
      <c r="O1767" s="55">
        <f ca="1" t="shared" si="101"/>
        <v>0</v>
      </c>
      <c r="P1767" s="55">
        <f ca="1" t="shared" si="102"/>
        <v>138</v>
      </c>
      <c r="Q1767" s="22" t="str">
        <f>VLOOKUP(B1767,辅助信息!E:M,9,FALSE)</f>
        <v>ZTWM-CDYXGS-XS-2025-0014-宜宾兴港建材-三江新区长江工业园片区保障性租赁住房建设项目</v>
      </c>
      <c r="R1767" s="22" t="str">
        <f>_xlfn._xlws.FILTER(辅助信息!D:D,辅助信息!E:E=B1767)</f>
        <v>宜宾兴港三江新区长江工业园建设项目</v>
      </c>
    </row>
    <row r="1768" hidden="1" spans="2:18">
      <c r="B1768" s="33" t="s">
        <v>162</v>
      </c>
      <c r="C1768" s="63">
        <v>45819</v>
      </c>
      <c r="D1768" s="113" t="str">
        <f>VLOOKUP(B1768,辅助信息!E:K,7,FALSE)</f>
        <v>JWDD2025071500089</v>
      </c>
      <c r="E1768" s="113" t="str">
        <f>VLOOKUP(F1768,辅助信息!A:B,2,FALSE)</f>
        <v>盘螺</v>
      </c>
      <c r="F1768" s="33" t="s">
        <v>26</v>
      </c>
      <c r="G1768" s="29">
        <v>10</v>
      </c>
      <c r="H1768" s="114" t="str">
        <f>_xlfn.XLOOKUP(C1768&amp;F1768&amp;I1768&amp;J1768,'[1]2025年已发货'!$F:$F&amp;'[1]2025年已发货'!$C:$C&amp;'[1]2025年已发货'!$G:$G&amp;'[1]2025年已发货'!$H:$H,'[1]2025年已发货'!$E:$E,"未发货")</f>
        <v>未发货</v>
      </c>
      <c r="I1768" s="113" t="str">
        <f>VLOOKUP(B1768,辅助信息!E:I,3,FALSE)</f>
        <v>(宜宾兴港三江新区长江工业园保障性租赁住房建设项目-2标)四川省宜宾市翠屏区永善路南段宜宾市三江新区长江工业园区</v>
      </c>
      <c r="J1768" s="113" t="str">
        <f>VLOOKUP(B1768,辅助信息!E:I,4,FALSE)</f>
        <v>赵元虎</v>
      </c>
      <c r="K1768" s="113">
        <f>VLOOKUP(J1768,辅助信息!H:I,2,FALSE)</f>
        <v>13684167136</v>
      </c>
      <c r="L1768" s="120" t="str">
        <f>VLOOKUP(B1768,辅助信息!E:J,6,FALSE)</f>
        <v>现场要求调度统一联系指定收货人，不单独发司机位置。锈货不收，装货前联系收货人核实到场规格,没提前告知进场规格现场不给予接收</v>
      </c>
      <c r="M1768" s="84">
        <v>45819</v>
      </c>
      <c r="O1768" s="55">
        <f ca="1" t="shared" si="101"/>
        <v>0</v>
      </c>
      <c r="P1768" s="55">
        <f ca="1" t="shared" si="102"/>
        <v>138</v>
      </c>
      <c r="Q1768" s="22" t="str">
        <f>VLOOKUP(B1768,辅助信息!E:M,9,FALSE)</f>
        <v>ZTWM-CDYXGS-XS-2025-0014-宜宾兴港建材-三江新区长江工业园片区保障性租赁住房建设项目</v>
      </c>
      <c r="R1768" s="22" t="str">
        <f>_xlfn._xlws.FILTER(辅助信息!D:D,辅助信息!E:E=B1768)</f>
        <v>宜宾兴港三江新区长江工业园建设项目</v>
      </c>
    </row>
    <row r="1769" hidden="1" spans="2:18">
      <c r="B1769" s="76" t="s">
        <v>162</v>
      </c>
      <c r="C1769" s="77">
        <v>45819</v>
      </c>
      <c r="D1769" s="117" t="str">
        <f>VLOOKUP(B1769,辅助信息!E:K,7,FALSE)</f>
        <v>JWDD2025071500089</v>
      </c>
      <c r="E1769" s="117" t="str">
        <f>VLOOKUP(F1769,辅助信息!A:B,2,FALSE)</f>
        <v>螺纹钢</v>
      </c>
      <c r="F1769" s="76" t="s">
        <v>30</v>
      </c>
      <c r="G1769" s="78">
        <v>60</v>
      </c>
      <c r="H1769" s="118" t="str">
        <f>_xlfn.XLOOKUP(C1769&amp;F1769&amp;I1769&amp;J1769,'[1]2025年已发货'!$F:$F&amp;'[1]2025年已发货'!$C:$C&amp;'[1]2025年已发货'!$G:$G&amp;'[1]2025年已发货'!$H:$H,'[1]2025年已发货'!$E:$E,"未发货")</f>
        <v>未发货</v>
      </c>
      <c r="I1769" s="117" t="str">
        <f>VLOOKUP(B1769,辅助信息!E:I,3,FALSE)</f>
        <v>(宜宾兴港三江新区长江工业园保障性租赁住房建设项目-2标)四川省宜宾市翠屏区永善路南段宜宾市三江新区长江工业园区</v>
      </c>
      <c r="J1769" s="117" t="str">
        <f>VLOOKUP(B1769,辅助信息!E:I,4,FALSE)</f>
        <v>赵元虎</v>
      </c>
      <c r="K1769" s="117">
        <f>VLOOKUP(J1769,辅助信息!H:I,2,FALSE)</f>
        <v>13684167136</v>
      </c>
      <c r="L1769" s="120" t="str">
        <f>VLOOKUP(B1769,辅助信息!E:J,6,FALSE)</f>
        <v>现场要求调度统一联系指定收货人，不单独发司机位置。锈货不收，装货前联系收货人核实到场规格,没提前告知进场规格现场不给予接收</v>
      </c>
      <c r="M1769" s="84">
        <v>45819</v>
      </c>
      <c r="O1769" s="55">
        <f ca="1" t="shared" si="101"/>
        <v>0</v>
      </c>
      <c r="P1769" s="55">
        <f ca="1" t="shared" si="102"/>
        <v>138</v>
      </c>
      <c r="Q1769" s="22" t="str">
        <f>VLOOKUP(B1769,辅助信息!E:M,9,FALSE)</f>
        <v>ZTWM-CDYXGS-XS-2025-0014-宜宾兴港建材-三江新区长江工业园片区保障性租赁住房建设项目</v>
      </c>
      <c r="R1769" s="22" t="str">
        <f>_xlfn._xlws.FILTER(辅助信息!D:D,辅助信息!E:E=B1769)</f>
        <v>宜宾兴港三江新区长江工业园建设项目</v>
      </c>
    </row>
    <row r="1770" hidden="1" spans="2:18">
      <c r="B1770" s="113" t="s">
        <v>81</v>
      </c>
      <c r="C1770" s="63">
        <v>45820</v>
      </c>
      <c r="D1770" s="113" t="str">
        <f>VLOOKUP(B1770,辅助信息!E:K,7,FALSE)</f>
        <v>JWDDCD2025060900080</v>
      </c>
      <c r="E1770" s="113" t="str">
        <f>VLOOKUP(F1770,辅助信息!A:B,2,FALSE)</f>
        <v>盘螺</v>
      </c>
      <c r="F1770" s="113" t="s">
        <v>40</v>
      </c>
      <c r="G1770" s="114">
        <v>5</v>
      </c>
      <c r="H1770" s="114">
        <v>5</v>
      </c>
      <c r="I1770" s="113" t="str">
        <f>VLOOKUP(B1770,辅助信息!E:I,3,FALSE)</f>
        <v>（华西简阳西城嘉苑）四川省成都市简阳市简城街道高屋村</v>
      </c>
      <c r="J1770" s="113" t="str">
        <f>VLOOKUP(B1770,辅助信息!E:I,4,FALSE)</f>
        <v>张瀚镭</v>
      </c>
      <c r="K1770" s="113">
        <f>VLOOKUP(J1770,辅助信息!H:I,2,FALSE)</f>
        <v>15884666220</v>
      </c>
      <c r="L1770" s="115" t="str">
        <f>VLOOKUP(B1770,辅助信息!E:J,6,FALSE)</f>
        <v>现场禁止使用氢能源挂车！优先威钢发货,我方卸车,新老国标钢厂不加价可直发，因陕钢多次出现磅差，项目拒绝使用</v>
      </c>
      <c r="M1770" s="84">
        <v>45819</v>
      </c>
      <c r="O1770" s="55">
        <f ca="1" t="shared" si="101"/>
        <v>0</v>
      </c>
      <c r="P1770" s="55">
        <f ca="1" t="shared" si="102"/>
        <v>138</v>
      </c>
      <c r="Q1770" s="22" t="str">
        <f>VLOOKUP(B1770,辅助信息!E:M,9,FALSE)</f>
        <v>ZTWM-CDGS-XS-2024-0030-华西集采-简州大道</v>
      </c>
      <c r="R1770" s="22" t="str">
        <f>_xlfn._xlws.FILTER(辅助信息!D:D,辅助信息!E:E=B1770)</f>
        <v>华西简阳西城嘉苑</v>
      </c>
    </row>
    <row r="1771" hidden="1" spans="2:18">
      <c r="B1771" s="113" t="s">
        <v>81</v>
      </c>
      <c r="C1771" s="63">
        <v>45820</v>
      </c>
      <c r="D1771" s="113" t="str">
        <f>VLOOKUP(B1771,辅助信息!E:K,7,FALSE)</f>
        <v>JWDDCD2025060900080</v>
      </c>
      <c r="E1771" s="113" t="str">
        <f>VLOOKUP(F1771,辅助信息!A:B,2,FALSE)</f>
        <v>盘螺</v>
      </c>
      <c r="F1771" s="113" t="s">
        <v>41</v>
      </c>
      <c r="G1771" s="114">
        <v>14</v>
      </c>
      <c r="H1771" s="114">
        <v>15</v>
      </c>
      <c r="I1771" s="113" t="str">
        <f>VLOOKUP(B1771,辅助信息!E:I,3,FALSE)</f>
        <v>（华西简阳西城嘉苑）四川省成都市简阳市简城街道高屋村</v>
      </c>
      <c r="J1771" s="113" t="str">
        <f>VLOOKUP(B1771,辅助信息!E:I,4,FALSE)</f>
        <v>张瀚镭</v>
      </c>
      <c r="K1771" s="113">
        <f>VLOOKUP(J1771,辅助信息!H:I,2,FALSE)</f>
        <v>15884666220</v>
      </c>
      <c r="L1771" s="115" t="str">
        <f>VLOOKUP(B1771,辅助信息!E:J,6,FALSE)</f>
        <v>现场禁止使用氢能源挂车！优先威钢发货,我方卸车,新老国标钢厂不加价可直发，因陕钢多次出现磅差，项目拒绝使用</v>
      </c>
      <c r="M1771" s="84">
        <v>45819</v>
      </c>
      <c r="O1771" s="55">
        <f ca="1" t="shared" si="101"/>
        <v>0</v>
      </c>
      <c r="P1771" s="55">
        <f ca="1" t="shared" si="102"/>
        <v>138</v>
      </c>
      <c r="Q1771" s="22" t="str">
        <f>VLOOKUP(B1771,辅助信息!E:M,9,FALSE)</f>
        <v>ZTWM-CDGS-XS-2024-0030-华西集采-简州大道</v>
      </c>
      <c r="R1771" s="22" t="str">
        <f>_xlfn._xlws.FILTER(辅助信息!D:D,辅助信息!E:E=B1771)</f>
        <v>华西简阳西城嘉苑</v>
      </c>
    </row>
    <row r="1772" hidden="1" spans="2:18">
      <c r="B1772" s="113" t="s">
        <v>81</v>
      </c>
      <c r="C1772" s="63">
        <v>45820</v>
      </c>
      <c r="D1772" s="113" t="str">
        <f>VLOOKUP(B1772,辅助信息!E:K,7,FALSE)</f>
        <v>JWDDCD2025060900080</v>
      </c>
      <c r="E1772" s="113" t="str">
        <f>VLOOKUP(F1772,辅助信息!A:B,2,FALSE)</f>
        <v>盘螺</v>
      </c>
      <c r="F1772" s="113" t="s">
        <v>26</v>
      </c>
      <c r="G1772" s="114">
        <v>3</v>
      </c>
      <c r="H1772" s="114">
        <v>2.5</v>
      </c>
      <c r="I1772" s="113" t="str">
        <f>VLOOKUP(B1772,辅助信息!E:I,3,FALSE)</f>
        <v>（华西简阳西城嘉苑）四川省成都市简阳市简城街道高屋村</v>
      </c>
      <c r="J1772" s="113" t="str">
        <f>VLOOKUP(B1772,辅助信息!E:I,4,FALSE)</f>
        <v>张瀚镭</v>
      </c>
      <c r="K1772" s="113">
        <f>VLOOKUP(J1772,辅助信息!H:I,2,FALSE)</f>
        <v>15884666220</v>
      </c>
      <c r="L1772" s="115" t="str">
        <f>VLOOKUP(B1772,辅助信息!E:J,6,FALSE)</f>
        <v>现场禁止使用氢能源挂车！优先威钢发货,我方卸车,新老国标钢厂不加价可直发，因陕钢多次出现磅差，项目拒绝使用</v>
      </c>
      <c r="M1772" s="84">
        <v>45819</v>
      </c>
      <c r="O1772" s="55">
        <f ca="1" t="shared" si="101"/>
        <v>0</v>
      </c>
      <c r="P1772" s="55">
        <f ca="1" t="shared" si="102"/>
        <v>138</v>
      </c>
      <c r="Q1772" s="22" t="str">
        <f>VLOOKUP(B1772,辅助信息!E:M,9,FALSE)</f>
        <v>ZTWM-CDGS-XS-2024-0030-华西集采-简州大道</v>
      </c>
      <c r="R1772" s="22" t="str">
        <f>_xlfn._xlws.FILTER(辅助信息!D:D,辅助信息!E:E=B1772)</f>
        <v>华西简阳西城嘉苑</v>
      </c>
    </row>
    <row r="1773" hidden="1" spans="2:18">
      <c r="B1773" s="113" t="s">
        <v>81</v>
      </c>
      <c r="C1773" s="63">
        <v>45820</v>
      </c>
      <c r="D1773" s="113" t="str">
        <f>VLOOKUP(B1773,辅助信息!E:K,7,FALSE)</f>
        <v>JWDDCD2025060900080</v>
      </c>
      <c r="E1773" s="113" t="str">
        <f>VLOOKUP(F1773,辅助信息!A:B,2,FALSE)</f>
        <v>螺纹钢</v>
      </c>
      <c r="F1773" s="113" t="s">
        <v>32</v>
      </c>
      <c r="G1773" s="114">
        <f>22-5</f>
        <v>17</v>
      </c>
      <c r="H1773" s="114">
        <v>15</v>
      </c>
      <c r="I1773" s="113" t="str">
        <f>VLOOKUP(B1773,辅助信息!E:I,3,FALSE)</f>
        <v>（华西简阳西城嘉苑）四川省成都市简阳市简城街道高屋村</v>
      </c>
      <c r="J1773" s="113" t="str">
        <f>VLOOKUP(B1773,辅助信息!E:I,4,FALSE)</f>
        <v>张瀚镭</v>
      </c>
      <c r="K1773" s="113">
        <f>VLOOKUP(J1773,辅助信息!H:I,2,FALSE)</f>
        <v>15884666220</v>
      </c>
      <c r="L1773" s="115" t="str">
        <f>VLOOKUP(B1773,辅助信息!E:J,6,FALSE)</f>
        <v>现场禁止使用氢能源挂车！优先威钢发货,我方卸车,新老国标钢厂不加价可直发，因陕钢多次出现磅差，项目拒绝使用</v>
      </c>
      <c r="M1773" s="84">
        <v>45819</v>
      </c>
      <c r="O1773" s="55">
        <f ca="1" t="shared" si="101"/>
        <v>0</v>
      </c>
      <c r="P1773" s="55">
        <f ca="1" t="shared" si="102"/>
        <v>138</v>
      </c>
      <c r="Q1773" s="22" t="str">
        <f>VLOOKUP(B1773,辅助信息!E:M,9,FALSE)</f>
        <v>ZTWM-CDGS-XS-2024-0030-华西集采-简州大道</v>
      </c>
      <c r="R1773" s="22" t="str">
        <f>_xlfn._xlws.FILTER(辅助信息!D:D,辅助信息!E:E=B1773)</f>
        <v>华西简阳西城嘉苑</v>
      </c>
    </row>
    <row r="1774" hidden="1" spans="2:18">
      <c r="B1774" s="113" t="s">
        <v>161</v>
      </c>
      <c r="C1774" s="63">
        <v>45820</v>
      </c>
      <c r="D1774" s="113" t="str">
        <f>VLOOKUP(B1774,辅助信息!E:K,7,FALSE)</f>
        <v>JWDD2025071500089</v>
      </c>
      <c r="E1774" s="113" t="str">
        <f>VLOOKUP(F1774,辅助信息!A:B,2,FALSE)</f>
        <v>盘螺</v>
      </c>
      <c r="F1774" s="113" t="s">
        <v>41</v>
      </c>
      <c r="G1774" s="114">
        <v>16</v>
      </c>
      <c r="H1774" s="114" t="str">
        <f>_xlfn.XLOOKUP(C1774&amp;F1774&amp;I1774&amp;J1774,'[1]2025年已发货'!$F:$F&amp;'[1]2025年已发货'!$C:$C&amp;'[1]2025年已发货'!$G:$G&amp;'[1]2025年已发货'!$H:$H,'[1]2025年已发货'!$E:$E,"未发货")</f>
        <v>未发货</v>
      </c>
      <c r="I1774" s="113" t="str">
        <f>VLOOKUP(B1774,辅助信息!E:I,3,FALSE)</f>
        <v>(宜宾兴港三江新区长江工业园保障性租赁住房建设项目-1标)四川省宜宾市翠屏区永善路南段宜宾市三江新区长江工业园区</v>
      </c>
      <c r="J1774" s="113" t="str">
        <f>VLOOKUP(B1774,辅助信息!E:I,4,FALSE)</f>
        <v>赵元虎</v>
      </c>
      <c r="K1774" s="113">
        <f>VLOOKUP(J1774,辅助信息!H:I,2,FALSE)</f>
        <v>13684167136</v>
      </c>
      <c r="L1774" s="115" t="str">
        <f>VLOOKUP(B1774,辅助信息!E:J,6,FALSE)</f>
        <v>现场要求调度统一联系指定收货人，不单独发司机位置。锈货不收，装货前联系收货人核实到场规格,没提前告知进场规格现场不给予接收</v>
      </c>
      <c r="M1774" s="84">
        <v>45819</v>
      </c>
      <c r="O1774" s="55">
        <f ca="1" t="shared" si="101"/>
        <v>0</v>
      </c>
      <c r="P1774" s="55">
        <f ca="1" t="shared" si="102"/>
        <v>138</v>
      </c>
      <c r="Q1774" s="22" t="str">
        <f>VLOOKUP(B1774,辅助信息!E:M,9,FALSE)</f>
        <v>ZTWM-CDYXGS-XS-2025-0014-宜宾兴港建材-三江新区长江工业园片区保障性租赁住房建设项目</v>
      </c>
      <c r="R1774" s="22" t="str">
        <f>_xlfn._xlws.FILTER(辅助信息!D:D,辅助信息!E:E=B1774)</f>
        <v>宜宾兴港三江新区长江工业园建设项目</v>
      </c>
    </row>
    <row r="1775" hidden="1" spans="2:18">
      <c r="B1775" s="113" t="s">
        <v>161</v>
      </c>
      <c r="C1775" s="63">
        <v>45820</v>
      </c>
      <c r="D1775" s="113" t="str">
        <f>VLOOKUP(B1775,辅助信息!E:K,7,FALSE)</f>
        <v>JWDD2025071500089</v>
      </c>
      <c r="E1775" s="113" t="str">
        <f>VLOOKUP(F1775,辅助信息!A:B,2,FALSE)</f>
        <v>盘螺</v>
      </c>
      <c r="F1775" s="113" t="s">
        <v>26</v>
      </c>
      <c r="G1775" s="114">
        <v>9</v>
      </c>
      <c r="H1775" s="114" t="str">
        <f>_xlfn.XLOOKUP(C1775&amp;F1775&amp;I1775&amp;J1775,'[1]2025年已发货'!$F:$F&amp;'[1]2025年已发货'!$C:$C&amp;'[1]2025年已发货'!$G:$G&amp;'[1]2025年已发货'!$H:$H,'[1]2025年已发货'!$E:$E,"未发货")</f>
        <v>未发货</v>
      </c>
      <c r="I1775" s="113" t="str">
        <f>VLOOKUP(B1775,辅助信息!E:I,3,FALSE)</f>
        <v>(宜宾兴港三江新区长江工业园保障性租赁住房建设项目-1标)四川省宜宾市翠屏区永善路南段宜宾市三江新区长江工业园区</v>
      </c>
      <c r="J1775" s="113" t="str">
        <f>VLOOKUP(B1775,辅助信息!E:I,4,FALSE)</f>
        <v>赵元虎</v>
      </c>
      <c r="K1775" s="113">
        <f>VLOOKUP(J1775,辅助信息!H:I,2,FALSE)</f>
        <v>13684167136</v>
      </c>
      <c r="L1775" s="115" t="str">
        <f>VLOOKUP(B1775,辅助信息!E:J,6,FALSE)</f>
        <v>现场要求调度统一联系指定收货人，不单独发司机位置。锈货不收，装货前联系收货人核实到场规格,没提前告知进场规格现场不给予接收</v>
      </c>
      <c r="M1775" s="84">
        <v>45819</v>
      </c>
      <c r="O1775" s="55">
        <f ca="1" t="shared" si="101"/>
        <v>0</v>
      </c>
      <c r="P1775" s="55">
        <f ca="1" t="shared" si="102"/>
        <v>138</v>
      </c>
      <c r="Q1775" s="22" t="str">
        <f>VLOOKUP(B1775,辅助信息!E:M,9,FALSE)</f>
        <v>ZTWM-CDYXGS-XS-2025-0014-宜宾兴港建材-三江新区长江工业园片区保障性租赁住房建设项目</v>
      </c>
      <c r="R1775" s="22" t="str">
        <f>_xlfn._xlws.FILTER(辅助信息!D:D,辅助信息!E:E=B1775)</f>
        <v>宜宾兴港三江新区长江工业园建设项目</v>
      </c>
    </row>
    <row r="1776" hidden="1" spans="2:18">
      <c r="B1776" s="113" t="s">
        <v>161</v>
      </c>
      <c r="C1776" s="63">
        <v>45820</v>
      </c>
      <c r="D1776" s="113" t="str">
        <f>VLOOKUP(B1776,辅助信息!E:K,7,FALSE)</f>
        <v>JWDD2025071500089</v>
      </c>
      <c r="E1776" s="113" t="str">
        <f>VLOOKUP(F1776,辅助信息!A:B,2,FALSE)</f>
        <v>螺纹钢</v>
      </c>
      <c r="F1776" s="113" t="s">
        <v>19</v>
      </c>
      <c r="G1776" s="114">
        <v>4</v>
      </c>
      <c r="H1776" s="114" t="str">
        <f>_xlfn.XLOOKUP(C1776&amp;F1776&amp;I1776&amp;J1776,'[1]2025年已发货'!$F:$F&amp;'[1]2025年已发货'!$C:$C&amp;'[1]2025年已发货'!$G:$G&amp;'[1]2025年已发货'!$H:$H,'[1]2025年已发货'!$E:$E,"未发货")</f>
        <v>未发货</v>
      </c>
      <c r="I1776" s="113" t="str">
        <f>VLOOKUP(B1776,辅助信息!E:I,3,FALSE)</f>
        <v>(宜宾兴港三江新区长江工业园保障性租赁住房建设项目-1标)四川省宜宾市翠屏区永善路南段宜宾市三江新区长江工业园区</v>
      </c>
      <c r="J1776" s="113" t="str">
        <f>VLOOKUP(B1776,辅助信息!E:I,4,FALSE)</f>
        <v>赵元虎</v>
      </c>
      <c r="K1776" s="113">
        <f>VLOOKUP(J1776,辅助信息!H:I,2,FALSE)</f>
        <v>13684167136</v>
      </c>
      <c r="L1776" s="115" t="str">
        <f>VLOOKUP(B1776,辅助信息!E:J,6,FALSE)</f>
        <v>现场要求调度统一联系指定收货人，不单独发司机位置。锈货不收，装货前联系收货人核实到场规格,没提前告知进场规格现场不给予接收</v>
      </c>
      <c r="M1776" s="84">
        <v>45819</v>
      </c>
      <c r="O1776" s="55">
        <f ca="1" t="shared" si="101"/>
        <v>0</v>
      </c>
      <c r="P1776" s="55">
        <f ca="1" t="shared" si="102"/>
        <v>138</v>
      </c>
      <c r="Q1776" s="22" t="str">
        <f>VLOOKUP(B1776,辅助信息!E:M,9,FALSE)</f>
        <v>ZTWM-CDYXGS-XS-2025-0014-宜宾兴港建材-三江新区长江工业园片区保障性租赁住房建设项目</v>
      </c>
      <c r="R1776" s="22" t="str">
        <f>_xlfn._xlws.FILTER(辅助信息!D:D,辅助信息!E:E=B1776)</f>
        <v>宜宾兴港三江新区长江工业园建设项目</v>
      </c>
    </row>
    <row r="1777" hidden="1" spans="2:18">
      <c r="B1777" s="113" t="s">
        <v>161</v>
      </c>
      <c r="C1777" s="63">
        <v>45820</v>
      </c>
      <c r="D1777" s="113" t="str">
        <f>VLOOKUP(B1777,辅助信息!E:K,7,FALSE)</f>
        <v>JWDD2025071500089</v>
      </c>
      <c r="E1777" s="113" t="str">
        <f>VLOOKUP(F1777,辅助信息!A:B,2,FALSE)</f>
        <v>螺纹钢</v>
      </c>
      <c r="F1777" s="113" t="s">
        <v>30</v>
      </c>
      <c r="G1777" s="114">
        <v>90</v>
      </c>
      <c r="H1777" s="114" t="str">
        <f>_xlfn.XLOOKUP(C1777&amp;F1777&amp;I1777&amp;J1777,'[1]2025年已发货'!$F:$F&amp;'[1]2025年已发货'!$C:$C&amp;'[1]2025年已发货'!$G:$G&amp;'[1]2025年已发货'!$H:$H,'[1]2025年已发货'!$E:$E,"未发货")</f>
        <v>未发货</v>
      </c>
      <c r="I1777" s="113" t="str">
        <f>VLOOKUP(B1777,辅助信息!E:I,3,FALSE)</f>
        <v>(宜宾兴港三江新区长江工业园保障性租赁住房建设项目-1标)四川省宜宾市翠屏区永善路南段宜宾市三江新区长江工业园区</v>
      </c>
      <c r="J1777" s="113" t="str">
        <f>VLOOKUP(B1777,辅助信息!E:I,4,FALSE)</f>
        <v>赵元虎</v>
      </c>
      <c r="K1777" s="113">
        <f>VLOOKUP(J1777,辅助信息!H:I,2,FALSE)</f>
        <v>13684167136</v>
      </c>
      <c r="L1777" s="115" t="str">
        <f>VLOOKUP(B1777,辅助信息!E:J,6,FALSE)</f>
        <v>现场要求调度统一联系指定收货人，不单独发司机位置。锈货不收，装货前联系收货人核实到场规格,没提前告知进场规格现场不给予接收</v>
      </c>
      <c r="M1777" s="84">
        <v>45819</v>
      </c>
      <c r="O1777" s="55">
        <f ca="1" t="shared" si="101"/>
        <v>0</v>
      </c>
      <c r="P1777" s="55">
        <f ca="1" t="shared" si="102"/>
        <v>138</v>
      </c>
      <c r="Q1777" s="22" t="str">
        <f>VLOOKUP(B1777,辅助信息!E:M,9,FALSE)</f>
        <v>ZTWM-CDYXGS-XS-2025-0014-宜宾兴港建材-三江新区长江工业园片区保障性租赁住房建设项目</v>
      </c>
      <c r="R1777" s="22" t="str">
        <f>_xlfn._xlws.FILTER(辅助信息!D:D,辅助信息!E:E=B1777)</f>
        <v>宜宾兴港三江新区长江工业园建设项目</v>
      </c>
    </row>
    <row r="1778" hidden="1" spans="2:18">
      <c r="B1778" s="113" t="s">
        <v>162</v>
      </c>
      <c r="C1778" s="63">
        <v>45820</v>
      </c>
      <c r="D1778" s="113" t="str">
        <f>VLOOKUP(B1778,辅助信息!E:K,7,FALSE)</f>
        <v>JWDD2025071500089</v>
      </c>
      <c r="E1778" s="113" t="str">
        <f>VLOOKUP(F1778,辅助信息!A:B,2,FALSE)</f>
        <v>盘螺</v>
      </c>
      <c r="F1778" s="113" t="s">
        <v>41</v>
      </c>
      <c r="G1778" s="114">
        <v>30</v>
      </c>
      <c r="H1778" s="114" t="str">
        <f>_xlfn.XLOOKUP(C1778&amp;F1778&amp;I1778&amp;J1778,'[1]2025年已发货'!$F:$F&amp;'[1]2025年已发货'!$C:$C&amp;'[1]2025年已发货'!$G:$G&amp;'[1]2025年已发货'!$H:$H,'[1]2025年已发货'!$E:$E,"未发货")</f>
        <v>未发货</v>
      </c>
      <c r="I1778" s="113" t="str">
        <f>VLOOKUP(B1778,辅助信息!E:I,3,FALSE)</f>
        <v>(宜宾兴港三江新区长江工业园保障性租赁住房建设项目-2标)四川省宜宾市翠屏区永善路南段宜宾市三江新区长江工业园区</v>
      </c>
      <c r="J1778" s="113" t="str">
        <f>VLOOKUP(B1778,辅助信息!E:I,4,FALSE)</f>
        <v>赵元虎</v>
      </c>
      <c r="K1778" s="113">
        <f>VLOOKUP(J1778,辅助信息!H:I,2,FALSE)</f>
        <v>13684167136</v>
      </c>
      <c r="L1778" s="115" t="str">
        <f>VLOOKUP(B1778,辅助信息!E:J,6,FALSE)</f>
        <v>现场要求调度统一联系指定收货人，不单独发司机位置。锈货不收，装货前联系收货人核实到场规格,没提前告知进场规格现场不给予接收</v>
      </c>
      <c r="M1778" s="84">
        <v>45819</v>
      </c>
      <c r="O1778" s="55">
        <f ca="1" t="shared" si="101"/>
        <v>0</v>
      </c>
      <c r="P1778" s="55">
        <f ca="1" t="shared" si="102"/>
        <v>138</v>
      </c>
      <c r="Q1778" s="22" t="str">
        <f>VLOOKUP(B1778,辅助信息!E:M,9,FALSE)</f>
        <v>ZTWM-CDYXGS-XS-2025-0014-宜宾兴港建材-三江新区长江工业园片区保障性租赁住房建设项目</v>
      </c>
      <c r="R1778" s="22" t="str">
        <f>_xlfn._xlws.FILTER(辅助信息!D:D,辅助信息!E:E=B1778)</f>
        <v>宜宾兴港三江新区长江工业园建设项目</v>
      </c>
    </row>
    <row r="1779" hidden="1" spans="2:18">
      <c r="B1779" s="113" t="s">
        <v>162</v>
      </c>
      <c r="C1779" s="63">
        <v>45820</v>
      </c>
      <c r="D1779" s="113" t="str">
        <f>VLOOKUP(B1779,辅助信息!E:K,7,FALSE)</f>
        <v>JWDD2025071500089</v>
      </c>
      <c r="E1779" s="113" t="str">
        <f>VLOOKUP(F1779,辅助信息!A:B,2,FALSE)</f>
        <v>盘螺</v>
      </c>
      <c r="F1779" s="113" t="s">
        <v>26</v>
      </c>
      <c r="G1779" s="114">
        <v>10</v>
      </c>
      <c r="H1779" s="114" t="str">
        <f>_xlfn.XLOOKUP(C1779&amp;F1779&amp;I1779&amp;J1779,'[1]2025年已发货'!$F:$F&amp;'[1]2025年已发货'!$C:$C&amp;'[1]2025年已发货'!$G:$G&amp;'[1]2025年已发货'!$H:$H,'[1]2025年已发货'!$E:$E,"未发货")</f>
        <v>未发货</v>
      </c>
      <c r="I1779" s="113" t="str">
        <f>VLOOKUP(B1779,辅助信息!E:I,3,FALSE)</f>
        <v>(宜宾兴港三江新区长江工业园保障性租赁住房建设项目-2标)四川省宜宾市翠屏区永善路南段宜宾市三江新区长江工业园区</v>
      </c>
      <c r="J1779" s="113" t="str">
        <f>VLOOKUP(B1779,辅助信息!E:I,4,FALSE)</f>
        <v>赵元虎</v>
      </c>
      <c r="K1779" s="113">
        <f>VLOOKUP(J1779,辅助信息!H:I,2,FALSE)</f>
        <v>13684167136</v>
      </c>
      <c r="L1779" s="115" t="str">
        <f>VLOOKUP(B1779,辅助信息!E:J,6,FALSE)</f>
        <v>现场要求调度统一联系指定收货人，不单独发司机位置。锈货不收，装货前联系收货人核实到场规格,没提前告知进场规格现场不给予接收</v>
      </c>
      <c r="M1779" s="84">
        <v>45819</v>
      </c>
      <c r="O1779" s="55">
        <f ca="1" t="shared" si="101"/>
        <v>0</v>
      </c>
      <c r="P1779" s="55">
        <f ca="1" t="shared" si="102"/>
        <v>138</v>
      </c>
      <c r="Q1779" s="22" t="str">
        <f>VLOOKUP(B1779,辅助信息!E:M,9,FALSE)</f>
        <v>ZTWM-CDYXGS-XS-2025-0014-宜宾兴港建材-三江新区长江工业园片区保障性租赁住房建设项目</v>
      </c>
      <c r="R1779" s="22" t="str">
        <f>_xlfn._xlws.FILTER(辅助信息!D:D,辅助信息!E:E=B1779)</f>
        <v>宜宾兴港三江新区长江工业园建设项目</v>
      </c>
    </row>
    <row r="1780" hidden="1" spans="2:18">
      <c r="B1780" s="113" t="s">
        <v>162</v>
      </c>
      <c r="C1780" s="63">
        <v>45820</v>
      </c>
      <c r="D1780" s="113" t="str">
        <f>VLOOKUP(B1780,辅助信息!E:K,7,FALSE)</f>
        <v>JWDD2025071500089</v>
      </c>
      <c r="E1780" s="113" t="str">
        <f>VLOOKUP(F1780,辅助信息!A:B,2,FALSE)</f>
        <v>螺纹钢</v>
      </c>
      <c r="F1780" s="113" t="s">
        <v>30</v>
      </c>
      <c r="G1780" s="114">
        <v>60</v>
      </c>
      <c r="H1780" s="114" t="str">
        <f>_xlfn.XLOOKUP(C1780&amp;F1780&amp;I1780&amp;J1780,'[1]2025年已发货'!$F:$F&amp;'[1]2025年已发货'!$C:$C&amp;'[1]2025年已发货'!$G:$G&amp;'[1]2025年已发货'!$H:$H,'[1]2025年已发货'!$E:$E,"未发货")</f>
        <v>未发货</v>
      </c>
      <c r="I1780" s="113" t="str">
        <f>VLOOKUP(B1780,辅助信息!E:I,3,FALSE)</f>
        <v>(宜宾兴港三江新区长江工业园保障性租赁住房建设项目-2标)四川省宜宾市翠屏区永善路南段宜宾市三江新区长江工业园区</v>
      </c>
      <c r="J1780" s="113" t="str">
        <f>VLOOKUP(B1780,辅助信息!E:I,4,FALSE)</f>
        <v>赵元虎</v>
      </c>
      <c r="K1780" s="113">
        <f>VLOOKUP(J1780,辅助信息!H:I,2,FALSE)</f>
        <v>13684167136</v>
      </c>
      <c r="L1780" s="115" t="str">
        <f>VLOOKUP(B1780,辅助信息!E:J,6,FALSE)</f>
        <v>现场要求调度统一联系指定收货人，不单独发司机位置。锈货不收，装货前联系收货人核实到场规格,没提前告知进场规格现场不给予接收</v>
      </c>
      <c r="M1780" s="84">
        <v>45819</v>
      </c>
      <c r="O1780" s="55">
        <f ca="1" t="shared" si="101"/>
        <v>0</v>
      </c>
      <c r="P1780" s="55">
        <f ca="1" t="shared" si="102"/>
        <v>138</v>
      </c>
      <c r="Q1780" s="22" t="str">
        <f>VLOOKUP(B1780,辅助信息!E:M,9,FALSE)</f>
        <v>ZTWM-CDYXGS-XS-2025-0014-宜宾兴港建材-三江新区长江工业园片区保障性租赁住房建设项目</v>
      </c>
      <c r="R1780" s="22" t="str">
        <f>_xlfn._xlws.FILTER(辅助信息!D:D,辅助信息!E:E=B1780)</f>
        <v>宜宾兴港三江新区长江工业园建设项目</v>
      </c>
    </row>
    <row r="1781" hidden="1" spans="2:18">
      <c r="B1781" s="33" t="s">
        <v>150</v>
      </c>
      <c r="C1781" s="63">
        <v>45820</v>
      </c>
      <c r="D1781" s="113" t="str">
        <f>VLOOKUP(B1781,辅助信息!E:K,7,FALSE)</f>
        <v>JWDDCD2025050800101</v>
      </c>
      <c r="E1781" s="113" t="str">
        <f>VLOOKUP(F1781,辅助信息!A:B,2,FALSE)</f>
        <v>盘螺</v>
      </c>
      <c r="F1781" s="33" t="s">
        <v>41</v>
      </c>
      <c r="G1781" s="29">
        <v>5</v>
      </c>
      <c r="H1781" s="114">
        <f>_xlfn.XLOOKUP(C1781&amp;F1781&amp;I1781&amp;J1781,'[1]2025年已发货'!$F:$F&amp;'[1]2025年已发货'!$C:$C&amp;'[1]2025年已发货'!$G:$G&amp;'[1]2025年已发货'!$H:$H,'[1]2025年已发货'!$E:$E,"未发货")</f>
        <v>5</v>
      </c>
      <c r="I1781" s="113" t="str">
        <f>VLOOKUP(B1781,辅助信息!E:I,3,FALSE)</f>
        <v>(中铁科研院宜宾泥溪项目)中铁科研院集团有限公司宜宾市泥溪东互通式立交下穿成贵客专铁路工程项目钢筋加工厂</v>
      </c>
      <c r="J1781" s="113" t="str">
        <f>VLOOKUP(B1781,辅助信息!E:I,4,FALSE)</f>
        <v>蔡鹏</v>
      </c>
      <c r="K1781" s="113">
        <f>VLOOKUP(J1781,辅助信息!H:I,2,FALSE)</f>
        <v>19130850820</v>
      </c>
      <c r="L1781" s="115" t="str">
        <f>VLOOKUP(B1781,辅助信息!E:J,6,FALSE)</f>
        <v>装货前联系收货人核实到场规格，货物最下面用方木垫下方便卸货</v>
      </c>
      <c r="M1781" s="84">
        <v>45822</v>
      </c>
      <c r="O1781" s="55">
        <f ca="1" t="shared" si="101"/>
        <v>0</v>
      </c>
      <c r="P1781" s="55">
        <f ca="1" t="shared" si="102"/>
        <v>135</v>
      </c>
      <c r="Q1781" s="22" t="str">
        <f>VLOOKUP(B1781,辅助信息!E:M,9,FALSE)</f>
        <v>ZTWM-CDGS-XS-2025-0050-中铁科研院-宜宾泥溪项目</v>
      </c>
      <c r="R1781" s="22" t="str">
        <f>_xlfn._xlws.FILTER(辅助信息!D:D,辅助信息!E:E=B1781)</f>
        <v>中铁科研院宜宾泥溪项目</v>
      </c>
    </row>
    <row r="1782" hidden="1" spans="2:18">
      <c r="B1782" s="33" t="s">
        <v>150</v>
      </c>
      <c r="C1782" s="63">
        <v>45820</v>
      </c>
      <c r="D1782" s="113" t="str">
        <f>VLOOKUP(B1782,辅助信息!E:K,7,FALSE)</f>
        <v>JWDDCD2025050800101</v>
      </c>
      <c r="E1782" s="113" t="str">
        <f>VLOOKUP(F1782,辅助信息!A:B,2,FALSE)</f>
        <v>盘螺</v>
      </c>
      <c r="F1782" s="33" t="s">
        <v>26</v>
      </c>
      <c r="G1782" s="29">
        <v>25</v>
      </c>
      <c r="H1782" s="114">
        <f>_xlfn.XLOOKUP(C1782&amp;F1782&amp;I1782&amp;J1782,'[1]2025年已发货'!$F:$F&amp;'[1]2025年已发货'!$C:$C&amp;'[1]2025年已发货'!$G:$G&amp;'[1]2025年已发货'!$H:$H,'[1]2025年已发货'!$E:$E,"未发货")</f>
        <v>25</v>
      </c>
      <c r="I1782" s="113" t="str">
        <f>VLOOKUP(B1782,辅助信息!E:I,3,FALSE)</f>
        <v>(中铁科研院宜宾泥溪项目)中铁科研院集团有限公司宜宾市泥溪东互通式立交下穿成贵客专铁路工程项目钢筋加工厂</v>
      </c>
      <c r="J1782" s="113" t="str">
        <f>VLOOKUP(B1782,辅助信息!E:I,4,FALSE)</f>
        <v>蔡鹏</v>
      </c>
      <c r="K1782" s="113">
        <f>VLOOKUP(J1782,辅助信息!H:I,2,FALSE)</f>
        <v>19130850820</v>
      </c>
      <c r="L1782" s="115" t="str">
        <f>VLOOKUP(B1782,辅助信息!E:J,6,FALSE)</f>
        <v>装货前联系收货人核实到场规格，货物最下面用方木垫下方便卸货</v>
      </c>
      <c r="M1782" s="84">
        <v>45822</v>
      </c>
      <c r="O1782" s="55">
        <f ca="1" t="shared" si="101"/>
        <v>0</v>
      </c>
      <c r="P1782" s="55">
        <f ca="1" t="shared" si="102"/>
        <v>135</v>
      </c>
      <c r="Q1782" s="22" t="str">
        <f>VLOOKUP(B1782,辅助信息!E:M,9,FALSE)</f>
        <v>ZTWM-CDGS-XS-2025-0050-中铁科研院-宜宾泥溪项目</v>
      </c>
      <c r="R1782" s="22" t="str">
        <f>_xlfn._xlws.FILTER(辅助信息!D:D,辅助信息!E:E=B1782)</f>
        <v>中铁科研院宜宾泥溪项目</v>
      </c>
    </row>
    <row r="1783" hidden="1" spans="2:18">
      <c r="B1783" s="33" t="s">
        <v>150</v>
      </c>
      <c r="C1783" s="63">
        <v>45820</v>
      </c>
      <c r="D1783" s="113" t="str">
        <f>VLOOKUP(B1783,辅助信息!E:K,7,FALSE)</f>
        <v>JWDDCD2025050800101</v>
      </c>
      <c r="E1783" s="113" t="str">
        <f>VLOOKUP(F1783,辅助信息!A:B,2,FALSE)</f>
        <v>螺纹钢</v>
      </c>
      <c r="F1783" s="33" t="s">
        <v>65</v>
      </c>
      <c r="G1783" s="29">
        <v>6</v>
      </c>
      <c r="H1783" s="114">
        <f>_xlfn.XLOOKUP(C1783&amp;F1783&amp;I1783&amp;J1783,'[1]2025年已发货'!$F:$F&amp;'[1]2025年已发货'!$C:$C&amp;'[1]2025年已发货'!$G:$G&amp;'[1]2025年已发货'!$H:$H,'[1]2025年已发货'!$E:$E,"未发货")</f>
        <v>6</v>
      </c>
      <c r="I1783" s="113" t="str">
        <f>VLOOKUP(B1783,辅助信息!E:I,3,FALSE)</f>
        <v>(中铁科研院宜宾泥溪项目)中铁科研院集团有限公司宜宾市泥溪东互通式立交下穿成贵客专铁路工程项目钢筋加工厂</v>
      </c>
      <c r="J1783" s="113" t="str">
        <f>VLOOKUP(B1783,辅助信息!E:I,4,FALSE)</f>
        <v>蔡鹏</v>
      </c>
      <c r="K1783" s="113">
        <f>VLOOKUP(J1783,辅助信息!H:I,2,FALSE)</f>
        <v>19130850820</v>
      </c>
      <c r="L1783" s="115" t="str">
        <f>VLOOKUP(B1783,辅助信息!E:J,6,FALSE)</f>
        <v>装货前联系收货人核实到场规格，货物最下面用方木垫下方便卸货</v>
      </c>
      <c r="M1783" s="84">
        <v>45822</v>
      </c>
      <c r="O1783" s="55">
        <f ca="1" t="shared" si="101"/>
        <v>0</v>
      </c>
      <c r="P1783" s="55">
        <f ca="1" t="shared" si="102"/>
        <v>135</v>
      </c>
      <c r="Q1783" s="22" t="str">
        <f>VLOOKUP(B1783,辅助信息!E:M,9,FALSE)</f>
        <v>ZTWM-CDGS-XS-2025-0050-中铁科研院-宜宾泥溪项目</v>
      </c>
      <c r="R1783" s="22" t="str">
        <f>_xlfn._xlws.FILTER(辅助信息!D:D,辅助信息!E:E=B1783)</f>
        <v>中铁科研院宜宾泥溪项目</v>
      </c>
    </row>
    <row r="1784" hidden="1" spans="2:18">
      <c r="B1784" s="33" t="s">
        <v>147</v>
      </c>
      <c r="C1784" s="63">
        <v>45820</v>
      </c>
      <c r="D1784" s="113" t="str">
        <f>VLOOKUP(B1784,辅助信息!E:K,7,FALSE)</f>
        <v>JWDDCD2025052800131</v>
      </c>
      <c r="E1784" s="113" t="str">
        <f>VLOOKUP(F1784,辅助信息!A:B,2,FALSE)</f>
        <v>高线</v>
      </c>
      <c r="F1784" s="33" t="s">
        <v>57</v>
      </c>
      <c r="G1784" s="29">
        <v>9</v>
      </c>
      <c r="H1784" s="114" t="str">
        <f>_xlfn.XLOOKUP(C1784&amp;F1784&amp;I1784&amp;J1784,'[1]2025年已发货'!$F:$F&amp;'[1]2025年已发货'!$C:$C&amp;'[1]2025年已发货'!$G:$G&amp;'[1]2025年已发货'!$H:$H,'[1]2025年已发货'!$E:$E,"未发货")</f>
        <v>未发货</v>
      </c>
      <c r="I1784" s="113" t="str">
        <f>VLOOKUP(B1784,辅助信息!E:I,3,FALSE)</f>
        <v>（商投建工达州中医药科技园-4工区-11号楼）达州市通川区达州中医药职业学院犀牛大道北段</v>
      </c>
      <c r="J1784" s="113" t="str">
        <f>VLOOKUP(B1784,辅助信息!E:I,4,FALSE)</f>
        <v>张扬</v>
      </c>
      <c r="K1784" s="113">
        <f>VLOOKUP(J1784,辅助信息!H:I,2,FALSE)</f>
        <v>18381904567</v>
      </c>
      <c r="L1784" s="115" t="str">
        <f>VLOOKUP(B1784,辅助信息!E:J,6,FALSE)</f>
        <v>控制炉批号！多了现场不收！,优先安排达钢,提前联系到场规格及数量</v>
      </c>
      <c r="M1784" s="84">
        <v>45822</v>
      </c>
      <c r="O1784" s="55">
        <f ca="1" t="shared" ref="O1784:O1790" si="103">IF(OR(M1784="",N1784&lt;&gt;""),"",MAX(M1784-TODAY(),0))</f>
        <v>0</v>
      </c>
      <c r="P1784" s="55">
        <f ca="1" t="shared" ref="P1784:P1790" si="104">IF(M1784="","",IF(N1784&lt;&gt;"",MAX(N1784-M1784,0),IF(TODAY()&gt;M1784,TODAY()-M1784,0)))</f>
        <v>135</v>
      </c>
      <c r="Q1784" s="22" t="str">
        <f>VLOOKUP(B1784,辅助信息!E:M,9,FALSE)</f>
        <v>ZTWM-CDGS-XS-2024-0134-商投建工达州中医药科技成果示范园项目</v>
      </c>
      <c r="R1784" s="22" t="str">
        <f>_xlfn._xlws.FILTER(辅助信息!D:D,辅助信息!E:E=B1784)</f>
        <v>商投建工达州中医药科技园</v>
      </c>
    </row>
    <row r="1785" hidden="1" spans="2:18">
      <c r="B1785" s="33" t="s">
        <v>147</v>
      </c>
      <c r="C1785" s="63">
        <v>45820</v>
      </c>
      <c r="D1785" s="113" t="str">
        <f>VLOOKUP(B1785,辅助信息!E:K,7,FALSE)</f>
        <v>JWDDCD2025052800131</v>
      </c>
      <c r="E1785" s="113" t="str">
        <f>VLOOKUP(F1785,辅助信息!A:B,2,FALSE)</f>
        <v>螺纹钢</v>
      </c>
      <c r="F1785" s="33" t="s">
        <v>27</v>
      </c>
      <c r="G1785" s="29">
        <v>6</v>
      </c>
      <c r="H1785" s="114">
        <f>_xlfn.XLOOKUP(C1785&amp;F1785&amp;I1785&amp;J1785,'[1]2025年已发货'!$F:$F&amp;'[1]2025年已发货'!$C:$C&amp;'[1]2025年已发货'!$G:$G&amp;'[1]2025年已发货'!$H:$H,'[1]2025年已发货'!$E:$E,"未发货")</f>
        <v>6</v>
      </c>
      <c r="I1785" s="113" t="str">
        <f>VLOOKUP(B1785,辅助信息!E:I,3,FALSE)</f>
        <v>（商投建工达州中医药科技园-4工区-11号楼）达州市通川区达州中医药职业学院犀牛大道北段</v>
      </c>
      <c r="J1785" s="113" t="str">
        <f>VLOOKUP(B1785,辅助信息!E:I,4,FALSE)</f>
        <v>张扬</v>
      </c>
      <c r="K1785" s="113">
        <f>VLOOKUP(J1785,辅助信息!H:I,2,FALSE)</f>
        <v>18381904567</v>
      </c>
      <c r="L1785" s="115" t="str">
        <f>VLOOKUP(B1785,辅助信息!E:J,6,FALSE)</f>
        <v>控制炉批号！多了现场不收！,优先安排达钢,提前联系到场规格及数量</v>
      </c>
      <c r="M1785" s="84">
        <v>45822</v>
      </c>
      <c r="O1785" s="55">
        <f ca="1" t="shared" si="103"/>
        <v>0</v>
      </c>
      <c r="P1785" s="55">
        <f ca="1" t="shared" si="104"/>
        <v>135</v>
      </c>
      <c r="Q1785" s="22" t="str">
        <f>VLOOKUP(B1785,辅助信息!E:M,9,FALSE)</f>
        <v>ZTWM-CDGS-XS-2024-0134-商投建工达州中医药科技成果示范园项目</v>
      </c>
      <c r="R1785" s="22" t="str">
        <f>_xlfn._xlws.FILTER(辅助信息!D:D,辅助信息!E:E=B1785)</f>
        <v>商投建工达州中医药科技园</v>
      </c>
    </row>
    <row r="1786" hidden="1" spans="2:18">
      <c r="B1786" s="33" t="s">
        <v>147</v>
      </c>
      <c r="C1786" s="63">
        <v>45820</v>
      </c>
      <c r="D1786" s="113" t="str">
        <f>VLOOKUP(B1786,辅助信息!E:K,7,FALSE)</f>
        <v>JWDDCD2025052800131</v>
      </c>
      <c r="E1786" s="113" t="str">
        <f>VLOOKUP(F1786,辅助信息!A:B,2,FALSE)</f>
        <v>螺纹钢</v>
      </c>
      <c r="F1786" s="33" t="s">
        <v>32</v>
      </c>
      <c r="G1786" s="29">
        <v>12</v>
      </c>
      <c r="H1786" s="114" t="str">
        <f>_xlfn.XLOOKUP(C1786&amp;F1786&amp;I1786&amp;J1786,'[1]2025年已发货'!$F:$F&amp;'[1]2025年已发货'!$C:$C&amp;'[1]2025年已发货'!$G:$G&amp;'[1]2025年已发货'!$H:$H,'[1]2025年已发货'!$E:$E,"未发货")</f>
        <v>未发货</v>
      </c>
      <c r="I1786" s="113" t="str">
        <f>VLOOKUP(B1786,辅助信息!E:I,3,FALSE)</f>
        <v>（商投建工达州中医药科技园-4工区-11号楼）达州市通川区达州中医药职业学院犀牛大道北段</v>
      </c>
      <c r="J1786" s="113" t="str">
        <f>VLOOKUP(B1786,辅助信息!E:I,4,FALSE)</f>
        <v>张扬</v>
      </c>
      <c r="K1786" s="113">
        <f>VLOOKUP(J1786,辅助信息!H:I,2,FALSE)</f>
        <v>18381904567</v>
      </c>
      <c r="L1786" s="115" t="str">
        <f>VLOOKUP(B1786,辅助信息!E:J,6,FALSE)</f>
        <v>控制炉批号！多了现场不收！,优先安排达钢,提前联系到场规格及数量</v>
      </c>
      <c r="M1786" s="84">
        <v>45822</v>
      </c>
      <c r="O1786" s="55">
        <f ca="1" t="shared" si="103"/>
        <v>0</v>
      </c>
      <c r="P1786" s="55">
        <f ca="1" t="shared" si="104"/>
        <v>135</v>
      </c>
      <c r="Q1786" s="22" t="str">
        <f>VLOOKUP(B1786,辅助信息!E:M,9,FALSE)</f>
        <v>ZTWM-CDGS-XS-2024-0134-商投建工达州中医药科技成果示范园项目</v>
      </c>
      <c r="R1786" s="22" t="str">
        <f>_xlfn._xlws.FILTER(辅助信息!D:D,辅助信息!E:E=B1786)</f>
        <v>商投建工达州中医药科技园</v>
      </c>
    </row>
    <row r="1787" hidden="1" spans="2:18">
      <c r="B1787" s="33" t="s">
        <v>147</v>
      </c>
      <c r="C1787" s="63">
        <v>45820</v>
      </c>
      <c r="D1787" s="113" t="str">
        <f>VLOOKUP(B1787,辅助信息!E:K,7,FALSE)</f>
        <v>JWDDCD2025052800131</v>
      </c>
      <c r="E1787" s="113" t="str">
        <f>VLOOKUP(F1787,辅助信息!A:B,2,FALSE)</f>
        <v>螺纹钢</v>
      </c>
      <c r="F1787" s="33" t="s">
        <v>30</v>
      </c>
      <c r="G1787" s="29">
        <v>3</v>
      </c>
      <c r="H1787" s="114" t="str">
        <f>_xlfn.XLOOKUP(C1787&amp;F1787&amp;I1787&amp;J1787,'[1]2025年已发货'!$F:$F&amp;'[1]2025年已发货'!$C:$C&amp;'[1]2025年已发货'!$G:$G&amp;'[1]2025年已发货'!$H:$H,'[1]2025年已发货'!$E:$E,"未发货")</f>
        <v>未发货</v>
      </c>
      <c r="I1787" s="113" t="str">
        <f>VLOOKUP(B1787,辅助信息!E:I,3,FALSE)</f>
        <v>（商投建工达州中医药科技园-4工区-11号楼）达州市通川区达州中医药职业学院犀牛大道北段</v>
      </c>
      <c r="J1787" s="113" t="str">
        <f>VLOOKUP(B1787,辅助信息!E:I,4,FALSE)</f>
        <v>张扬</v>
      </c>
      <c r="K1787" s="113">
        <f>VLOOKUP(J1787,辅助信息!H:I,2,FALSE)</f>
        <v>18381904567</v>
      </c>
      <c r="L1787" s="115" t="str">
        <f>VLOOKUP(B1787,辅助信息!E:J,6,FALSE)</f>
        <v>控制炉批号！多了现场不收！,优先安排达钢,提前联系到场规格及数量</v>
      </c>
      <c r="M1787" s="84">
        <v>45822</v>
      </c>
      <c r="O1787" s="55">
        <f ca="1" t="shared" si="103"/>
        <v>0</v>
      </c>
      <c r="P1787" s="55">
        <f ca="1" t="shared" si="104"/>
        <v>135</v>
      </c>
      <c r="Q1787" s="22" t="str">
        <f>VLOOKUP(B1787,辅助信息!E:M,9,FALSE)</f>
        <v>ZTWM-CDGS-XS-2024-0134-商投建工达州中医药科技成果示范园项目</v>
      </c>
      <c r="R1787" s="22" t="str">
        <f>_xlfn._xlws.FILTER(辅助信息!D:D,辅助信息!E:E=B1787)</f>
        <v>商投建工达州中医药科技园</v>
      </c>
    </row>
    <row r="1788" hidden="1" spans="2:18">
      <c r="B1788" s="33" t="s">
        <v>147</v>
      </c>
      <c r="C1788" s="63">
        <v>45820</v>
      </c>
      <c r="D1788" s="113" t="str">
        <f>VLOOKUP(B1788,辅助信息!E:K,7,FALSE)</f>
        <v>JWDDCD2025052800131</v>
      </c>
      <c r="E1788" s="113" t="str">
        <f>VLOOKUP(F1788,辅助信息!A:B,2,FALSE)</f>
        <v>螺纹钢</v>
      </c>
      <c r="F1788" s="33" t="s">
        <v>33</v>
      </c>
      <c r="G1788" s="29">
        <v>27</v>
      </c>
      <c r="H1788" s="114">
        <f>_xlfn.XLOOKUP(C1788&amp;F1788&amp;I1788&amp;J1788,'[1]2025年已发货'!$F:$F&amp;'[1]2025年已发货'!$C:$C&amp;'[1]2025年已发货'!$G:$G&amp;'[1]2025年已发货'!$H:$H,'[1]2025年已发货'!$E:$E,"未发货")</f>
        <v>27</v>
      </c>
      <c r="I1788" s="113" t="str">
        <f>VLOOKUP(B1788,辅助信息!E:I,3,FALSE)</f>
        <v>（商投建工达州中医药科技园-4工区-11号楼）达州市通川区达州中医药职业学院犀牛大道北段</v>
      </c>
      <c r="J1788" s="113" t="str">
        <f>VLOOKUP(B1788,辅助信息!E:I,4,FALSE)</f>
        <v>张扬</v>
      </c>
      <c r="K1788" s="113">
        <f>VLOOKUP(J1788,辅助信息!H:I,2,FALSE)</f>
        <v>18381904567</v>
      </c>
      <c r="L1788" s="115" t="str">
        <f>VLOOKUP(B1788,辅助信息!E:J,6,FALSE)</f>
        <v>控制炉批号！多了现场不收！,优先安排达钢,提前联系到场规格及数量</v>
      </c>
      <c r="M1788" s="84">
        <v>45822</v>
      </c>
      <c r="O1788" s="55">
        <f ca="1" t="shared" si="103"/>
        <v>0</v>
      </c>
      <c r="P1788" s="55">
        <f ca="1" t="shared" si="104"/>
        <v>135</v>
      </c>
      <c r="Q1788" s="22" t="str">
        <f>VLOOKUP(B1788,辅助信息!E:M,9,FALSE)</f>
        <v>ZTWM-CDGS-XS-2024-0134-商投建工达州中医药科技成果示范园项目</v>
      </c>
      <c r="R1788" s="22" t="str">
        <f>_xlfn._xlws.FILTER(辅助信息!D:D,辅助信息!E:E=B1788)</f>
        <v>商投建工达州中医药科技园</v>
      </c>
    </row>
    <row r="1789" hidden="1" spans="2:18">
      <c r="B1789" s="33" t="s">
        <v>147</v>
      </c>
      <c r="C1789" s="63">
        <v>45820</v>
      </c>
      <c r="D1789" s="113" t="str">
        <f>VLOOKUP(B1789,辅助信息!E:K,7,FALSE)</f>
        <v>JWDDCD2025052800131</v>
      </c>
      <c r="E1789" s="113" t="str">
        <f>VLOOKUP(F1789,辅助信息!A:B,2,FALSE)</f>
        <v>螺纹钢</v>
      </c>
      <c r="F1789" s="33" t="s">
        <v>28</v>
      </c>
      <c r="G1789" s="29">
        <v>30</v>
      </c>
      <c r="H1789" s="114">
        <f>_xlfn.XLOOKUP(C1789&amp;F1789&amp;I1789&amp;J1789,'[1]2025年已发货'!$F:$F&amp;'[1]2025年已发货'!$C:$C&amp;'[1]2025年已发货'!$G:$G&amp;'[1]2025年已发货'!$H:$H,'[1]2025年已发货'!$E:$E,"未发货")</f>
        <v>27</v>
      </c>
      <c r="I1789" s="113" t="str">
        <f>VLOOKUP(B1789,辅助信息!E:I,3,FALSE)</f>
        <v>（商投建工达州中医药科技园-4工区-11号楼）达州市通川区达州中医药职业学院犀牛大道北段</v>
      </c>
      <c r="J1789" s="113" t="str">
        <f>VLOOKUP(B1789,辅助信息!E:I,4,FALSE)</f>
        <v>张扬</v>
      </c>
      <c r="K1789" s="113">
        <f>VLOOKUP(J1789,辅助信息!H:I,2,FALSE)</f>
        <v>18381904567</v>
      </c>
      <c r="L1789" s="115" t="str">
        <f>VLOOKUP(B1789,辅助信息!E:J,6,FALSE)</f>
        <v>控制炉批号！多了现场不收！,优先安排达钢,提前联系到场规格及数量</v>
      </c>
      <c r="M1789" s="84">
        <v>45822</v>
      </c>
      <c r="O1789" s="55">
        <f ca="1" t="shared" si="103"/>
        <v>0</v>
      </c>
      <c r="P1789" s="55">
        <f ca="1" t="shared" si="104"/>
        <v>135</v>
      </c>
      <c r="Q1789" s="22" t="str">
        <f>VLOOKUP(B1789,辅助信息!E:M,9,FALSE)</f>
        <v>ZTWM-CDGS-XS-2024-0134-商投建工达州中医药科技成果示范园项目</v>
      </c>
      <c r="R1789" s="22" t="str">
        <f>_xlfn._xlws.FILTER(辅助信息!D:D,辅助信息!E:E=B1789)</f>
        <v>商投建工达州中医药科技园</v>
      </c>
    </row>
    <row r="1790" hidden="1" spans="2:18">
      <c r="B1790" s="33" t="s">
        <v>147</v>
      </c>
      <c r="C1790" s="63">
        <v>45820</v>
      </c>
      <c r="D1790" s="113" t="str">
        <f>VLOOKUP(B1790,辅助信息!E:K,7,FALSE)</f>
        <v>JWDDCD2025052800131</v>
      </c>
      <c r="E1790" s="113" t="str">
        <f>VLOOKUP(F1790,辅助信息!A:B,2,FALSE)</f>
        <v>螺纹钢</v>
      </c>
      <c r="F1790" s="33" t="s">
        <v>18</v>
      </c>
      <c r="G1790" s="29">
        <v>15</v>
      </c>
      <c r="H1790" s="114" t="str">
        <f>_xlfn.XLOOKUP(C1790&amp;F1790&amp;I1790&amp;J1790,'[1]2025年已发货'!$F:$F&amp;'[1]2025年已发货'!$C:$C&amp;'[1]2025年已发货'!$G:$G&amp;'[1]2025年已发货'!$H:$H,'[1]2025年已发货'!$E:$E,"未发货")</f>
        <v>未发货</v>
      </c>
      <c r="I1790" s="113" t="str">
        <f>VLOOKUP(B1790,辅助信息!E:I,3,FALSE)</f>
        <v>（商投建工达州中医药科技园-4工区-11号楼）达州市通川区达州中医药职业学院犀牛大道北段</v>
      </c>
      <c r="J1790" s="113" t="str">
        <f>VLOOKUP(B1790,辅助信息!E:I,4,FALSE)</f>
        <v>张扬</v>
      </c>
      <c r="K1790" s="113">
        <f>VLOOKUP(J1790,辅助信息!H:I,2,FALSE)</f>
        <v>18381904567</v>
      </c>
      <c r="L1790" s="115" t="str">
        <f>VLOOKUP(B1790,辅助信息!E:J,6,FALSE)</f>
        <v>控制炉批号！多了现场不收！,优先安排达钢,提前联系到场规格及数量</v>
      </c>
      <c r="M1790" s="84">
        <v>45822</v>
      </c>
      <c r="O1790" s="55">
        <f ca="1" t="shared" si="103"/>
        <v>0</v>
      </c>
      <c r="P1790" s="55">
        <f ca="1" t="shared" si="104"/>
        <v>135</v>
      </c>
      <c r="Q1790" s="22" t="str">
        <f>VLOOKUP(B1790,辅助信息!E:M,9,FALSE)</f>
        <v>ZTWM-CDGS-XS-2024-0134-商投建工达州中医药科技成果示范园项目</v>
      </c>
      <c r="R1790" s="22" t="str">
        <f>_xlfn._xlws.FILTER(辅助信息!D:D,辅助信息!E:E=B1790)</f>
        <v>商投建工达州中医药科技园</v>
      </c>
    </row>
    <row r="1791" hidden="1" spans="2:17">
      <c r="B1791" s="33" t="s">
        <v>163</v>
      </c>
      <c r="C1791" s="63">
        <v>45820</v>
      </c>
      <c r="D1791" s="113" t="str">
        <f>VLOOKUP(B1791,辅助信息!E:K,7,FALSE)</f>
        <v>JWDDCD2025052800131</v>
      </c>
      <c r="E1791" s="113" t="str">
        <f>VLOOKUP(F1791,辅助信息!A:B,2,FALSE)</f>
        <v>盘螺</v>
      </c>
      <c r="F1791" s="33" t="s">
        <v>40</v>
      </c>
      <c r="G1791" s="29">
        <v>18</v>
      </c>
      <c r="H1791" s="114" t="str">
        <f>_xlfn.XLOOKUP(C1791&amp;F1791&amp;I1791&amp;J1791,'[1]2025年已发货'!$F:$F&amp;'[1]2025年已发货'!$C:$C&amp;'[1]2025年已发货'!$G:$G&amp;'[1]2025年已发货'!$H:$H,'[1]2025年已发货'!$E:$E,"未发货")</f>
        <v>未发货</v>
      </c>
      <c r="I1791" s="113" t="str">
        <f>VLOOKUP(B1791,辅助信息!E:I,3,FALSE)</f>
        <v>（商投建工达州中医药科技园-4工区-9号楼）达州市通川区达州中医药职业学院犀牛大道北段</v>
      </c>
      <c r="J1791" s="113" t="str">
        <f>VLOOKUP(B1791,辅助信息!E:I,4,FALSE)</f>
        <v>张扬</v>
      </c>
      <c r="K1791" s="113">
        <f>VLOOKUP(J1791,辅助信息!H:I,2,FALSE)</f>
        <v>18381904567</v>
      </c>
      <c r="L1791" s="115" t="str">
        <f>VLOOKUP(B1791,辅助信息!E:J,6,FALSE)</f>
        <v>控制炉批号！多了现场不收！,优先安排达钢,提前联系到场规格及数量</v>
      </c>
      <c r="M1791" s="84">
        <v>45822</v>
      </c>
      <c r="O1791" s="55">
        <f ca="1" t="shared" ref="O1791:O1798" si="105">IF(OR(M1791="",N1791&lt;&gt;""),"",MAX(M1791-TODAY(),0))</f>
        <v>0</v>
      </c>
      <c r="P1791" s="55">
        <f ca="1" t="shared" ref="P1791:P1798" si="106">IF(M1791="","",IF(N1791&lt;&gt;"",MAX(N1791-M1791,0),IF(TODAY()&gt;M1791,TODAY()-M1791,0)))</f>
        <v>135</v>
      </c>
      <c r="Q1791" s="22" t="str">
        <f>VLOOKUP(B1791,辅助信息!E:M,9,FALSE)</f>
        <v>ZTWM-CDGS-XS-2024-0134-商投建工达州中医药科技成果示范园项目</v>
      </c>
    </row>
    <row r="1792" hidden="1" spans="2:17">
      <c r="B1792" s="33" t="s">
        <v>163</v>
      </c>
      <c r="C1792" s="63">
        <v>45820</v>
      </c>
      <c r="D1792" s="113" t="str">
        <f>VLOOKUP(B1792,辅助信息!E:K,7,FALSE)</f>
        <v>JWDDCD2025052800131</v>
      </c>
      <c r="E1792" s="113" t="str">
        <f>VLOOKUP(F1792,辅助信息!A:B,2,FALSE)</f>
        <v>盘螺</v>
      </c>
      <c r="F1792" s="33" t="s">
        <v>41</v>
      </c>
      <c r="G1792" s="29">
        <v>12</v>
      </c>
      <c r="H1792" s="114">
        <f>_xlfn.XLOOKUP(C1792&amp;F1792&amp;I1792&amp;J1792,'[1]2025年已发货'!$F:$F&amp;'[1]2025年已发货'!$C:$C&amp;'[1]2025年已发货'!$G:$G&amp;'[1]2025年已发货'!$H:$H,'[1]2025年已发货'!$E:$E,"未发货")</f>
        <v>12</v>
      </c>
      <c r="I1792" s="113" t="str">
        <f>VLOOKUP(B1792,辅助信息!E:I,3,FALSE)</f>
        <v>（商投建工达州中医药科技园-4工区-9号楼）达州市通川区达州中医药职业学院犀牛大道北段</v>
      </c>
      <c r="J1792" s="113" t="str">
        <f>VLOOKUP(B1792,辅助信息!E:I,4,FALSE)</f>
        <v>张扬</v>
      </c>
      <c r="K1792" s="113">
        <f>VLOOKUP(J1792,辅助信息!H:I,2,FALSE)</f>
        <v>18381904567</v>
      </c>
      <c r="L1792" s="115" t="str">
        <f>VLOOKUP(B1792,辅助信息!E:J,6,FALSE)</f>
        <v>控制炉批号！多了现场不收！,优先安排达钢,提前联系到场规格及数量</v>
      </c>
      <c r="M1792" s="84">
        <v>45822</v>
      </c>
      <c r="O1792" s="55">
        <f ca="1" t="shared" si="105"/>
        <v>0</v>
      </c>
      <c r="P1792" s="55">
        <f ca="1" t="shared" si="106"/>
        <v>135</v>
      </c>
      <c r="Q1792" s="22" t="str">
        <f>VLOOKUP(B1792,辅助信息!E:M,9,FALSE)</f>
        <v>ZTWM-CDGS-XS-2024-0134-商投建工达州中医药科技成果示范园项目</v>
      </c>
    </row>
    <row r="1793" hidden="1" spans="2:17">
      <c r="B1793" s="33" t="s">
        <v>163</v>
      </c>
      <c r="C1793" s="63">
        <v>45820</v>
      </c>
      <c r="D1793" s="113" t="str">
        <f>VLOOKUP(B1793,辅助信息!E:K,7,FALSE)</f>
        <v>JWDDCD2025052800131</v>
      </c>
      <c r="E1793" s="113" t="str">
        <f>VLOOKUP(F1793,辅助信息!A:B,2,FALSE)</f>
        <v>螺纹钢</v>
      </c>
      <c r="F1793" s="33" t="s">
        <v>27</v>
      </c>
      <c r="G1793" s="29">
        <v>6</v>
      </c>
      <c r="H1793" s="114">
        <f>_xlfn.XLOOKUP(C1793&amp;F1793&amp;I1793&amp;J1793,'[1]2025年已发货'!$F:$F&amp;'[1]2025年已发货'!$C:$C&amp;'[1]2025年已发货'!$G:$G&amp;'[1]2025年已发货'!$H:$H,'[1]2025年已发货'!$E:$E,"未发货")</f>
        <v>6</v>
      </c>
      <c r="I1793" s="113" t="str">
        <f>VLOOKUP(B1793,辅助信息!E:I,3,FALSE)</f>
        <v>（商投建工达州中医药科技园-4工区-9号楼）达州市通川区达州中医药职业学院犀牛大道北段</v>
      </c>
      <c r="J1793" s="113" t="str">
        <f>VLOOKUP(B1793,辅助信息!E:I,4,FALSE)</f>
        <v>张扬</v>
      </c>
      <c r="K1793" s="113">
        <f>VLOOKUP(J1793,辅助信息!H:I,2,FALSE)</f>
        <v>18381904567</v>
      </c>
      <c r="L1793" s="115" t="str">
        <f>VLOOKUP(B1793,辅助信息!E:J,6,FALSE)</f>
        <v>控制炉批号！多了现场不收！,优先安排达钢,提前联系到场规格及数量</v>
      </c>
      <c r="M1793" s="84">
        <v>45822</v>
      </c>
      <c r="O1793" s="55">
        <f ca="1" t="shared" si="105"/>
        <v>0</v>
      </c>
      <c r="P1793" s="55">
        <f ca="1" t="shared" si="106"/>
        <v>135</v>
      </c>
      <c r="Q1793" s="22" t="str">
        <f>VLOOKUP(B1793,辅助信息!E:M,9,FALSE)</f>
        <v>ZTWM-CDGS-XS-2024-0134-商投建工达州中医药科技成果示范园项目</v>
      </c>
    </row>
    <row r="1794" hidden="1" spans="2:17">
      <c r="B1794" s="33" t="s">
        <v>163</v>
      </c>
      <c r="C1794" s="63">
        <v>45820</v>
      </c>
      <c r="D1794" s="113" t="str">
        <f>VLOOKUP(B1794,辅助信息!E:K,7,FALSE)</f>
        <v>JWDDCD2025052800131</v>
      </c>
      <c r="E1794" s="113" t="str">
        <f>VLOOKUP(F1794,辅助信息!A:B,2,FALSE)</f>
        <v>螺纹钢</v>
      </c>
      <c r="F1794" s="33" t="s">
        <v>32</v>
      </c>
      <c r="G1794" s="29">
        <v>6</v>
      </c>
      <c r="H1794" s="114" t="str">
        <f>_xlfn.XLOOKUP(C1794&amp;F1794&amp;I1794&amp;J1794,'[1]2025年已发货'!$F:$F&amp;'[1]2025年已发货'!$C:$C&amp;'[1]2025年已发货'!$G:$G&amp;'[1]2025年已发货'!$H:$H,'[1]2025年已发货'!$E:$E,"未发货")</f>
        <v>未发货</v>
      </c>
      <c r="I1794" s="113" t="str">
        <f>VLOOKUP(B1794,辅助信息!E:I,3,FALSE)</f>
        <v>（商投建工达州中医药科技园-4工区-9号楼）达州市通川区达州中医药职业学院犀牛大道北段</v>
      </c>
      <c r="J1794" s="113" t="str">
        <f>VLOOKUP(B1794,辅助信息!E:I,4,FALSE)</f>
        <v>张扬</v>
      </c>
      <c r="K1794" s="113">
        <f>VLOOKUP(J1794,辅助信息!H:I,2,FALSE)</f>
        <v>18381904567</v>
      </c>
      <c r="L1794" s="115" t="str">
        <f>VLOOKUP(B1794,辅助信息!E:J,6,FALSE)</f>
        <v>控制炉批号！多了现场不收！,优先安排达钢,提前联系到场规格及数量</v>
      </c>
      <c r="M1794" s="84">
        <v>45822</v>
      </c>
      <c r="O1794" s="55">
        <f ca="1" t="shared" si="105"/>
        <v>0</v>
      </c>
      <c r="P1794" s="55">
        <f ca="1" t="shared" si="106"/>
        <v>135</v>
      </c>
      <c r="Q1794" s="22" t="str">
        <f>VLOOKUP(B1794,辅助信息!E:M,9,FALSE)</f>
        <v>ZTWM-CDGS-XS-2024-0134-商投建工达州中医药科技成果示范园项目</v>
      </c>
    </row>
    <row r="1795" hidden="1" spans="2:17">
      <c r="B1795" s="33" t="s">
        <v>163</v>
      </c>
      <c r="C1795" s="63">
        <v>45820</v>
      </c>
      <c r="D1795" s="113" t="str">
        <f>VLOOKUP(B1795,辅助信息!E:K,7,FALSE)</f>
        <v>JWDDCD2025052800131</v>
      </c>
      <c r="E1795" s="113" t="str">
        <f>VLOOKUP(F1795,辅助信息!A:B,2,FALSE)</f>
        <v>螺纹钢</v>
      </c>
      <c r="F1795" s="33" t="s">
        <v>30</v>
      </c>
      <c r="G1795" s="29">
        <v>6</v>
      </c>
      <c r="H1795" s="114" t="str">
        <f>_xlfn.XLOOKUP(C1795&amp;F1795&amp;I1795&amp;J1795,'[1]2025年已发货'!$F:$F&amp;'[1]2025年已发货'!$C:$C&amp;'[1]2025年已发货'!$G:$G&amp;'[1]2025年已发货'!$H:$H,'[1]2025年已发货'!$E:$E,"未发货")</f>
        <v>未发货</v>
      </c>
      <c r="I1795" s="113" t="str">
        <f>VLOOKUP(B1795,辅助信息!E:I,3,FALSE)</f>
        <v>（商投建工达州中医药科技园-4工区-9号楼）达州市通川区达州中医药职业学院犀牛大道北段</v>
      </c>
      <c r="J1795" s="113" t="str">
        <f>VLOOKUP(B1795,辅助信息!E:I,4,FALSE)</f>
        <v>张扬</v>
      </c>
      <c r="K1795" s="113">
        <f>VLOOKUP(J1795,辅助信息!H:I,2,FALSE)</f>
        <v>18381904567</v>
      </c>
      <c r="L1795" s="115" t="str">
        <f>VLOOKUP(B1795,辅助信息!E:J,6,FALSE)</f>
        <v>控制炉批号！多了现场不收！,优先安排达钢,提前联系到场规格及数量</v>
      </c>
      <c r="M1795" s="84">
        <v>45822</v>
      </c>
      <c r="O1795" s="55">
        <f ca="1" t="shared" si="105"/>
        <v>0</v>
      </c>
      <c r="P1795" s="55">
        <f ca="1" t="shared" si="106"/>
        <v>135</v>
      </c>
      <c r="Q1795" s="22" t="str">
        <f>VLOOKUP(B1795,辅助信息!E:M,9,FALSE)</f>
        <v>ZTWM-CDGS-XS-2024-0134-商投建工达州中医药科技成果示范园项目</v>
      </c>
    </row>
    <row r="1796" hidden="1" spans="2:17">
      <c r="B1796" s="33" t="s">
        <v>163</v>
      </c>
      <c r="C1796" s="63">
        <v>45820</v>
      </c>
      <c r="D1796" s="113" t="str">
        <f>VLOOKUP(B1796,辅助信息!E:K,7,FALSE)</f>
        <v>JWDDCD2025052800131</v>
      </c>
      <c r="E1796" s="113" t="str">
        <f>VLOOKUP(F1796,辅助信息!A:B,2,FALSE)</f>
        <v>螺纹钢</v>
      </c>
      <c r="F1796" s="33" t="s">
        <v>33</v>
      </c>
      <c r="G1796" s="29">
        <v>39</v>
      </c>
      <c r="H1796" s="114">
        <f>_xlfn.XLOOKUP(C1796&amp;F1796&amp;I1796&amp;J1796,'[1]2025年已发货'!$F:$F&amp;'[1]2025年已发货'!$C:$C&amp;'[1]2025年已发货'!$G:$G&amp;'[1]2025年已发货'!$H:$H,'[1]2025年已发货'!$E:$E,"未发货")</f>
        <v>39</v>
      </c>
      <c r="I1796" s="113" t="str">
        <f>VLOOKUP(B1796,辅助信息!E:I,3,FALSE)</f>
        <v>（商投建工达州中医药科技园-4工区-9号楼）达州市通川区达州中医药职业学院犀牛大道北段</v>
      </c>
      <c r="J1796" s="113" t="str">
        <f>VLOOKUP(B1796,辅助信息!E:I,4,FALSE)</f>
        <v>张扬</v>
      </c>
      <c r="K1796" s="113">
        <f>VLOOKUP(J1796,辅助信息!H:I,2,FALSE)</f>
        <v>18381904567</v>
      </c>
      <c r="L1796" s="115" t="str">
        <f>VLOOKUP(B1796,辅助信息!E:J,6,FALSE)</f>
        <v>控制炉批号！多了现场不收！,优先安排达钢,提前联系到场规格及数量</v>
      </c>
      <c r="M1796" s="84">
        <v>45822</v>
      </c>
      <c r="O1796" s="55">
        <f ca="1" t="shared" si="105"/>
        <v>0</v>
      </c>
      <c r="P1796" s="55">
        <f ca="1" t="shared" si="106"/>
        <v>135</v>
      </c>
      <c r="Q1796" s="22" t="str">
        <f>VLOOKUP(B1796,辅助信息!E:M,9,FALSE)</f>
        <v>ZTWM-CDGS-XS-2024-0134-商投建工达州中医药科技成果示范园项目</v>
      </c>
    </row>
    <row r="1797" hidden="1" spans="2:17">
      <c r="B1797" s="33" t="s">
        <v>163</v>
      </c>
      <c r="C1797" s="63">
        <v>45820</v>
      </c>
      <c r="D1797" s="113" t="str">
        <f>VLOOKUP(B1797,辅助信息!E:K,7,FALSE)</f>
        <v>JWDDCD2025052800131</v>
      </c>
      <c r="E1797" s="113" t="str">
        <f>VLOOKUP(F1797,辅助信息!A:B,2,FALSE)</f>
        <v>螺纹钢</v>
      </c>
      <c r="F1797" s="33" t="s">
        <v>28</v>
      </c>
      <c r="G1797" s="29">
        <v>24</v>
      </c>
      <c r="H1797" s="114">
        <f>_xlfn.XLOOKUP(C1797&amp;F1797&amp;I1797&amp;J1797,'[1]2025年已发货'!$F:$F&amp;'[1]2025年已发货'!$C:$C&amp;'[1]2025年已发货'!$G:$G&amp;'[1]2025年已发货'!$H:$H,'[1]2025年已发货'!$E:$E,"未发货")</f>
        <v>24</v>
      </c>
      <c r="I1797" s="113" t="str">
        <f>VLOOKUP(B1797,辅助信息!E:I,3,FALSE)</f>
        <v>（商投建工达州中医药科技园-4工区-9号楼）达州市通川区达州中医药职业学院犀牛大道北段</v>
      </c>
      <c r="J1797" s="113" t="str">
        <f>VLOOKUP(B1797,辅助信息!E:I,4,FALSE)</f>
        <v>张扬</v>
      </c>
      <c r="K1797" s="113">
        <f>VLOOKUP(J1797,辅助信息!H:I,2,FALSE)</f>
        <v>18381904567</v>
      </c>
      <c r="L1797" s="115" t="str">
        <f>VLOOKUP(B1797,辅助信息!E:J,6,FALSE)</f>
        <v>控制炉批号！多了现场不收！,优先安排达钢,提前联系到场规格及数量</v>
      </c>
      <c r="M1797" s="84">
        <v>45822</v>
      </c>
      <c r="O1797" s="55">
        <f ca="1" t="shared" si="105"/>
        <v>0</v>
      </c>
      <c r="P1797" s="55">
        <f ca="1" t="shared" si="106"/>
        <v>135</v>
      </c>
      <c r="Q1797" s="22" t="str">
        <f>VLOOKUP(B1797,辅助信息!E:M,9,FALSE)</f>
        <v>ZTWM-CDGS-XS-2024-0134-商投建工达州中医药科技成果示范园项目</v>
      </c>
    </row>
    <row r="1798" hidden="1" spans="2:17">
      <c r="B1798" s="33" t="s">
        <v>163</v>
      </c>
      <c r="C1798" s="63">
        <v>45820</v>
      </c>
      <c r="D1798" s="113" t="str">
        <f>VLOOKUP(B1798,辅助信息!E:K,7,FALSE)</f>
        <v>JWDDCD2025052800131</v>
      </c>
      <c r="E1798" s="113" t="str">
        <f>VLOOKUP(F1798,辅助信息!A:B,2,FALSE)</f>
        <v>螺纹钢</v>
      </c>
      <c r="F1798" s="33" t="s">
        <v>18</v>
      </c>
      <c r="G1798" s="29">
        <v>21</v>
      </c>
      <c r="H1798" s="114">
        <f>_xlfn.XLOOKUP(C1798&amp;F1798&amp;I1798&amp;J1798,'[1]2025年已发货'!$F:$F&amp;'[1]2025年已发货'!$C:$C&amp;'[1]2025年已发货'!$G:$G&amp;'[1]2025年已发货'!$H:$H,'[1]2025年已发货'!$E:$E,"未发货")</f>
        <v>21</v>
      </c>
      <c r="I1798" s="113" t="str">
        <f>VLOOKUP(B1798,辅助信息!E:I,3,FALSE)</f>
        <v>（商投建工达州中医药科技园-4工区-9号楼）达州市通川区达州中医药职业学院犀牛大道北段</v>
      </c>
      <c r="J1798" s="113" t="str">
        <f>VLOOKUP(B1798,辅助信息!E:I,4,FALSE)</f>
        <v>张扬</v>
      </c>
      <c r="K1798" s="113">
        <f>VLOOKUP(J1798,辅助信息!H:I,2,FALSE)</f>
        <v>18381904567</v>
      </c>
      <c r="L1798" s="115" t="str">
        <f>VLOOKUP(B1798,辅助信息!E:J,6,FALSE)</f>
        <v>控制炉批号！多了现场不收！,优先安排达钢,提前联系到场规格及数量</v>
      </c>
      <c r="M1798" s="84">
        <v>45822</v>
      </c>
      <c r="O1798" s="55">
        <f ca="1" t="shared" si="105"/>
        <v>0</v>
      </c>
      <c r="P1798" s="55">
        <f ca="1" t="shared" si="106"/>
        <v>135</v>
      </c>
      <c r="Q1798" s="22" t="str">
        <f>VLOOKUP(B1798,辅助信息!E:M,9,FALSE)</f>
        <v>ZTWM-CDGS-XS-2024-0134-商投建工达州中医药科技成果示范园项目</v>
      </c>
    </row>
    <row r="1799" hidden="1" spans="1:17">
      <c r="A1799" s="75" t="s">
        <v>164</v>
      </c>
      <c r="B1799" s="33" t="s">
        <v>81</v>
      </c>
      <c r="C1799" s="63">
        <v>45820</v>
      </c>
      <c r="D1799" s="113" t="str">
        <f>VLOOKUP(B1799,辅助信息!E:K,7,FALSE)</f>
        <v>JWDDCD2025060900080</v>
      </c>
      <c r="E1799" s="113" t="str">
        <f>VLOOKUP(F1799,辅助信息!A:B,2,FALSE)</f>
        <v>盘螺</v>
      </c>
      <c r="F1799" s="33" t="s">
        <v>40</v>
      </c>
      <c r="G1799" s="29">
        <v>19</v>
      </c>
      <c r="H1799" s="114"/>
      <c r="I1799" s="113" t="str">
        <f>VLOOKUP(B1799,辅助信息!E:I,3,FALSE)</f>
        <v>（华西简阳西城嘉苑）四川省成都市简阳市简城街道高屋村</v>
      </c>
      <c r="J1799" s="113" t="str">
        <f>VLOOKUP(B1799,辅助信息!E:I,4,FALSE)</f>
        <v>张瀚镭</v>
      </c>
      <c r="K1799" s="113">
        <f>VLOOKUP(J1799,辅助信息!H:I,2,FALSE)</f>
        <v>15884666220</v>
      </c>
      <c r="L1799" s="115" t="str">
        <f>VLOOKUP(B1799,辅助信息!E:J,6,FALSE)</f>
        <v>现场禁止使用氢能源挂车！优先威钢发货,我方卸车,新老国标钢厂不加价可直发，因陕钢多次出现磅差，项目拒绝使用</v>
      </c>
      <c r="M1799" s="84">
        <v>45822</v>
      </c>
      <c r="O1799" s="55">
        <f ca="1" t="shared" ref="O1799:O1811" si="107">IF(OR(M1799="",N1799&lt;&gt;""),"",MAX(M1799-TODAY(),0))</f>
        <v>0</v>
      </c>
      <c r="P1799" s="55">
        <f ca="1" t="shared" ref="P1799:P1811" si="108">IF(M1799="","",IF(N1799&lt;&gt;"",MAX(N1799-M1799,0),IF(TODAY()&gt;M1799,TODAY()-M1799,0)))</f>
        <v>135</v>
      </c>
      <c r="Q1799" s="22" t="str">
        <f>VLOOKUP(B1799,辅助信息!E:M,9,FALSE)</f>
        <v>ZTWM-CDGS-XS-2024-0030-华西集采-简州大道</v>
      </c>
    </row>
    <row r="1800" hidden="1" spans="1:17">
      <c r="A1800" s="75"/>
      <c r="B1800" s="33" t="s">
        <v>81</v>
      </c>
      <c r="C1800" s="63">
        <v>45820</v>
      </c>
      <c r="D1800" s="113" t="str">
        <f>VLOOKUP(B1800,辅助信息!E:K,7,FALSE)</f>
        <v>JWDDCD2025060900080</v>
      </c>
      <c r="E1800" s="113" t="str">
        <f>VLOOKUP(F1800,辅助信息!A:B,2,FALSE)</f>
        <v>盘螺</v>
      </c>
      <c r="F1800" s="33" t="s">
        <v>41</v>
      </c>
      <c r="G1800" s="29">
        <v>185</v>
      </c>
      <c r="H1800" s="114"/>
      <c r="I1800" s="113" t="str">
        <f>VLOOKUP(B1800,辅助信息!E:I,3,FALSE)</f>
        <v>（华西简阳西城嘉苑）四川省成都市简阳市简城街道高屋村</v>
      </c>
      <c r="J1800" s="113" t="str">
        <f>VLOOKUP(B1800,辅助信息!E:I,4,FALSE)</f>
        <v>张瀚镭</v>
      </c>
      <c r="K1800" s="113">
        <f>VLOOKUP(J1800,辅助信息!H:I,2,FALSE)</f>
        <v>15884666220</v>
      </c>
      <c r="L1800" s="115" t="str">
        <f>VLOOKUP(B1800,辅助信息!E:J,6,FALSE)</f>
        <v>现场禁止使用氢能源挂车！优先威钢发货,我方卸车,新老国标钢厂不加价可直发，因陕钢多次出现磅差，项目拒绝使用</v>
      </c>
      <c r="M1800" s="84">
        <v>45822</v>
      </c>
      <c r="O1800" s="55">
        <f ca="1" t="shared" si="107"/>
        <v>0</v>
      </c>
      <c r="P1800" s="55">
        <f ca="1" t="shared" si="108"/>
        <v>135</v>
      </c>
      <c r="Q1800" s="22" t="str">
        <f>VLOOKUP(B1800,辅助信息!E:M,9,FALSE)</f>
        <v>ZTWM-CDGS-XS-2024-0030-华西集采-简州大道</v>
      </c>
    </row>
    <row r="1801" hidden="1" spans="1:17">
      <c r="A1801" s="75"/>
      <c r="B1801" s="33" t="s">
        <v>81</v>
      </c>
      <c r="C1801" s="63">
        <v>45820</v>
      </c>
      <c r="D1801" s="113" t="str">
        <f>VLOOKUP(B1801,辅助信息!E:K,7,FALSE)</f>
        <v>JWDDCD2025060900080</v>
      </c>
      <c r="E1801" s="113" t="str">
        <f>VLOOKUP(F1801,辅助信息!A:B,2,FALSE)</f>
        <v>盘螺</v>
      </c>
      <c r="F1801" s="33" t="s">
        <v>26</v>
      </c>
      <c r="G1801" s="29">
        <v>53</v>
      </c>
      <c r="H1801" s="114">
        <v>36</v>
      </c>
      <c r="I1801" s="113" t="str">
        <f>VLOOKUP(B1801,辅助信息!E:I,3,FALSE)</f>
        <v>（华西简阳西城嘉苑）四川省成都市简阳市简城街道高屋村</v>
      </c>
      <c r="J1801" s="113" t="str">
        <f>VLOOKUP(B1801,辅助信息!E:I,4,FALSE)</f>
        <v>张瀚镭</v>
      </c>
      <c r="K1801" s="113">
        <f>VLOOKUP(J1801,辅助信息!H:I,2,FALSE)</f>
        <v>15884666220</v>
      </c>
      <c r="L1801" s="115" t="str">
        <f>VLOOKUP(B1801,辅助信息!E:J,6,FALSE)</f>
        <v>现场禁止使用氢能源挂车！优先威钢发货,我方卸车,新老国标钢厂不加价可直发，因陕钢多次出现磅差，项目拒绝使用</v>
      </c>
      <c r="M1801" s="84">
        <v>45822</v>
      </c>
      <c r="O1801" s="55">
        <f ca="1" t="shared" si="107"/>
        <v>0</v>
      </c>
      <c r="P1801" s="55">
        <f ca="1" t="shared" si="108"/>
        <v>135</v>
      </c>
      <c r="Q1801" s="22" t="str">
        <f>VLOOKUP(B1801,辅助信息!E:M,9,FALSE)</f>
        <v>ZTWM-CDGS-XS-2024-0030-华西集采-简州大道</v>
      </c>
    </row>
    <row r="1802" hidden="1" spans="2:17">
      <c r="B1802" s="33" t="s">
        <v>81</v>
      </c>
      <c r="C1802" s="63">
        <v>45820</v>
      </c>
      <c r="D1802" s="113" t="str">
        <f>VLOOKUP(B1802,辅助信息!E:K,7,FALSE)</f>
        <v>JWDDCD2025060900080</v>
      </c>
      <c r="E1802" s="113" t="str">
        <f>VLOOKUP(F1802,辅助信息!A:B,2,FALSE)</f>
        <v>螺纹钢</v>
      </c>
      <c r="F1802" s="33" t="s">
        <v>19</v>
      </c>
      <c r="G1802" s="29">
        <v>8</v>
      </c>
      <c r="H1802" s="114">
        <v>8</v>
      </c>
      <c r="I1802" s="113" t="str">
        <f>VLOOKUP(B1802,辅助信息!E:I,3,FALSE)</f>
        <v>（华西简阳西城嘉苑）四川省成都市简阳市简城街道高屋村</v>
      </c>
      <c r="J1802" s="113" t="str">
        <f>VLOOKUP(B1802,辅助信息!E:I,4,FALSE)</f>
        <v>张瀚镭</v>
      </c>
      <c r="K1802" s="113">
        <f>VLOOKUP(J1802,辅助信息!H:I,2,FALSE)</f>
        <v>15884666220</v>
      </c>
      <c r="L1802" s="115" t="str">
        <f>VLOOKUP(B1802,辅助信息!E:J,6,FALSE)</f>
        <v>现场禁止使用氢能源挂车！优先威钢发货,我方卸车,新老国标钢厂不加价可直发，因陕钢多次出现磅差，项目拒绝使用</v>
      </c>
      <c r="M1802" s="84">
        <v>45822</v>
      </c>
      <c r="O1802" s="55">
        <f ca="1" t="shared" si="107"/>
        <v>0</v>
      </c>
      <c r="P1802" s="55">
        <f ca="1" t="shared" si="108"/>
        <v>135</v>
      </c>
      <c r="Q1802" s="22" t="str">
        <f>VLOOKUP(B1802,辅助信息!E:M,9,FALSE)</f>
        <v>ZTWM-CDGS-XS-2024-0030-华西集采-简州大道</v>
      </c>
    </row>
    <row r="1803" hidden="1" spans="2:17">
      <c r="B1803" s="33" t="s">
        <v>81</v>
      </c>
      <c r="C1803" s="63">
        <v>45820</v>
      </c>
      <c r="D1803" s="113" t="str">
        <f>VLOOKUP(B1803,辅助信息!E:K,7,FALSE)</f>
        <v>JWDDCD2025060900080</v>
      </c>
      <c r="E1803" s="113" t="str">
        <f>VLOOKUP(F1803,辅助信息!A:B,2,FALSE)</f>
        <v>螺纹钢</v>
      </c>
      <c r="F1803" s="33" t="s">
        <v>32</v>
      </c>
      <c r="G1803" s="29">
        <v>10</v>
      </c>
      <c r="H1803" s="114">
        <v>10</v>
      </c>
      <c r="I1803" s="113" t="str">
        <f>VLOOKUP(B1803,辅助信息!E:I,3,FALSE)</f>
        <v>（华西简阳西城嘉苑）四川省成都市简阳市简城街道高屋村</v>
      </c>
      <c r="J1803" s="113" t="str">
        <f>VLOOKUP(B1803,辅助信息!E:I,4,FALSE)</f>
        <v>张瀚镭</v>
      </c>
      <c r="K1803" s="113">
        <f>VLOOKUP(J1803,辅助信息!H:I,2,FALSE)</f>
        <v>15884666220</v>
      </c>
      <c r="L1803" s="115" t="str">
        <f>VLOOKUP(B1803,辅助信息!E:J,6,FALSE)</f>
        <v>现场禁止使用氢能源挂车！优先威钢发货,我方卸车,新老国标钢厂不加价可直发，因陕钢多次出现磅差，项目拒绝使用</v>
      </c>
      <c r="M1803" s="84">
        <v>45822</v>
      </c>
      <c r="O1803" s="55">
        <f ca="1" t="shared" si="107"/>
        <v>0</v>
      </c>
      <c r="P1803" s="55">
        <f ca="1" t="shared" si="108"/>
        <v>135</v>
      </c>
      <c r="Q1803" s="22" t="str">
        <f>VLOOKUP(B1803,辅助信息!E:M,9,FALSE)</f>
        <v>ZTWM-CDGS-XS-2024-0030-华西集采-简州大道</v>
      </c>
    </row>
    <row r="1804" hidden="1" spans="2:17">
      <c r="B1804" s="33" t="s">
        <v>81</v>
      </c>
      <c r="C1804" s="63">
        <v>45820</v>
      </c>
      <c r="D1804" s="113" t="str">
        <f>VLOOKUP(B1804,辅助信息!E:K,7,FALSE)</f>
        <v>JWDDCD2025060900080</v>
      </c>
      <c r="E1804" s="113" t="str">
        <f>VLOOKUP(F1804,辅助信息!A:B,2,FALSE)</f>
        <v>螺纹钢</v>
      </c>
      <c r="F1804" s="33" t="s">
        <v>30</v>
      </c>
      <c r="G1804" s="29">
        <v>5</v>
      </c>
      <c r="H1804" s="114">
        <v>5</v>
      </c>
      <c r="I1804" s="113" t="str">
        <f>VLOOKUP(B1804,辅助信息!E:I,3,FALSE)</f>
        <v>（华西简阳西城嘉苑）四川省成都市简阳市简城街道高屋村</v>
      </c>
      <c r="J1804" s="113" t="str">
        <f>VLOOKUP(B1804,辅助信息!E:I,4,FALSE)</f>
        <v>张瀚镭</v>
      </c>
      <c r="K1804" s="113">
        <f>VLOOKUP(J1804,辅助信息!H:I,2,FALSE)</f>
        <v>15884666220</v>
      </c>
      <c r="L1804" s="115" t="str">
        <f>VLOOKUP(B1804,辅助信息!E:J,6,FALSE)</f>
        <v>现场禁止使用氢能源挂车！优先威钢发货,我方卸车,新老国标钢厂不加价可直发，因陕钢多次出现磅差，项目拒绝使用</v>
      </c>
      <c r="M1804" s="84">
        <v>45822</v>
      </c>
      <c r="O1804" s="55">
        <f ca="1" t="shared" si="107"/>
        <v>0</v>
      </c>
      <c r="P1804" s="55">
        <f ca="1" t="shared" si="108"/>
        <v>135</v>
      </c>
      <c r="Q1804" s="22" t="str">
        <f>VLOOKUP(B1804,辅助信息!E:M,9,FALSE)</f>
        <v>ZTWM-CDGS-XS-2024-0030-华西集采-简州大道</v>
      </c>
    </row>
    <row r="1805" hidden="1" spans="2:17">
      <c r="B1805" s="33" t="s">
        <v>81</v>
      </c>
      <c r="C1805" s="63">
        <v>45820</v>
      </c>
      <c r="D1805" s="113" t="str">
        <f>VLOOKUP(B1805,辅助信息!E:K,7,FALSE)</f>
        <v>JWDDCD2025060900080</v>
      </c>
      <c r="E1805" s="113" t="str">
        <f>VLOOKUP(F1805,辅助信息!A:B,2,FALSE)</f>
        <v>螺纹钢</v>
      </c>
      <c r="F1805" s="33" t="s">
        <v>33</v>
      </c>
      <c r="G1805" s="29">
        <v>5</v>
      </c>
      <c r="H1805" s="114">
        <v>5</v>
      </c>
      <c r="I1805" s="113" t="str">
        <f>VLOOKUP(B1805,辅助信息!E:I,3,FALSE)</f>
        <v>（华西简阳西城嘉苑）四川省成都市简阳市简城街道高屋村</v>
      </c>
      <c r="J1805" s="113" t="str">
        <f>VLOOKUP(B1805,辅助信息!E:I,4,FALSE)</f>
        <v>张瀚镭</v>
      </c>
      <c r="K1805" s="113">
        <f>VLOOKUP(J1805,辅助信息!H:I,2,FALSE)</f>
        <v>15884666220</v>
      </c>
      <c r="L1805" s="115" t="str">
        <f>VLOOKUP(B1805,辅助信息!E:J,6,FALSE)</f>
        <v>现场禁止使用氢能源挂车！优先威钢发货,我方卸车,新老国标钢厂不加价可直发，因陕钢多次出现磅差，项目拒绝使用</v>
      </c>
      <c r="M1805" s="84">
        <v>45822</v>
      </c>
      <c r="O1805" s="55">
        <f ca="1" t="shared" si="107"/>
        <v>0</v>
      </c>
      <c r="P1805" s="55">
        <f ca="1" t="shared" si="108"/>
        <v>135</v>
      </c>
      <c r="Q1805" s="22" t="str">
        <f>VLOOKUP(B1805,辅助信息!E:M,9,FALSE)</f>
        <v>ZTWM-CDGS-XS-2024-0030-华西集采-简州大道</v>
      </c>
    </row>
    <row r="1806" hidden="1" spans="1:17">
      <c r="A1806" s="75" t="s">
        <v>165</v>
      </c>
      <c r="B1806" s="33" t="s">
        <v>81</v>
      </c>
      <c r="C1806" s="63">
        <v>45820</v>
      </c>
      <c r="D1806" s="113" t="str">
        <f>VLOOKUP(B1806,辅助信息!E:K,7,FALSE)</f>
        <v>JWDDCD2025060900080</v>
      </c>
      <c r="E1806" s="113" t="str">
        <f>VLOOKUP(F1806,辅助信息!A:B,2,FALSE)</f>
        <v>螺纹钢</v>
      </c>
      <c r="F1806" s="33" t="s">
        <v>45</v>
      </c>
      <c r="G1806" s="29">
        <v>7.5</v>
      </c>
      <c r="H1806" s="114">
        <v>7.5</v>
      </c>
      <c r="I1806" s="113" t="str">
        <f>VLOOKUP(B1806,辅助信息!E:I,3,FALSE)</f>
        <v>（华西简阳西城嘉苑）四川省成都市简阳市简城街道高屋村</v>
      </c>
      <c r="J1806" s="113" t="str">
        <f>VLOOKUP(B1806,辅助信息!E:I,4,FALSE)</f>
        <v>张瀚镭</v>
      </c>
      <c r="K1806" s="113">
        <f>VLOOKUP(J1806,辅助信息!H:I,2,FALSE)</f>
        <v>15884666220</v>
      </c>
      <c r="L1806" s="115" t="str">
        <f>VLOOKUP(B1806,辅助信息!E:J,6,FALSE)</f>
        <v>现场禁止使用氢能源挂车！优先威钢发货,我方卸车,新老国标钢厂不加价可直发，因陕钢多次出现磅差，项目拒绝使用</v>
      </c>
      <c r="M1806" s="84">
        <v>45822</v>
      </c>
      <c r="O1806" s="55">
        <f ca="1" t="shared" si="107"/>
        <v>0</v>
      </c>
      <c r="P1806" s="55">
        <f ca="1" t="shared" si="108"/>
        <v>135</v>
      </c>
      <c r="Q1806" s="22" t="str">
        <f>VLOOKUP(B1806,辅助信息!E:M,9,FALSE)</f>
        <v>ZTWM-CDGS-XS-2024-0030-华西集采-简州大道</v>
      </c>
    </row>
    <row r="1807" hidden="1" spans="1:17">
      <c r="A1807" s="75"/>
      <c r="B1807" s="33" t="s">
        <v>81</v>
      </c>
      <c r="C1807" s="63">
        <v>45820</v>
      </c>
      <c r="D1807" s="113" t="str">
        <f>VLOOKUP(B1807,辅助信息!E:K,7,FALSE)</f>
        <v>JWDDCD2025060900080</v>
      </c>
      <c r="E1807" s="113" t="str">
        <f>VLOOKUP(F1807,辅助信息!A:B,2,FALSE)</f>
        <v>螺纹钢</v>
      </c>
      <c r="F1807" s="33" t="s">
        <v>21</v>
      </c>
      <c r="G1807" s="29">
        <v>2.5</v>
      </c>
      <c r="H1807" s="114">
        <v>2.5</v>
      </c>
      <c r="I1807" s="113" t="str">
        <f>VLOOKUP(B1807,辅助信息!E:I,3,FALSE)</f>
        <v>（华西简阳西城嘉苑）四川省成都市简阳市简城街道高屋村</v>
      </c>
      <c r="J1807" s="113" t="str">
        <f>VLOOKUP(B1807,辅助信息!E:I,4,FALSE)</f>
        <v>张瀚镭</v>
      </c>
      <c r="K1807" s="113">
        <f>VLOOKUP(J1807,辅助信息!H:I,2,FALSE)</f>
        <v>15884666220</v>
      </c>
      <c r="L1807" s="115" t="str">
        <f>VLOOKUP(B1807,辅助信息!E:J,6,FALSE)</f>
        <v>现场禁止使用氢能源挂车！优先威钢发货,我方卸车,新老国标钢厂不加价可直发，因陕钢多次出现磅差，项目拒绝使用</v>
      </c>
      <c r="M1807" s="84">
        <v>45822</v>
      </c>
      <c r="O1807" s="55">
        <f ca="1" t="shared" si="107"/>
        <v>0</v>
      </c>
      <c r="P1807" s="55">
        <f ca="1" t="shared" si="108"/>
        <v>135</v>
      </c>
      <c r="Q1807" s="22" t="str">
        <f>VLOOKUP(B1807,辅助信息!E:M,9,FALSE)</f>
        <v>ZTWM-CDGS-XS-2024-0030-华西集采-简州大道</v>
      </c>
    </row>
    <row r="1808" hidden="1" spans="1:17">
      <c r="A1808" s="75"/>
      <c r="B1808" s="33" t="s">
        <v>81</v>
      </c>
      <c r="C1808" s="63">
        <v>45820</v>
      </c>
      <c r="D1808" s="113" t="str">
        <f>VLOOKUP(B1808,辅助信息!E:K,7,FALSE)</f>
        <v>JWDDCD2025060900080</v>
      </c>
      <c r="E1808" s="113" t="str">
        <f>VLOOKUP(F1808,辅助信息!A:B,2,FALSE)</f>
        <v>螺纹钢</v>
      </c>
      <c r="F1808" s="33" t="s">
        <v>58</v>
      </c>
      <c r="G1808" s="29">
        <v>13.5</v>
      </c>
      <c r="H1808" s="114">
        <v>13.5</v>
      </c>
      <c r="I1808" s="113" t="str">
        <f>VLOOKUP(B1808,辅助信息!E:I,3,FALSE)</f>
        <v>（华西简阳西城嘉苑）四川省成都市简阳市简城街道高屋村</v>
      </c>
      <c r="J1808" s="113" t="str">
        <f>VLOOKUP(B1808,辅助信息!E:I,4,FALSE)</f>
        <v>张瀚镭</v>
      </c>
      <c r="K1808" s="113">
        <f>VLOOKUP(J1808,辅助信息!H:I,2,FALSE)</f>
        <v>15884666220</v>
      </c>
      <c r="L1808" s="115" t="str">
        <f>VLOOKUP(B1808,辅助信息!E:J,6,FALSE)</f>
        <v>现场禁止使用氢能源挂车！优先威钢发货,我方卸车,新老国标钢厂不加价可直发，因陕钢多次出现磅差，项目拒绝使用</v>
      </c>
      <c r="M1808" s="84">
        <v>45822</v>
      </c>
      <c r="O1808" s="55">
        <f ca="1" t="shared" si="107"/>
        <v>0</v>
      </c>
      <c r="P1808" s="55">
        <f ca="1" t="shared" si="108"/>
        <v>135</v>
      </c>
      <c r="Q1808" s="22" t="str">
        <f>VLOOKUP(B1808,辅助信息!E:M,9,FALSE)</f>
        <v>ZTWM-CDGS-XS-2024-0030-华西集采-简州大道</v>
      </c>
    </row>
    <row r="1809" hidden="1" spans="1:17">
      <c r="A1809" s="75"/>
      <c r="B1809" s="33" t="s">
        <v>81</v>
      </c>
      <c r="C1809" s="63">
        <v>45820</v>
      </c>
      <c r="D1809" s="113" t="str">
        <f>VLOOKUP(B1809,辅助信息!E:K,7,FALSE)</f>
        <v>JWDDCD2025060900080</v>
      </c>
      <c r="E1809" s="113" t="str">
        <f>VLOOKUP(F1809,辅助信息!A:B,2,FALSE)</f>
        <v>螺纹钢</v>
      </c>
      <c r="F1809" s="33" t="s">
        <v>46</v>
      </c>
      <c r="G1809" s="29">
        <v>2.5</v>
      </c>
      <c r="H1809" s="114">
        <v>2.5</v>
      </c>
      <c r="I1809" s="113" t="str">
        <f>VLOOKUP(B1809,辅助信息!E:I,3,FALSE)</f>
        <v>（华西简阳西城嘉苑）四川省成都市简阳市简城街道高屋村</v>
      </c>
      <c r="J1809" s="113" t="str">
        <f>VLOOKUP(B1809,辅助信息!E:I,4,FALSE)</f>
        <v>张瀚镭</v>
      </c>
      <c r="K1809" s="113">
        <f>VLOOKUP(J1809,辅助信息!H:I,2,FALSE)</f>
        <v>15884666220</v>
      </c>
      <c r="L1809" s="115" t="str">
        <f>VLOOKUP(B1809,辅助信息!E:J,6,FALSE)</f>
        <v>现场禁止使用氢能源挂车！优先威钢发货,我方卸车,新老国标钢厂不加价可直发，因陕钢多次出现磅差，项目拒绝使用</v>
      </c>
      <c r="M1809" s="84">
        <v>45822</v>
      </c>
      <c r="O1809" s="55">
        <f ca="1" t="shared" si="107"/>
        <v>0</v>
      </c>
      <c r="P1809" s="55">
        <f ca="1" t="shared" si="108"/>
        <v>135</v>
      </c>
      <c r="Q1809" s="22" t="str">
        <f>VLOOKUP(B1809,辅助信息!E:M,9,FALSE)</f>
        <v>ZTWM-CDGS-XS-2024-0030-华西集采-简州大道</v>
      </c>
    </row>
    <row r="1810" hidden="1" spans="1:17">
      <c r="A1810" s="75"/>
      <c r="B1810" s="33" t="s">
        <v>81</v>
      </c>
      <c r="C1810" s="63">
        <v>45820</v>
      </c>
      <c r="D1810" s="113" t="str">
        <f>VLOOKUP(B1810,辅助信息!E:K,7,FALSE)</f>
        <v>JWDDCD2025060900080</v>
      </c>
      <c r="E1810" s="113" t="str">
        <f>VLOOKUP(F1810,辅助信息!A:B,2,FALSE)</f>
        <v>螺纹钢</v>
      </c>
      <c r="F1810" s="33" t="s">
        <v>22</v>
      </c>
      <c r="G1810" s="29">
        <v>16.5</v>
      </c>
      <c r="H1810" s="114">
        <v>16.5</v>
      </c>
      <c r="I1810" s="113" t="str">
        <f>VLOOKUP(B1810,辅助信息!E:I,3,FALSE)</f>
        <v>（华西简阳西城嘉苑）四川省成都市简阳市简城街道高屋村</v>
      </c>
      <c r="J1810" s="113" t="str">
        <f>VLOOKUP(B1810,辅助信息!E:I,4,FALSE)</f>
        <v>张瀚镭</v>
      </c>
      <c r="K1810" s="113">
        <f>VLOOKUP(J1810,辅助信息!H:I,2,FALSE)</f>
        <v>15884666220</v>
      </c>
      <c r="L1810" s="115" t="str">
        <f>VLOOKUP(B1810,辅助信息!E:J,6,FALSE)</f>
        <v>现场禁止使用氢能源挂车！优先威钢发货,我方卸车,新老国标钢厂不加价可直发，因陕钢多次出现磅差，项目拒绝使用</v>
      </c>
      <c r="M1810" s="84">
        <v>45822</v>
      </c>
      <c r="O1810" s="55">
        <f ca="1" t="shared" si="107"/>
        <v>0</v>
      </c>
      <c r="P1810" s="55">
        <f ca="1" t="shared" si="108"/>
        <v>135</v>
      </c>
      <c r="Q1810" s="22" t="str">
        <f>VLOOKUP(B1810,辅助信息!E:M,9,FALSE)</f>
        <v>ZTWM-CDGS-XS-2024-0030-华西集采-简州大道</v>
      </c>
    </row>
    <row r="1811" hidden="1" spans="1:18">
      <c r="A1811" s="64" t="s">
        <v>100</v>
      </c>
      <c r="B1811" s="33" t="s">
        <v>106</v>
      </c>
      <c r="C1811" s="63">
        <v>45821</v>
      </c>
      <c r="D1811" s="113" t="str">
        <f>VLOOKUP(B1811,辅助信息!E:K,7,FALSE)</f>
        <v>JWDDCD2024101600133</v>
      </c>
      <c r="E1811" s="113" t="str">
        <f>VLOOKUP(F1811,辅助信息!A:B,2,FALSE)</f>
        <v>盘螺</v>
      </c>
      <c r="F1811" s="33" t="s">
        <v>40</v>
      </c>
      <c r="G1811" s="29">
        <v>35</v>
      </c>
      <c r="H1811" s="114">
        <f>_xlfn.XLOOKUP(C1811&amp;F1811&amp;I1811&amp;J1811,'[1]2025年已发货'!$F:$F&amp;'[1]2025年已发货'!$C:$C&amp;'[1]2025年已发货'!$G:$G&amp;'[1]2025年已发货'!$H:$H,'[1]2025年已发货'!$E:$E,"未发货")</f>
        <v>35</v>
      </c>
      <c r="I1811" s="113" t="str">
        <f>VLOOKUP(B1811,辅助信息!E:I,3,FALSE)</f>
        <v>（五冶钢构宜宾高县月江镇建设项目）  四川省宜宾市高县月江镇刚记超市斜对面(还阳组团沪碳二期项目)</v>
      </c>
      <c r="J1811" s="113" t="str">
        <f>VLOOKUP(B1811,辅助信息!E:I,4,FALSE)</f>
        <v>张朝亮</v>
      </c>
      <c r="K1811" s="113">
        <f>VLOOKUP(J1811,辅助信息!H:I,2,FALSE)</f>
        <v>15228205853</v>
      </c>
      <c r="L1811" s="115" t="str">
        <f>VLOOKUP(B1811,辅助信息!E:J,6,FALSE)</f>
        <v>提前联系到场规格</v>
      </c>
      <c r="M1811" s="84">
        <v>45819</v>
      </c>
      <c r="O1811" s="55">
        <f ca="1" t="shared" si="107"/>
        <v>0</v>
      </c>
      <c r="P1811" s="55">
        <f ca="1" t="shared" si="108"/>
        <v>138</v>
      </c>
      <c r="Q1811" s="22" t="str">
        <f>VLOOKUP(B1811,辅助信息!E:M,9,FALSE)</f>
        <v>ZTWM-CDGS-XS-2024-0169-中冶西部钢构-宜宾市南溪区幸福路东路,高县月江镇建设项目</v>
      </c>
      <c r="R1811" s="22" t="str">
        <f>_xlfn._xlws.FILTER(辅助信息!D:D,辅助信息!E:E=B1811)</f>
        <v>五冶钢构-宜宾市南溪区高县月江镇建设项目</v>
      </c>
    </row>
    <row r="1812" hidden="1" spans="2:18">
      <c r="B1812" s="113" t="s">
        <v>161</v>
      </c>
      <c r="C1812" s="63">
        <v>45821</v>
      </c>
      <c r="D1812" s="113" t="str">
        <f>VLOOKUP(B1812,辅助信息!E:K,7,FALSE)</f>
        <v>JWDD2025071500089</v>
      </c>
      <c r="E1812" s="113" t="str">
        <f>VLOOKUP(F1812,辅助信息!A:B,2,FALSE)</f>
        <v>盘螺</v>
      </c>
      <c r="F1812" s="113" t="s">
        <v>41</v>
      </c>
      <c r="G1812" s="114">
        <v>16</v>
      </c>
      <c r="H1812" s="114" t="str">
        <f>_xlfn.XLOOKUP(C1812&amp;F1812&amp;I1812&amp;J1812,'[1]2025年已发货'!$F:$F&amp;'[1]2025年已发货'!$C:$C&amp;'[1]2025年已发货'!$G:$G&amp;'[1]2025年已发货'!$H:$H,'[1]2025年已发货'!$E:$E,"未发货")</f>
        <v>未发货</v>
      </c>
      <c r="I1812" s="113" t="str">
        <f>VLOOKUP(B1812,辅助信息!E:I,3,FALSE)</f>
        <v>(宜宾兴港三江新区长江工业园保障性租赁住房建设项目-1标)四川省宜宾市翠屏区永善路南段宜宾市三江新区长江工业园区</v>
      </c>
      <c r="J1812" s="113" t="str">
        <f>VLOOKUP(B1812,辅助信息!E:I,4,FALSE)</f>
        <v>赵元虎</v>
      </c>
      <c r="K1812" s="113">
        <f>VLOOKUP(J1812,辅助信息!H:I,2,FALSE)</f>
        <v>13684167136</v>
      </c>
      <c r="L1812" s="115" t="str">
        <f>VLOOKUP(B1812,辅助信息!E:J,6,FALSE)</f>
        <v>现场要求调度统一联系指定收货人，不单独发司机位置。锈货不收，装货前联系收货人核实到场规格,没提前告知进场规格现场不给予接收</v>
      </c>
      <c r="M1812" s="84">
        <v>45819</v>
      </c>
      <c r="O1812" s="55">
        <f ca="1" t="shared" ref="O1812:O1833" si="109">IF(OR(M1812="",N1812&lt;&gt;""),"",MAX(M1812-TODAY(),0))</f>
        <v>0</v>
      </c>
      <c r="P1812" s="55">
        <f ca="1" t="shared" ref="P1812:P1833" si="110">IF(M1812="","",IF(N1812&lt;&gt;"",MAX(N1812-M1812,0),IF(TODAY()&gt;M1812,TODAY()-M1812,0)))</f>
        <v>138</v>
      </c>
      <c r="Q1812" s="22" t="str">
        <f>VLOOKUP(B1812,辅助信息!E:M,9,FALSE)</f>
        <v>ZTWM-CDYXGS-XS-2025-0014-宜宾兴港建材-三江新区长江工业园片区保障性租赁住房建设项目</v>
      </c>
      <c r="R1812" s="22" t="str">
        <f>_xlfn._xlws.FILTER(辅助信息!D:D,辅助信息!E:E=B1812)</f>
        <v>宜宾兴港三江新区长江工业园建设项目</v>
      </c>
    </row>
    <row r="1813" hidden="1" spans="2:18">
      <c r="B1813" s="113" t="s">
        <v>161</v>
      </c>
      <c r="C1813" s="63">
        <v>45821</v>
      </c>
      <c r="D1813" s="113" t="str">
        <f>VLOOKUP(B1813,辅助信息!E:K,7,FALSE)</f>
        <v>JWDD2025071500089</v>
      </c>
      <c r="E1813" s="113" t="str">
        <f>VLOOKUP(F1813,辅助信息!A:B,2,FALSE)</f>
        <v>盘螺</v>
      </c>
      <c r="F1813" s="113" t="s">
        <v>26</v>
      </c>
      <c r="G1813" s="114">
        <v>9</v>
      </c>
      <c r="H1813" s="114" t="str">
        <f>_xlfn.XLOOKUP(C1813&amp;F1813&amp;I1813&amp;J1813,'[1]2025年已发货'!$F:$F&amp;'[1]2025年已发货'!$C:$C&amp;'[1]2025年已发货'!$G:$G&amp;'[1]2025年已发货'!$H:$H,'[1]2025年已发货'!$E:$E,"未发货")</f>
        <v>未发货</v>
      </c>
      <c r="I1813" s="113" t="str">
        <f>VLOOKUP(B1813,辅助信息!E:I,3,FALSE)</f>
        <v>(宜宾兴港三江新区长江工业园保障性租赁住房建设项目-1标)四川省宜宾市翠屏区永善路南段宜宾市三江新区长江工业园区</v>
      </c>
      <c r="J1813" s="113" t="str">
        <f>VLOOKUP(B1813,辅助信息!E:I,4,FALSE)</f>
        <v>赵元虎</v>
      </c>
      <c r="K1813" s="113">
        <f>VLOOKUP(J1813,辅助信息!H:I,2,FALSE)</f>
        <v>13684167136</v>
      </c>
      <c r="L1813" s="115" t="str">
        <f>VLOOKUP(B1813,辅助信息!E:J,6,FALSE)</f>
        <v>现场要求调度统一联系指定收货人，不单独发司机位置。锈货不收，装货前联系收货人核实到场规格,没提前告知进场规格现场不给予接收</v>
      </c>
      <c r="M1813" s="84">
        <v>45819</v>
      </c>
      <c r="O1813" s="55">
        <f ca="1" t="shared" si="109"/>
        <v>0</v>
      </c>
      <c r="P1813" s="55">
        <f ca="1" t="shared" si="110"/>
        <v>138</v>
      </c>
      <c r="Q1813" s="22" t="str">
        <f>VLOOKUP(B1813,辅助信息!E:M,9,FALSE)</f>
        <v>ZTWM-CDYXGS-XS-2025-0014-宜宾兴港建材-三江新区长江工业园片区保障性租赁住房建设项目</v>
      </c>
      <c r="R1813" s="22" t="str">
        <f>_xlfn._xlws.FILTER(辅助信息!D:D,辅助信息!E:E=B1813)</f>
        <v>宜宾兴港三江新区长江工业园建设项目</v>
      </c>
    </row>
    <row r="1814" hidden="1" spans="2:18">
      <c r="B1814" s="113" t="s">
        <v>161</v>
      </c>
      <c r="C1814" s="63">
        <v>45821</v>
      </c>
      <c r="D1814" s="113" t="str">
        <f>VLOOKUP(B1814,辅助信息!E:K,7,FALSE)</f>
        <v>JWDD2025071500089</v>
      </c>
      <c r="E1814" s="113" t="str">
        <f>VLOOKUP(F1814,辅助信息!A:B,2,FALSE)</f>
        <v>螺纹钢</v>
      </c>
      <c r="F1814" s="113" t="s">
        <v>19</v>
      </c>
      <c r="G1814" s="114">
        <v>4</v>
      </c>
      <c r="H1814" s="114" t="str">
        <f>_xlfn.XLOOKUP(C1814&amp;F1814&amp;I1814&amp;J1814,'[1]2025年已发货'!$F:$F&amp;'[1]2025年已发货'!$C:$C&amp;'[1]2025年已发货'!$G:$G&amp;'[1]2025年已发货'!$H:$H,'[1]2025年已发货'!$E:$E,"未发货")</f>
        <v>未发货</v>
      </c>
      <c r="I1814" s="113" t="str">
        <f>VLOOKUP(B1814,辅助信息!E:I,3,FALSE)</f>
        <v>(宜宾兴港三江新区长江工业园保障性租赁住房建设项目-1标)四川省宜宾市翠屏区永善路南段宜宾市三江新区长江工业园区</v>
      </c>
      <c r="J1814" s="113" t="str">
        <f>VLOOKUP(B1814,辅助信息!E:I,4,FALSE)</f>
        <v>赵元虎</v>
      </c>
      <c r="K1814" s="113">
        <f>VLOOKUP(J1814,辅助信息!H:I,2,FALSE)</f>
        <v>13684167136</v>
      </c>
      <c r="L1814" s="115" t="str">
        <f>VLOOKUP(B1814,辅助信息!E:J,6,FALSE)</f>
        <v>现场要求调度统一联系指定收货人，不单独发司机位置。锈货不收，装货前联系收货人核实到场规格,没提前告知进场规格现场不给予接收</v>
      </c>
      <c r="M1814" s="84">
        <v>45819</v>
      </c>
      <c r="O1814" s="55">
        <f ca="1" t="shared" si="109"/>
        <v>0</v>
      </c>
      <c r="P1814" s="55">
        <f ca="1" t="shared" si="110"/>
        <v>138</v>
      </c>
      <c r="Q1814" s="22" t="str">
        <f>VLOOKUP(B1814,辅助信息!E:M,9,FALSE)</f>
        <v>ZTWM-CDYXGS-XS-2025-0014-宜宾兴港建材-三江新区长江工业园片区保障性租赁住房建设项目</v>
      </c>
      <c r="R1814" s="22" t="str">
        <f>_xlfn._xlws.FILTER(辅助信息!D:D,辅助信息!E:E=B1814)</f>
        <v>宜宾兴港三江新区长江工业园建设项目</v>
      </c>
    </row>
    <row r="1815" hidden="1" spans="2:18">
      <c r="B1815" s="113" t="s">
        <v>161</v>
      </c>
      <c r="C1815" s="63">
        <v>45821</v>
      </c>
      <c r="D1815" s="113" t="str">
        <f>VLOOKUP(B1815,辅助信息!E:K,7,FALSE)</f>
        <v>JWDD2025071500089</v>
      </c>
      <c r="E1815" s="113" t="str">
        <f>VLOOKUP(F1815,辅助信息!A:B,2,FALSE)</f>
        <v>螺纹钢</v>
      </c>
      <c r="F1815" s="113" t="s">
        <v>30</v>
      </c>
      <c r="G1815" s="114">
        <v>90</v>
      </c>
      <c r="H1815" s="114">
        <v>80</v>
      </c>
      <c r="I1815" s="113" t="str">
        <f>VLOOKUP(B1815,辅助信息!E:I,3,FALSE)</f>
        <v>(宜宾兴港三江新区长江工业园保障性租赁住房建设项目-1标)四川省宜宾市翠屏区永善路南段宜宾市三江新区长江工业园区</v>
      </c>
      <c r="J1815" s="113" t="str">
        <f>VLOOKUP(B1815,辅助信息!E:I,4,FALSE)</f>
        <v>赵元虎</v>
      </c>
      <c r="K1815" s="113">
        <f>VLOOKUP(J1815,辅助信息!H:I,2,FALSE)</f>
        <v>13684167136</v>
      </c>
      <c r="L1815" s="115" t="str">
        <f>VLOOKUP(B1815,辅助信息!E:J,6,FALSE)</f>
        <v>现场要求调度统一联系指定收货人，不单独发司机位置。锈货不收，装货前联系收货人核实到场规格,没提前告知进场规格现场不给予接收</v>
      </c>
      <c r="M1815" s="84">
        <v>45819</v>
      </c>
      <c r="O1815" s="55">
        <f ca="1" t="shared" si="109"/>
        <v>0</v>
      </c>
      <c r="P1815" s="55">
        <f ca="1" t="shared" si="110"/>
        <v>138</v>
      </c>
      <c r="Q1815" s="22" t="str">
        <f>VLOOKUP(B1815,辅助信息!E:M,9,FALSE)</f>
        <v>ZTWM-CDYXGS-XS-2025-0014-宜宾兴港建材-三江新区长江工业园片区保障性租赁住房建设项目</v>
      </c>
      <c r="R1815" s="22" t="str">
        <f>_xlfn._xlws.FILTER(辅助信息!D:D,辅助信息!E:E=B1815)</f>
        <v>宜宾兴港三江新区长江工业园建设项目</v>
      </c>
    </row>
    <row r="1816" hidden="1" spans="2:18">
      <c r="B1816" s="113" t="s">
        <v>162</v>
      </c>
      <c r="C1816" s="63">
        <v>45821</v>
      </c>
      <c r="D1816" s="113" t="str">
        <f>VLOOKUP(B1816,辅助信息!E:K,7,FALSE)</f>
        <v>JWDD2025071500089</v>
      </c>
      <c r="E1816" s="113" t="str">
        <f>VLOOKUP(F1816,辅助信息!A:B,2,FALSE)</f>
        <v>盘螺</v>
      </c>
      <c r="F1816" s="113" t="s">
        <v>41</v>
      </c>
      <c r="G1816" s="114">
        <v>10</v>
      </c>
      <c r="H1816" s="114" t="str">
        <f>_xlfn.XLOOKUP(C1816&amp;F1816&amp;I1816&amp;J1816,'[1]2025年已发货'!$F:$F&amp;'[1]2025年已发货'!$C:$C&amp;'[1]2025年已发货'!$G:$G&amp;'[1]2025年已发货'!$H:$H,'[1]2025年已发货'!$E:$E,"未发货")</f>
        <v>未发货</v>
      </c>
      <c r="I1816" s="113" t="str">
        <f>VLOOKUP(B1816,辅助信息!E:I,3,FALSE)</f>
        <v>(宜宾兴港三江新区长江工业园保障性租赁住房建设项目-2标)四川省宜宾市翠屏区永善路南段宜宾市三江新区长江工业园区</v>
      </c>
      <c r="J1816" s="113" t="str">
        <f>VLOOKUP(B1816,辅助信息!E:I,4,FALSE)</f>
        <v>赵元虎</v>
      </c>
      <c r="K1816" s="113">
        <f>VLOOKUP(J1816,辅助信息!H:I,2,FALSE)</f>
        <v>13684167136</v>
      </c>
      <c r="L1816" s="115" t="str">
        <f>VLOOKUP(B1816,辅助信息!E:J,6,FALSE)</f>
        <v>现场要求调度统一联系指定收货人，不单独发司机位置。锈货不收，装货前联系收货人核实到场规格,没提前告知进场规格现场不给予接收</v>
      </c>
      <c r="M1816" s="84">
        <v>45819</v>
      </c>
      <c r="O1816" s="55">
        <f ca="1" t="shared" si="109"/>
        <v>0</v>
      </c>
      <c r="P1816" s="55">
        <f ca="1" t="shared" si="110"/>
        <v>138</v>
      </c>
      <c r="Q1816" s="22" t="str">
        <f>VLOOKUP(B1816,辅助信息!E:M,9,FALSE)</f>
        <v>ZTWM-CDYXGS-XS-2025-0014-宜宾兴港建材-三江新区长江工业园片区保障性租赁住房建设项目</v>
      </c>
      <c r="R1816" s="22" t="str">
        <f>_xlfn._xlws.FILTER(辅助信息!D:D,辅助信息!E:E=B1816)</f>
        <v>宜宾兴港三江新区长江工业园建设项目</v>
      </c>
    </row>
    <row r="1817" hidden="1" spans="2:18">
      <c r="B1817" s="113" t="s">
        <v>162</v>
      </c>
      <c r="C1817" s="63">
        <v>45821</v>
      </c>
      <c r="D1817" s="113" t="str">
        <f>VLOOKUP(B1817,辅助信息!E:K,7,FALSE)</f>
        <v>JWDD2025071500089</v>
      </c>
      <c r="E1817" s="113" t="str">
        <f>VLOOKUP(F1817,辅助信息!A:B,2,FALSE)</f>
        <v>盘螺</v>
      </c>
      <c r="F1817" s="113" t="s">
        <v>26</v>
      </c>
      <c r="G1817" s="114">
        <v>10</v>
      </c>
      <c r="H1817" s="114" t="str">
        <f>_xlfn.XLOOKUP(C1817&amp;F1817&amp;I1817&amp;J1817,'[1]2025年已发货'!$F:$F&amp;'[1]2025年已发货'!$C:$C&amp;'[1]2025年已发货'!$G:$G&amp;'[1]2025年已发货'!$H:$H,'[1]2025年已发货'!$E:$E,"未发货")</f>
        <v>未发货</v>
      </c>
      <c r="I1817" s="113" t="str">
        <f>VLOOKUP(B1817,辅助信息!E:I,3,FALSE)</f>
        <v>(宜宾兴港三江新区长江工业园保障性租赁住房建设项目-2标)四川省宜宾市翠屏区永善路南段宜宾市三江新区长江工业园区</v>
      </c>
      <c r="J1817" s="113" t="str">
        <f>VLOOKUP(B1817,辅助信息!E:I,4,FALSE)</f>
        <v>赵元虎</v>
      </c>
      <c r="K1817" s="113">
        <f>VLOOKUP(J1817,辅助信息!H:I,2,FALSE)</f>
        <v>13684167136</v>
      </c>
      <c r="L1817" s="115" t="str">
        <f>VLOOKUP(B1817,辅助信息!E:J,6,FALSE)</f>
        <v>现场要求调度统一联系指定收货人，不单独发司机位置。锈货不收，装货前联系收货人核实到场规格,没提前告知进场规格现场不给予接收</v>
      </c>
      <c r="M1817" s="84">
        <v>45819</v>
      </c>
      <c r="O1817" s="55">
        <f ca="1" t="shared" si="109"/>
        <v>0</v>
      </c>
      <c r="P1817" s="55">
        <f ca="1" t="shared" si="110"/>
        <v>138</v>
      </c>
      <c r="Q1817" s="22" t="str">
        <f>VLOOKUP(B1817,辅助信息!E:M,9,FALSE)</f>
        <v>ZTWM-CDYXGS-XS-2025-0014-宜宾兴港建材-三江新区长江工业园片区保障性租赁住房建设项目</v>
      </c>
      <c r="R1817" s="22" t="str">
        <f>_xlfn._xlws.FILTER(辅助信息!D:D,辅助信息!E:E=B1817)</f>
        <v>宜宾兴港三江新区长江工业园建设项目</v>
      </c>
    </row>
    <row r="1818" hidden="1" spans="2:18">
      <c r="B1818" s="113" t="s">
        <v>162</v>
      </c>
      <c r="C1818" s="63">
        <v>45821</v>
      </c>
      <c r="D1818" s="113" t="str">
        <f>VLOOKUP(B1818,辅助信息!E:K,7,FALSE)</f>
        <v>JWDD2025071500089</v>
      </c>
      <c r="E1818" s="113" t="str">
        <f>VLOOKUP(F1818,辅助信息!A:B,2,FALSE)</f>
        <v>螺纹钢</v>
      </c>
      <c r="F1818" s="113" t="s">
        <v>30</v>
      </c>
      <c r="G1818" s="114">
        <v>70</v>
      </c>
      <c r="H1818" s="114">
        <v>0</v>
      </c>
      <c r="I1818" s="113" t="str">
        <f>VLOOKUP(B1818,辅助信息!E:I,3,FALSE)</f>
        <v>(宜宾兴港三江新区长江工业园保障性租赁住房建设项目-2标)四川省宜宾市翠屏区永善路南段宜宾市三江新区长江工业园区</v>
      </c>
      <c r="J1818" s="113" t="str">
        <f>VLOOKUP(B1818,辅助信息!E:I,4,FALSE)</f>
        <v>赵元虎</v>
      </c>
      <c r="K1818" s="113">
        <f>VLOOKUP(J1818,辅助信息!H:I,2,FALSE)</f>
        <v>13684167136</v>
      </c>
      <c r="L1818" s="115" t="str">
        <f>VLOOKUP(B1818,辅助信息!E:J,6,FALSE)</f>
        <v>现场要求调度统一联系指定收货人，不单独发司机位置。锈货不收，装货前联系收货人核实到场规格,没提前告知进场规格现场不给予接收</v>
      </c>
      <c r="M1818" s="84">
        <v>45819</v>
      </c>
      <c r="O1818" s="55">
        <f ca="1" t="shared" si="109"/>
        <v>0</v>
      </c>
      <c r="P1818" s="55">
        <f ca="1" t="shared" si="110"/>
        <v>138</v>
      </c>
      <c r="Q1818" s="22" t="str">
        <f>VLOOKUP(B1818,辅助信息!E:M,9,FALSE)</f>
        <v>ZTWM-CDYXGS-XS-2025-0014-宜宾兴港建材-三江新区长江工业园片区保障性租赁住房建设项目</v>
      </c>
      <c r="R1818" s="22" t="str">
        <f>_xlfn._xlws.FILTER(辅助信息!D:D,辅助信息!E:E=B1818)</f>
        <v>宜宾兴港三江新区长江工业园建设项目</v>
      </c>
    </row>
    <row r="1819" hidden="1" spans="2:18">
      <c r="B1819" s="113" t="s">
        <v>147</v>
      </c>
      <c r="C1819" s="63">
        <v>45821</v>
      </c>
      <c r="D1819" s="113" t="str">
        <f>VLOOKUP(B1819,辅助信息!E:K,7,FALSE)</f>
        <v>JWDDCD2025052800131</v>
      </c>
      <c r="E1819" s="113" t="str">
        <f>VLOOKUP(F1819,辅助信息!A:B,2,FALSE)</f>
        <v>高线</v>
      </c>
      <c r="F1819" s="113" t="s">
        <v>57</v>
      </c>
      <c r="G1819" s="114">
        <v>9</v>
      </c>
      <c r="H1819" s="114" t="str">
        <f>_xlfn.XLOOKUP(C1819&amp;F1819&amp;I1819&amp;J1819,'[1]2025年已发货'!$F:$F&amp;'[1]2025年已发货'!$C:$C&amp;'[1]2025年已发货'!$G:$G&amp;'[1]2025年已发货'!$H:$H,'[1]2025年已发货'!$E:$E,"未发货")</f>
        <v>未发货</v>
      </c>
      <c r="I1819" s="113" t="str">
        <f>VLOOKUP(B1819,辅助信息!E:I,3,FALSE)</f>
        <v>（商投建工达州中医药科技园-4工区-11号楼）达州市通川区达州中医药职业学院犀牛大道北段</v>
      </c>
      <c r="J1819" s="113" t="str">
        <f>VLOOKUP(B1819,辅助信息!E:I,4,FALSE)</f>
        <v>张扬</v>
      </c>
      <c r="K1819" s="113">
        <f>VLOOKUP(J1819,辅助信息!H:I,2,FALSE)</f>
        <v>18381904567</v>
      </c>
      <c r="L1819" s="115" t="str">
        <f>VLOOKUP(B1819,辅助信息!E:J,6,FALSE)</f>
        <v>控制炉批号！多了现场不收！,优先安排达钢,提前联系到场规格及数量</v>
      </c>
      <c r="M1819" s="84">
        <v>45822</v>
      </c>
      <c r="O1819" s="55">
        <f ca="1" t="shared" si="109"/>
        <v>0</v>
      </c>
      <c r="P1819" s="55">
        <f ca="1" t="shared" si="110"/>
        <v>135</v>
      </c>
      <c r="Q1819" s="22" t="str">
        <f>VLOOKUP(B1819,辅助信息!E:M,9,FALSE)</f>
        <v>ZTWM-CDGS-XS-2024-0134-商投建工达州中医药科技成果示范园项目</v>
      </c>
      <c r="R1819" s="22" t="str">
        <f>_xlfn._xlws.FILTER(辅助信息!D:D,辅助信息!E:E=B1819)</f>
        <v>商投建工达州中医药科技园</v>
      </c>
    </row>
    <row r="1820" hidden="1" spans="2:18">
      <c r="B1820" s="113" t="s">
        <v>147</v>
      </c>
      <c r="C1820" s="63">
        <v>45821</v>
      </c>
      <c r="D1820" s="113" t="str">
        <f>VLOOKUP(B1820,辅助信息!E:K,7,FALSE)</f>
        <v>JWDDCD2025052800131</v>
      </c>
      <c r="E1820" s="113" t="str">
        <f>VLOOKUP(F1820,辅助信息!A:B,2,FALSE)</f>
        <v>螺纹钢</v>
      </c>
      <c r="F1820" s="113" t="s">
        <v>32</v>
      </c>
      <c r="G1820" s="114">
        <v>12</v>
      </c>
      <c r="H1820" s="114" t="str">
        <f>_xlfn.XLOOKUP(C1820&amp;F1820&amp;I1820&amp;J1820,'[1]2025年已发货'!$F:$F&amp;'[1]2025年已发货'!$C:$C&amp;'[1]2025年已发货'!$G:$G&amp;'[1]2025年已发货'!$H:$H,'[1]2025年已发货'!$E:$E,"未发货")</f>
        <v>未发货</v>
      </c>
      <c r="I1820" s="113" t="str">
        <f>VLOOKUP(B1820,辅助信息!E:I,3,FALSE)</f>
        <v>（商投建工达州中医药科技园-4工区-11号楼）达州市通川区达州中医药职业学院犀牛大道北段</v>
      </c>
      <c r="J1820" s="113" t="str">
        <f>VLOOKUP(B1820,辅助信息!E:I,4,FALSE)</f>
        <v>张扬</v>
      </c>
      <c r="K1820" s="113">
        <f>VLOOKUP(J1820,辅助信息!H:I,2,FALSE)</f>
        <v>18381904567</v>
      </c>
      <c r="L1820" s="115" t="str">
        <f>VLOOKUP(B1820,辅助信息!E:J,6,FALSE)</f>
        <v>控制炉批号！多了现场不收！,优先安排达钢,提前联系到场规格及数量</v>
      </c>
      <c r="M1820" s="84">
        <v>45822</v>
      </c>
      <c r="O1820" s="55">
        <f ca="1" t="shared" si="109"/>
        <v>0</v>
      </c>
      <c r="P1820" s="55">
        <f ca="1" t="shared" si="110"/>
        <v>135</v>
      </c>
      <c r="Q1820" s="22" t="str">
        <f>VLOOKUP(B1820,辅助信息!E:M,9,FALSE)</f>
        <v>ZTWM-CDGS-XS-2024-0134-商投建工达州中医药科技成果示范园项目</v>
      </c>
      <c r="R1820" s="22" t="str">
        <f>_xlfn._xlws.FILTER(辅助信息!D:D,辅助信息!E:E=B1820)</f>
        <v>商投建工达州中医药科技园</v>
      </c>
    </row>
    <row r="1821" hidden="1" spans="2:18">
      <c r="B1821" s="113" t="s">
        <v>147</v>
      </c>
      <c r="C1821" s="63">
        <v>45821</v>
      </c>
      <c r="D1821" s="113" t="str">
        <f>VLOOKUP(B1821,辅助信息!E:K,7,FALSE)</f>
        <v>JWDDCD2025052800131</v>
      </c>
      <c r="E1821" s="113" t="str">
        <f>VLOOKUP(F1821,辅助信息!A:B,2,FALSE)</f>
        <v>螺纹钢</v>
      </c>
      <c r="F1821" s="113" t="s">
        <v>30</v>
      </c>
      <c r="G1821" s="114">
        <v>3</v>
      </c>
      <c r="H1821" s="114" t="str">
        <f>_xlfn.XLOOKUP(C1821&amp;F1821&amp;I1821&amp;J1821,'[1]2025年已发货'!$F:$F&amp;'[1]2025年已发货'!$C:$C&amp;'[1]2025年已发货'!$G:$G&amp;'[1]2025年已发货'!$H:$H,'[1]2025年已发货'!$E:$E,"未发货")</f>
        <v>未发货</v>
      </c>
      <c r="I1821" s="113" t="str">
        <f>VLOOKUP(B1821,辅助信息!E:I,3,FALSE)</f>
        <v>（商投建工达州中医药科技园-4工区-11号楼）达州市通川区达州中医药职业学院犀牛大道北段</v>
      </c>
      <c r="J1821" s="113" t="str">
        <f>VLOOKUP(B1821,辅助信息!E:I,4,FALSE)</f>
        <v>张扬</v>
      </c>
      <c r="K1821" s="113">
        <f>VLOOKUP(J1821,辅助信息!H:I,2,FALSE)</f>
        <v>18381904567</v>
      </c>
      <c r="L1821" s="115" t="str">
        <f>VLOOKUP(B1821,辅助信息!E:J,6,FALSE)</f>
        <v>控制炉批号！多了现场不收！,优先安排达钢,提前联系到场规格及数量</v>
      </c>
      <c r="M1821" s="84">
        <v>45822</v>
      </c>
      <c r="O1821" s="55">
        <f ca="1" t="shared" si="109"/>
        <v>0</v>
      </c>
      <c r="P1821" s="55">
        <f ca="1" t="shared" si="110"/>
        <v>135</v>
      </c>
      <c r="Q1821" s="22" t="str">
        <f>VLOOKUP(B1821,辅助信息!E:M,9,FALSE)</f>
        <v>ZTWM-CDGS-XS-2024-0134-商投建工达州中医药科技成果示范园项目</v>
      </c>
      <c r="R1821" s="22" t="str">
        <f>_xlfn._xlws.FILTER(辅助信息!D:D,辅助信息!E:E=B1821)</f>
        <v>商投建工达州中医药科技园</v>
      </c>
    </row>
    <row r="1822" hidden="1" spans="2:18">
      <c r="B1822" s="113" t="s">
        <v>147</v>
      </c>
      <c r="C1822" s="63">
        <v>45821</v>
      </c>
      <c r="D1822" s="113" t="str">
        <f>VLOOKUP(B1822,辅助信息!E:K,7,FALSE)</f>
        <v>JWDDCD2025052800131</v>
      </c>
      <c r="E1822" s="113" t="str">
        <f>VLOOKUP(F1822,辅助信息!A:B,2,FALSE)</f>
        <v>螺纹钢</v>
      </c>
      <c r="F1822" s="113" t="s">
        <v>28</v>
      </c>
      <c r="G1822" s="114">
        <v>3</v>
      </c>
      <c r="H1822" s="114" t="str">
        <f>_xlfn.XLOOKUP(C1822&amp;F1822&amp;I1822&amp;J1822,'[1]2025年已发货'!$F:$F&amp;'[1]2025年已发货'!$C:$C&amp;'[1]2025年已发货'!$G:$G&amp;'[1]2025年已发货'!$H:$H,'[1]2025年已发货'!$E:$E,"未发货")</f>
        <v>未发货</v>
      </c>
      <c r="I1822" s="113" t="str">
        <f>VLOOKUP(B1822,辅助信息!E:I,3,FALSE)</f>
        <v>（商投建工达州中医药科技园-4工区-11号楼）达州市通川区达州中医药职业学院犀牛大道北段</v>
      </c>
      <c r="J1822" s="113" t="str">
        <f>VLOOKUP(B1822,辅助信息!E:I,4,FALSE)</f>
        <v>张扬</v>
      </c>
      <c r="K1822" s="113">
        <f>VLOOKUP(J1822,辅助信息!H:I,2,FALSE)</f>
        <v>18381904567</v>
      </c>
      <c r="L1822" s="115" t="str">
        <f>VLOOKUP(B1822,辅助信息!E:J,6,FALSE)</f>
        <v>控制炉批号！多了现场不收！,优先安排达钢,提前联系到场规格及数量</v>
      </c>
      <c r="M1822" s="84">
        <v>45822</v>
      </c>
      <c r="O1822" s="55">
        <f ca="1" t="shared" si="109"/>
        <v>0</v>
      </c>
      <c r="P1822" s="55">
        <f ca="1" t="shared" si="110"/>
        <v>135</v>
      </c>
      <c r="Q1822" s="22" t="str">
        <f>VLOOKUP(B1822,辅助信息!E:M,9,FALSE)</f>
        <v>ZTWM-CDGS-XS-2024-0134-商投建工达州中医药科技成果示范园项目</v>
      </c>
      <c r="R1822" s="22" t="str">
        <f>_xlfn._xlws.FILTER(辅助信息!D:D,辅助信息!E:E=B1822)</f>
        <v>商投建工达州中医药科技园</v>
      </c>
    </row>
    <row r="1823" hidden="1" spans="2:18">
      <c r="B1823" s="113" t="s">
        <v>147</v>
      </c>
      <c r="C1823" s="63">
        <v>45821</v>
      </c>
      <c r="D1823" s="113" t="str">
        <f>VLOOKUP(B1823,辅助信息!E:K,7,FALSE)</f>
        <v>JWDDCD2025052800131</v>
      </c>
      <c r="E1823" s="113" t="str">
        <f>VLOOKUP(F1823,辅助信息!A:B,2,FALSE)</f>
        <v>螺纹钢</v>
      </c>
      <c r="F1823" s="113" t="s">
        <v>18</v>
      </c>
      <c r="G1823" s="114">
        <v>15</v>
      </c>
      <c r="H1823" s="114" t="str">
        <f>_xlfn.XLOOKUP(C1823&amp;F1823&amp;I1823&amp;J1823,'[1]2025年已发货'!$F:$F&amp;'[1]2025年已发货'!$C:$C&amp;'[1]2025年已发货'!$G:$G&amp;'[1]2025年已发货'!$H:$H,'[1]2025年已发货'!$E:$E,"未发货")</f>
        <v>未发货</v>
      </c>
      <c r="I1823" s="113" t="str">
        <f>VLOOKUP(B1823,辅助信息!E:I,3,FALSE)</f>
        <v>（商投建工达州中医药科技园-4工区-11号楼）达州市通川区达州中医药职业学院犀牛大道北段</v>
      </c>
      <c r="J1823" s="113" t="str">
        <f>VLOOKUP(B1823,辅助信息!E:I,4,FALSE)</f>
        <v>张扬</v>
      </c>
      <c r="K1823" s="113">
        <f>VLOOKUP(J1823,辅助信息!H:I,2,FALSE)</f>
        <v>18381904567</v>
      </c>
      <c r="L1823" s="115" t="str">
        <f>VLOOKUP(B1823,辅助信息!E:J,6,FALSE)</f>
        <v>控制炉批号！多了现场不收！,优先安排达钢,提前联系到场规格及数量</v>
      </c>
      <c r="M1823" s="84">
        <v>45822</v>
      </c>
      <c r="O1823" s="55">
        <f ca="1" t="shared" si="109"/>
        <v>0</v>
      </c>
      <c r="P1823" s="55">
        <f ca="1" t="shared" si="110"/>
        <v>135</v>
      </c>
      <c r="Q1823" s="22" t="str">
        <f>VLOOKUP(B1823,辅助信息!E:M,9,FALSE)</f>
        <v>ZTWM-CDGS-XS-2024-0134-商投建工达州中医药科技成果示范园项目</v>
      </c>
      <c r="R1823" s="22" t="str">
        <f>_xlfn._xlws.FILTER(辅助信息!D:D,辅助信息!E:E=B1823)</f>
        <v>商投建工达州中医药科技园</v>
      </c>
    </row>
    <row r="1824" hidden="1" spans="2:17">
      <c r="B1824" s="113" t="s">
        <v>163</v>
      </c>
      <c r="C1824" s="63">
        <v>45821</v>
      </c>
      <c r="D1824" s="113" t="str">
        <f>VLOOKUP(B1824,辅助信息!E:K,7,FALSE)</f>
        <v>JWDDCD2025052800131</v>
      </c>
      <c r="E1824" s="113" t="str">
        <f>VLOOKUP(F1824,辅助信息!A:B,2,FALSE)</f>
        <v>盘螺</v>
      </c>
      <c r="F1824" s="113" t="s">
        <v>40</v>
      </c>
      <c r="G1824" s="114">
        <v>18</v>
      </c>
      <c r="H1824" s="114" t="str">
        <f>_xlfn.XLOOKUP(C1824&amp;F1824&amp;I1824&amp;J1824,'[1]2025年已发货'!$F:$F&amp;'[1]2025年已发货'!$C:$C&amp;'[1]2025年已发货'!$G:$G&amp;'[1]2025年已发货'!$H:$H,'[1]2025年已发货'!$E:$E,"未发货")</f>
        <v>未发货</v>
      </c>
      <c r="I1824" s="113" t="str">
        <f>VLOOKUP(B1824,辅助信息!E:I,3,FALSE)</f>
        <v>（商投建工达州中医药科技园-4工区-9号楼）达州市通川区达州中医药职业学院犀牛大道北段</v>
      </c>
      <c r="J1824" s="113" t="str">
        <f>VLOOKUP(B1824,辅助信息!E:I,4,FALSE)</f>
        <v>张扬</v>
      </c>
      <c r="K1824" s="113">
        <f>VLOOKUP(J1824,辅助信息!H:I,2,FALSE)</f>
        <v>18381904567</v>
      </c>
      <c r="L1824" s="115" t="str">
        <f>VLOOKUP(B1824,辅助信息!E:J,6,FALSE)</f>
        <v>控制炉批号！多了现场不收！,优先安排达钢,提前联系到场规格及数量</v>
      </c>
      <c r="M1824" s="84">
        <v>45822</v>
      </c>
      <c r="O1824" s="55">
        <f ca="1" t="shared" si="109"/>
        <v>0</v>
      </c>
      <c r="P1824" s="55">
        <f ca="1" t="shared" si="110"/>
        <v>135</v>
      </c>
      <c r="Q1824" s="22" t="str">
        <f>VLOOKUP(B1824,辅助信息!E:M,9,FALSE)</f>
        <v>ZTWM-CDGS-XS-2024-0134-商投建工达州中医药科技成果示范园项目</v>
      </c>
    </row>
    <row r="1825" hidden="1" spans="2:17">
      <c r="B1825" s="113" t="s">
        <v>163</v>
      </c>
      <c r="C1825" s="63">
        <v>45821</v>
      </c>
      <c r="D1825" s="113" t="str">
        <f>VLOOKUP(B1825,辅助信息!E:K,7,FALSE)</f>
        <v>JWDDCD2025052800131</v>
      </c>
      <c r="E1825" s="113" t="str">
        <f>VLOOKUP(F1825,辅助信息!A:B,2,FALSE)</f>
        <v>螺纹钢</v>
      </c>
      <c r="F1825" s="113" t="s">
        <v>32</v>
      </c>
      <c r="G1825" s="114">
        <v>6</v>
      </c>
      <c r="H1825" s="114" t="str">
        <f>_xlfn.XLOOKUP(C1825&amp;F1825&amp;I1825&amp;J1825,'[1]2025年已发货'!$F:$F&amp;'[1]2025年已发货'!$C:$C&amp;'[1]2025年已发货'!$G:$G&amp;'[1]2025年已发货'!$H:$H,'[1]2025年已发货'!$E:$E,"未发货")</f>
        <v>未发货</v>
      </c>
      <c r="I1825" s="113" t="str">
        <f>VLOOKUP(B1825,辅助信息!E:I,3,FALSE)</f>
        <v>（商投建工达州中医药科技园-4工区-9号楼）达州市通川区达州中医药职业学院犀牛大道北段</v>
      </c>
      <c r="J1825" s="113" t="str">
        <f>VLOOKUP(B1825,辅助信息!E:I,4,FALSE)</f>
        <v>张扬</v>
      </c>
      <c r="K1825" s="113">
        <f>VLOOKUP(J1825,辅助信息!H:I,2,FALSE)</f>
        <v>18381904567</v>
      </c>
      <c r="L1825" s="115" t="str">
        <f>VLOOKUP(B1825,辅助信息!E:J,6,FALSE)</f>
        <v>控制炉批号！多了现场不收！,优先安排达钢,提前联系到场规格及数量</v>
      </c>
      <c r="M1825" s="84">
        <v>45822</v>
      </c>
      <c r="O1825" s="55">
        <f ca="1" t="shared" si="109"/>
        <v>0</v>
      </c>
      <c r="P1825" s="55">
        <f ca="1" t="shared" si="110"/>
        <v>135</v>
      </c>
      <c r="Q1825" s="22" t="str">
        <f>VLOOKUP(B1825,辅助信息!E:M,9,FALSE)</f>
        <v>ZTWM-CDGS-XS-2024-0134-商投建工达州中医药科技成果示范园项目</v>
      </c>
    </row>
    <row r="1826" hidden="1" spans="2:17">
      <c r="B1826" s="113" t="s">
        <v>163</v>
      </c>
      <c r="C1826" s="63">
        <v>45821</v>
      </c>
      <c r="D1826" s="113" t="str">
        <f>VLOOKUP(B1826,辅助信息!E:K,7,FALSE)</f>
        <v>JWDDCD2025052800131</v>
      </c>
      <c r="E1826" s="113" t="str">
        <f>VLOOKUP(F1826,辅助信息!A:B,2,FALSE)</f>
        <v>螺纹钢</v>
      </c>
      <c r="F1826" s="113" t="s">
        <v>30</v>
      </c>
      <c r="G1826" s="114">
        <v>6</v>
      </c>
      <c r="H1826" s="114" t="str">
        <f>_xlfn.XLOOKUP(C1826&amp;F1826&amp;I1826&amp;J1826,'[1]2025年已发货'!$F:$F&amp;'[1]2025年已发货'!$C:$C&amp;'[1]2025年已发货'!$G:$G&amp;'[1]2025年已发货'!$H:$H,'[1]2025年已发货'!$E:$E,"未发货")</f>
        <v>未发货</v>
      </c>
      <c r="I1826" s="113" t="str">
        <f>VLOOKUP(B1826,辅助信息!E:I,3,FALSE)</f>
        <v>（商投建工达州中医药科技园-4工区-9号楼）达州市通川区达州中医药职业学院犀牛大道北段</v>
      </c>
      <c r="J1826" s="113" t="str">
        <f>VLOOKUP(B1826,辅助信息!E:I,4,FALSE)</f>
        <v>张扬</v>
      </c>
      <c r="K1826" s="113">
        <f>VLOOKUP(J1826,辅助信息!H:I,2,FALSE)</f>
        <v>18381904567</v>
      </c>
      <c r="L1826" s="115" t="str">
        <f>VLOOKUP(B1826,辅助信息!E:J,6,FALSE)</f>
        <v>控制炉批号！多了现场不收！,优先安排达钢,提前联系到场规格及数量</v>
      </c>
      <c r="M1826" s="84">
        <v>45822</v>
      </c>
      <c r="O1826" s="55">
        <f ca="1" t="shared" si="109"/>
        <v>0</v>
      </c>
      <c r="P1826" s="55">
        <f ca="1" t="shared" si="110"/>
        <v>135</v>
      </c>
      <c r="Q1826" s="22" t="str">
        <f>VLOOKUP(B1826,辅助信息!E:M,9,FALSE)</f>
        <v>ZTWM-CDGS-XS-2024-0134-商投建工达州中医药科技成果示范园项目</v>
      </c>
    </row>
    <row r="1827" hidden="1" spans="1:17">
      <c r="A1827" s="121" t="s">
        <v>164</v>
      </c>
      <c r="B1827" s="113" t="s">
        <v>81</v>
      </c>
      <c r="C1827" s="63">
        <v>45821</v>
      </c>
      <c r="D1827" s="113" t="str">
        <f>VLOOKUP(B1827,辅助信息!E:K,7,FALSE)</f>
        <v>JWDDCD2025060900080</v>
      </c>
      <c r="E1827" s="113" t="str">
        <f>VLOOKUP(F1827,辅助信息!A:B,2,FALSE)</f>
        <v>盘螺</v>
      </c>
      <c r="F1827" s="113" t="s">
        <v>40</v>
      </c>
      <c r="G1827" s="114">
        <v>19</v>
      </c>
      <c r="H1827" s="114">
        <f>_xlfn.XLOOKUP(C1827&amp;F1827&amp;I1827&amp;J1827,'[1]2025年已发货'!$F:$F&amp;'[1]2025年已发货'!$C:$C&amp;'[1]2025年已发货'!$G:$G&amp;'[1]2025年已发货'!$H:$H,'[1]2025年已发货'!$E:$E,"未发货")</f>
        <v>20</v>
      </c>
      <c r="I1827" s="113" t="str">
        <f>VLOOKUP(B1827,辅助信息!E:I,3,FALSE)</f>
        <v>（华西简阳西城嘉苑）四川省成都市简阳市简城街道高屋村</v>
      </c>
      <c r="J1827" s="113" t="str">
        <f>VLOOKUP(B1827,辅助信息!E:I,4,FALSE)</f>
        <v>张瀚镭</v>
      </c>
      <c r="K1827" s="113">
        <f>VLOOKUP(J1827,辅助信息!H:I,2,FALSE)</f>
        <v>15884666220</v>
      </c>
      <c r="L1827" s="115" t="str">
        <f>VLOOKUP(B1827,辅助信息!E:J,6,FALSE)</f>
        <v>现场禁止使用氢能源挂车！优先威钢发货,我方卸车,新老国标钢厂不加价可直发，因陕钢多次出现磅差，项目拒绝使用</v>
      </c>
      <c r="M1827" s="84">
        <v>45822</v>
      </c>
      <c r="O1827" s="55">
        <f ca="1" t="shared" si="109"/>
        <v>0</v>
      </c>
      <c r="P1827" s="55">
        <f ca="1" t="shared" si="110"/>
        <v>135</v>
      </c>
      <c r="Q1827" s="22" t="str">
        <f>VLOOKUP(B1827,辅助信息!E:M,9,FALSE)</f>
        <v>ZTWM-CDGS-XS-2024-0030-华西集采-简州大道</v>
      </c>
    </row>
    <row r="1828" hidden="1" spans="1:17">
      <c r="A1828" s="121"/>
      <c r="B1828" s="113" t="s">
        <v>81</v>
      </c>
      <c r="C1828" s="63">
        <v>45821</v>
      </c>
      <c r="D1828" s="113" t="str">
        <f>VLOOKUP(B1828,辅助信息!E:K,7,FALSE)</f>
        <v>JWDDCD2025060900080</v>
      </c>
      <c r="E1828" s="113" t="str">
        <f>VLOOKUP(F1828,辅助信息!A:B,2,FALSE)</f>
        <v>盘螺</v>
      </c>
      <c r="F1828" s="113" t="s">
        <v>41</v>
      </c>
      <c r="G1828" s="114">
        <v>185</v>
      </c>
      <c r="H1828" s="114">
        <f>_xlfn.XLOOKUP(C1828&amp;F1828&amp;I1828&amp;J1828,'[1]2025年已发货'!$F:$F&amp;'[1]2025年已发货'!$C:$C&amp;'[1]2025年已发货'!$G:$G&amp;'[1]2025年已发货'!$H:$H,'[1]2025年已发货'!$E:$E,"未发货")</f>
        <v>140</v>
      </c>
      <c r="I1828" s="113" t="str">
        <f>VLOOKUP(B1828,辅助信息!E:I,3,FALSE)</f>
        <v>（华西简阳西城嘉苑）四川省成都市简阳市简城街道高屋村</v>
      </c>
      <c r="J1828" s="113" t="str">
        <f>VLOOKUP(B1828,辅助信息!E:I,4,FALSE)</f>
        <v>张瀚镭</v>
      </c>
      <c r="K1828" s="113">
        <f>VLOOKUP(J1828,辅助信息!H:I,2,FALSE)</f>
        <v>15884666220</v>
      </c>
      <c r="L1828" s="115" t="str">
        <f>VLOOKUP(B1828,辅助信息!E:J,6,FALSE)</f>
        <v>现场禁止使用氢能源挂车！优先威钢发货,我方卸车,新老国标钢厂不加价可直发，因陕钢多次出现磅差，项目拒绝使用</v>
      </c>
      <c r="M1828" s="84">
        <v>45822</v>
      </c>
      <c r="O1828" s="55">
        <f ca="1" t="shared" si="109"/>
        <v>0</v>
      </c>
      <c r="P1828" s="55">
        <f ca="1" t="shared" si="110"/>
        <v>135</v>
      </c>
      <c r="Q1828" s="22" t="str">
        <f>VLOOKUP(B1828,辅助信息!E:M,9,FALSE)</f>
        <v>ZTWM-CDGS-XS-2024-0030-华西集采-简州大道</v>
      </c>
    </row>
    <row r="1829" hidden="1" spans="1:17">
      <c r="A1829" s="121"/>
      <c r="B1829" s="113" t="s">
        <v>81</v>
      </c>
      <c r="C1829" s="63">
        <v>45821</v>
      </c>
      <c r="D1829" s="113" t="str">
        <f>VLOOKUP(B1829,辅助信息!E:K,7,FALSE)</f>
        <v>JWDDCD2025060900080</v>
      </c>
      <c r="E1829" s="113" t="str">
        <f>VLOOKUP(F1829,辅助信息!A:B,2,FALSE)</f>
        <v>盘螺</v>
      </c>
      <c r="F1829" s="113" t="s">
        <v>26</v>
      </c>
      <c r="G1829" s="114">
        <f>53-36</f>
        <v>17</v>
      </c>
      <c r="H1829" s="114" t="str">
        <f>_xlfn.XLOOKUP(C1829&amp;F1829&amp;I1829&amp;J1829,'[1]2025年已发货'!$F:$F&amp;'[1]2025年已发货'!$C:$C&amp;'[1]2025年已发货'!$G:$G&amp;'[1]2025年已发货'!$H:$H,'[1]2025年已发货'!$E:$E,"未发货")</f>
        <v>未发货</v>
      </c>
      <c r="I1829" s="113" t="str">
        <f>VLOOKUP(B1829,辅助信息!E:I,3,FALSE)</f>
        <v>（华西简阳西城嘉苑）四川省成都市简阳市简城街道高屋村</v>
      </c>
      <c r="J1829" s="113" t="str">
        <f>VLOOKUP(B1829,辅助信息!E:I,4,FALSE)</f>
        <v>张瀚镭</v>
      </c>
      <c r="K1829" s="113">
        <f>VLOOKUP(J1829,辅助信息!H:I,2,FALSE)</f>
        <v>15884666220</v>
      </c>
      <c r="L1829" s="115" t="str">
        <f>VLOOKUP(B1829,辅助信息!E:J,6,FALSE)</f>
        <v>现场禁止使用氢能源挂车！优先威钢发货,我方卸车,新老国标钢厂不加价可直发，因陕钢多次出现磅差，项目拒绝使用</v>
      </c>
      <c r="M1829" s="84">
        <v>45822</v>
      </c>
      <c r="O1829" s="55">
        <f ca="1" t="shared" si="109"/>
        <v>0</v>
      </c>
      <c r="P1829" s="55">
        <f ca="1" t="shared" si="110"/>
        <v>135</v>
      </c>
      <c r="Q1829" s="22" t="str">
        <f>VLOOKUP(B1829,辅助信息!E:M,9,FALSE)</f>
        <v>ZTWM-CDGS-XS-2024-0030-华西集采-简州大道</v>
      </c>
    </row>
    <row r="1830" hidden="1" spans="2:18">
      <c r="B1830" s="113" t="s">
        <v>162</v>
      </c>
      <c r="C1830" s="63">
        <v>45824</v>
      </c>
      <c r="D1830" s="113" t="str">
        <f>VLOOKUP(B1830,辅助信息!E:K,7,FALSE)</f>
        <v>JWDD2025071500089</v>
      </c>
      <c r="E1830" s="113" t="str">
        <f>VLOOKUP(F1830,辅助信息!A:B,2,FALSE)</f>
        <v>盘螺</v>
      </c>
      <c r="F1830" s="113" t="s">
        <v>41</v>
      </c>
      <c r="G1830" s="114">
        <v>10</v>
      </c>
      <c r="H1830" s="114" t="str">
        <f>_xlfn.XLOOKUP(C1830&amp;F1830&amp;I1830&amp;J1830,'[1]2025年已发货'!$F:$F&amp;'[1]2025年已发货'!$C:$C&amp;'[1]2025年已发货'!$G:$G&amp;'[1]2025年已发货'!$H:$H,'[1]2025年已发货'!$E:$E,"未发货")</f>
        <v>未发货</v>
      </c>
      <c r="I1830" s="113" t="str">
        <f>VLOOKUP(B1830,辅助信息!E:I,3,FALSE)</f>
        <v>(宜宾兴港三江新区长江工业园保障性租赁住房建设项目-2标)四川省宜宾市翠屏区永善路南段宜宾市三江新区长江工业园区</v>
      </c>
      <c r="J1830" s="113" t="str">
        <f>VLOOKUP(B1830,辅助信息!E:I,4,FALSE)</f>
        <v>赵元虎</v>
      </c>
      <c r="K1830" s="113">
        <f>VLOOKUP(J1830,辅助信息!H:I,2,FALSE)</f>
        <v>13684167136</v>
      </c>
      <c r="L1830" s="115" t="str">
        <f>VLOOKUP(B1830,辅助信息!E:J,6,FALSE)</f>
        <v>现场要求调度统一联系指定收货人，不单独发司机位置。锈货不收，装货前联系收货人核实到场规格,没提前告知进场规格现场不给予接收</v>
      </c>
      <c r="M1830" s="84">
        <v>45819</v>
      </c>
      <c r="O1830" s="55">
        <f ca="1" t="shared" si="109"/>
        <v>0</v>
      </c>
      <c r="P1830" s="55">
        <f ca="1" t="shared" si="110"/>
        <v>138</v>
      </c>
      <c r="Q1830" s="22" t="str">
        <f>VLOOKUP(B1830,辅助信息!E:M,9,FALSE)</f>
        <v>ZTWM-CDYXGS-XS-2025-0014-宜宾兴港建材-三江新区长江工业园片区保障性租赁住房建设项目</v>
      </c>
      <c r="R1830" s="22" t="str">
        <f>_xlfn._xlws.FILTER(辅助信息!D:D,辅助信息!E:E=B1830)</f>
        <v>宜宾兴港三江新区长江工业园建设项目</v>
      </c>
    </row>
    <row r="1831" hidden="1" spans="2:18">
      <c r="B1831" s="113" t="s">
        <v>162</v>
      </c>
      <c r="C1831" s="63">
        <v>45824</v>
      </c>
      <c r="D1831" s="113" t="str">
        <f>VLOOKUP(B1831,辅助信息!E:K,7,FALSE)</f>
        <v>JWDD2025071500089</v>
      </c>
      <c r="E1831" s="113" t="str">
        <f>VLOOKUP(F1831,辅助信息!A:B,2,FALSE)</f>
        <v>螺纹钢</v>
      </c>
      <c r="F1831" s="113" t="s">
        <v>30</v>
      </c>
      <c r="G1831" s="114">
        <v>70</v>
      </c>
      <c r="H1831" s="114" t="str">
        <f>_xlfn.XLOOKUP(C1831&amp;F1831&amp;I1831&amp;J1831,'[1]2025年已发货'!$F:$F&amp;'[1]2025年已发货'!$C:$C&amp;'[1]2025年已发货'!$G:$G&amp;'[1]2025年已发货'!$H:$H,'[1]2025年已发货'!$E:$E,"未发货")</f>
        <v>未发货</v>
      </c>
      <c r="I1831" s="113" t="str">
        <f>VLOOKUP(B1831,辅助信息!E:I,3,FALSE)</f>
        <v>(宜宾兴港三江新区长江工业园保障性租赁住房建设项目-2标)四川省宜宾市翠屏区永善路南段宜宾市三江新区长江工业园区</v>
      </c>
      <c r="J1831" s="113" t="str">
        <f>VLOOKUP(B1831,辅助信息!E:I,4,FALSE)</f>
        <v>赵元虎</v>
      </c>
      <c r="K1831" s="113">
        <f>VLOOKUP(J1831,辅助信息!H:I,2,FALSE)</f>
        <v>13684167136</v>
      </c>
      <c r="L1831" s="115" t="str">
        <f>VLOOKUP(B1831,辅助信息!E:J,6,FALSE)</f>
        <v>现场要求调度统一联系指定收货人，不单独发司机位置。锈货不收，装货前联系收货人核实到场规格,没提前告知进场规格现场不给予接收</v>
      </c>
      <c r="M1831" s="84">
        <v>45819</v>
      </c>
      <c r="O1831" s="55">
        <f ca="1" t="shared" si="109"/>
        <v>0</v>
      </c>
      <c r="P1831" s="55">
        <f ca="1" t="shared" si="110"/>
        <v>138</v>
      </c>
      <c r="Q1831" s="22" t="str">
        <f>VLOOKUP(B1831,辅助信息!E:M,9,FALSE)</f>
        <v>ZTWM-CDYXGS-XS-2025-0014-宜宾兴港建材-三江新区长江工业园片区保障性租赁住房建设项目</v>
      </c>
      <c r="R1831" s="22" t="str">
        <f>_xlfn._xlws.FILTER(辅助信息!D:D,辅助信息!E:E=B1831)</f>
        <v>宜宾兴港三江新区长江工业园建设项目</v>
      </c>
    </row>
    <row r="1832" hidden="1" spans="1:18">
      <c r="A1832" s="122"/>
      <c r="B1832" s="113" t="s">
        <v>81</v>
      </c>
      <c r="C1832" s="63">
        <v>45824</v>
      </c>
      <c r="D1832" s="113" t="str">
        <f>VLOOKUP(B1832,辅助信息!E:K,7,FALSE)</f>
        <v>JWDDCD2025060900080</v>
      </c>
      <c r="E1832" s="113" t="str">
        <f>VLOOKUP(F1832,辅助信息!A:B,2,FALSE)</f>
        <v>盘螺</v>
      </c>
      <c r="F1832" s="113" t="s">
        <v>41</v>
      </c>
      <c r="G1832" s="114">
        <v>53</v>
      </c>
      <c r="H1832" s="114">
        <f>_xlfn.XLOOKUP(C1832&amp;F1832&amp;I1832&amp;J1832,'[1]2025年已发货'!$F:$F&amp;'[1]2025年已发货'!$C:$C&amp;'[1]2025年已发货'!$G:$G&amp;'[1]2025年已发货'!$H:$H,'[1]2025年已发货'!$E:$E,"未发货")</f>
        <v>52.5</v>
      </c>
      <c r="I1832" s="113" t="str">
        <f>VLOOKUP(B1832,辅助信息!E:I,3,FALSE)</f>
        <v>（华西简阳西城嘉苑）四川省成都市简阳市简城街道高屋村</v>
      </c>
      <c r="J1832" s="113" t="str">
        <f>VLOOKUP(B1832,辅助信息!E:I,4,FALSE)</f>
        <v>张瀚镭</v>
      </c>
      <c r="K1832" s="113">
        <f>VLOOKUP(J1832,辅助信息!H:I,2,FALSE)</f>
        <v>15884666220</v>
      </c>
      <c r="L1832" s="115" t="str">
        <f>VLOOKUP(B1832,辅助信息!E:J,6,FALSE)</f>
        <v>现场禁止使用氢能源挂车！优先威钢发货,我方卸车,新老国标钢厂不加价可直发，因陕钢多次出现磅差，项目拒绝使用</v>
      </c>
      <c r="M1832" s="84">
        <v>45822</v>
      </c>
      <c r="O1832" s="55">
        <f ca="1" t="shared" si="109"/>
        <v>0</v>
      </c>
      <c r="P1832" s="55">
        <f ca="1" t="shared" si="110"/>
        <v>135</v>
      </c>
      <c r="Q1832" s="22" t="str">
        <f>VLOOKUP(B1832,辅助信息!E:M,9,FALSE)</f>
        <v>ZTWM-CDGS-XS-2024-0030-华西集采-简州大道</v>
      </c>
      <c r="R1832" s="22" t="str">
        <f>_xlfn._xlws.FILTER(辅助信息!D:D,辅助信息!E:E=B1832)</f>
        <v>华西简阳西城嘉苑</v>
      </c>
    </row>
    <row r="1833" hidden="1" spans="1:18">
      <c r="A1833" s="122"/>
      <c r="B1833" s="113" t="s">
        <v>81</v>
      </c>
      <c r="C1833" s="63">
        <v>45824</v>
      </c>
      <c r="D1833" s="113" t="str">
        <f>VLOOKUP(B1833,辅助信息!E:K,7,FALSE)</f>
        <v>JWDDCD2025060900080</v>
      </c>
      <c r="E1833" s="113" t="str">
        <f>VLOOKUP(F1833,辅助信息!A:B,2,FALSE)</f>
        <v>盘螺</v>
      </c>
      <c r="F1833" s="113" t="s">
        <v>26</v>
      </c>
      <c r="G1833" s="114">
        <f>53-36</f>
        <v>17</v>
      </c>
      <c r="H1833" s="114">
        <f>_xlfn.XLOOKUP(C1833&amp;F1833&amp;I1833&amp;J1833,'[1]2025年已发货'!$F:$F&amp;'[1]2025年已发货'!$C:$C&amp;'[1]2025年已发货'!$G:$G&amp;'[1]2025年已发货'!$H:$H,'[1]2025年已发货'!$E:$E,"未发货")</f>
        <v>17.5</v>
      </c>
      <c r="I1833" s="113" t="str">
        <f>VLOOKUP(B1833,辅助信息!E:I,3,FALSE)</f>
        <v>（华西简阳西城嘉苑）四川省成都市简阳市简城街道高屋村</v>
      </c>
      <c r="J1833" s="113" t="str">
        <f>VLOOKUP(B1833,辅助信息!E:I,4,FALSE)</f>
        <v>张瀚镭</v>
      </c>
      <c r="K1833" s="113">
        <f>VLOOKUP(J1833,辅助信息!H:I,2,FALSE)</f>
        <v>15884666220</v>
      </c>
      <c r="L1833" s="115" t="str">
        <f>VLOOKUP(B1833,辅助信息!E:J,6,FALSE)</f>
        <v>现场禁止使用氢能源挂车！优先威钢发货,我方卸车,新老国标钢厂不加价可直发，因陕钢多次出现磅差，项目拒绝使用</v>
      </c>
      <c r="M1833" s="84">
        <v>45822</v>
      </c>
      <c r="O1833" s="55">
        <f ca="1" t="shared" si="109"/>
        <v>0</v>
      </c>
      <c r="P1833" s="55">
        <f ca="1" t="shared" si="110"/>
        <v>135</v>
      </c>
      <c r="Q1833" s="22" t="str">
        <f>VLOOKUP(B1833,辅助信息!E:M,9,FALSE)</f>
        <v>ZTWM-CDGS-XS-2024-0030-华西集采-简州大道</v>
      </c>
      <c r="R1833" s="22" t="str">
        <f>_xlfn._xlws.FILTER(辅助信息!D:D,辅助信息!E:E=B1833)</f>
        <v>华西简阳西城嘉苑</v>
      </c>
    </row>
    <row r="1834" hidden="1" spans="1:18">
      <c r="A1834" s="75" t="s">
        <v>166</v>
      </c>
      <c r="B1834" s="33" t="s">
        <v>167</v>
      </c>
      <c r="C1834" s="63">
        <v>45824</v>
      </c>
      <c r="D1834" s="113" t="str">
        <f>VLOOKUP(B1834,辅助信息!E:K,7,FALSE)</f>
        <v>JWDDCD2025102100473</v>
      </c>
      <c r="E1834" s="113" t="str">
        <f>VLOOKUP(F1834,辅助信息!A:B,2,FALSE)</f>
        <v>盘螺</v>
      </c>
      <c r="F1834" s="33" t="s">
        <v>40</v>
      </c>
      <c r="G1834" s="29">
        <v>5</v>
      </c>
      <c r="H1834" s="114" t="str">
        <f>_xlfn.XLOOKUP(C1834&amp;F1834&amp;I1834&amp;J1834,'[1]2025年已发货'!$F:$F&amp;'[1]2025年已发货'!$C:$C&amp;'[1]2025年已发货'!$G:$G&amp;'[1]2025年已发货'!$H:$H,'[1]2025年已发货'!$E:$E,"未发货")</f>
        <v>未发货</v>
      </c>
      <c r="I1834" s="113" t="str">
        <f>VLOOKUP(B1834,辅助信息!E:I,3,FALSE)</f>
        <v>(五冶建设扩建艺体中学二期工程)四川省成都市双流区光荣路成都艺体中学南200米</v>
      </c>
      <c r="J1834" s="113" t="str">
        <f>VLOOKUP(B1834,辅助信息!E:I,4,FALSE)</f>
        <v>谢序强</v>
      </c>
      <c r="K1834" s="113">
        <f>VLOOKUP(J1834,辅助信息!H:I,2,FALSE)</f>
        <v>13458588232</v>
      </c>
      <c r="L1834" s="115"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84">
        <v>45828</v>
      </c>
      <c r="O1834" s="55">
        <f ca="1" t="shared" ref="O1834:O1855" si="111">IF(OR(M1834="",N1834&lt;&gt;""),"",MAX(M1834-TODAY(),0))</f>
        <v>0</v>
      </c>
      <c r="P1834" s="55">
        <f ca="1" t="shared" ref="P1834:P1855" si="112">IF(M1834="","",IF(N1834&lt;&gt;"",MAX(N1834-M1834,0),IF(TODAY()&gt;M1834,TODAY()-M1834,0)))</f>
        <v>129</v>
      </c>
      <c r="Q1834" s="22" t="str">
        <f>VLOOKUP(B1834,辅助信息!E:M,9,FALSE)</f>
        <v>ZTWM-CDGS-XS-2025-0073-五冶天府-成都怡心湖片区及龙泉驿医院等项目</v>
      </c>
      <c r="R1834" s="22" t="str">
        <f>_xlfn._xlws.FILTER(辅助信息!D:D,辅助信息!E:E=B1834)</f>
        <v>五冶建设扩建艺体中学二期工程</v>
      </c>
    </row>
    <row r="1835" hidden="1" spans="1:18">
      <c r="A1835" s="75"/>
      <c r="B1835" s="33" t="s">
        <v>167</v>
      </c>
      <c r="C1835" s="63">
        <v>45824</v>
      </c>
      <c r="D1835" s="113" t="str">
        <f>VLOOKUP(B1835,辅助信息!E:K,7,FALSE)</f>
        <v>JWDDCD2025102100473</v>
      </c>
      <c r="E1835" s="113" t="str">
        <f>VLOOKUP(F1835,辅助信息!A:B,2,FALSE)</f>
        <v>盘螺</v>
      </c>
      <c r="F1835" s="33" t="s">
        <v>41</v>
      </c>
      <c r="G1835" s="29">
        <v>5</v>
      </c>
      <c r="H1835" s="114" t="str">
        <f>_xlfn.XLOOKUP(C1835&amp;F1835&amp;I1835&amp;J1835,'[1]2025年已发货'!$F:$F&amp;'[1]2025年已发货'!$C:$C&amp;'[1]2025年已发货'!$G:$G&amp;'[1]2025年已发货'!$H:$H,'[1]2025年已发货'!$E:$E,"未发货")</f>
        <v>未发货</v>
      </c>
      <c r="I1835" s="113" t="str">
        <f>VLOOKUP(B1835,辅助信息!E:I,3,FALSE)</f>
        <v>(五冶建设扩建艺体中学二期工程)四川省成都市双流区光荣路成都艺体中学南200米</v>
      </c>
      <c r="J1835" s="113" t="str">
        <f>VLOOKUP(B1835,辅助信息!E:I,4,FALSE)</f>
        <v>谢序强</v>
      </c>
      <c r="K1835" s="113">
        <f>VLOOKUP(J1835,辅助信息!H:I,2,FALSE)</f>
        <v>13458588232</v>
      </c>
      <c r="L1835" s="115"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84">
        <v>45828</v>
      </c>
      <c r="O1835" s="55">
        <f ca="1" t="shared" si="111"/>
        <v>0</v>
      </c>
      <c r="P1835" s="55">
        <f ca="1" t="shared" si="112"/>
        <v>129</v>
      </c>
      <c r="Q1835" s="22" t="str">
        <f>VLOOKUP(B1835,辅助信息!E:M,9,FALSE)</f>
        <v>ZTWM-CDGS-XS-2025-0073-五冶天府-成都怡心湖片区及龙泉驿医院等项目</v>
      </c>
      <c r="R1835" s="22" t="str">
        <f>_xlfn._xlws.FILTER(辅助信息!D:D,辅助信息!E:E=B1835)</f>
        <v>五冶建设扩建艺体中学二期工程</v>
      </c>
    </row>
    <row r="1836" hidden="1" spans="1:18">
      <c r="A1836" s="75"/>
      <c r="B1836" s="33" t="s">
        <v>167</v>
      </c>
      <c r="C1836" s="63">
        <v>45824</v>
      </c>
      <c r="D1836" s="113" t="str">
        <f>VLOOKUP(B1836,辅助信息!E:K,7,FALSE)</f>
        <v>JWDDCD2025102100473</v>
      </c>
      <c r="E1836" s="113" t="str">
        <f>VLOOKUP(F1836,辅助信息!A:B,2,FALSE)</f>
        <v>螺纹钢</v>
      </c>
      <c r="F1836" s="33" t="s">
        <v>27</v>
      </c>
      <c r="G1836" s="29">
        <v>6</v>
      </c>
      <c r="H1836" s="114" t="str">
        <f>_xlfn.XLOOKUP(C1836&amp;F1836&amp;I1836&amp;J1836,'[1]2025年已发货'!$F:$F&amp;'[1]2025年已发货'!$C:$C&amp;'[1]2025年已发货'!$G:$G&amp;'[1]2025年已发货'!$H:$H,'[1]2025年已发货'!$E:$E,"未发货")</f>
        <v>未发货</v>
      </c>
      <c r="I1836" s="113" t="str">
        <f>VLOOKUP(B1836,辅助信息!E:I,3,FALSE)</f>
        <v>(五冶建设扩建艺体中学二期工程)四川省成都市双流区光荣路成都艺体中学南200米</v>
      </c>
      <c r="J1836" s="113" t="str">
        <f>VLOOKUP(B1836,辅助信息!E:I,4,FALSE)</f>
        <v>谢序强</v>
      </c>
      <c r="K1836" s="113">
        <f>VLOOKUP(J1836,辅助信息!H:I,2,FALSE)</f>
        <v>13458588232</v>
      </c>
      <c r="L1836" s="115"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84">
        <v>45828</v>
      </c>
      <c r="O1836" s="55">
        <f ca="1" t="shared" si="111"/>
        <v>0</v>
      </c>
      <c r="P1836" s="55">
        <f ca="1" t="shared" si="112"/>
        <v>129</v>
      </c>
      <c r="Q1836" s="22" t="str">
        <f>VLOOKUP(B1836,辅助信息!E:M,9,FALSE)</f>
        <v>ZTWM-CDGS-XS-2025-0073-五冶天府-成都怡心湖片区及龙泉驿医院等项目</v>
      </c>
      <c r="R1836" s="22" t="str">
        <f>_xlfn._xlws.FILTER(辅助信息!D:D,辅助信息!E:E=B1836)</f>
        <v>五冶建设扩建艺体中学二期工程</v>
      </c>
    </row>
    <row r="1837" hidden="1" spans="1:18">
      <c r="A1837" s="75"/>
      <c r="B1837" s="33" t="s">
        <v>167</v>
      </c>
      <c r="C1837" s="63">
        <v>45824</v>
      </c>
      <c r="D1837" s="113" t="str">
        <f>VLOOKUP(B1837,辅助信息!E:K,7,FALSE)</f>
        <v>JWDDCD2025102100473</v>
      </c>
      <c r="E1837" s="113" t="str">
        <f>VLOOKUP(F1837,辅助信息!A:B,2,FALSE)</f>
        <v>螺纹钢</v>
      </c>
      <c r="F1837" s="33" t="s">
        <v>19</v>
      </c>
      <c r="G1837" s="29">
        <v>6</v>
      </c>
      <c r="H1837" s="114" t="str">
        <f>_xlfn.XLOOKUP(C1837&amp;F1837&amp;I1837&amp;J1837,'[1]2025年已发货'!$F:$F&amp;'[1]2025年已发货'!$C:$C&amp;'[1]2025年已发货'!$G:$G&amp;'[1]2025年已发货'!$H:$H,'[1]2025年已发货'!$E:$E,"未发货")</f>
        <v>未发货</v>
      </c>
      <c r="I1837" s="113" t="str">
        <f>VLOOKUP(B1837,辅助信息!E:I,3,FALSE)</f>
        <v>(五冶建设扩建艺体中学二期工程)四川省成都市双流区光荣路成都艺体中学南200米</v>
      </c>
      <c r="J1837" s="113" t="str">
        <f>VLOOKUP(B1837,辅助信息!E:I,4,FALSE)</f>
        <v>谢序强</v>
      </c>
      <c r="K1837" s="113">
        <f>VLOOKUP(J1837,辅助信息!H:I,2,FALSE)</f>
        <v>13458588232</v>
      </c>
      <c r="L1837" s="115"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84">
        <v>45828</v>
      </c>
      <c r="O1837" s="55">
        <f ca="1" t="shared" si="111"/>
        <v>0</v>
      </c>
      <c r="P1837" s="55">
        <f ca="1" t="shared" si="112"/>
        <v>129</v>
      </c>
      <c r="Q1837" s="22" t="str">
        <f>VLOOKUP(B1837,辅助信息!E:M,9,FALSE)</f>
        <v>ZTWM-CDGS-XS-2025-0073-五冶天府-成都怡心湖片区及龙泉驿医院等项目</v>
      </c>
      <c r="R1837" s="22" t="str">
        <f>_xlfn._xlws.FILTER(辅助信息!D:D,辅助信息!E:E=B1837)</f>
        <v>五冶建设扩建艺体中学二期工程</v>
      </c>
    </row>
    <row r="1838" hidden="1" spans="1:18">
      <c r="A1838" s="75"/>
      <c r="B1838" s="33" t="s">
        <v>167</v>
      </c>
      <c r="C1838" s="63">
        <v>45824</v>
      </c>
      <c r="D1838" s="113" t="str">
        <f>VLOOKUP(B1838,辅助信息!E:K,7,FALSE)</f>
        <v>JWDDCD2025102100473</v>
      </c>
      <c r="E1838" s="113" t="str">
        <f>VLOOKUP(F1838,辅助信息!A:B,2,FALSE)</f>
        <v>螺纹钢</v>
      </c>
      <c r="F1838" s="33" t="s">
        <v>32</v>
      </c>
      <c r="G1838" s="29">
        <v>6</v>
      </c>
      <c r="H1838" s="114" t="str">
        <f>_xlfn.XLOOKUP(C1838&amp;F1838&amp;I1838&amp;J1838,'[1]2025年已发货'!$F:$F&amp;'[1]2025年已发货'!$C:$C&amp;'[1]2025年已发货'!$G:$G&amp;'[1]2025年已发货'!$H:$H,'[1]2025年已发货'!$E:$E,"未发货")</f>
        <v>未发货</v>
      </c>
      <c r="I1838" s="113" t="str">
        <f>VLOOKUP(B1838,辅助信息!E:I,3,FALSE)</f>
        <v>(五冶建设扩建艺体中学二期工程)四川省成都市双流区光荣路成都艺体中学南200米</v>
      </c>
      <c r="J1838" s="113" t="str">
        <f>VLOOKUP(B1838,辅助信息!E:I,4,FALSE)</f>
        <v>谢序强</v>
      </c>
      <c r="K1838" s="113">
        <f>VLOOKUP(J1838,辅助信息!H:I,2,FALSE)</f>
        <v>13458588232</v>
      </c>
      <c r="L1838" s="115"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84">
        <v>45828</v>
      </c>
      <c r="O1838" s="55">
        <f ca="1" t="shared" si="111"/>
        <v>0</v>
      </c>
      <c r="P1838" s="55">
        <f ca="1" t="shared" si="112"/>
        <v>129</v>
      </c>
      <c r="Q1838" s="22" t="str">
        <f>VLOOKUP(B1838,辅助信息!E:M,9,FALSE)</f>
        <v>ZTWM-CDGS-XS-2025-0073-五冶天府-成都怡心湖片区及龙泉驿医院等项目</v>
      </c>
      <c r="R1838" s="22" t="str">
        <f>_xlfn._xlws.FILTER(辅助信息!D:D,辅助信息!E:E=B1838)</f>
        <v>五冶建设扩建艺体中学二期工程</v>
      </c>
    </row>
    <row r="1839" hidden="1" spans="1:18">
      <c r="A1839" s="75"/>
      <c r="B1839" s="33" t="s">
        <v>167</v>
      </c>
      <c r="C1839" s="63">
        <v>45824</v>
      </c>
      <c r="D1839" s="113" t="str">
        <f>VLOOKUP(B1839,辅助信息!E:K,7,FALSE)</f>
        <v>JWDDCD2025102100473</v>
      </c>
      <c r="E1839" s="113" t="str">
        <f>VLOOKUP(F1839,辅助信息!A:B,2,FALSE)</f>
        <v>螺纹钢</v>
      </c>
      <c r="F1839" s="33" t="s">
        <v>30</v>
      </c>
      <c r="G1839" s="29">
        <v>6</v>
      </c>
      <c r="H1839" s="114" t="str">
        <f>_xlfn.XLOOKUP(C1839&amp;F1839&amp;I1839&amp;J1839,'[1]2025年已发货'!$F:$F&amp;'[1]2025年已发货'!$C:$C&amp;'[1]2025年已发货'!$G:$G&amp;'[1]2025年已发货'!$H:$H,'[1]2025年已发货'!$E:$E,"未发货")</f>
        <v>未发货</v>
      </c>
      <c r="I1839" s="113" t="str">
        <f>VLOOKUP(B1839,辅助信息!E:I,3,FALSE)</f>
        <v>(五冶建设扩建艺体中学二期工程)四川省成都市双流区光荣路成都艺体中学南200米</v>
      </c>
      <c r="J1839" s="113" t="str">
        <f>VLOOKUP(B1839,辅助信息!E:I,4,FALSE)</f>
        <v>谢序强</v>
      </c>
      <c r="K1839" s="113">
        <f>VLOOKUP(J1839,辅助信息!H:I,2,FALSE)</f>
        <v>13458588232</v>
      </c>
      <c r="L1839" s="115"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84">
        <v>45828</v>
      </c>
      <c r="O1839" s="55">
        <f ca="1" t="shared" si="111"/>
        <v>0</v>
      </c>
      <c r="P1839" s="55">
        <f ca="1" t="shared" si="112"/>
        <v>129</v>
      </c>
      <c r="Q1839" s="22" t="str">
        <f>VLOOKUP(B1839,辅助信息!E:M,9,FALSE)</f>
        <v>ZTWM-CDGS-XS-2025-0073-五冶天府-成都怡心湖片区及龙泉驿医院等项目</v>
      </c>
      <c r="R1839" s="22" t="str">
        <f>_xlfn._xlws.FILTER(辅助信息!D:D,辅助信息!E:E=B1839)</f>
        <v>五冶建设扩建艺体中学二期工程</v>
      </c>
    </row>
    <row r="1840" hidden="1" spans="1:18">
      <c r="A1840" s="75"/>
      <c r="B1840" s="33" t="s">
        <v>167</v>
      </c>
      <c r="C1840" s="63">
        <v>45824</v>
      </c>
      <c r="D1840" s="113" t="str">
        <f>VLOOKUP(B1840,辅助信息!E:K,7,FALSE)</f>
        <v>JWDDCD2025102100473</v>
      </c>
      <c r="E1840" s="113" t="str">
        <f>VLOOKUP(F1840,辅助信息!A:B,2,FALSE)</f>
        <v>螺纹钢</v>
      </c>
      <c r="F1840" s="33" t="s">
        <v>33</v>
      </c>
      <c r="G1840" s="29">
        <v>6</v>
      </c>
      <c r="H1840" s="114" t="str">
        <f>_xlfn.XLOOKUP(C1840&amp;F1840&amp;I1840&amp;J1840,'[1]2025年已发货'!$F:$F&amp;'[1]2025年已发货'!$C:$C&amp;'[1]2025年已发货'!$G:$G&amp;'[1]2025年已发货'!$H:$H,'[1]2025年已发货'!$E:$E,"未发货")</f>
        <v>未发货</v>
      </c>
      <c r="I1840" s="113" t="str">
        <f>VLOOKUP(B1840,辅助信息!E:I,3,FALSE)</f>
        <v>(五冶建设扩建艺体中学二期工程)四川省成都市双流区光荣路成都艺体中学南200米</v>
      </c>
      <c r="J1840" s="113" t="str">
        <f>VLOOKUP(B1840,辅助信息!E:I,4,FALSE)</f>
        <v>谢序强</v>
      </c>
      <c r="K1840" s="113">
        <f>VLOOKUP(J1840,辅助信息!H:I,2,FALSE)</f>
        <v>13458588232</v>
      </c>
      <c r="L1840" s="115"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84">
        <v>45828</v>
      </c>
      <c r="O1840" s="55">
        <f ca="1" t="shared" si="111"/>
        <v>0</v>
      </c>
      <c r="P1840" s="55">
        <f ca="1" t="shared" si="112"/>
        <v>129</v>
      </c>
      <c r="Q1840" s="22" t="str">
        <f>VLOOKUP(B1840,辅助信息!E:M,9,FALSE)</f>
        <v>ZTWM-CDGS-XS-2025-0073-五冶天府-成都怡心湖片区及龙泉驿医院等项目</v>
      </c>
      <c r="R1840" s="22" t="str">
        <f>_xlfn._xlws.FILTER(辅助信息!D:D,辅助信息!E:E=B1840)</f>
        <v>五冶建设扩建艺体中学二期工程</v>
      </c>
    </row>
    <row r="1841" hidden="1" spans="1:18">
      <c r="A1841" s="75"/>
      <c r="B1841" s="33" t="s">
        <v>167</v>
      </c>
      <c r="C1841" s="63">
        <v>45824</v>
      </c>
      <c r="D1841" s="113" t="str">
        <f>VLOOKUP(B1841,辅助信息!E:K,7,FALSE)</f>
        <v>JWDDCD2025102100473</v>
      </c>
      <c r="E1841" s="113" t="str">
        <f>VLOOKUP(F1841,辅助信息!A:B,2,FALSE)</f>
        <v>螺纹钢</v>
      </c>
      <c r="F1841" s="33" t="s">
        <v>28</v>
      </c>
      <c r="G1841" s="29">
        <v>6</v>
      </c>
      <c r="H1841" s="114" t="str">
        <f>_xlfn.XLOOKUP(C1841&amp;F1841&amp;I1841&amp;J1841,'[1]2025年已发货'!$F:$F&amp;'[1]2025年已发货'!$C:$C&amp;'[1]2025年已发货'!$G:$G&amp;'[1]2025年已发货'!$H:$H,'[1]2025年已发货'!$E:$E,"未发货")</f>
        <v>未发货</v>
      </c>
      <c r="I1841" s="113" t="str">
        <f>VLOOKUP(B1841,辅助信息!E:I,3,FALSE)</f>
        <v>(五冶建设扩建艺体中学二期工程)四川省成都市双流区光荣路成都艺体中学南200米</v>
      </c>
      <c r="J1841" s="113" t="str">
        <f>VLOOKUP(B1841,辅助信息!E:I,4,FALSE)</f>
        <v>谢序强</v>
      </c>
      <c r="K1841" s="113">
        <f>VLOOKUP(J1841,辅助信息!H:I,2,FALSE)</f>
        <v>13458588232</v>
      </c>
      <c r="L1841" s="115"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84">
        <v>45828</v>
      </c>
      <c r="O1841" s="55">
        <f ca="1" t="shared" si="111"/>
        <v>0</v>
      </c>
      <c r="P1841" s="55">
        <f ca="1" t="shared" si="112"/>
        <v>129</v>
      </c>
      <c r="Q1841" s="22" t="str">
        <f>VLOOKUP(B1841,辅助信息!E:M,9,FALSE)</f>
        <v>ZTWM-CDGS-XS-2025-0073-五冶天府-成都怡心湖片区及龙泉驿医院等项目</v>
      </c>
      <c r="R1841" s="22" t="str">
        <f>_xlfn._xlws.FILTER(辅助信息!D:D,辅助信息!E:E=B1841)</f>
        <v>五冶建设扩建艺体中学二期工程</v>
      </c>
    </row>
    <row r="1842" hidden="1" spans="1:18">
      <c r="A1842" s="75"/>
      <c r="B1842" s="33" t="s">
        <v>167</v>
      </c>
      <c r="C1842" s="63">
        <v>45824</v>
      </c>
      <c r="D1842" s="113" t="str">
        <f>VLOOKUP(B1842,辅助信息!E:K,7,FALSE)</f>
        <v>JWDDCD2025102100473</v>
      </c>
      <c r="E1842" s="113" t="str">
        <f>VLOOKUP(F1842,辅助信息!A:B,2,FALSE)</f>
        <v>螺纹钢</v>
      </c>
      <c r="F1842" s="33" t="s">
        <v>18</v>
      </c>
      <c r="G1842" s="29">
        <v>23</v>
      </c>
      <c r="H1842" s="114" t="str">
        <f>_xlfn.XLOOKUP(C1842&amp;F1842&amp;I1842&amp;J1842,'[1]2025年已发货'!$F:$F&amp;'[1]2025年已发货'!$C:$C&amp;'[1]2025年已发货'!$G:$G&amp;'[1]2025年已发货'!$H:$H,'[1]2025年已发货'!$E:$E,"未发货")</f>
        <v>未发货</v>
      </c>
      <c r="I1842" s="113" t="str">
        <f>VLOOKUP(B1842,辅助信息!E:I,3,FALSE)</f>
        <v>(五冶建设扩建艺体中学二期工程)四川省成都市双流区光荣路成都艺体中学南200米</v>
      </c>
      <c r="J1842" s="113" t="str">
        <f>VLOOKUP(B1842,辅助信息!E:I,4,FALSE)</f>
        <v>谢序强</v>
      </c>
      <c r="K1842" s="113">
        <f>VLOOKUP(J1842,辅助信息!H:I,2,FALSE)</f>
        <v>13458588232</v>
      </c>
      <c r="L1842" s="115"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84">
        <v>45828</v>
      </c>
      <c r="O1842" s="55">
        <f ca="1" t="shared" si="111"/>
        <v>0</v>
      </c>
      <c r="P1842" s="55">
        <f ca="1" t="shared" si="112"/>
        <v>129</v>
      </c>
      <c r="Q1842" s="22" t="str">
        <f>VLOOKUP(B1842,辅助信息!E:M,9,FALSE)</f>
        <v>ZTWM-CDGS-XS-2025-0073-五冶天府-成都怡心湖片区及龙泉驿医院等项目</v>
      </c>
      <c r="R1842" s="22" t="str">
        <f>_xlfn._xlws.FILTER(辅助信息!D:D,辅助信息!E:E=B1842)</f>
        <v>五冶建设扩建艺体中学二期工程</v>
      </c>
    </row>
    <row r="1843" hidden="1" spans="1:18">
      <c r="A1843" s="75" t="s">
        <v>168</v>
      </c>
      <c r="B1843" s="33" t="s">
        <v>169</v>
      </c>
      <c r="C1843" s="63">
        <v>45824</v>
      </c>
      <c r="D1843" s="113" t="str">
        <f>VLOOKUP(B1843,辅助信息!E:K,7,FALSE)</f>
        <v>JWDDCD2025051800044</v>
      </c>
      <c r="E1843" s="113" t="str">
        <f>VLOOKUP(F1843,辅助信息!A:B,2,FALSE)</f>
        <v>高线</v>
      </c>
      <c r="F1843" s="33" t="s">
        <v>51</v>
      </c>
      <c r="G1843" s="29">
        <v>35</v>
      </c>
      <c r="H1843" s="114" t="str">
        <f>_xlfn.XLOOKUP(C1843&amp;F1843&amp;I1843&amp;J1843,'[1]2025年已发货'!$F:$F&amp;'[1]2025年已发货'!$C:$C&amp;'[1]2025年已发货'!$G:$G&amp;'[1]2025年已发货'!$H:$H,'[1]2025年已发货'!$E:$E,"未发货")</f>
        <v>未发货</v>
      </c>
      <c r="I1843" s="113" t="str">
        <f>VLOOKUP(B1843,辅助信息!E:I,3,FALSE)</f>
        <v>(五冶建设龙泉芙蓉花语项目-1,3地块)龙泉驿区北川路双堰塘钓鱼东100米(北川路)</v>
      </c>
      <c r="J1843" s="113" t="str">
        <f>VLOOKUP(B1843,辅助信息!E:I,4,FALSE)</f>
        <v>祝斯阳</v>
      </c>
      <c r="K1843" s="113">
        <f>VLOOKUP(J1843,辅助信息!H:I,2,FALSE)</f>
        <v>15583590797</v>
      </c>
      <c r="L1843" s="115"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84">
        <v>45828</v>
      </c>
      <c r="O1843" s="55">
        <f ca="1" t="shared" si="111"/>
        <v>0</v>
      </c>
      <c r="P1843" s="55">
        <f ca="1" t="shared" si="112"/>
        <v>129</v>
      </c>
      <c r="Q1843" s="22" t="str">
        <f>VLOOKUP(B1843,辅助信息!E:M,9,FALSE)</f>
        <v>ZTWM-CDGS-XS-2025-0073-五冶天府-成都怡心湖片区及龙泉驿医院等项目</v>
      </c>
      <c r="R1843" s="22" t="str">
        <f>_xlfn._xlws.FILTER(辅助信息!D:D,辅助信息!E:E=B1843)</f>
        <v>五冶建设龙泉芙蓉花语项目</v>
      </c>
    </row>
    <row r="1844" hidden="1" spans="1:18">
      <c r="A1844" s="75"/>
      <c r="B1844" s="33" t="s">
        <v>169</v>
      </c>
      <c r="C1844" s="63">
        <v>45824</v>
      </c>
      <c r="D1844" s="113" t="str">
        <f>VLOOKUP(B1844,辅助信息!E:K,7,FALSE)</f>
        <v>JWDDCD2025051800044</v>
      </c>
      <c r="E1844" s="113" t="str">
        <f>VLOOKUP(F1844,辅助信息!A:B,2,FALSE)</f>
        <v>螺纹钢</v>
      </c>
      <c r="F1844" s="33" t="s">
        <v>28</v>
      </c>
      <c r="G1844" s="29">
        <v>70</v>
      </c>
      <c r="H1844" s="114" t="str">
        <f>_xlfn.XLOOKUP(C1844&amp;F1844&amp;I1844&amp;J1844,'[1]2025年已发货'!$F:$F&amp;'[1]2025年已发货'!$C:$C&amp;'[1]2025年已发货'!$G:$G&amp;'[1]2025年已发货'!$H:$H,'[1]2025年已发货'!$E:$E,"未发货")</f>
        <v>未发货</v>
      </c>
      <c r="I1844" s="113" t="str">
        <f>VLOOKUP(B1844,辅助信息!E:I,3,FALSE)</f>
        <v>(五冶建设龙泉芙蓉花语项目-1,3地块)龙泉驿区北川路双堰塘钓鱼东100米(北川路)</v>
      </c>
      <c r="J1844" s="113" t="str">
        <f>VLOOKUP(B1844,辅助信息!E:I,4,FALSE)</f>
        <v>祝斯阳</v>
      </c>
      <c r="K1844" s="113">
        <f>VLOOKUP(J1844,辅助信息!H:I,2,FALSE)</f>
        <v>15583590797</v>
      </c>
      <c r="L1844" s="115"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84">
        <v>45828</v>
      </c>
      <c r="O1844" s="55">
        <f ca="1" t="shared" si="111"/>
        <v>0</v>
      </c>
      <c r="P1844" s="55">
        <f ca="1" t="shared" si="112"/>
        <v>129</v>
      </c>
      <c r="Q1844" s="22" t="str">
        <f>VLOOKUP(B1844,辅助信息!E:M,9,FALSE)</f>
        <v>ZTWM-CDGS-XS-2025-0073-五冶天府-成都怡心湖片区及龙泉驿医院等项目</v>
      </c>
      <c r="R1844" s="22" t="str">
        <f>_xlfn._xlws.FILTER(辅助信息!D:D,辅助信息!E:E=B1844)</f>
        <v>五冶建设龙泉芙蓉花语项目</v>
      </c>
    </row>
    <row r="1845" hidden="1" spans="2:18">
      <c r="B1845" s="113" t="s">
        <v>162</v>
      </c>
      <c r="C1845" s="63">
        <v>45825</v>
      </c>
      <c r="D1845" s="113" t="str">
        <f>VLOOKUP(B1845,辅助信息!E:K,7,FALSE)</f>
        <v>JWDD2025071500089</v>
      </c>
      <c r="E1845" s="113" t="str">
        <f>VLOOKUP(F1845,辅助信息!A:B,2,FALSE)</f>
        <v>盘螺</v>
      </c>
      <c r="F1845" s="113" t="s">
        <v>41</v>
      </c>
      <c r="G1845" s="114">
        <v>10</v>
      </c>
      <c r="H1845" s="123" t="s">
        <v>170</v>
      </c>
      <c r="I1845" s="113" t="str">
        <f>VLOOKUP(B1845,辅助信息!E:I,3,FALSE)</f>
        <v>(宜宾兴港三江新区长江工业园保障性租赁住房建设项目-2标)四川省宜宾市翠屏区永善路南段宜宾市三江新区长江工业园区</v>
      </c>
      <c r="J1845" s="113" t="str">
        <f>VLOOKUP(B1845,辅助信息!E:I,4,FALSE)</f>
        <v>赵元虎</v>
      </c>
      <c r="K1845" s="113">
        <f>VLOOKUP(J1845,辅助信息!H:I,2,FALSE)</f>
        <v>13684167136</v>
      </c>
      <c r="L1845" s="115" t="str">
        <f>VLOOKUP(B1845,辅助信息!E:J,6,FALSE)</f>
        <v>现场要求调度统一联系指定收货人，不单独发司机位置。锈货不收，装货前联系收货人核实到场规格,没提前告知进场规格现场不给予接收</v>
      </c>
      <c r="M1845" s="84">
        <v>45819</v>
      </c>
      <c r="O1845" s="55">
        <f ca="1" t="shared" si="111"/>
        <v>0</v>
      </c>
      <c r="P1845" s="55">
        <f ca="1" t="shared" si="112"/>
        <v>138</v>
      </c>
      <c r="Q1845" s="22" t="str">
        <f>VLOOKUP(B1845,辅助信息!E:M,9,FALSE)</f>
        <v>ZTWM-CDYXGS-XS-2025-0014-宜宾兴港建材-三江新区长江工业园片区保障性租赁住房建设项目</v>
      </c>
      <c r="R1845" s="22" t="str">
        <f>_xlfn._xlws.FILTER(辅助信息!D:D,辅助信息!E:E=B1845)</f>
        <v>宜宾兴港三江新区长江工业园建设项目</v>
      </c>
    </row>
    <row r="1846" hidden="1" spans="2:18">
      <c r="B1846" s="113" t="s">
        <v>162</v>
      </c>
      <c r="C1846" s="63">
        <v>45825</v>
      </c>
      <c r="D1846" s="113" t="str">
        <f>VLOOKUP(B1846,辅助信息!E:K,7,FALSE)</f>
        <v>JWDD2025071500089</v>
      </c>
      <c r="E1846" s="113" t="str">
        <f>VLOOKUP(F1846,辅助信息!A:B,2,FALSE)</f>
        <v>螺纹钢</v>
      </c>
      <c r="F1846" s="113" t="s">
        <v>30</v>
      </c>
      <c r="G1846" s="114">
        <v>25</v>
      </c>
      <c r="H1846" s="123" t="s">
        <v>170</v>
      </c>
      <c r="I1846" s="113" t="str">
        <f>VLOOKUP(B1846,辅助信息!E:I,3,FALSE)</f>
        <v>(宜宾兴港三江新区长江工业园保障性租赁住房建设项目-2标)四川省宜宾市翠屏区永善路南段宜宾市三江新区长江工业园区</v>
      </c>
      <c r="J1846" s="113" t="str">
        <f>VLOOKUP(B1846,辅助信息!E:I,4,FALSE)</f>
        <v>赵元虎</v>
      </c>
      <c r="K1846" s="113">
        <f>VLOOKUP(J1846,辅助信息!H:I,2,FALSE)</f>
        <v>13684167136</v>
      </c>
      <c r="L1846" s="115" t="str">
        <f>VLOOKUP(B1846,辅助信息!E:J,6,FALSE)</f>
        <v>现场要求调度统一联系指定收货人，不单独发司机位置。锈货不收，装货前联系收货人核实到场规格,没提前告知进场规格现场不给予接收</v>
      </c>
      <c r="M1846" s="84">
        <v>45819</v>
      </c>
      <c r="O1846" s="55">
        <f ca="1" t="shared" si="111"/>
        <v>0</v>
      </c>
      <c r="P1846" s="55">
        <f ca="1" t="shared" si="112"/>
        <v>138</v>
      </c>
      <c r="Q1846" s="22" t="str">
        <f>VLOOKUP(B1846,辅助信息!E:M,9,FALSE)</f>
        <v>ZTWM-CDYXGS-XS-2025-0014-宜宾兴港建材-三江新区长江工业园片区保障性租赁住房建设项目</v>
      </c>
      <c r="R1846" s="22" t="str">
        <f>_xlfn._xlws.FILTER(辅助信息!D:D,辅助信息!E:E=B1846)</f>
        <v>宜宾兴港三江新区长江工业园建设项目</v>
      </c>
    </row>
    <row r="1847" hidden="1" spans="1:18">
      <c r="A1847" s="121" t="s">
        <v>166</v>
      </c>
      <c r="B1847" s="113" t="s">
        <v>167</v>
      </c>
      <c r="C1847" s="63">
        <v>45825</v>
      </c>
      <c r="D1847" s="113" t="str">
        <f>VLOOKUP(B1847,辅助信息!E:K,7,FALSE)</f>
        <v>JWDDCD2025102100473</v>
      </c>
      <c r="E1847" s="113" t="str">
        <f>VLOOKUP(F1847,辅助信息!A:B,2,FALSE)</f>
        <v>盘螺</v>
      </c>
      <c r="F1847" s="124" t="s">
        <v>40</v>
      </c>
      <c r="G1847" s="114">
        <v>4</v>
      </c>
      <c r="H1847" s="114" t="str">
        <f>_xlfn.XLOOKUP(C1847&amp;F1847&amp;I1847&amp;J1847,'[1]2025年已发货'!$F:$F&amp;'[1]2025年已发货'!$C:$C&amp;'[1]2025年已发货'!$G:$G&amp;'[1]2025年已发货'!$H:$H,'[1]2025年已发货'!$E:$E,"未发货")</f>
        <v>未发货</v>
      </c>
      <c r="I1847" s="113" t="str">
        <f>VLOOKUP(B1847,辅助信息!E:I,3,FALSE)</f>
        <v>(五冶建设扩建艺体中学二期工程)四川省成都市双流区光荣路成都艺体中学南200米</v>
      </c>
      <c r="J1847" s="113" t="str">
        <f>VLOOKUP(B1847,辅助信息!E:I,4,FALSE)</f>
        <v>谢序强</v>
      </c>
      <c r="K1847" s="113">
        <f>VLOOKUP(J1847,辅助信息!H:I,2,FALSE)</f>
        <v>13458588232</v>
      </c>
      <c r="L1847" s="115"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84">
        <v>45828</v>
      </c>
      <c r="O1847" s="55">
        <f ca="1" t="shared" si="111"/>
        <v>0</v>
      </c>
      <c r="P1847" s="55">
        <f ca="1" t="shared" si="112"/>
        <v>129</v>
      </c>
      <c r="Q1847" s="22" t="str">
        <f>VLOOKUP(B1847,辅助信息!E:M,9,FALSE)</f>
        <v>ZTWM-CDGS-XS-2025-0073-五冶天府-成都怡心湖片区及龙泉驿医院等项目</v>
      </c>
      <c r="R1847" s="22" t="str">
        <f>_xlfn._xlws.FILTER(辅助信息!D:D,辅助信息!E:E=B1847)</f>
        <v>五冶建设扩建艺体中学二期工程</v>
      </c>
    </row>
    <row r="1848" hidden="1" spans="1:18">
      <c r="A1848" s="121"/>
      <c r="B1848" s="113" t="s">
        <v>167</v>
      </c>
      <c r="C1848" s="63">
        <v>45825</v>
      </c>
      <c r="D1848" s="113" t="str">
        <f>VLOOKUP(B1848,辅助信息!E:K,7,FALSE)</f>
        <v>JWDDCD2025102100473</v>
      </c>
      <c r="E1848" s="113" t="str">
        <f>VLOOKUP(F1848,辅助信息!A:B,2,FALSE)</f>
        <v>盘螺</v>
      </c>
      <c r="F1848" s="124" t="s">
        <v>41</v>
      </c>
      <c r="G1848" s="114">
        <v>4</v>
      </c>
      <c r="H1848" s="114" t="str">
        <f>_xlfn.XLOOKUP(C1848&amp;F1848&amp;I1848&amp;J1848,'[1]2025年已发货'!$F:$F&amp;'[1]2025年已发货'!$C:$C&amp;'[1]2025年已发货'!$G:$G&amp;'[1]2025年已发货'!$H:$H,'[1]2025年已发货'!$E:$E,"未发货")</f>
        <v>未发货</v>
      </c>
      <c r="I1848" s="113" t="str">
        <f>VLOOKUP(B1848,辅助信息!E:I,3,FALSE)</f>
        <v>(五冶建设扩建艺体中学二期工程)四川省成都市双流区光荣路成都艺体中学南200米</v>
      </c>
      <c r="J1848" s="113" t="str">
        <f>VLOOKUP(B1848,辅助信息!E:I,4,FALSE)</f>
        <v>谢序强</v>
      </c>
      <c r="K1848" s="113">
        <f>VLOOKUP(J1848,辅助信息!H:I,2,FALSE)</f>
        <v>13458588232</v>
      </c>
      <c r="L1848" s="115"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84">
        <v>45828</v>
      </c>
      <c r="O1848" s="55">
        <f ca="1" t="shared" si="111"/>
        <v>0</v>
      </c>
      <c r="P1848" s="55">
        <f ca="1" t="shared" si="112"/>
        <v>129</v>
      </c>
      <c r="Q1848" s="22" t="str">
        <f>VLOOKUP(B1848,辅助信息!E:M,9,FALSE)</f>
        <v>ZTWM-CDGS-XS-2025-0073-五冶天府-成都怡心湖片区及龙泉驿医院等项目</v>
      </c>
      <c r="R1848" s="22" t="str">
        <f>_xlfn._xlws.FILTER(辅助信息!D:D,辅助信息!E:E=B1848)</f>
        <v>五冶建设扩建艺体中学二期工程</v>
      </c>
    </row>
    <row r="1849" hidden="1" spans="1:18">
      <c r="A1849" s="121"/>
      <c r="B1849" s="113" t="s">
        <v>167</v>
      </c>
      <c r="C1849" s="63">
        <v>45825</v>
      </c>
      <c r="D1849" s="113" t="str">
        <f>VLOOKUP(B1849,辅助信息!E:K,7,FALSE)</f>
        <v>JWDDCD2025102100473</v>
      </c>
      <c r="E1849" s="113" t="str">
        <f>VLOOKUP(F1849,辅助信息!A:B,2,FALSE)</f>
        <v>螺纹钢</v>
      </c>
      <c r="F1849" s="124" t="s">
        <v>27</v>
      </c>
      <c r="G1849" s="114">
        <v>5</v>
      </c>
      <c r="H1849" s="114" t="str">
        <f>_xlfn.XLOOKUP(C1849&amp;F1849&amp;I1849&amp;J1849,'[1]2025年已发货'!$F:$F&amp;'[1]2025年已发货'!$C:$C&amp;'[1]2025年已发货'!$G:$G&amp;'[1]2025年已发货'!$H:$H,'[1]2025年已发货'!$E:$E,"未发货")</f>
        <v>未发货</v>
      </c>
      <c r="I1849" s="113" t="str">
        <f>VLOOKUP(B1849,辅助信息!E:I,3,FALSE)</f>
        <v>(五冶建设扩建艺体中学二期工程)四川省成都市双流区光荣路成都艺体中学南200米</v>
      </c>
      <c r="J1849" s="113" t="str">
        <f>VLOOKUP(B1849,辅助信息!E:I,4,FALSE)</f>
        <v>谢序强</v>
      </c>
      <c r="K1849" s="113">
        <f>VLOOKUP(J1849,辅助信息!H:I,2,FALSE)</f>
        <v>13458588232</v>
      </c>
      <c r="L1849" s="115"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84">
        <v>45828</v>
      </c>
      <c r="O1849" s="55">
        <f ca="1" t="shared" si="111"/>
        <v>0</v>
      </c>
      <c r="P1849" s="55">
        <f ca="1" t="shared" si="112"/>
        <v>129</v>
      </c>
      <c r="Q1849" s="22" t="str">
        <f>VLOOKUP(B1849,辅助信息!E:M,9,FALSE)</f>
        <v>ZTWM-CDGS-XS-2025-0073-五冶天府-成都怡心湖片区及龙泉驿医院等项目</v>
      </c>
      <c r="R1849" s="22" t="str">
        <f>_xlfn._xlws.FILTER(辅助信息!D:D,辅助信息!E:E=B1849)</f>
        <v>五冶建设扩建艺体中学二期工程</v>
      </c>
    </row>
    <row r="1850" hidden="1" spans="1:18">
      <c r="A1850" s="121"/>
      <c r="B1850" s="113" t="s">
        <v>167</v>
      </c>
      <c r="C1850" s="63">
        <v>45825</v>
      </c>
      <c r="D1850" s="113" t="str">
        <f>VLOOKUP(B1850,辅助信息!E:K,7,FALSE)</f>
        <v>JWDDCD2025102100473</v>
      </c>
      <c r="E1850" s="113" t="str">
        <f>VLOOKUP(F1850,辅助信息!A:B,2,FALSE)</f>
        <v>螺纹钢</v>
      </c>
      <c r="F1850" s="124" t="s">
        <v>19</v>
      </c>
      <c r="G1850" s="114">
        <v>5</v>
      </c>
      <c r="H1850" s="114" t="str">
        <f>_xlfn.XLOOKUP(C1850&amp;F1850&amp;I1850&amp;J1850,'[1]2025年已发货'!$F:$F&amp;'[1]2025年已发货'!$C:$C&amp;'[1]2025年已发货'!$G:$G&amp;'[1]2025年已发货'!$H:$H,'[1]2025年已发货'!$E:$E,"未发货")</f>
        <v>未发货</v>
      </c>
      <c r="I1850" s="113" t="str">
        <f>VLOOKUP(B1850,辅助信息!E:I,3,FALSE)</f>
        <v>(五冶建设扩建艺体中学二期工程)四川省成都市双流区光荣路成都艺体中学南200米</v>
      </c>
      <c r="J1850" s="113" t="str">
        <f>VLOOKUP(B1850,辅助信息!E:I,4,FALSE)</f>
        <v>谢序强</v>
      </c>
      <c r="K1850" s="113">
        <f>VLOOKUP(J1850,辅助信息!H:I,2,FALSE)</f>
        <v>13458588232</v>
      </c>
      <c r="L1850" s="115"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84">
        <v>45828</v>
      </c>
      <c r="O1850" s="55">
        <f ca="1" t="shared" si="111"/>
        <v>0</v>
      </c>
      <c r="P1850" s="55">
        <f ca="1" t="shared" si="112"/>
        <v>129</v>
      </c>
      <c r="Q1850" s="22" t="str">
        <f>VLOOKUP(B1850,辅助信息!E:M,9,FALSE)</f>
        <v>ZTWM-CDGS-XS-2025-0073-五冶天府-成都怡心湖片区及龙泉驿医院等项目</v>
      </c>
      <c r="R1850" s="22" t="str">
        <f>_xlfn._xlws.FILTER(辅助信息!D:D,辅助信息!E:E=B1850)</f>
        <v>五冶建设扩建艺体中学二期工程</v>
      </c>
    </row>
    <row r="1851" hidden="1" spans="1:18">
      <c r="A1851" s="121"/>
      <c r="B1851" s="113" t="s">
        <v>167</v>
      </c>
      <c r="C1851" s="63">
        <v>45825</v>
      </c>
      <c r="D1851" s="113" t="str">
        <f>VLOOKUP(B1851,辅助信息!E:K,7,FALSE)</f>
        <v>JWDDCD2025102100473</v>
      </c>
      <c r="E1851" s="113" t="str">
        <f>VLOOKUP(F1851,辅助信息!A:B,2,FALSE)</f>
        <v>螺纹钢</v>
      </c>
      <c r="F1851" s="124" t="s">
        <v>32</v>
      </c>
      <c r="G1851" s="114">
        <v>5</v>
      </c>
      <c r="H1851" s="114" t="str">
        <f>_xlfn.XLOOKUP(C1851&amp;F1851&amp;I1851&amp;J1851,'[1]2025年已发货'!$F:$F&amp;'[1]2025年已发货'!$C:$C&amp;'[1]2025年已发货'!$G:$G&amp;'[1]2025年已发货'!$H:$H,'[1]2025年已发货'!$E:$E,"未发货")</f>
        <v>未发货</v>
      </c>
      <c r="I1851" s="113" t="str">
        <f>VLOOKUP(B1851,辅助信息!E:I,3,FALSE)</f>
        <v>(五冶建设扩建艺体中学二期工程)四川省成都市双流区光荣路成都艺体中学南200米</v>
      </c>
      <c r="J1851" s="113" t="str">
        <f>VLOOKUP(B1851,辅助信息!E:I,4,FALSE)</f>
        <v>谢序强</v>
      </c>
      <c r="K1851" s="113">
        <f>VLOOKUP(J1851,辅助信息!H:I,2,FALSE)</f>
        <v>13458588232</v>
      </c>
      <c r="L1851" s="115"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84">
        <v>45828</v>
      </c>
      <c r="O1851" s="55">
        <f ca="1" t="shared" si="111"/>
        <v>0</v>
      </c>
      <c r="P1851" s="55">
        <f ca="1" t="shared" si="112"/>
        <v>129</v>
      </c>
      <c r="Q1851" s="22" t="str">
        <f>VLOOKUP(B1851,辅助信息!E:M,9,FALSE)</f>
        <v>ZTWM-CDGS-XS-2025-0073-五冶天府-成都怡心湖片区及龙泉驿医院等项目</v>
      </c>
      <c r="R1851" s="22" t="str">
        <f>_xlfn._xlws.FILTER(辅助信息!D:D,辅助信息!E:E=B1851)</f>
        <v>五冶建设扩建艺体中学二期工程</v>
      </c>
    </row>
    <row r="1852" hidden="1" spans="1:18">
      <c r="A1852" s="121"/>
      <c r="B1852" s="113" t="s">
        <v>167</v>
      </c>
      <c r="C1852" s="63">
        <v>45825</v>
      </c>
      <c r="D1852" s="113" t="str">
        <f>VLOOKUP(B1852,辅助信息!E:K,7,FALSE)</f>
        <v>JWDDCD2025102100473</v>
      </c>
      <c r="E1852" s="113" t="str">
        <f>VLOOKUP(F1852,辅助信息!A:B,2,FALSE)</f>
        <v>螺纹钢</v>
      </c>
      <c r="F1852" s="113" t="s">
        <v>30</v>
      </c>
      <c r="G1852" s="114">
        <v>9</v>
      </c>
      <c r="H1852" s="114" t="str">
        <f>_xlfn.XLOOKUP(C1852&amp;F1852&amp;I1852&amp;J1852,'[1]2025年已发货'!$F:$F&amp;'[1]2025年已发货'!$C:$C&amp;'[1]2025年已发货'!$G:$G&amp;'[1]2025年已发货'!$H:$H,'[1]2025年已发货'!$E:$E,"未发货")</f>
        <v>未发货</v>
      </c>
      <c r="I1852" s="113" t="str">
        <f>VLOOKUP(B1852,辅助信息!E:I,3,FALSE)</f>
        <v>(五冶建设扩建艺体中学二期工程)四川省成都市双流区光荣路成都艺体中学南200米</v>
      </c>
      <c r="J1852" s="113" t="str">
        <f>VLOOKUP(B1852,辅助信息!E:I,4,FALSE)</f>
        <v>谢序强</v>
      </c>
      <c r="K1852" s="113">
        <f>VLOOKUP(J1852,辅助信息!H:I,2,FALSE)</f>
        <v>13458588232</v>
      </c>
      <c r="L1852" s="115"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84">
        <v>45828</v>
      </c>
      <c r="O1852" s="55">
        <f ca="1" t="shared" si="111"/>
        <v>0</v>
      </c>
      <c r="P1852" s="55">
        <f ca="1" t="shared" si="112"/>
        <v>129</v>
      </c>
      <c r="Q1852" s="22" t="str">
        <f>VLOOKUP(B1852,辅助信息!E:M,9,FALSE)</f>
        <v>ZTWM-CDGS-XS-2025-0073-五冶天府-成都怡心湖片区及龙泉驿医院等项目</v>
      </c>
      <c r="R1852" s="22" t="str">
        <f>_xlfn._xlws.FILTER(辅助信息!D:D,辅助信息!E:E=B1852)</f>
        <v>五冶建设扩建艺体中学二期工程</v>
      </c>
    </row>
    <row r="1853" hidden="1" spans="1:18">
      <c r="A1853" s="121"/>
      <c r="B1853" s="113" t="s">
        <v>167</v>
      </c>
      <c r="C1853" s="63">
        <v>45825</v>
      </c>
      <c r="D1853" s="113" t="str">
        <f>VLOOKUP(B1853,辅助信息!E:K,7,FALSE)</f>
        <v>JWDDCD2025102100473</v>
      </c>
      <c r="E1853" s="113" t="str">
        <f>VLOOKUP(F1853,辅助信息!A:B,2,FALSE)</f>
        <v>螺纹钢</v>
      </c>
      <c r="F1853" s="124" t="s">
        <v>33</v>
      </c>
      <c r="G1853" s="114">
        <v>5</v>
      </c>
      <c r="H1853" s="114" t="str">
        <f>_xlfn.XLOOKUP(C1853&amp;F1853&amp;I1853&amp;J1853,'[1]2025年已发货'!$F:$F&amp;'[1]2025年已发货'!$C:$C&amp;'[1]2025年已发货'!$G:$G&amp;'[1]2025年已发货'!$H:$H,'[1]2025年已发货'!$E:$E,"未发货")</f>
        <v>未发货</v>
      </c>
      <c r="I1853" s="113" t="str">
        <f>VLOOKUP(B1853,辅助信息!E:I,3,FALSE)</f>
        <v>(五冶建设扩建艺体中学二期工程)四川省成都市双流区光荣路成都艺体中学南200米</v>
      </c>
      <c r="J1853" s="113" t="str">
        <f>VLOOKUP(B1853,辅助信息!E:I,4,FALSE)</f>
        <v>谢序强</v>
      </c>
      <c r="K1853" s="113">
        <f>VLOOKUP(J1853,辅助信息!H:I,2,FALSE)</f>
        <v>13458588232</v>
      </c>
      <c r="L1853" s="115"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84">
        <v>45828</v>
      </c>
      <c r="O1853" s="55">
        <f ca="1" t="shared" si="111"/>
        <v>0</v>
      </c>
      <c r="P1853" s="55">
        <f ca="1" t="shared" si="112"/>
        <v>129</v>
      </c>
      <c r="Q1853" s="22" t="str">
        <f>VLOOKUP(B1853,辅助信息!E:M,9,FALSE)</f>
        <v>ZTWM-CDGS-XS-2025-0073-五冶天府-成都怡心湖片区及龙泉驿医院等项目</v>
      </c>
      <c r="R1853" s="22" t="str">
        <f>_xlfn._xlws.FILTER(辅助信息!D:D,辅助信息!E:E=B1853)</f>
        <v>五冶建设扩建艺体中学二期工程</v>
      </c>
    </row>
    <row r="1854" hidden="1" spans="1:18">
      <c r="A1854" s="121"/>
      <c r="B1854" s="113" t="s">
        <v>167</v>
      </c>
      <c r="C1854" s="63">
        <v>45825</v>
      </c>
      <c r="D1854" s="113" t="str">
        <f>VLOOKUP(B1854,辅助信息!E:K,7,FALSE)</f>
        <v>JWDDCD2025102100473</v>
      </c>
      <c r="E1854" s="113" t="str">
        <f>VLOOKUP(F1854,辅助信息!A:B,2,FALSE)</f>
        <v>螺纹钢</v>
      </c>
      <c r="F1854" s="124" t="s">
        <v>28</v>
      </c>
      <c r="G1854" s="114">
        <v>5</v>
      </c>
      <c r="H1854" s="114" t="str">
        <f>_xlfn.XLOOKUP(C1854&amp;F1854&amp;I1854&amp;J1854,'[1]2025年已发货'!$F:$F&amp;'[1]2025年已发货'!$C:$C&amp;'[1]2025年已发货'!$G:$G&amp;'[1]2025年已发货'!$H:$H,'[1]2025年已发货'!$E:$E,"未发货")</f>
        <v>未发货</v>
      </c>
      <c r="I1854" s="113" t="str">
        <f>VLOOKUP(B1854,辅助信息!E:I,3,FALSE)</f>
        <v>(五冶建设扩建艺体中学二期工程)四川省成都市双流区光荣路成都艺体中学南200米</v>
      </c>
      <c r="J1854" s="113" t="str">
        <f>VLOOKUP(B1854,辅助信息!E:I,4,FALSE)</f>
        <v>谢序强</v>
      </c>
      <c r="K1854" s="113">
        <f>VLOOKUP(J1854,辅助信息!H:I,2,FALSE)</f>
        <v>13458588232</v>
      </c>
      <c r="L1854" s="115"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84">
        <v>45828</v>
      </c>
      <c r="O1854" s="55">
        <f ca="1" t="shared" si="111"/>
        <v>0</v>
      </c>
      <c r="P1854" s="55">
        <f ca="1" t="shared" si="112"/>
        <v>129</v>
      </c>
      <c r="Q1854" s="22" t="str">
        <f>VLOOKUP(B1854,辅助信息!E:M,9,FALSE)</f>
        <v>ZTWM-CDGS-XS-2025-0073-五冶天府-成都怡心湖片区及龙泉驿医院等项目</v>
      </c>
      <c r="R1854" s="22" t="str">
        <f>_xlfn._xlws.FILTER(辅助信息!D:D,辅助信息!E:E=B1854)</f>
        <v>五冶建设扩建艺体中学二期工程</v>
      </c>
    </row>
    <row r="1855" hidden="1" spans="1:18">
      <c r="A1855" s="121"/>
      <c r="B1855" s="113" t="s">
        <v>167</v>
      </c>
      <c r="C1855" s="63">
        <v>45825</v>
      </c>
      <c r="D1855" s="113" t="str">
        <f>VLOOKUP(B1855,辅助信息!E:K,7,FALSE)</f>
        <v>JWDDCD2025102100473</v>
      </c>
      <c r="E1855" s="113" t="str">
        <f>VLOOKUP(F1855,辅助信息!A:B,2,FALSE)</f>
        <v>螺纹钢</v>
      </c>
      <c r="F1855" s="113" t="s">
        <v>18</v>
      </c>
      <c r="G1855" s="114">
        <v>26</v>
      </c>
      <c r="H1855" s="114" t="str">
        <f>_xlfn.XLOOKUP(C1855&amp;F1855&amp;I1855&amp;J1855,'[1]2025年已发货'!$F:$F&amp;'[1]2025年已发货'!$C:$C&amp;'[1]2025年已发货'!$G:$G&amp;'[1]2025年已发货'!$H:$H,'[1]2025年已发货'!$E:$E,"未发货")</f>
        <v>未发货</v>
      </c>
      <c r="I1855" s="113" t="str">
        <f>VLOOKUP(B1855,辅助信息!E:I,3,FALSE)</f>
        <v>(五冶建设扩建艺体中学二期工程)四川省成都市双流区光荣路成都艺体中学南200米</v>
      </c>
      <c r="J1855" s="113" t="str">
        <f>VLOOKUP(B1855,辅助信息!E:I,4,FALSE)</f>
        <v>谢序强</v>
      </c>
      <c r="K1855" s="113">
        <f>VLOOKUP(J1855,辅助信息!H:I,2,FALSE)</f>
        <v>13458588232</v>
      </c>
      <c r="L1855" s="115"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84">
        <v>45828</v>
      </c>
      <c r="O1855" s="55">
        <f ca="1" t="shared" si="111"/>
        <v>0</v>
      </c>
      <c r="P1855" s="55">
        <f ca="1" t="shared" si="112"/>
        <v>129</v>
      </c>
      <c r="Q1855" s="22" t="str">
        <f>VLOOKUP(B1855,辅助信息!E:M,9,FALSE)</f>
        <v>ZTWM-CDGS-XS-2025-0073-五冶天府-成都怡心湖片区及龙泉驿医院等项目</v>
      </c>
      <c r="R1855" s="22" t="str">
        <f>_xlfn._xlws.FILTER(辅助信息!D:D,辅助信息!E:E=B1855)</f>
        <v>五冶建设扩建艺体中学二期工程</v>
      </c>
    </row>
    <row r="1856" hidden="1" spans="2:18">
      <c r="B1856" s="33" t="s">
        <v>92</v>
      </c>
      <c r="C1856" s="63">
        <v>45825</v>
      </c>
      <c r="D1856" s="113" t="str">
        <f>VLOOKUP(B1856,辅助信息!E:K,7,FALSE)</f>
        <v>JWDDCD2025051800046</v>
      </c>
      <c r="E1856" s="113" t="str">
        <f>VLOOKUP(F1856,辅助信息!A:B,2,FALSE)</f>
        <v>盘螺</v>
      </c>
      <c r="F1856" s="33" t="s">
        <v>40</v>
      </c>
      <c r="G1856" s="29">
        <v>34</v>
      </c>
      <c r="H1856" s="114" t="str">
        <f>_xlfn.XLOOKUP(C1856&amp;F1856&amp;I1856&amp;J1856,'[1]2025年已发货'!$F:$F&amp;'[1]2025年已发货'!$C:$C&amp;'[1]2025年已发货'!$G:$G&amp;'[1]2025年已发货'!$H:$H,'[1]2025年已发货'!$E:$E,"未发货")</f>
        <v>未发货</v>
      </c>
      <c r="I1856" s="113" t="str">
        <f>VLOOKUP(B1856,辅助信息!E:I,3,FALSE)</f>
        <v>（华西萌海科创农业生态谷）成都市简阳市白金山水库</v>
      </c>
      <c r="J1856" s="113" t="str">
        <f>VLOOKUP(B1856,辅助信息!E:I,4,FALSE)</f>
        <v>石清国</v>
      </c>
      <c r="K1856" s="113">
        <f>VLOOKUP(J1856,辅助信息!H:I,2,FALSE)</f>
        <v>13458642015</v>
      </c>
      <c r="L1856" s="115" t="str">
        <f>VLOOKUP(B1856,辅助信息!E:J,6,FALSE)</f>
        <v>优先威钢,我方卸车,新老国标钢厂不加价可直发</v>
      </c>
      <c r="M1856" s="84">
        <v>45828</v>
      </c>
      <c r="O1856" s="55">
        <f ca="1" t="shared" ref="O1856:O1880" si="113">IF(OR(M1856="",N1856&lt;&gt;""),"",MAX(M1856-TODAY(),0))</f>
        <v>0</v>
      </c>
      <c r="P1856" s="55">
        <f ca="1" t="shared" ref="P1856:P1880" si="114">IF(M1856="","",IF(N1856&lt;&gt;"",MAX(N1856-M1856,0),IF(TODAY()&gt;M1856,TODAY()-M1856,0)))</f>
        <v>129</v>
      </c>
      <c r="Q1856" s="22" t="str">
        <f>VLOOKUP(B1856,辅助信息!E:M,9,FALSE)</f>
        <v>ZTWM-CDGS-XS-2024-0092-华西-萌海科创农业生态谷</v>
      </c>
      <c r="R1856" s="22" t="str">
        <f>_xlfn._xlws.FILTER(辅助信息!D:D,辅助信息!E:E=B1856)</f>
        <v>华西萌海-科创农业生态谷</v>
      </c>
    </row>
    <row r="1857" hidden="1" spans="2:18">
      <c r="B1857" s="33" t="s">
        <v>92</v>
      </c>
      <c r="C1857" s="63">
        <v>45825</v>
      </c>
      <c r="D1857" s="113" t="str">
        <f>VLOOKUP(B1857,辅助信息!E:K,7,FALSE)</f>
        <v>JWDDCD2025051800046</v>
      </c>
      <c r="E1857" s="113" t="str">
        <f>VLOOKUP(F1857,辅助信息!A:B,2,FALSE)</f>
        <v>盘螺</v>
      </c>
      <c r="F1857" s="33" t="s">
        <v>41</v>
      </c>
      <c r="G1857" s="29">
        <v>10</v>
      </c>
      <c r="H1857" s="114" t="str">
        <f>_xlfn.XLOOKUP(C1857&amp;F1857&amp;I1857&amp;J1857,'[1]2025年已发货'!$F:$F&amp;'[1]2025年已发货'!$C:$C&amp;'[1]2025年已发货'!$G:$G&amp;'[1]2025年已发货'!$H:$H,'[1]2025年已发货'!$E:$E,"未发货")</f>
        <v>未发货</v>
      </c>
      <c r="I1857" s="113" t="str">
        <f>VLOOKUP(B1857,辅助信息!E:I,3,FALSE)</f>
        <v>（华西萌海科创农业生态谷）成都市简阳市白金山水库</v>
      </c>
      <c r="J1857" s="113" t="str">
        <f>VLOOKUP(B1857,辅助信息!E:I,4,FALSE)</f>
        <v>石清国</v>
      </c>
      <c r="K1857" s="113">
        <f>VLOOKUP(J1857,辅助信息!H:I,2,FALSE)</f>
        <v>13458642015</v>
      </c>
      <c r="L1857" s="115" t="str">
        <f>VLOOKUP(B1857,辅助信息!E:J,6,FALSE)</f>
        <v>优先威钢,我方卸车,新老国标钢厂不加价可直发</v>
      </c>
      <c r="M1857" s="84">
        <v>45828</v>
      </c>
      <c r="O1857" s="55">
        <f ca="1" t="shared" si="113"/>
        <v>0</v>
      </c>
      <c r="P1857" s="55">
        <f ca="1" t="shared" si="114"/>
        <v>129</v>
      </c>
      <c r="Q1857" s="22" t="str">
        <f>VLOOKUP(B1857,辅助信息!E:M,9,FALSE)</f>
        <v>ZTWM-CDGS-XS-2024-0092-华西-萌海科创农业生态谷</v>
      </c>
      <c r="R1857" s="22" t="str">
        <f>_xlfn._xlws.FILTER(辅助信息!D:D,辅助信息!E:E=B1857)</f>
        <v>华西萌海-科创农业生态谷</v>
      </c>
    </row>
    <row r="1858" hidden="1" spans="2:18">
      <c r="B1858" s="33" t="s">
        <v>92</v>
      </c>
      <c r="C1858" s="63">
        <v>45825</v>
      </c>
      <c r="D1858" s="113" t="str">
        <f>VLOOKUP(B1858,辅助信息!E:K,7,FALSE)</f>
        <v>JWDDCD2025051800046</v>
      </c>
      <c r="E1858" s="113" t="str">
        <f>VLOOKUP(F1858,辅助信息!A:B,2,FALSE)</f>
        <v>盘螺</v>
      </c>
      <c r="F1858" s="33" t="s">
        <v>26</v>
      </c>
      <c r="G1858" s="29">
        <v>6</v>
      </c>
      <c r="H1858" s="114" t="str">
        <f>_xlfn.XLOOKUP(C1858&amp;F1858&amp;I1858&amp;J1858,'[1]2025年已发货'!$F:$F&amp;'[1]2025年已发货'!$C:$C&amp;'[1]2025年已发货'!$G:$G&amp;'[1]2025年已发货'!$H:$H,'[1]2025年已发货'!$E:$E,"未发货")</f>
        <v>未发货</v>
      </c>
      <c r="I1858" s="113" t="str">
        <f>VLOOKUP(B1858,辅助信息!E:I,3,FALSE)</f>
        <v>（华西萌海科创农业生态谷）成都市简阳市白金山水库</v>
      </c>
      <c r="J1858" s="113" t="str">
        <f>VLOOKUP(B1858,辅助信息!E:I,4,FALSE)</f>
        <v>石清国</v>
      </c>
      <c r="K1858" s="113">
        <f>VLOOKUP(J1858,辅助信息!H:I,2,FALSE)</f>
        <v>13458642015</v>
      </c>
      <c r="L1858" s="115" t="str">
        <f>VLOOKUP(B1858,辅助信息!E:J,6,FALSE)</f>
        <v>优先威钢,我方卸车,新老国标钢厂不加价可直发</v>
      </c>
      <c r="M1858" s="84">
        <v>45828</v>
      </c>
      <c r="O1858" s="55">
        <f ca="1" t="shared" si="113"/>
        <v>0</v>
      </c>
      <c r="P1858" s="55">
        <f ca="1" t="shared" si="114"/>
        <v>129</v>
      </c>
      <c r="Q1858" s="22" t="str">
        <f>VLOOKUP(B1858,辅助信息!E:M,9,FALSE)</f>
        <v>ZTWM-CDGS-XS-2024-0092-华西-萌海科创农业生态谷</v>
      </c>
      <c r="R1858" s="22" t="str">
        <f>_xlfn._xlws.FILTER(辅助信息!D:D,辅助信息!E:E=B1858)</f>
        <v>华西萌海-科创农业生态谷</v>
      </c>
    </row>
    <row r="1859" hidden="1" spans="2:18">
      <c r="B1859" s="33" t="s">
        <v>92</v>
      </c>
      <c r="C1859" s="63">
        <v>45825</v>
      </c>
      <c r="D1859" s="113" t="str">
        <f>VLOOKUP(B1859,辅助信息!E:K,7,FALSE)</f>
        <v>JWDDCD2025051800046</v>
      </c>
      <c r="E1859" s="113" t="str">
        <f>VLOOKUP(F1859,辅助信息!A:B,2,FALSE)</f>
        <v>螺纹钢</v>
      </c>
      <c r="F1859" s="33" t="s">
        <v>27</v>
      </c>
      <c r="G1859" s="29">
        <v>10</v>
      </c>
      <c r="H1859" s="114" t="str">
        <f>_xlfn.XLOOKUP(C1859&amp;F1859&amp;I1859&amp;J1859,'[1]2025年已发货'!$F:$F&amp;'[1]2025年已发货'!$C:$C&amp;'[1]2025年已发货'!$G:$G&amp;'[1]2025年已发货'!$H:$H,'[1]2025年已发货'!$E:$E,"未发货")</f>
        <v>未发货</v>
      </c>
      <c r="I1859" s="113" t="str">
        <f>VLOOKUP(B1859,辅助信息!E:I,3,FALSE)</f>
        <v>（华西萌海科创农业生态谷）成都市简阳市白金山水库</v>
      </c>
      <c r="J1859" s="113" t="str">
        <f>VLOOKUP(B1859,辅助信息!E:I,4,FALSE)</f>
        <v>石清国</v>
      </c>
      <c r="K1859" s="113">
        <f>VLOOKUP(J1859,辅助信息!H:I,2,FALSE)</f>
        <v>13458642015</v>
      </c>
      <c r="L1859" s="115" t="str">
        <f>VLOOKUP(B1859,辅助信息!E:J,6,FALSE)</f>
        <v>优先威钢,我方卸车,新老国标钢厂不加价可直发</v>
      </c>
      <c r="M1859" s="84">
        <v>45828</v>
      </c>
      <c r="O1859" s="55">
        <f ca="1" t="shared" si="113"/>
        <v>0</v>
      </c>
      <c r="P1859" s="55">
        <f ca="1" t="shared" si="114"/>
        <v>129</v>
      </c>
      <c r="Q1859" s="22" t="str">
        <f>VLOOKUP(B1859,辅助信息!E:M,9,FALSE)</f>
        <v>ZTWM-CDGS-XS-2024-0092-华西-萌海科创农业生态谷</v>
      </c>
      <c r="R1859" s="22" t="str">
        <f>_xlfn._xlws.FILTER(辅助信息!D:D,辅助信息!E:E=B1859)</f>
        <v>华西萌海-科创农业生态谷</v>
      </c>
    </row>
    <row r="1860" hidden="1" spans="2:18">
      <c r="B1860" s="33" t="s">
        <v>92</v>
      </c>
      <c r="C1860" s="63">
        <v>45825</v>
      </c>
      <c r="D1860" s="113" t="str">
        <f>VLOOKUP(B1860,辅助信息!E:K,7,FALSE)</f>
        <v>JWDDCD2025051800046</v>
      </c>
      <c r="E1860" s="113" t="str">
        <f>VLOOKUP(F1860,辅助信息!A:B,2,FALSE)</f>
        <v>螺纹钢</v>
      </c>
      <c r="F1860" s="33" t="s">
        <v>19</v>
      </c>
      <c r="G1860" s="29">
        <v>3</v>
      </c>
      <c r="H1860" s="114" t="str">
        <f>_xlfn.XLOOKUP(C1860&amp;F1860&amp;I1860&amp;J1860,'[1]2025年已发货'!$F:$F&amp;'[1]2025年已发货'!$C:$C&amp;'[1]2025年已发货'!$G:$G&amp;'[1]2025年已发货'!$H:$H,'[1]2025年已发货'!$E:$E,"未发货")</f>
        <v>未发货</v>
      </c>
      <c r="I1860" s="113" t="str">
        <f>VLOOKUP(B1860,辅助信息!E:I,3,FALSE)</f>
        <v>（华西萌海科创农业生态谷）成都市简阳市白金山水库</v>
      </c>
      <c r="J1860" s="113" t="str">
        <f>VLOOKUP(B1860,辅助信息!E:I,4,FALSE)</f>
        <v>石清国</v>
      </c>
      <c r="K1860" s="113">
        <f>VLOOKUP(J1860,辅助信息!H:I,2,FALSE)</f>
        <v>13458642015</v>
      </c>
      <c r="L1860" s="115" t="str">
        <f>VLOOKUP(B1860,辅助信息!E:J,6,FALSE)</f>
        <v>优先威钢,我方卸车,新老国标钢厂不加价可直发</v>
      </c>
      <c r="M1860" s="84">
        <v>45828</v>
      </c>
      <c r="O1860" s="55">
        <f ca="1" t="shared" si="113"/>
        <v>0</v>
      </c>
      <c r="P1860" s="55">
        <f ca="1" t="shared" si="114"/>
        <v>129</v>
      </c>
      <c r="Q1860" s="22" t="str">
        <f>VLOOKUP(B1860,辅助信息!E:M,9,FALSE)</f>
        <v>ZTWM-CDGS-XS-2024-0092-华西-萌海科创农业生态谷</v>
      </c>
      <c r="R1860" s="22" t="str">
        <f>_xlfn._xlws.FILTER(辅助信息!D:D,辅助信息!E:E=B1860)</f>
        <v>华西萌海-科创农业生态谷</v>
      </c>
    </row>
    <row r="1861" hidden="1" spans="2:18">
      <c r="B1861" s="33" t="s">
        <v>92</v>
      </c>
      <c r="C1861" s="63">
        <v>45825</v>
      </c>
      <c r="D1861" s="113" t="str">
        <f>VLOOKUP(B1861,辅助信息!E:K,7,FALSE)</f>
        <v>JWDDCD2025051800046</v>
      </c>
      <c r="E1861" s="113" t="str">
        <f>VLOOKUP(F1861,辅助信息!A:B,2,FALSE)</f>
        <v>螺纹钢</v>
      </c>
      <c r="F1861" s="33" t="s">
        <v>32</v>
      </c>
      <c r="G1861" s="29">
        <v>3</v>
      </c>
      <c r="H1861" s="114" t="str">
        <f>_xlfn.XLOOKUP(C1861&amp;F1861&amp;I1861&amp;J1861,'[1]2025年已发货'!$F:$F&amp;'[1]2025年已发货'!$C:$C&amp;'[1]2025年已发货'!$G:$G&amp;'[1]2025年已发货'!$H:$H,'[1]2025年已发货'!$E:$E,"未发货")</f>
        <v>未发货</v>
      </c>
      <c r="I1861" s="113" t="str">
        <f>VLOOKUP(B1861,辅助信息!E:I,3,FALSE)</f>
        <v>（华西萌海科创农业生态谷）成都市简阳市白金山水库</v>
      </c>
      <c r="J1861" s="113" t="str">
        <f>VLOOKUP(B1861,辅助信息!E:I,4,FALSE)</f>
        <v>石清国</v>
      </c>
      <c r="K1861" s="113">
        <f>VLOOKUP(J1861,辅助信息!H:I,2,FALSE)</f>
        <v>13458642015</v>
      </c>
      <c r="L1861" s="115" t="str">
        <f>VLOOKUP(B1861,辅助信息!E:J,6,FALSE)</f>
        <v>优先威钢,我方卸车,新老国标钢厂不加价可直发</v>
      </c>
      <c r="M1861" s="84">
        <v>45828</v>
      </c>
      <c r="O1861" s="55">
        <f ca="1" t="shared" si="113"/>
        <v>0</v>
      </c>
      <c r="P1861" s="55">
        <f ca="1" t="shared" si="114"/>
        <v>129</v>
      </c>
      <c r="Q1861" s="22" t="str">
        <f>VLOOKUP(B1861,辅助信息!E:M,9,FALSE)</f>
        <v>ZTWM-CDGS-XS-2024-0092-华西-萌海科创农业生态谷</v>
      </c>
      <c r="R1861" s="22" t="str">
        <f>_xlfn._xlws.FILTER(辅助信息!D:D,辅助信息!E:E=B1861)</f>
        <v>华西萌海-科创农业生态谷</v>
      </c>
    </row>
    <row r="1862" hidden="1" spans="2:18">
      <c r="B1862" s="33" t="s">
        <v>92</v>
      </c>
      <c r="C1862" s="63">
        <v>45825</v>
      </c>
      <c r="D1862" s="113" t="str">
        <f>VLOOKUP(B1862,辅助信息!E:K,7,FALSE)</f>
        <v>JWDDCD2025051800046</v>
      </c>
      <c r="E1862" s="113" t="str">
        <f>VLOOKUP(F1862,辅助信息!A:B,2,FALSE)</f>
        <v>螺纹钢</v>
      </c>
      <c r="F1862" s="33" t="s">
        <v>33</v>
      </c>
      <c r="G1862" s="29">
        <v>3</v>
      </c>
      <c r="H1862" s="114" t="str">
        <f>_xlfn.XLOOKUP(C1862&amp;F1862&amp;I1862&amp;J1862,'[1]2025年已发货'!$F:$F&amp;'[1]2025年已发货'!$C:$C&amp;'[1]2025年已发货'!$G:$G&amp;'[1]2025年已发货'!$H:$H,'[1]2025年已发货'!$E:$E,"未发货")</f>
        <v>未发货</v>
      </c>
      <c r="I1862" s="113" t="str">
        <f>VLOOKUP(B1862,辅助信息!E:I,3,FALSE)</f>
        <v>（华西萌海科创农业生态谷）成都市简阳市白金山水库</v>
      </c>
      <c r="J1862" s="113" t="str">
        <f>VLOOKUP(B1862,辅助信息!E:I,4,FALSE)</f>
        <v>石清国</v>
      </c>
      <c r="K1862" s="113">
        <f>VLOOKUP(J1862,辅助信息!H:I,2,FALSE)</f>
        <v>13458642015</v>
      </c>
      <c r="L1862" s="115" t="str">
        <f>VLOOKUP(B1862,辅助信息!E:J,6,FALSE)</f>
        <v>优先威钢,我方卸车,新老国标钢厂不加价可直发</v>
      </c>
      <c r="M1862" s="84">
        <v>45828</v>
      </c>
      <c r="O1862" s="55">
        <f ca="1" t="shared" si="113"/>
        <v>0</v>
      </c>
      <c r="P1862" s="55">
        <f ca="1" t="shared" si="114"/>
        <v>129</v>
      </c>
      <c r="Q1862" s="22" t="str">
        <f>VLOOKUP(B1862,辅助信息!E:M,9,FALSE)</f>
        <v>ZTWM-CDGS-XS-2024-0092-华西-萌海科创农业生态谷</v>
      </c>
      <c r="R1862" s="22" t="str">
        <f>_xlfn._xlws.FILTER(辅助信息!D:D,辅助信息!E:E=B1862)</f>
        <v>华西萌海-科创农业生态谷</v>
      </c>
    </row>
    <row r="1863" hidden="1" spans="2:18">
      <c r="B1863" s="33" t="s">
        <v>92</v>
      </c>
      <c r="C1863" s="63">
        <v>45825</v>
      </c>
      <c r="D1863" s="113" t="str">
        <f>VLOOKUP(B1863,辅助信息!E:K,7,FALSE)</f>
        <v>JWDDCD2025051800046</v>
      </c>
      <c r="E1863" s="113" t="str">
        <f>VLOOKUP(F1863,辅助信息!A:B,2,FALSE)</f>
        <v>螺纹钢</v>
      </c>
      <c r="F1863" s="33" t="s">
        <v>28</v>
      </c>
      <c r="G1863" s="29">
        <v>3</v>
      </c>
      <c r="H1863" s="114" t="str">
        <f>_xlfn.XLOOKUP(C1863&amp;F1863&amp;I1863&amp;J1863,'[1]2025年已发货'!$F:$F&amp;'[1]2025年已发货'!$C:$C&amp;'[1]2025年已发货'!$G:$G&amp;'[1]2025年已发货'!$H:$H,'[1]2025年已发货'!$E:$E,"未发货")</f>
        <v>未发货</v>
      </c>
      <c r="I1863" s="113" t="str">
        <f>VLOOKUP(B1863,辅助信息!E:I,3,FALSE)</f>
        <v>（华西萌海科创农业生态谷）成都市简阳市白金山水库</v>
      </c>
      <c r="J1863" s="113" t="str">
        <f>VLOOKUP(B1863,辅助信息!E:I,4,FALSE)</f>
        <v>石清国</v>
      </c>
      <c r="K1863" s="113">
        <f>VLOOKUP(J1863,辅助信息!H:I,2,FALSE)</f>
        <v>13458642015</v>
      </c>
      <c r="L1863" s="115" t="str">
        <f>VLOOKUP(B1863,辅助信息!E:J,6,FALSE)</f>
        <v>优先威钢,我方卸车,新老国标钢厂不加价可直发</v>
      </c>
      <c r="M1863" s="84">
        <v>45828</v>
      </c>
      <c r="O1863" s="55">
        <f ca="1" t="shared" si="113"/>
        <v>0</v>
      </c>
      <c r="P1863" s="55">
        <f ca="1" t="shared" si="114"/>
        <v>129</v>
      </c>
      <c r="Q1863" s="22" t="str">
        <f>VLOOKUP(B1863,辅助信息!E:M,9,FALSE)</f>
        <v>ZTWM-CDGS-XS-2024-0092-华西-萌海科创农业生态谷</v>
      </c>
      <c r="R1863" s="22" t="str">
        <f>_xlfn._xlws.FILTER(辅助信息!D:D,辅助信息!E:E=B1863)</f>
        <v>华西萌海-科创农业生态谷</v>
      </c>
    </row>
    <row r="1864" hidden="1" spans="2:18">
      <c r="B1864" s="33" t="s">
        <v>92</v>
      </c>
      <c r="C1864" s="63">
        <v>45825</v>
      </c>
      <c r="D1864" s="113" t="str">
        <f>VLOOKUP(B1864,辅助信息!E:K,7,FALSE)</f>
        <v>JWDDCD2025051800046</v>
      </c>
      <c r="E1864" s="113" t="str">
        <f>VLOOKUP(F1864,辅助信息!A:B,2,FALSE)</f>
        <v>螺纹钢</v>
      </c>
      <c r="F1864" s="33" t="s">
        <v>65</v>
      </c>
      <c r="G1864" s="29">
        <v>3</v>
      </c>
      <c r="H1864" s="114" t="str">
        <f>_xlfn.XLOOKUP(C1864&amp;F1864&amp;I1864&amp;J1864,'[1]2025年已发货'!$F:$F&amp;'[1]2025年已发货'!$C:$C&amp;'[1]2025年已发货'!$G:$G&amp;'[1]2025年已发货'!$H:$H,'[1]2025年已发货'!$E:$E,"未发货")</f>
        <v>未发货</v>
      </c>
      <c r="I1864" s="113" t="str">
        <f>VLOOKUP(B1864,辅助信息!E:I,3,FALSE)</f>
        <v>（华西萌海科创农业生态谷）成都市简阳市白金山水库</v>
      </c>
      <c r="J1864" s="113" t="str">
        <f>VLOOKUP(B1864,辅助信息!E:I,4,FALSE)</f>
        <v>石清国</v>
      </c>
      <c r="K1864" s="113">
        <f>VLOOKUP(J1864,辅助信息!H:I,2,FALSE)</f>
        <v>13458642015</v>
      </c>
      <c r="L1864" s="115" t="str">
        <f>VLOOKUP(B1864,辅助信息!E:J,6,FALSE)</f>
        <v>优先威钢,我方卸车,新老国标钢厂不加价可直发</v>
      </c>
      <c r="M1864" s="84">
        <v>45828</v>
      </c>
      <c r="O1864" s="55">
        <f ca="1" t="shared" si="113"/>
        <v>0</v>
      </c>
      <c r="P1864" s="55">
        <f ca="1" t="shared" si="114"/>
        <v>129</v>
      </c>
      <c r="Q1864" s="22" t="str">
        <f>VLOOKUP(B1864,辅助信息!E:M,9,FALSE)</f>
        <v>ZTWM-CDGS-XS-2024-0092-华西-萌海科创农业生态谷</v>
      </c>
      <c r="R1864" s="22" t="str">
        <f>_xlfn._xlws.FILTER(辅助信息!D:D,辅助信息!E:E=B1864)</f>
        <v>华西萌海-科创农业生态谷</v>
      </c>
    </row>
    <row r="1865" hidden="1" spans="2:18">
      <c r="B1865" s="33" t="s">
        <v>92</v>
      </c>
      <c r="C1865" s="63">
        <v>45825</v>
      </c>
      <c r="D1865" s="113" t="str">
        <f>VLOOKUP(B1865,辅助信息!E:K,7,FALSE)</f>
        <v>JWDDCD2025051800046</v>
      </c>
      <c r="E1865" s="113" t="str">
        <f>VLOOKUP(F1865,辅助信息!A:B,2,FALSE)</f>
        <v>螺纹钢</v>
      </c>
      <c r="F1865" s="33" t="s">
        <v>58</v>
      </c>
      <c r="G1865" s="29">
        <v>5</v>
      </c>
      <c r="H1865" s="114" t="str">
        <f>_xlfn.XLOOKUP(C1865&amp;F1865&amp;I1865&amp;J1865,'[1]2025年已发货'!$F:$F&amp;'[1]2025年已发货'!$C:$C&amp;'[1]2025年已发货'!$G:$G&amp;'[1]2025年已发货'!$H:$H,'[1]2025年已发货'!$E:$E,"未发货")</f>
        <v>未发货</v>
      </c>
      <c r="I1865" s="113" t="str">
        <f>VLOOKUP(B1865,辅助信息!E:I,3,FALSE)</f>
        <v>（华西萌海科创农业生态谷）成都市简阳市白金山水库</v>
      </c>
      <c r="J1865" s="113" t="str">
        <f>VLOOKUP(B1865,辅助信息!E:I,4,FALSE)</f>
        <v>石清国</v>
      </c>
      <c r="K1865" s="113">
        <f>VLOOKUP(J1865,辅助信息!H:I,2,FALSE)</f>
        <v>13458642015</v>
      </c>
      <c r="L1865" s="115" t="str">
        <f>VLOOKUP(B1865,辅助信息!E:J,6,FALSE)</f>
        <v>优先威钢,我方卸车,新老国标钢厂不加价可直发</v>
      </c>
      <c r="M1865" s="84">
        <v>45828</v>
      </c>
      <c r="O1865" s="55">
        <f ca="1" t="shared" si="113"/>
        <v>0</v>
      </c>
      <c r="P1865" s="55">
        <f ca="1" t="shared" si="114"/>
        <v>129</v>
      </c>
      <c r="Q1865" s="22" t="str">
        <f>VLOOKUP(B1865,辅助信息!E:M,9,FALSE)</f>
        <v>ZTWM-CDGS-XS-2024-0092-华西-萌海科创农业生态谷</v>
      </c>
      <c r="R1865" s="22" t="str">
        <f>_xlfn._xlws.FILTER(辅助信息!D:D,辅助信息!E:E=B1865)</f>
        <v>华西萌海-科创农业生态谷</v>
      </c>
    </row>
    <row r="1866" hidden="1" spans="2:18">
      <c r="B1866" s="33" t="s">
        <v>92</v>
      </c>
      <c r="C1866" s="63">
        <v>45825</v>
      </c>
      <c r="D1866" s="113" t="str">
        <f>VLOOKUP(B1866,辅助信息!E:K,7,FALSE)</f>
        <v>JWDDCD2025051800046</v>
      </c>
      <c r="E1866" s="113" t="str">
        <f>VLOOKUP(F1866,辅助信息!A:B,2,FALSE)</f>
        <v>螺纹钢</v>
      </c>
      <c r="F1866" s="33" t="s">
        <v>46</v>
      </c>
      <c r="G1866" s="29">
        <v>5</v>
      </c>
      <c r="H1866" s="114" t="str">
        <f>_xlfn.XLOOKUP(C1866&amp;F1866&amp;I1866&amp;J1866,'[1]2025年已发货'!$F:$F&amp;'[1]2025年已发货'!$C:$C&amp;'[1]2025年已发货'!$G:$G&amp;'[1]2025年已发货'!$H:$H,'[1]2025年已发货'!$E:$E,"未发货")</f>
        <v>未发货</v>
      </c>
      <c r="I1866" s="113" t="str">
        <f>VLOOKUP(B1866,辅助信息!E:I,3,FALSE)</f>
        <v>（华西萌海科创农业生态谷）成都市简阳市白金山水库</v>
      </c>
      <c r="J1866" s="113" t="str">
        <f>VLOOKUP(B1866,辅助信息!E:I,4,FALSE)</f>
        <v>石清国</v>
      </c>
      <c r="K1866" s="113">
        <f>VLOOKUP(J1866,辅助信息!H:I,2,FALSE)</f>
        <v>13458642015</v>
      </c>
      <c r="L1866" s="115" t="str">
        <f>VLOOKUP(B1866,辅助信息!E:J,6,FALSE)</f>
        <v>优先威钢,我方卸车,新老国标钢厂不加价可直发</v>
      </c>
      <c r="M1866" s="84">
        <v>45828</v>
      </c>
      <c r="O1866" s="55">
        <f ca="1" t="shared" si="113"/>
        <v>0</v>
      </c>
      <c r="P1866" s="55">
        <f ca="1" t="shared" si="114"/>
        <v>129</v>
      </c>
      <c r="Q1866" s="22" t="str">
        <f>VLOOKUP(B1866,辅助信息!E:M,9,FALSE)</f>
        <v>ZTWM-CDGS-XS-2024-0092-华西-萌海科创农业生态谷</v>
      </c>
      <c r="R1866" s="22" t="str">
        <f>_xlfn._xlws.FILTER(辅助信息!D:D,辅助信息!E:E=B1866)</f>
        <v>华西萌海-科创农业生态谷</v>
      </c>
    </row>
    <row r="1867" hidden="1" spans="2:18">
      <c r="B1867" s="33" t="s">
        <v>92</v>
      </c>
      <c r="C1867" s="63">
        <v>45825</v>
      </c>
      <c r="D1867" s="113" t="str">
        <f>VLOOKUP(B1867,辅助信息!E:K,7,FALSE)</f>
        <v>JWDDCD2025051800046</v>
      </c>
      <c r="E1867" s="113" t="str">
        <f>VLOOKUP(F1867,辅助信息!A:B,2,FALSE)</f>
        <v>螺纹钢</v>
      </c>
      <c r="F1867" s="33" t="s">
        <v>22</v>
      </c>
      <c r="G1867" s="29">
        <v>20</v>
      </c>
      <c r="H1867" s="114" t="str">
        <f>_xlfn.XLOOKUP(C1867&amp;F1867&amp;I1867&amp;J1867,'[1]2025年已发货'!$F:$F&amp;'[1]2025年已发货'!$C:$C&amp;'[1]2025年已发货'!$G:$G&amp;'[1]2025年已发货'!$H:$H,'[1]2025年已发货'!$E:$E,"未发货")</f>
        <v>未发货</v>
      </c>
      <c r="I1867" s="113" t="str">
        <f>VLOOKUP(B1867,辅助信息!E:I,3,FALSE)</f>
        <v>（华西萌海科创农业生态谷）成都市简阳市白金山水库</v>
      </c>
      <c r="J1867" s="113" t="str">
        <f>VLOOKUP(B1867,辅助信息!E:I,4,FALSE)</f>
        <v>石清国</v>
      </c>
      <c r="K1867" s="113">
        <f>VLOOKUP(J1867,辅助信息!H:I,2,FALSE)</f>
        <v>13458642015</v>
      </c>
      <c r="L1867" s="115" t="str">
        <f>VLOOKUP(B1867,辅助信息!E:J,6,FALSE)</f>
        <v>优先威钢,我方卸车,新老国标钢厂不加价可直发</v>
      </c>
      <c r="M1867" s="84">
        <v>45828</v>
      </c>
      <c r="O1867" s="55">
        <f ca="1" t="shared" si="113"/>
        <v>0</v>
      </c>
      <c r="P1867" s="55">
        <f ca="1" t="shared" si="114"/>
        <v>129</v>
      </c>
      <c r="Q1867" s="22" t="str">
        <f>VLOOKUP(B1867,辅助信息!E:M,9,FALSE)</f>
        <v>ZTWM-CDGS-XS-2024-0092-华西-萌海科创农业生态谷</v>
      </c>
      <c r="R1867" s="22" t="str">
        <f>_xlfn._xlws.FILTER(辅助信息!D:D,辅助信息!E:E=B1867)</f>
        <v>华西萌海-科创农业生态谷</v>
      </c>
    </row>
    <row r="1868" hidden="1" spans="2:18">
      <c r="B1868" s="33" t="s">
        <v>162</v>
      </c>
      <c r="C1868" s="63">
        <v>45825</v>
      </c>
      <c r="D1868" s="113" t="str">
        <f>VLOOKUP(B1868,辅助信息!E:K,7,FALSE)</f>
        <v>JWDD2025071500089</v>
      </c>
      <c r="E1868" s="113" t="str">
        <f>VLOOKUP(F1868,辅助信息!A:B,2,FALSE)</f>
        <v>高线</v>
      </c>
      <c r="F1868" s="33" t="s">
        <v>53</v>
      </c>
      <c r="G1868" s="29">
        <v>32</v>
      </c>
      <c r="H1868" s="114" t="str">
        <f>_xlfn.XLOOKUP(C1868&amp;F1868&amp;I1868&amp;J1868,'[1]2025年已发货'!$F:$F&amp;'[1]2025年已发货'!$C:$C&amp;'[1]2025年已发货'!$G:$G&amp;'[1]2025年已发货'!$H:$H,'[1]2025年已发货'!$E:$E,"未发货")</f>
        <v>未发货</v>
      </c>
      <c r="I1868" s="113" t="str">
        <f>VLOOKUP(B1868,辅助信息!E:I,3,FALSE)</f>
        <v>(宜宾兴港三江新区长江工业园保障性租赁住房建设项目-2标)四川省宜宾市翠屏区永善路南段宜宾市三江新区长江工业园区</v>
      </c>
      <c r="J1868" s="113" t="str">
        <f>VLOOKUP(B1868,辅助信息!E:I,4,FALSE)</f>
        <v>赵元虎</v>
      </c>
      <c r="K1868" s="113">
        <f>VLOOKUP(J1868,辅助信息!H:I,2,FALSE)</f>
        <v>13684167136</v>
      </c>
      <c r="L1868" s="115" t="str">
        <f>VLOOKUP(B1868,辅助信息!E:J,6,FALSE)</f>
        <v>现场要求调度统一联系指定收货人，不单独发司机位置。锈货不收，装货前联系收货人核实到场规格,没提前告知进场规格现场不给予接收</v>
      </c>
      <c r="M1868" s="84">
        <v>45828</v>
      </c>
      <c r="O1868" s="55">
        <f ca="1" t="shared" si="113"/>
        <v>0</v>
      </c>
      <c r="P1868" s="55">
        <f ca="1" t="shared" si="114"/>
        <v>129</v>
      </c>
      <c r="Q1868" s="22" t="str">
        <f>VLOOKUP(B1868,辅助信息!E:M,9,FALSE)</f>
        <v>ZTWM-CDYXGS-XS-2025-0014-宜宾兴港建材-三江新区长江工业园片区保障性租赁住房建设项目</v>
      </c>
      <c r="R1868" s="22" t="str">
        <f>_xlfn._xlws.FILTER(辅助信息!D:D,辅助信息!E:E=B1868)</f>
        <v>宜宾兴港三江新区长江工业园建设项目</v>
      </c>
    </row>
    <row r="1869" hidden="1" spans="2:18">
      <c r="B1869" s="33" t="s">
        <v>162</v>
      </c>
      <c r="C1869" s="63">
        <v>45825</v>
      </c>
      <c r="D1869" s="113" t="str">
        <f>VLOOKUP(B1869,辅助信息!E:K,7,FALSE)</f>
        <v>JWDD2025071500089</v>
      </c>
      <c r="E1869" s="113" t="str">
        <f>VLOOKUP(F1869,辅助信息!A:B,2,FALSE)</f>
        <v>螺纹钢</v>
      </c>
      <c r="F1869" s="33" t="s">
        <v>32</v>
      </c>
      <c r="G1869" s="29">
        <v>2.5</v>
      </c>
      <c r="H1869" s="114" t="str">
        <f>_xlfn.XLOOKUP(C1869&amp;F1869&amp;I1869&amp;J1869,'[1]2025年已发货'!$F:$F&amp;'[1]2025年已发货'!$C:$C&amp;'[1]2025年已发货'!$G:$G&amp;'[1]2025年已发货'!$H:$H,'[1]2025年已发货'!$E:$E,"未发货")</f>
        <v>未发货</v>
      </c>
      <c r="I1869" s="113" t="str">
        <f>VLOOKUP(B1869,辅助信息!E:I,3,FALSE)</f>
        <v>(宜宾兴港三江新区长江工业园保障性租赁住房建设项目-2标)四川省宜宾市翠屏区永善路南段宜宾市三江新区长江工业园区</v>
      </c>
      <c r="J1869" s="113" t="str">
        <f>VLOOKUP(B1869,辅助信息!E:I,4,FALSE)</f>
        <v>赵元虎</v>
      </c>
      <c r="K1869" s="113">
        <f>VLOOKUP(J1869,辅助信息!H:I,2,FALSE)</f>
        <v>13684167136</v>
      </c>
      <c r="L1869" s="115" t="str">
        <f>VLOOKUP(B1869,辅助信息!E:J,6,FALSE)</f>
        <v>现场要求调度统一联系指定收货人，不单独发司机位置。锈货不收，装货前联系收货人核实到场规格,没提前告知进场规格现场不给予接收</v>
      </c>
      <c r="M1869" s="84">
        <v>45828</v>
      </c>
      <c r="O1869" s="55">
        <f ca="1" t="shared" si="113"/>
        <v>0</v>
      </c>
      <c r="P1869" s="55">
        <f ca="1" t="shared" si="114"/>
        <v>129</v>
      </c>
      <c r="Q1869" s="22" t="str">
        <f>VLOOKUP(B1869,辅助信息!E:M,9,FALSE)</f>
        <v>ZTWM-CDYXGS-XS-2025-0014-宜宾兴港建材-三江新区长江工业园片区保障性租赁住房建设项目</v>
      </c>
      <c r="R1869" s="22" t="str">
        <f>_xlfn._xlws.FILTER(辅助信息!D:D,辅助信息!E:E=B1869)</f>
        <v>宜宾兴港三江新区长江工业园建设项目</v>
      </c>
    </row>
    <row r="1870" hidden="1" spans="2:18">
      <c r="B1870" s="33" t="s">
        <v>162</v>
      </c>
      <c r="C1870" s="63">
        <v>45825</v>
      </c>
      <c r="D1870" s="113" t="str">
        <f>VLOOKUP(B1870,辅助信息!E:K,7,FALSE)</f>
        <v>JWDD2025071500089</v>
      </c>
      <c r="E1870" s="113" t="str">
        <f>VLOOKUP(F1870,辅助信息!A:B,2,FALSE)</f>
        <v>螺纹钢</v>
      </c>
      <c r="F1870" s="33" t="s">
        <v>30</v>
      </c>
      <c r="G1870" s="29">
        <f>16+19.5</f>
        <v>35.5</v>
      </c>
      <c r="H1870" s="114" t="str">
        <f>_xlfn.XLOOKUP(C1870&amp;F1870&amp;I1870&amp;J1870,'[1]2025年已发货'!$F:$F&amp;'[1]2025年已发货'!$C:$C&amp;'[1]2025年已发货'!$G:$G&amp;'[1]2025年已发货'!$H:$H,'[1]2025年已发货'!$E:$E,"未发货")</f>
        <v>未发货</v>
      </c>
      <c r="I1870" s="113" t="str">
        <f>VLOOKUP(B1870,辅助信息!E:I,3,FALSE)</f>
        <v>(宜宾兴港三江新区长江工业园保障性租赁住房建设项目-2标)四川省宜宾市翠屏区永善路南段宜宾市三江新区长江工业园区</v>
      </c>
      <c r="J1870" s="113" t="str">
        <f>VLOOKUP(B1870,辅助信息!E:I,4,FALSE)</f>
        <v>赵元虎</v>
      </c>
      <c r="K1870" s="113">
        <f>VLOOKUP(J1870,辅助信息!H:I,2,FALSE)</f>
        <v>13684167136</v>
      </c>
      <c r="L1870" s="115" t="str">
        <f>VLOOKUP(B1870,辅助信息!E:J,6,FALSE)</f>
        <v>现场要求调度统一联系指定收货人，不单独发司机位置。锈货不收，装货前联系收货人核实到场规格,没提前告知进场规格现场不给予接收</v>
      </c>
      <c r="M1870" s="84">
        <v>45828</v>
      </c>
      <c r="O1870" s="55">
        <f ca="1" t="shared" si="113"/>
        <v>0</v>
      </c>
      <c r="P1870" s="55">
        <f ca="1" t="shared" si="114"/>
        <v>129</v>
      </c>
      <c r="Q1870" s="22" t="str">
        <f>VLOOKUP(B1870,辅助信息!E:M,9,FALSE)</f>
        <v>ZTWM-CDYXGS-XS-2025-0014-宜宾兴港建材-三江新区长江工业园片区保障性租赁住房建设项目</v>
      </c>
      <c r="R1870" s="22" t="str">
        <f>_xlfn._xlws.FILTER(辅助信息!D:D,辅助信息!E:E=B1870)</f>
        <v>宜宾兴港三江新区长江工业园建设项目</v>
      </c>
    </row>
    <row r="1871" hidden="1" spans="2:18">
      <c r="B1871" s="33" t="s">
        <v>171</v>
      </c>
      <c r="C1871" s="63">
        <v>45826</v>
      </c>
      <c r="D1871" s="113" t="str">
        <f>VLOOKUP(B1871,辅助信息!E:K,7,FALSE)</f>
        <v>JWDDCD2024101600133</v>
      </c>
      <c r="E1871" s="113" t="str">
        <f>VLOOKUP(F1871,辅助信息!A:B,2,FALSE)</f>
        <v>盘螺</v>
      </c>
      <c r="F1871" s="33" t="s">
        <v>49</v>
      </c>
      <c r="G1871" s="29">
        <v>2.5</v>
      </c>
      <c r="H1871" s="114">
        <f>_xlfn.XLOOKUP(C1871&amp;F1871&amp;I1871&amp;J1871,'[1]2025年已发货'!$F:$F&amp;'[1]2025年已发货'!$C:$C&amp;'[1]2025年已发货'!$G:$G&amp;'[1]2025年已发货'!$H:$H,'[1]2025年已发货'!$E:$E,"未发货")</f>
        <v>2.5</v>
      </c>
      <c r="I1871" s="113" t="str">
        <f>VLOOKUP(B1871,辅助信息!E:I,3,FALSE)</f>
        <v>(五冶钢构宜宾南溪区项目土建4标)四川省宜宾市高县高县庆符镇鹅卵新农村高县广久大道(庆符厂房项目)</v>
      </c>
      <c r="J1871" s="113" t="str">
        <f>VLOOKUP(B1871,辅助信息!E:I,4,FALSE)</f>
        <v>张朝亮</v>
      </c>
      <c r="K1871" s="113">
        <f>VLOOKUP(J1871,辅助信息!H:I,2,FALSE)</f>
        <v>15228205853</v>
      </c>
      <c r="L1871" s="115" t="str">
        <f>VLOOKUP(B1871,辅助信息!E:J,6,FALSE)</f>
        <v>提前联系到场规格</v>
      </c>
      <c r="M1871" s="84">
        <v>45827</v>
      </c>
      <c r="O1871" s="55">
        <f ca="1" t="shared" si="113"/>
        <v>0</v>
      </c>
      <c r="P1871" s="55">
        <f ca="1" t="shared" si="114"/>
        <v>130</v>
      </c>
      <c r="Q1871" s="22" t="str">
        <f>VLOOKUP(B1871,辅助信息!E:M,9,FALSE)</f>
        <v>ZTWM-CDGS-XS-2024-0169-中冶西部钢构-宜宾市南溪区幸福路东路,高县月江镇建设项目</v>
      </c>
      <c r="R1871" s="22" t="str">
        <f>_xlfn._xlws.FILTER(辅助信息!D:D,辅助信息!E:E=B1871)</f>
        <v>五冶钢构-宜宾市南溪区高县月江镇建设项目</v>
      </c>
    </row>
    <row r="1872" hidden="1" spans="2:18">
      <c r="B1872" s="33" t="s">
        <v>171</v>
      </c>
      <c r="C1872" s="63">
        <v>45826</v>
      </c>
      <c r="D1872" s="113" t="str">
        <f>VLOOKUP(B1872,辅助信息!E:K,7,FALSE)</f>
        <v>JWDDCD2024101600133</v>
      </c>
      <c r="E1872" s="113" t="str">
        <f>VLOOKUP(F1872,辅助信息!A:B,2,FALSE)</f>
        <v>盘螺</v>
      </c>
      <c r="F1872" s="33" t="s">
        <v>40</v>
      </c>
      <c r="G1872" s="29">
        <v>2.5</v>
      </c>
      <c r="H1872" s="114">
        <f>_xlfn.XLOOKUP(C1872&amp;F1872&amp;I1872&amp;J1872,'[1]2025年已发货'!$F:$F&amp;'[1]2025年已发货'!$C:$C&amp;'[1]2025年已发货'!$G:$G&amp;'[1]2025年已发货'!$H:$H,'[1]2025年已发货'!$E:$E,"未发货")</f>
        <v>2.5</v>
      </c>
      <c r="I1872" s="113" t="str">
        <f>VLOOKUP(B1872,辅助信息!E:I,3,FALSE)</f>
        <v>(五冶钢构宜宾南溪区项目土建4标)四川省宜宾市高县高县庆符镇鹅卵新农村高县广久大道(庆符厂房项目)</v>
      </c>
      <c r="J1872" s="113" t="str">
        <f>VLOOKUP(B1872,辅助信息!E:I,4,FALSE)</f>
        <v>张朝亮</v>
      </c>
      <c r="K1872" s="113">
        <f>VLOOKUP(J1872,辅助信息!H:I,2,FALSE)</f>
        <v>15228205853</v>
      </c>
      <c r="L1872" s="115" t="str">
        <f>VLOOKUP(B1872,辅助信息!E:J,6,FALSE)</f>
        <v>提前联系到场规格</v>
      </c>
      <c r="M1872" s="84">
        <v>45827</v>
      </c>
      <c r="O1872" s="55">
        <f ca="1" t="shared" si="113"/>
        <v>0</v>
      </c>
      <c r="P1872" s="55">
        <f ca="1" t="shared" si="114"/>
        <v>130</v>
      </c>
      <c r="Q1872" s="22" t="str">
        <f>VLOOKUP(B1872,辅助信息!E:M,9,FALSE)</f>
        <v>ZTWM-CDGS-XS-2024-0169-中冶西部钢构-宜宾市南溪区幸福路东路,高县月江镇建设项目</v>
      </c>
      <c r="R1872" s="22" t="str">
        <f>_xlfn._xlws.FILTER(辅助信息!D:D,辅助信息!E:E=B1872)</f>
        <v>五冶钢构-宜宾市南溪区高县月江镇建设项目</v>
      </c>
    </row>
    <row r="1873" hidden="1" spans="2:18">
      <c r="B1873" s="33" t="s">
        <v>171</v>
      </c>
      <c r="C1873" s="63">
        <v>45826</v>
      </c>
      <c r="D1873" s="113" t="str">
        <f>VLOOKUP(B1873,辅助信息!E:K,7,FALSE)</f>
        <v>JWDDCD2024101600133</v>
      </c>
      <c r="E1873" s="113" t="str">
        <f>VLOOKUP(F1873,辅助信息!A:B,2,FALSE)</f>
        <v>盘螺</v>
      </c>
      <c r="F1873" s="33" t="s">
        <v>41</v>
      </c>
      <c r="G1873" s="29">
        <v>2.5</v>
      </c>
      <c r="H1873" s="114">
        <f>_xlfn.XLOOKUP(C1873&amp;F1873&amp;I1873&amp;J1873,'[1]2025年已发货'!$F:$F&amp;'[1]2025年已发货'!$C:$C&amp;'[1]2025年已发货'!$G:$G&amp;'[1]2025年已发货'!$H:$H,'[1]2025年已发货'!$E:$E,"未发货")</f>
        <v>2.5</v>
      </c>
      <c r="I1873" s="113" t="str">
        <f>VLOOKUP(B1873,辅助信息!E:I,3,FALSE)</f>
        <v>(五冶钢构宜宾南溪区项目土建4标)四川省宜宾市高县高县庆符镇鹅卵新农村高县广久大道(庆符厂房项目)</v>
      </c>
      <c r="J1873" s="113" t="str">
        <f>VLOOKUP(B1873,辅助信息!E:I,4,FALSE)</f>
        <v>张朝亮</v>
      </c>
      <c r="K1873" s="113">
        <f>VLOOKUP(J1873,辅助信息!H:I,2,FALSE)</f>
        <v>15228205853</v>
      </c>
      <c r="L1873" s="115" t="str">
        <f>VLOOKUP(B1873,辅助信息!E:J,6,FALSE)</f>
        <v>提前联系到场规格</v>
      </c>
      <c r="M1873" s="84">
        <v>45827</v>
      </c>
      <c r="O1873" s="55">
        <f ca="1" t="shared" si="113"/>
        <v>0</v>
      </c>
      <c r="P1873" s="55">
        <f ca="1" t="shared" si="114"/>
        <v>130</v>
      </c>
      <c r="Q1873" s="22" t="str">
        <f>VLOOKUP(B1873,辅助信息!E:M,9,FALSE)</f>
        <v>ZTWM-CDGS-XS-2024-0169-中冶西部钢构-宜宾市南溪区幸福路东路,高县月江镇建设项目</v>
      </c>
      <c r="R1873" s="22" t="str">
        <f>_xlfn._xlws.FILTER(辅助信息!D:D,辅助信息!E:E=B1873)</f>
        <v>五冶钢构-宜宾市南溪区高县月江镇建设项目</v>
      </c>
    </row>
    <row r="1874" hidden="1" spans="2:18">
      <c r="B1874" s="33" t="s">
        <v>171</v>
      </c>
      <c r="C1874" s="63">
        <v>45826</v>
      </c>
      <c r="D1874" s="113" t="str">
        <f>VLOOKUP(B1874,辅助信息!E:K,7,FALSE)</f>
        <v>JWDDCD2024101600133</v>
      </c>
      <c r="E1874" s="113" t="str">
        <f>VLOOKUP(F1874,辅助信息!A:B,2,FALSE)</f>
        <v>螺纹钢</v>
      </c>
      <c r="F1874" s="33" t="s">
        <v>27</v>
      </c>
      <c r="G1874" s="29">
        <v>3</v>
      </c>
      <c r="H1874" s="114">
        <f>_xlfn.XLOOKUP(C1874&amp;F1874&amp;I1874&amp;J1874,'[1]2025年已发货'!$F:$F&amp;'[1]2025年已发货'!$C:$C&amp;'[1]2025年已发货'!$G:$G&amp;'[1]2025年已发货'!$H:$H,'[1]2025年已发货'!$E:$E,"未发货")</f>
        <v>3</v>
      </c>
      <c r="I1874" s="113" t="str">
        <f>VLOOKUP(B1874,辅助信息!E:I,3,FALSE)</f>
        <v>(五冶钢构宜宾南溪区项目土建4标)四川省宜宾市高县高县庆符镇鹅卵新农村高县广久大道(庆符厂房项目)</v>
      </c>
      <c r="J1874" s="113" t="str">
        <f>VLOOKUP(B1874,辅助信息!E:I,4,FALSE)</f>
        <v>张朝亮</v>
      </c>
      <c r="K1874" s="113">
        <f>VLOOKUP(J1874,辅助信息!H:I,2,FALSE)</f>
        <v>15228205853</v>
      </c>
      <c r="L1874" s="115" t="str">
        <f>VLOOKUP(B1874,辅助信息!E:J,6,FALSE)</f>
        <v>提前联系到场规格</v>
      </c>
      <c r="M1874" s="84">
        <v>45827</v>
      </c>
      <c r="O1874" s="55">
        <f ca="1" t="shared" si="113"/>
        <v>0</v>
      </c>
      <c r="P1874" s="55">
        <f ca="1" t="shared" si="114"/>
        <v>130</v>
      </c>
      <c r="Q1874" s="22" t="str">
        <f>VLOOKUP(B1874,辅助信息!E:M,9,FALSE)</f>
        <v>ZTWM-CDGS-XS-2024-0169-中冶西部钢构-宜宾市南溪区幸福路东路,高县月江镇建设项目</v>
      </c>
      <c r="R1874" s="22" t="str">
        <f>_xlfn._xlws.FILTER(辅助信息!D:D,辅助信息!E:E=B1874)</f>
        <v>五冶钢构-宜宾市南溪区高县月江镇建设项目</v>
      </c>
    </row>
    <row r="1875" hidden="1" spans="2:18">
      <c r="B1875" s="33" t="s">
        <v>171</v>
      </c>
      <c r="C1875" s="63">
        <v>45826</v>
      </c>
      <c r="D1875" s="113" t="str">
        <f>VLOOKUP(B1875,辅助信息!E:K,7,FALSE)</f>
        <v>JWDDCD2024101600133</v>
      </c>
      <c r="E1875" s="113" t="str">
        <f>VLOOKUP(F1875,辅助信息!A:B,2,FALSE)</f>
        <v>螺纹钢</v>
      </c>
      <c r="F1875" s="33" t="s">
        <v>19</v>
      </c>
      <c r="G1875" s="29">
        <v>6</v>
      </c>
      <c r="H1875" s="114">
        <f>_xlfn.XLOOKUP(C1875&amp;F1875&amp;I1875&amp;J1875,'[1]2025年已发货'!$F:$F&amp;'[1]2025年已发货'!$C:$C&amp;'[1]2025年已发货'!$G:$G&amp;'[1]2025年已发货'!$H:$H,'[1]2025年已发货'!$E:$E,"未发货")</f>
        <v>6</v>
      </c>
      <c r="I1875" s="113" t="str">
        <f>VLOOKUP(B1875,辅助信息!E:I,3,FALSE)</f>
        <v>(五冶钢构宜宾南溪区项目土建4标)四川省宜宾市高县高县庆符镇鹅卵新农村高县广久大道(庆符厂房项目)</v>
      </c>
      <c r="J1875" s="113" t="str">
        <f>VLOOKUP(B1875,辅助信息!E:I,4,FALSE)</f>
        <v>张朝亮</v>
      </c>
      <c r="K1875" s="113">
        <f>VLOOKUP(J1875,辅助信息!H:I,2,FALSE)</f>
        <v>15228205853</v>
      </c>
      <c r="L1875" s="115" t="str">
        <f>VLOOKUP(B1875,辅助信息!E:J,6,FALSE)</f>
        <v>提前联系到场规格</v>
      </c>
      <c r="M1875" s="84">
        <v>45827</v>
      </c>
      <c r="O1875" s="55">
        <f ca="1" t="shared" si="113"/>
        <v>0</v>
      </c>
      <c r="P1875" s="55">
        <f ca="1" t="shared" si="114"/>
        <v>130</v>
      </c>
      <c r="Q1875" s="22" t="str">
        <f>VLOOKUP(B1875,辅助信息!E:M,9,FALSE)</f>
        <v>ZTWM-CDGS-XS-2024-0169-中冶西部钢构-宜宾市南溪区幸福路东路,高县月江镇建设项目</v>
      </c>
      <c r="R1875" s="22" t="str">
        <f>_xlfn._xlws.FILTER(辅助信息!D:D,辅助信息!E:E=B1875)</f>
        <v>五冶钢构-宜宾市南溪区高县月江镇建设项目</v>
      </c>
    </row>
    <row r="1876" hidden="1" spans="2:18">
      <c r="B1876" s="33" t="s">
        <v>171</v>
      </c>
      <c r="C1876" s="63">
        <v>45826</v>
      </c>
      <c r="D1876" s="113" t="str">
        <f>VLOOKUP(B1876,辅助信息!E:K,7,FALSE)</f>
        <v>JWDDCD2024101600133</v>
      </c>
      <c r="E1876" s="113" t="str">
        <f>VLOOKUP(F1876,辅助信息!A:B,2,FALSE)</f>
        <v>螺纹钢</v>
      </c>
      <c r="F1876" s="33" t="s">
        <v>32</v>
      </c>
      <c r="G1876" s="29">
        <v>3</v>
      </c>
      <c r="H1876" s="114">
        <f>_xlfn.XLOOKUP(C1876&amp;F1876&amp;I1876&amp;J1876,'[1]2025年已发货'!$F:$F&amp;'[1]2025年已发货'!$C:$C&amp;'[1]2025年已发货'!$G:$G&amp;'[1]2025年已发货'!$H:$H,'[1]2025年已发货'!$E:$E,"未发货")</f>
        <v>3</v>
      </c>
      <c r="I1876" s="113" t="str">
        <f>VLOOKUP(B1876,辅助信息!E:I,3,FALSE)</f>
        <v>(五冶钢构宜宾南溪区项目土建4标)四川省宜宾市高县高县庆符镇鹅卵新农村高县广久大道(庆符厂房项目)</v>
      </c>
      <c r="J1876" s="113" t="str">
        <f>VLOOKUP(B1876,辅助信息!E:I,4,FALSE)</f>
        <v>张朝亮</v>
      </c>
      <c r="K1876" s="113">
        <f>VLOOKUP(J1876,辅助信息!H:I,2,FALSE)</f>
        <v>15228205853</v>
      </c>
      <c r="L1876" s="115" t="str">
        <f>VLOOKUP(B1876,辅助信息!E:J,6,FALSE)</f>
        <v>提前联系到场规格</v>
      </c>
      <c r="M1876" s="84">
        <v>45827</v>
      </c>
      <c r="O1876" s="55">
        <f ca="1" t="shared" si="113"/>
        <v>0</v>
      </c>
      <c r="P1876" s="55">
        <f ca="1" t="shared" si="114"/>
        <v>130</v>
      </c>
      <c r="Q1876" s="22" t="str">
        <f>VLOOKUP(B1876,辅助信息!E:M,9,FALSE)</f>
        <v>ZTWM-CDGS-XS-2024-0169-中冶西部钢构-宜宾市南溪区幸福路东路,高县月江镇建设项目</v>
      </c>
      <c r="R1876" s="22" t="str">
        <f>_xlfn._xlws.FILTER(辅助信息!D:D,辅助信息!E:E=B1876)</f>
        <v>五冶钢构-宜宾市南溪区高县月江镇建设项目</v>
      </c>
    </row>
    <row r="1877" hidden="1" spans="2:18">
      <c r="B1877" s="33" t="s">
        <v>171</v>
      </c>
      <c r="C1877" s="63">
        <v>45826</v>
      </c>
      <c r="D1877" s="113" t="str">
        <f>VLOOKUP(B1877,辅助信息!E:K,7,FALSE)</f>
        <v>JWDDCD2024101600133</v>
      </c>
      <c r="E1877" s="113" t="str">
        <f>VLOOKUP(F1877,辅助信息!A:B,2,FALSE)</f>
        <v>螺纹钢</v>
      </c>
      <c r="F1877" s="33" t="s">
        <v>30</v>
      </c>
      <c r="G1877" s="29">
        <v>3</v>
      </c>
      <c r="H1877" s="114">
        <f>_xlfn.XLOOKUP(C1877&amp;F1877&amp;I1877&amp;J1877,'[1]2025年已发货'!$F:$F&amp;'[1]2025年已发货'!$C:$C&amp;'[1]2025年已发货'!$G:$G&amp;'[1]2025年已发货'!$H:$H,'[1]2025年已发货'!$E:$E,"未发货")</f>
        <v>3</v>
      </c>
      <c r="I1877" s="113" t="str">
        <f>VLOOKUP(B1877,辅助信息!E:I,3,FALSE)</f>
        <v>(五冶钢构宜宾南溪区项目土建4标)四川省宜宾市高县高县庆符镇鹅卵新农村高县广久大道(庆符厂房项目)</v>
      </c>
      <c r="J1877" s="113" t="str">
        <f>VLOOKUP(B1877,辅助信息!E:I,4,FALSE)</f>
        <v>张朝亮</v>
      </c>
      <c r="K1877" s="113">
        <f>VLOOKUP(J1877,辅助信息!H:I,2,FALSE)</f>
        <v>15228205853</v>
      </c>
      <c r="L1877" s="115" t="str">
        <f>VLOOKUP(B1877,辅助信息!E:J,6,FALSE)</f>
        <v>提前联系到场规格</v>
      </c>
      <c r="M1877" s="84">
        <v>45827</v>
      </c>
      <c r="O1877" s="55">
        <f ca="1" t="shared" si="113"/>
        <v>0</v>
      </c>
      <c r="P1877" s="55">
        <f ca="1" t="shared" si="114"/>
        <v>130</v>
      </c>
      <c r="Q1877" s="22" t="str">
        <f>VLOOKUP(B1877,辅助信息!E:M,9,FALSE)</f>
        <v>ZTWM-CDGS-XS-2024-0169-中冶西部钢构-宜宾市南溪区幸福路东路,高县月江镇建设项目</v>
      </c>
      <c r="R1877" s="22" t="str">
        <f>_xlfn._xlws.FILTER(辅助信息!D:D,辅助信息!E:E=B1877)</f>
        <v>五冶钢构-宜宾市南溪区高县月江镇建设项目</v>
      </c>
    </row>
    <row r="1878" hidden="1" spans="2:18">
      <c r="B1878" s="33" t="s">
        <v>171</v>
      </c>
      <c r="C1878" s="63">
        <v>45826</v>
      </c>
      <c r="D1878" s="113" t="str">
        <f>VLOOKUP(B1878,辅助信息!E:K,7,FALSE)</f>
        <v>JWDDCD2024101600133</v>
      </c>
      <c r="E1878" s="113" t="str">
        <f>VLOOKUP(F1878,辅助信息!A:B,2,FALSE)</f>
        <v>螺纹钢</v>
      </c>
      <c r="F1878" s="33" t="s">
        <v>33</v>
      </c>
      <c r="G1878" s="29">
        <v>3</v>
      </c>
      <c r="H1878" s="114">
        <f>_xlfn.XLOOKUP(C1878&amp;F1878&amp;I1878&amp;J1878,'[1]2025年已发货'!$F:$F&amp;'[1]2025年已发货'!$C:$C&amp;'[1]2025年已发货'!$G:$G&amp;'[1]2025年已发货'!$H:$H,'[1]2025年已发货'!$E:$E,"未发货")</f>
        <v>3</v>
      </c>
      <c r="I1878" s="113" t="str">
        <f>VLOOKUP(B1878,辅助信息!E:I,3,FALSE)</f>
        <v>(五冶钢构宜宾南溪区项目土建4标)四川省宜宾市高县高县庆符镇鹅卵新农村高县广久大道(庆符厂房项目)</v>
      </c>
      <c r="J1878" s="113" t="str">
        <f>VLOOKUP(B1878,辅助信息!E:I,4,FALSE)</f>
        <v>张朝亮</v>
      </c>
      <c r="K1878" s="113">
        <f>VLOOKUP(J1878,辅助信息!H:I,2,FALSE)</f>
        <v>15228205853</v>
      </c>
      <c r="L1878" s="115" t="str">
        <f>VLOOKUP(B1878,辅助信息!E:J,6,FALSE)</f>
        <v>提前联系到场规格</v>
      </c>
      <c r="M1878" s="84">
        <v>45827</v>
      </c>
      <c r="O1878" s="55">
        <f ca="1" t="shared" si="113"/>
        <v>0</v>
      </c>
      <c r="P1878" s="55">
        <f ca="1" t="shared" si="114"/>
        <v>130</v>
      </c>
      <c r="Q1878" s="22" t="str">
        <f>VLOOKUP(B1878,辅助信息!E:M,9,FALSE)</f>
        <v>ZTWM-CDGS-XS-2024-0169-中冶西部钢构-宜宾市南溪区幸福路东路,高县月江镇建设项目</v>
      </c>
      <c r="R1878" s="22" t="str">
        <f>_xlfn._xlws.FILTER(辅助信息!D:D,辅助信息!E:E=B1878)</f>
        <v>五冶钢构-宜宾市南溪区高县月江镇建设项目</v>
      </c>
    </row>
    <row r="1879" hidden="1" spans="2:18">
      <c r="B1879" s="33" t="s">
        <v>171</v>
      </c>
      <c r="C1879" s="63">
        <v>45826</v>
      </c>
      <c r="D1879" s="113" t="str">
        <f>VLOOKUP(B1879,辅助信息!E:K,7,FALSE)</f>
        <v>JWDDCD2024101600133</v>
      </c>
      <c r="E1879" s="113" t="str">
        <f>VLOOKUP(F1879,辅助信息!A:B,2,FALSE)</f>
        <v>螺纹钢</v>
      </c>
      <c r="F1879" s="33" t="s">
        <v>28</v>
      </c>
      <c r="G1879" s="29">
        <v>3</v>
      </c>
      <c r="H1879" s="114">
        <f>_xlfn.XLOOKUP(C1879&amp;F1879&amp;I1879&amp;J1879,'[1]2025年已发货'!$F:$F&amp;'[1]2025年已发货'!$C:$C&amp;'[1]2025年已发货'!$G:$G&amp;'[1]2025年已发货'!$H:$H,'[1]2025年已发货'!$E:$E,"未发货")</f>
        <v>3</v>
      </c>
      <c r="I1879" s="113" t="str">
        <f>VLOOKUP(B1879,辅助信息!E:I,3,FALSE)</f>
        <v>(五冶钢构宜宾南溪区项目土建4标)四川省宜宾市高县高县庆符镇鹅卵新农村高县广久大道(庆符厂房项目)</v>
      </c>
      <c r="J1879" s="113" t="str">
        <f>VLOOKUP(B1879,辅助信息!E:I,4,FALSE)</f>
        <v>张朝亮</v>
      </c>
      <c r="K1879" s="113">
        <f>VLOOKUP(J1879,辅助信息!H:I,2,FALSE)</f>
        <v>15228205853</v>
      </c>
      <c r="L1879" s="115" t="str">
        <f>VLOOKUP(B1879,辅助信息!E:J,6,FALSE)</f>
        <v>提前联系到场规格</v>
      </c>
      <c r="M1879" s="84">
        <v>45827</v>
      </c>
      <c r="O1879" s="55">
        <f ca="1" t="shared" si="113"/>
        <v>0</v>
      </c>
      <c r="P1879" s="55">
        <f ca="1" t="shared" si="114"/>
        <v>130</v>
      </c>
      <c r="Q1879" s="22" t="str">
        <f>VLOOKUP(B1879,辅助信息!E:M,9,FALSE)</f>
        <v>ZTWM-CDGS-XS-2024-0169-中冶西部钢构-宜宾市南溪区幸福路东路,高县月江镇建设项目</v>
      </c>
      <c r="R1879" s="22" t="str">
        <f>_xlfn._xlws.FILTER(辅助信息!D:D,辅助信息!E:E=B1879)</f>
        <v>五冶钢构-宜宾市南溪区高县月江镇建设项目</v>
      </c>
    </row>
    <row r="1880" hidden="1" spans="2:18">
      <c r="B1880" s="33" t="s">
        <v>171</v>
      </c>
      <c r="C1880" s="63">
        <v>45826</v>
      </c>
      <c r="D1880" s="113" t="str">
        <f>VLOOKUP(B1880,辅助信息!E:K,7,FALSE)</f>
        <v>JWDDCD2024101600133</v>
      </c>
      <c r="E1880" s="113" t="str">
        <f>VLOOKUP(F1880,辅助信息!A:B,2,FALSE)</f>
        <v>螺纹钢</v>
      </c>
      <c r="F1880" s="33" t="s">
        <v>18</v>
      </c>
      <c r="G1880" s="29">
        <v>6</v>
      </c>
      <c r="H1880" s="114">
        <f>_xlfn.XLOOKUP(C1880&amp;F1880&amp;I1880&amp;J1880,'[1]2025年已发货'!$F:$F&amp;'[1]2025年已发货'!$C:$C&amp;'[1]2025年已发货'!$G:$G&amp;'[1]2025年已发货'!$H:$H,'[1]2025年已发货'!$E:$E,"未发货")</f>
        <v>6</v>
      </c>
      <c r="I1880" s="113" t="str">
        <f>VLOOKUP(B1880,辅助信息!E:I,3,FALSE)</f>
        <v>(五冶钢构宜宾南溪区项目土建4标)四川省宜宾市高县高县庆符镇鹅卵新农村高县广久大道(庆符厂房项目)</v>
      </c>
      <c r="J1880" s="113" t="str">
        <f>VLOOKUP(B1880,辅助信息!E:I,4,FALSE)</f>
        <v>张朝亮</v>
      </c>
      <c r="K1880" s="113">
        <f>VLOOKUP(J1880,辅助信息!H:I,2,FALSE)</f>
        <v>15228205853</v>
      </c>
      <c r="L1880" s="115" t="str">
        <f>VLOOKUP(B1880,辅助信息!E:J,6,FALSE)</f>
        <v>提前联系到场规格</v>
      </c>
      <c r="M1880" s="84">
        <v>45827</v>
      </c>
      <c r="O1880" s="55">
        <f ca="1" t="shared" si="113"/>
        <v>0</v>
      </c>
      <c r="P1880" s="55">
        <f ca="1" t="shared" si="114"/>
        <v>130</v>
      </c>
      <c r="Q1880" s="22" t="str">
        <f>VLOOKUP(B1880,辅助信息!E:M,9,FALSE)</f>
        <v>ZTWM-CDGS-XS-2024-0169-中冶西部钢构-宜宾市南溪区幸福路东路,高县月江镇建设项目</v>
      </c>
      <c r="R1880" s="22" t="str">
        <f>_xlfn._xlws.FILTER(辅助信息!D:D,辅助信息!E:E=B1880)</f>
        <v>五冶钢构-宜宾市南溪区高县月江镇建设项目</v>
      </c>
    </row>
    <row r="1881" hidden="1" spans="2:18">
      <c r="B1881" s="33" t="s">
        <v>92</v>
      </c>
      <c r="C1881" s="63">
        <v>45826</v>
      </c>
      <c r="D1881" s="113" t="str">
        <f>VLOOKUP(B1881,辅助信息!E:K,7,FALSE)</f>
        <v>JWDDCD2025051800046</v>
      </c>
      <c r="E1881" s="113" t="str">
        <f>VLOOKUP(F1881,辅助信息!A:B,2,FALSE)</f>
        <v>盘螺</v>
      </c>
      <c r="F1881" s="33" t="s">
        <v>40</v>
      </c>
      <c r="G1881" s="29">
        <f>34-7.5</f>
        <v>26.5</v>
      </c>
      <c r="H1881" s="114" t="str">
        <f>_xlfn.XLOOKUP(C1881&amp;F1881&amp;I1881&amp;J1881,'[1]2025年已发货'!$F:$F&amp;'[1]2025年已发货'!$C:$C&amp;'[1]2025年已发货'!$G:$G&amp;'[1]2025年已发货'!$H:$H,'[1]2025年已发货'!$E:$E,"未发货")</f>
        <v>未发货</v>
      </c>
      <c r="I1881" s="113" t="str">
        <f>VLOOKUP(B1881,辅助信息!E:I,3,FALSE)</f>
        <v>（华西萌海科创农业生态谷）成都市简阳市白金山水库</v>
      </c>
      <c r="J1881" s="113" t="str">
        <f>VLOOKUP(B1881,辅助信息!E:I,4,FALSE)</f>
        <v>石清国</v>
      </c>
      <c r="K1881" s="113">
        <f>VLOOKUP(J1881,辅助信息!H:I,2,FALSE)</f>
        <v>13458642015</v>
      </c>
      <c r="L1881" s="115" t="str">
        <f>VLOOKUP(B1881,辅助信息!E:J,6,FALSE)</f>
        <v>优先威钢,我方卸车,新老国标钢厂不加价可直发</v>
      </c>
      <c r="M1881" s="84">
        <v>45828</v>
      </c>
      <c r="O1881" s="55">
        <f ca="1" t="shared" ref="O1881:O1890" si="115">IF(OR(M1881="",N1881&lt;&gt;""),"",MAX(M1881-TODAY(),0))</f>
        <v>0</v>
      </c>
      <c r="P1881" s="55">
        <f ca="1" t="shared" ref="P1881:P1890" si="116">IF(M1881="","",IF(N1881&lt;&gt;"",MAX(N1881-M1881,0),IF(TODAY()&gt;M1881,TODAY()-M1881,0)))</f>
        <v>129</v>
      </c>
      <c r="Q1881" s="22" t="str">
        <f>VLOOKUP(B1881,辅助信息!E:M,9,FALSE)</f>
        <v>ZTWM-CDGS-XS-2024-0092-华西-萌海科创农业生态谷</v>
      </c>
      <c r="R1881" s="22" t="str">
        <f>_xlfn._xlws.FILTER(辅助信息!D:D,辅助信息!E:E=B1881)</f>
        <v>华西萌海-科创农业生态谷</v>
      </c>
    </row>
    <row r="1882" hidden="1" spans="2:18">
      <c r="B1882" s="33" t="s">
        <v>92</v>
      </c>
      <c r="C1882" s="63">
        <v>45826</v>
      </c>
      <c r="D1882" s="113" t="str">
        <f>VLOOKUP(B1882,辅助信息!E:K,7,FALSE)</f>
        <v>JWDDCD2025051800046</v>
      </c>
      <c r="E1882" s="113" t="str">
        <f>VLOOKUP(F1882,辅助信息!A:B,2,FALSE)</f>
        <v>盘螺</v>
      </c>
      <c r="F1882" s="33" t="s">
        <v>41</v>
      </c>
      <c r="G1882" s="29">
        <v>10</v>
      </c>
      <c r="H1882" s="114" t="str">
        <f>_xlfn.XLOOKUP(C1882&amp;F1882&amp;I1882&amp;J1882,'[1]2025年已发货'!$F:$F&amp;'[1]2025年已发货'!$C:$C&amp;'[1]2025年已发货'!$G:$G&amp;'[1]2025年已发货'!$H:$H,'[1]2025年已发货'!$E:$E,"未发货")</f>
        <v>未发货</v>
      </c>
      <c r="I1882" s="113" t="str">
        <f>VLOOKUP(B1882,辅助信息!E:I,3,FALSE)</f>
        <v>（华西萌海科创农业生态谷）成都市简阳市白金山水库</v>
      </c>
      <c r="J1882" s="113" t="str">
        <f>VLOOKUP(B1882,辅助信息!E:I,4,FALSE)</f>
        <v>石清国</v>
      </c>
      <c r="K1882" s="113">
        <f>VLOOKUP(J1882,辅助信息!H:I,2,FALSE)</f>
        <v>13458642015</v>
      </c>
      <c r="L1882" s="115" t="str">
        <f>VLOOKUP(B1882,辅助信息!E:J,6,FALSE)</f>
        <v>优先威钢,我方卸车,新老国标钢厂不加价可直发</v>
      </c>
      <c r="M1882" s="84">
        <v>45828</v>
      </c>
      <c r="O1882" s="55">
        <f ca="1" t="shared" si="115"/>
        <v>0</v>
      </c>
      <c r="P1882" s="55">
        <f ca="1" t="shared" si="116"/>
        <v>129</v>
      </c>
      <c r="Q1882" s="22" t="str">
        <f>VLOOKUP(B1882,辅助信息!E:M,9,FALSE)</f>
        <v>ZTWM-CDGS-XS-2024-0092-华西-萌海科创农业生态谷</v>
      </c>
      <c r="R1882" s="22" t="str">
        <f>_xlfn._xlws.FILTER(辅助信息!D:D,辅助信息!E:E=B1882)</f>
        <v>华西萌海-科创农业生态谷</v>
      </c>
    </row>
    <row r="1883" hidden="1" spans="1:18">
      <c r="A1883" s="75" t="s">
        <v>172</v>
      </c>
      <c r="B1883" s="113" t="s">
        <v>147</v>
      </c>
      <c r="C1883" s="63">
        <v>45826</v>
      </c>
      <c r="D1883" s="113" t="str">
        <f>VLOOKUP(B1883,辅助信息!E:K,7,FALSE)</f>
        <v>JWDDCD2025052800131</v>
      </c>
      <c r="E1883" s="113" t="str">
        <f>VLOOKUP(F1883,辅助信息!A:B,2,FALSE)</f>
        <v>高线</v>
      </c>
      <c r="F1883" s="113" t="s">
        <v>57</v>
      </c>
      <c r="G1883" s="114">
        <v>9</v>
      </c>
      <c r="H1883" s="114" t="str">
        <f>_xlfn.XLOOKUP(C1883&amp;F1883&amp;I1883&amp;J1883,'[1]2025年已发货'!$F:$F&amp;'[1]2025年已发货'!$C:$C&amp;'[1]2025年已发货'!$G:$G&amp;'[1]2025年已发货'!$H:$H,'[1]2025年已发货'!$E:$E,"未发货")</f>
        <v>未发货</v>
      </c>
      <c r="I1883" s="113" t="str">
        <f>VLOOKUP(B1883,辅助信息!E:I,3,FALSE)</f>
        <v>（商投建工达州中医药科技园-4工区-11号楼）达州市通川区达州中医药职业学院犀牛大道北段</v>
      </c>
      <c r="J1883" s="113" t="str">
        <f>VLOOKUP(B1883,辅助信息!E:I,4,FALSE)</f>
        <v>张扬</v>
      </c>
      <c r="K1883" s="113">
        <f>VLOOKUP(J1883,辅助信息!H:I,2,FALSE)</f>
        <v>18381904567</v>
      </c>
      <c r="L1883" s="115" t="str">
        <f>VLOOKUP(B1883,辅助信息!E:J,6,FALSE)</f>
        <v>控制炉批号！多了现场不收！,优先安排达钢,提前联系到场规格及数量</v>
      </c>
      <c r="M1883" s="84">
        <v>45828</v>
      </c>
      <c r="O1883" s="55">
        <f ca="1" t="shared" si="115"/>
        <v>0</v>
      </c>
      <c r="P1883" s="55">
        <f ca="1" t="shared" si="116"/>
        <v>129</v>
      </c>
      <c r="Q1883" s="22" t="str">
        <f>VLOOKUP(B1883,辅助信息!E:M,9,FALSE)</f>
        <v>ZTWM-CDGS-XS-2024-0134-商投建工达州中医药科技成果示范园项目</v>
      </c>
      <c r="R1883" s="22" t="str">
        <f>_xlfn._xlws.FILTER(辅助信息!D:D,辅助信息!E:E=B1883)</f>
        <v>商投建工达州中医药科技园</v>
      </c>
    </row>
    <row r="1884" hidden="1" spans="1:18">
      <c r="A1884" s="75"/>
      <c r="B1884" s="113" t="s">
        <v>147</v>
      </c>
      <c r="C1884" s="63">
        <v>45826</v>
      </c>
      <c r="D1884" s="113" t="str">
        <f>VLOOKUP(B1884,辅助信息!E:K,7,FALSE)</f>
        <v>JWDDCD2025052800131</v>
      </c>
      <c r="E1884" s="113" t="str">
        <f>VLOOKUP(F1884,辅助信息!A:B,2,FALSE)</f>
        <v>螺纹钢</v>
      </c>
      <c r="F1884" s="113" t="s">
        <v>32</v>
      </c>
      <c r="G1884" s="114">
        <v>12</v>
      </c>
      <c r="H1884" s="114" t="str">
        <f>_xlfn.XLOOKUP(C1884&amp;F1884&amp;I1884&amp;J1884,'[1]2025年已发货'!$F:$F&amp;'[1]2025年已发货'!$C:$C&amp;'[1]2025年已发货'!$G:$G&amp;'[1]2025年已发货'!$H:$H,'[1]2025年已发货'!$E:$E,"未发货")</f>
        <v>未发货</v>
      </c>
      <c r="I1884" s="113" t="str">
        <f>VLOOKUP(B1884,辅助信息!E:I,3,FALSE)</f>
        <v>（商投建工达州中医药科技园-4工区-11号楼）达州市通川区达州中医药职业学院犀牛大道北段</v>
      </c>
      <c r="J1884" s="113" t="str">
        <f>VLOOKUP(B1884,辅助信息!E:I,4,FALSE)</f>
        <v>张扬</v>
      </c>
      <c r="K1884" s="113">
        <f>VLOOKUP(J1884,辅助信息!H:I,2,FALSE)</f>
        <v>18381904567</v>
      </c>
      <c r="L1884" s="115" t="str">
        <f>VLOOKUP(B1884,辅助信息!E:J,6,FALSE)</f>
        <v>控制炉批号！多了现场不收！,优先安排达钢,提前联系到场规格及数量</v>
      </c>
      <c r="M1884" s="84">
        <v>45828</v>
      </c>
      <c r="O1884" s="55">
        <f ca="1" t="shared" si="115"/>
        <v>0</v>
      </c>
      <c r="P1884" s="55">
        <f ca="1" t="shared" si="116"/>
        <v>129</v>
      </c>
      <c r="Q1884" s="22" t="str">
        <f>VLOOKUP(B1884,辅助信息!E:M,9,FALSE)</f>
        <v>ZTWM-CDGS-XS-2024-0134-商投建工达州中医药科技成果示范园项目</v>
      </c>
      <c r="R1884" s="22" t="str">
        <f>_xlfn._xlws.FILTER(辅助信息!D:D,辅助信息!E:E=B1884)</f>
        <v>商投建工达州中医药科技园</v>
      </c>
    </row>
    <row r="1885" hidden="1" spans="1:18">
      <c r="A1885" s="75"/>
      <c r="B1885" s="113" t="s">
        <v>147</v>
      </c>
      <c r="C1885" s="63">
        <v>45826</v>
      </c>
      <c r="D1885" s="113" t="str">
        <f>VLOOKUP(B1885,辅助信息!E:K,7,FALSE)</f>
        <v>JWDDCD2025052800131</v>
      </c>
      <c r="E1885" s="113" t="str">
        <f>VLOOKUP(F1885,辅助信息!A:B,2,FALSE)</f>
        <v>螺纹钢</v>
      </c>
      <c r="F1885" s="113" t="s">
        <v>30</v>
      </c>
      <c r="G1885" s="114">
        <v>3</v>
      </c>
      <c r="H1885" s="114" t="str">
        <f>_xlfn.XLOOKUP(C1885&amp;F1885&amp;I1885&amp;J1885,'[1]2025年已发货'!$F:$F&amp;'[1]2025年已发货'!$C:$C&amp;'[1]2025年已发货'!$G:$G&amp;'[1]2025年已发货'!$H:$H,'[1]2025年已发货'!$E:$E,"未发货")</f>
        <v>未发货</v>
      </c>
      <c r="I1885" s="113" t="str">
        <f>VLOOKUP(B1885,辅助信息!E:I,3,FALSE)</f>
        <v>（商投建工达州中医药科技园-4工区-11号楼）达州市通川区达州中医药职业学院犀牛大道北段</v>
      </c>
      <c r="J1885" s="113" t="str">
        <f>VLOOKUP(B1885,辅助信息!E:I,4,FALSE)</f>
        <v>张扬</v>
      </c>
      <c r="K1885" s="113">
        <f>VLOOKUP(J1885,辅助信息!H:I,2,FALSE)</f>
        <v>18381904567</v>
      </c>
      <c r="L1885" s="115" t="str">
        <f>VLOOKUP(B1885,辅助信息!E:J,6,FALSE)</f>
        <v>控制炉批号！多了现场不收！,优先安排达钢,提前联系到场规格及数量</v>
      </c>
      <c r="M1885" s="84">
        <v>45828</v>
      </c>
      <c r="O1885" s="55">
        <f ca="1" t="shared" si="115"/>
        <v>0</v>
      </c>
      <c r="P1885" s="55">
        <f ca="1" t="shared" si="116"/>
        <v>129</v>
      </c>
      <c r="Q1885" s="22" t="str">
        <f>VLOOKUP(B1885,辅助信息!E:M,9,FALSE)</f>
        <v>ZTWM-CDGS-XS-2024-0134-商投建工达州中医药科技成果示范园项目</v>
      </c>
      <c r="R1885" s="22" t="str">
        <f>_xlfn._xlws.FILTER(辅助信息!D:D,辅助信息!E:E=B1885)</f>
        <v>商投建工达州中医药科技园</v>
      </c>
    </row>
    <row r="1886" hidden="1" spans="1:18">
      <c r="A1886" s="75"/>
      <c r="B1886" s="113" t="s">
        <v>147</v>
      </c>
      <c r="C1886" s="63">
        <v>45826</v>
      </c>
      <c r="D1886" s="113" t="str">
        <f>VLOOKUP(B1886,辅助信息!E:K,7,FALSE)</f>
        <v>JWDDCD2025052800131</v>
      </c>
      <c r="E1886" s="113" t="str">
        <f>VLOOKUP(F1886,辅助信息!A:B,2,FALSE)</f>
        <v>螺纹钢</v>
      </c>
      <c r="F1886" s="113" t="s">
        <v>28</v>
      </c>
      <c r="G1886" s="114">
        <v>3</v>
      </c>
      <c r="H1886" s="114" t="str">
        <f>_xlfn.XLOOKUP(C1886&amp;F1886&amp;I1886&amp;J1886,'[1]2025年已发货'!$F:$F&amp;'[1]2025年已发货'!$C:$C&amp;'[1]2025年已发货'!$G:$G&amp;'[1]2025年已发货'!$H:$H,'[1]2025年已发货'!$E:$E,"未发货")</f>
        <v>未发货</v>
      </c>
      <c r="I1886" s="113" t="str">
        <f>VLOOKUP(B1886,辅助信息!E:I,3,FALSE)</f>
        <v>（商投建工达州中医药科技园-4工区-11号楼）达州市通川区达州中医药职业学院犀牛大道北段</v>
      </c>
      <c r="J1886" s="113" t="str">
        <f>VLOOKUP(B1886,辅助信息!E:I,4,FALSE)</f>
        <v>张扬</v>
      </c>
      <c r="K1886" s="113">
        <f>VLOOKUP(J1886,辅助信息!H:I,2,FALSE)</f>
        <v>18381904567</v>
      </c>
      <c r="L1886" s="115" t="str">
        <f>VLOOKUP(B1886,辅助信息!E:J,6,FALSE)</f>
        <v>控制炉批号！多了现场不收！,优先安排达钢,提前联系到场规格及数量</v>
      </c>
      <c r="M1886" s="84">
        <v>45828</v>
      </c>
      <c r="O1886" s="55">
        <f ca="1" t="shared" si="115"/>
        <v>0</v>
      </c>
      <c r="P1886" s="55">
        <f ca="1" t="shared" si="116"/>
        <v>129</v>
      </c>
      <c r="Q1886" s="22" t="str">
        <f>VLOOKUP(B1886,辅助信息!E:M,9,FALSE)</f>
        <v>ZTWM-CDGS-XS-2024-0134-商投建工达州中医药科技成果示范园项目</v>
      </c>
      <c r="R1886" s="22" t="str">
        <f>_xlfn._xlws.FILTER(辅助信息!D:D,辅助信息!E:E=B1886)</f>
        <v>商投建工达州中医药科技园</v>
      </c>
    </row>
    <row r="1887" hidden="1" spans="1:18">
      <c r="A1887" s="75"/>
      <c r="B1887" s="113" t="s">
        <v>147</v>
      </c>
      <c r="C1887" s="63">
        <v>45826</v>
      </c>
      <c r="D1887" s="113" t="str">
        <f>VLOOKUP(B1887,辅助信息!E:K,7,FALSE)</f>
        <v>JWDDCD2025052800131</v>
      </c>
      <c r="E1887" s="113" t="str">
        <f>VLOOKUP(F1887,辅助信息!A:B,2,FALSE)</f>
        <v>螺纹钢</v>
      </c>
      <c r="F1887" s="113" t="s">
        <v>18</v>
      </c>
      <c r="G1887" s="114">
        <v>15</v>
      </c>
      <c r="H1887" s="114" t="str">
        <f>_xlfn.XLOOKUP(C1887&amp;F1887&amp;I1887&amp;J1887,'[1]2025年已发货'!$F:$F&amp;'[1]2025年已发货'!$C:$C&amp;'[1]2025年已发货'!$G:$G&amp;'[1]2025年已发货'!$H:$H,'[1]2025年已发货'!$E:$E,"未发货")</f>
        <v>未发货</v>
      </c>
      <c r="I1887" s="113" t="str">
        <f>VLOOKUP(B1887,辅助信息!E:I,3,FALSE)</f>
        <v>（商投建工达州中医药科技园-4工区-11号楼）达州市通川区达州中医药职业学院犀牛大道北段</v>
      </c>
      <c r="J1887" s="113" t="str">
        <f>VLOOKUP(B1887,辅助信息!E:I,4,FALSE)</f>
        <v>张扬</v>
      </c>
      <c r="K1887" s="113">
        <f>VLOOKUP(J1887,辅助信息!H:I,2,FALSE)</f>
        <v>18381904567</v>
      </c>
      <c r="L1887" s="115" t="str">
        <f>VLOOKUP(B1887,辅助信息!E:J,6,FALSE)</f>
        <v>控制炉批号！多了现场不收！,优先安排达钢,提前联系到场规格及数量</v>
      </c>
      <c r="M1887" s="84">
        <v>45828</v>
      </c>
      <c r="O1887" s="55">
        <f ca="1" t="shared" si="115"/>
        <v>0</v>
      </c>
      <c r="P1887" s="55">
        <f ca="1" t="shared" si="116"/>
        <v>129</v>
      </c>
      <c r="Q1887" s="22" t="str">
        <f>VLOOKUP(B1887,辅助信息!E:M,9,FALSE)</f>
        <v>ZTWM-CDGS-XS-2024-0134-商投建工达州中医药科技成果示范园项目</v>
      </c>
      <c r="R1887" s="22" t="str">
        <f>_xlfn._xlws.FILTER(辅助信息!D:D,辅助信息!E:E=B1887)</f>
        <v>商投建工达州中医药科技园</v>
      </c>
    </row>
    <row r="1888" hidden="1" spans="1:18">
      <c r="A1888" s="75" t="s">
        <v>173</v>
      </c>
      <c r="B1888" s="113" t="s">
        <v>163</v>
      </c>
      <c r="C1888" s="63">
        <v>45826</v>
      </c>
      <c r="D1888" s="113" t="str">
        <f>VLOOKUP(B1888,辅助信息!E:K,7,FALSE)</f>
        <v>JWDDCD2025052800131</v>
      </c>
      <c r="E1888" s="113" t="str">
        <f>VLOOKUP(F1888,辅助信息!A:B,2,FALSE)</f>
        <v>盘螺</v>
      </c>
      <c r="F1888" s="113" t="s">
        <v>40</v>
      </c>
      <c r="G1888" s="114">
        <v>18</v>
      </c>
      <c r="H1888" s="114" t="str">
        <f>_xlfn.XLOOKUP(C1888&amp;F1888&amp;I1888&amp;J1888,'[1]2025年已发货'!$F:$F&amp;'[1]2025年已发货'!$C:$C&amp;'[1]2025年已发货'!$G:$G&amp;'[1]2025年已发货'!$H:$H,'[1]2025年已发货'!$E:$E,"未发货")</f>
        <v>未发货</v>
      </c>
      <c r="I1888" s="113" t="str">
        <f>VLOOKUP(B1888,辅助信息!E:I,3,FALSE)</f>
        <v>（商投建工达州中医药科技园-4工区-9号楼）达州市通川区达州中医药职业学院犀牛大道北段</v>
      </c>
      <c r="J1888" s="113" t="str">
        <f>VLOOKUP(B1888,辅助信息!E:I,4,FALSE)</f>
        <v>张扬</v>
      </c>
      <c r="K1888" s="113">
        <f>VLOOKUP(J1888,辅助信息!H:I,2,FALSE)</f>
        <v>18381904567</v>
      </c>
      <c r="L1888" s="115" t="str">
        <f>VLOOKUP(B1888,辅助信息!E:J,6,FALSE)</f>
        <v>控制炉批号！多了现场不收！,优先安排达钢,提前联系到场规格及数量</v>
      </c>
      <c r="M1888" s="84">
        <v>45828</v>
      </c>
      <c r="O1888" s="55">
        <f ca="1" t="shared" ref="O1888:O1908" si="117">IF(OR(M1888="",N1888&lt;&gt;""),"",MAX(M1888-TODAY(),0))</f>
        <v>0</v>
      </c>
      <c r="P1888" s="55">
        <f ca="1" t="shared" ref="P1888:P1908" si="118">IF(M1888="","",IF(N1888&lt;&gt;"",MAX(N1888-M1888,0),IF(TODAY()&gt;M1888,TODAY()-M1888,0)))</f>
        <v>129</v>
      </c>
      <c r="Q1888" s="22" t="str">
        <f>VLOOKUP(B1888,辅助信息!E:M,9,FALSE)</f>
        <v>ZTWM-CDGS-XS-2024-0134-商投建工达州中医药科技成果示范园项目</v>
      </c>
      <c r="R1888" s="22" t="str">
        <f>_xlfn._xlws.FILTER(辅助信息!D:D,辅助信息!E:E=B1888)</f>
        <v>商投建工达州中医药科技园</v>
      </c>
    </row>
    <row r="1889" hidden="1" spans="1:18">
      <c r="A1889" s="75"/>
      <c r="B1889" s="113" t="s">
        <v>163</v>
      </c>
      <c r="C1889" s="63">
        <v>45826</v>
      </c>
      <c r="D1889" s="113" t="str">
        <f>VLOOKUP(B1889,辅助信息!E:K,7,FALSE)</f>
        <v>JWDDCD2025052800131</v>
      </c>
      <c r="E1889" s="113" t="str">
        <f>VLOOKUP(F1889,辅助信息!A:B,2,FALSE)</f>
        <v>螺纹钢</v>
      </c>
      <c r="F1889" s="113" t="s">
        <v>32</v>
      </c>
      <c r="G1889" s="114">
        <v>6</v>
      </c>
      <c r="H1889" s="114" t="str">
        <f>_xlfn.XLOOKUP(C1889&amp;F1889&amp;I1889&amp;J1889,'[1]2025年已发货'!$F:$F&amp;'[1]2025年已发货'!$C:$C&amp;'[1]2025年已发货'!$G:$G&amp;'[1]2025年已发货'!$H:$H,'[1]2025年已发货'!$E:$E,"未发货")</f>
        <v>未发货</v>
      </c>
      <c r="I1889" s="113" t="str">
        <f>VLOOKUP(B1889,辅助信息!E:I,3,FALSE)</f>
        <v>（商投建工达州中医药科技园-4工区-9号楼）达州市通川区达州中医药职业学院犀牛大道北段</v>
      </c>
      <c r="J1889" s="113" t="str">
        <f>VLOOKUP(B1889,辅助信息!E:I,4,FALSE)</f>
        <v>张扬</v>
      </c>
      <c r="K1889" s="113">
        <f>VLOOKUP(J1889,辅助信息!H:I,2,FALSE)</f>
        <v>18381904567</v>
      </c>
      <c r="L1889" s="115" t="str">
        <f>VLOOKUP(B1889,辅助信息!E:J,6,FALSE)</f>
        <v>控制炉批号！多了现场不收！,优先安排达钢,提前联系到场规格及数量</v>
      </c>
      <c r="M1889" s="84">
        <v>45828</v>
      </c>
      <c r="O1889" s="55">
        <f ca="1" t="shared" si="117"/>
        <v>0</v>
      </c>
      <c r="P1889" s="55">
        <f ca="1" t="shared" si="118"/>
        <v>129</v>
      </c>
      <c r="Q1889" s="22" t="str">
        <f>VLOOKUP(B1889,辅助信息!E:M,9,FALSE)</f>
        <v>ZTWM-CDGS-XS-2024-0134-商投建工达州中医药科技成果示范园项目</v>
      </c>
      <c r="R1889" s="22" t="str">
        <f>_xlfn._xlws.FILTER(辅助信息!D:D,辅助信息!E:E=B1889)</f>
        <v>商投建工达州中医药科技园</v>
      </c>
    </row>
    <row r="1890" hidden="1" spans="1:18">
      <c r="A1890" s="75"/>
      <c r="B1890" s="113" t="s">
        <v>163</v>
      </c>
      <c r="C1890" s="63">
        <v>45826</v>
      </c>
      <c r="D1890" s="113" t="str">
        <f>VLOOKUP(B1890,辅助信息!E:K,7,FALSE)</f>
        <v>JWDDCD2025052800131</v>
      </c>
      <c r="E1890" s="113" t="str">
        <f>VLOOKUP(F1890,辅助信息!A:B,2,FALSE)</f>
        <v>螺纹钢</v>
      </c>
      <c r="F1890" s="113" t="s">
        <v>30</v>
      </c>
      <c r="G1890" s="114">
        <f>6+9</f>
        <v>15</v>
      </c>
      <c r="H1890" s="114" t="str">
        <f>_xlfn.XLOOKUP(C1890&amp;F1890&amp;I1890&amp;J1890,'[1]2025年已发货'!$F:$F&amp;'[1]2025年已发货'!$C:$C&amp;'[1]2025年已发货'!$G:$G&amp;'[1]2025年已发货'!$H:$H,'[1]2025年已发货'!$E:$E,"未发货")</f>
        <v>未发货</v>
      </c>
      <c r="I1890" s="113" t="str">
        <f>VLOOKUP(B1890,辅助信息!E:I,3,FALSE)</f>
        <v>（商投建工达州中医药科技园-4工区-9号楼）达州市通川区达州中医药职业学院犀牛大道北段</v>
      </c>
      <c r="J1890" s="113" t="str">
        <f>VLOOKUP(B1890,辅助信息!E:I,4,FALSE)</f>
        <v>张扬</v>
      </c>
      <c r="K1890" s="113">
        <f>VLOOKUP(J1890,辅助信息!H:I,2,FALSE)</f>
        <v>18381904567</v>
      </c>
      <c r="L1890" s="115" t="str">
        <f>VLOOKUP(B1890,辅助信息!E:J,6,FALSE)</f>
        <v>控制炉批号！多了现场不收！,优先安排达钢,提前联系到场规格及数量</v>
      </c>
      <c r="M1890" s="84">
        <v>45828</v>
      </c>
      <c r="O1890" s="55">
        <f ca="1" t="shared" si="117"/>
        <v>0</v>
      </c>
      <c r="P1890" s="55">
        <f ca="1" t="shared" si="118"/>
        <v>129</v>
      </c>
      <c r="Q1890" s="22" t="str">
        <f>VLOOKUP(B1890,辅助信息!E:M,9,FALSE)</f>
        <v>ZTWM-CDGS-XS-2024-0134-商投建工达州中医药科技成果示范园项目</v>
      </c>
      <c r="R1890" s="22" t="str">
        <f>_xlfn._xlws.FILTER(辅助信息!D:D,辅助信息!E:E=B1890)</f>
        <v>商投建工达州中医药科技园</v>
      </c>
    </row>
    <row r="1891" hidden="1" spans="2:18">
      <c r="B1891" s="33" t="s">
        <v>81</v>
      </c>
      <c r="C1891" s="63">
        <v>45826</v>
      </c>
      <c r="D1891" s="113" t="str">
        <f>VLOOKUP(B1891,辅助信息!E:K,7,FALSE)</f>
        <v>JWDDCD2025060900080</v>
      </c>
      <c r="E1891" s="113" t="str">
        <f>VLOOKUP(F1891,辅助信息!A:B,2,FALSE)</f>
        <v>盘螺</v>
      </c>
      <c r="F1891" s="33" t="s">
        <v>40</v>
      </c>
      <c r="G1891" s="29">
        <v>5</v>
      </c>
      <c r="H1891" s="114" t="str">
        <f>_xlfn.XLOOKUP(C1891&amp;F1891&amp;I1891&amp;J1891,'[1]2025年已发货'!$F:$F&amp;'[1]2025年已发货'!$C:$C&amp;'[1]2025年已发货'!$G:$G&amp;'[1]2025年已发货'!$H:$H,'[1]2025年已发货'!$E:$E,"未发货")</f>
        <v>未发货</v>
      </c>
      <c r="I1891" s="113" t="str">
        <f>VLOOKUP(B1891,辅助信息!E:I,3,FALSE)</f>
        <v>（华西简阳西城嘉苑）四川省成都市简阳市简城街道高屋村</v>
      </c>
      <c r="J1891" s="113" t="str">
        <f>VLOOKUP(B1891,辅助信息!E:I,4,FALSE)</f>
        <v>张瀚镭</v>
      </c>
      <c r="K1891" s="113">
        <f>VLOOKUP(J1891,辅助信息!H:I,2,FALSE)</f>
        <v>15884666220</v>
      </c>
      <c r="L1891" s="115" t="str">
        <f>VLOOKUP(B1891,辅助信息!E:J,6,FALSE)</f>
        <v>现场禁止使用氢能源挂车！优先威钢发货,我方卸车,新老国标钢厂不加价可直发，因陕钢多次出现磅差，项目拒绝使用</v>
      </c>
      <c r="M1891" s="84">
        <v>45828</v>
      </c>
      <c r="O1891" s="55">
        <f ca="1" t="shared" si="117"/>
        <v>0</v>
      </c>
      <c r="P1891" s="55">
        <f ca="1" t="shared" si="118"/>
        <v>129</v>
      </c>
      <c r="Q1891" s="22" t="str">
        <f>VLOOKUP(B1891,辅助信息!E:M,9,FALSE)</f>
        <v>ZTWM-CDGS-XS-2024-0030-华西集采-简州大道</v>
      </c>
      <c r="R1891" s="22" t="str">
        <f>_xlfn._xlws.FILTER(辅助信息!D:D,辅助信息!E:E=B1891)</f>
        <v>华西简阳西城嘉苑</v>
      </c>
    </row>
    <row r="1892" hidden="1" spans="2:18">
      <c r="B1892" s="33" t="s">
        <v>81</v>
      </c>
      <c r="C1892" s="63">
        <v>45826</v>
      </c>
      <c r="D1892" s="113" t="str">
        <f>VLOOKUP(B1892,辅助信息!E:K,7,FALSE)</f>
        <v>JWDDCD2025060900080</v>
      </c>
      <c r="E1892" s="113" t="str">
        <f>VLOOKUP(F1892,辅助信息!A:B,2,FALSE)</f>
        <v>螺纹钢</v>
      </c>
      <c r="F1892" s="33" t="s">
        <v>19</v>
      </c>
      <c r="G1892" s="29">
        <v>66</v>
      </c>
      <c r="H1892" s="114" t="str">
        <f>_xlfn.XLOOKUP(C1892&amp;F1892&amp;I1892&amp;J1892,'[1]2025年已发货'!$F:$F&amp;'[1]2025年已发货'!$C:$C&amp;'[1]2025年已发货'!$G:$G&amp;'[1]2025年已发货'!$H:$H,'[1]2025年已发货'!$E:$E,"未发货")</f>
        <v>未发货</v>
      </c>
      <c r="I1892" s="113" t="str">
        <f>VLOOKUP(B1892,辅助信息!E:I,3,FALSE)</f>
        <v>（华西简阳西城嘉苑）四川省成都市简阳市简城街道高屋村</v>
      </c>
      <c r="J1892" s="113" t="str">
        <f>VLOOKUP(B1892,辅助信息!E:I,4,FALSE)</f>
        <v>张瀚镭</v>
      </c>
      <c r="K1892" s="113">
        <f>VLOOKUP(J1892,辅助信息!H:I,2,FALSE)</f>
        <v>15884666220</v>
      </c>
      <c r="L1892" s="115" t="str">
        <f>VLOOKUP(B1892,辅助信息!E:J,6,FALSE)</f>
        <v>现场禁止使用氢能源挂车！优先威钢发货,我方卸车,新老国标钢厂不加价可直发，因陕钢多次出现磅差，项目拒绝使用</v>
      </c>
      <c r="M1892" s="84">
        <v>45828</v>
      </c>
      <c r="O1892" s="55">
        <f ca="1" t="shared" si="117"/>
        <v>0</v>
      </c>
      <c r="P1892" s="55">
        <f ca="1" t="shared" si="118"/>
        <v>129</v>
      </c>
      <c r="Q1892" s="22" t="str">
        <f>VLOOKUP(B1892,辅助信息!E:M,9,FALSE)</f>
        <v>ZTWM-CDGS-XS-2024-0030-华西集采-简州大道</v>
      </c>
      <c r="R1892" s="22" t="str">
        <f>_xlfn._xlws.FILTER(辅助信息!D:D,辅助信息!E:E=B1892)</f>
        <v>华西简阳西城嘉苑</v>
      </c>
    </row>
    <row r="1893" hidden="1" spans="2:18">
      <c r="B1893" s="33" t="s">
        <v>81</v>
      </c>
      <c r="C1893" s="63">
        <v>45826</v>
      </c>
      <c r="D1893" s="113" t="str">
        <f>VLOOKUP(B1893,辅助信息!E:K,7,FALSE)</f>
        <v>JWDDCD2025060900080</v>
      </c>
      <c r="E1893" s="113" t="str">
        <f>VLOOKUP(F1893,辅助信息!A:B,2,FALSE)</f>
        <v>螺纹钢</v>
      </c>
      <c r="F1893" s="33" t="s">
        <v>32</v>
      </c>
      <c r="G1893" s="29">
        <v>3</v>
      </c>
      <c r="H1893" s="114" t="str">
        <f>_xlfn.XLOOKUP(C1893&amp;F1893&amp;I1893&amp;J1893,'[1]2025年已发货'!$F:$F&amp;'[1]2025年已发货'!$C:$C&amp;'[1]2025年已发货'!$G:$G&amp;'[1]2025年已发货'!$H:$H,'[1]2025年已发货'!$E:$E,"未发货")</f>
        <v>未发货</v>
      </c>
      <c r="I1893" s="113" t="str">
        <f>VLOOKUP(B1893,辅助信息!E:I,3,FALSE)</f>
        <v>（华西简阳西城嘉苑）四川省成都市简阳市简城街道高屋村</v>
      </c>
      <c r="J1893" s="113" t="str">
        <f>VLOOKUP(B1893,辅助信息!E:I,4,FALSE)</f>
        <v>张瀚镭</v>
      </c>
      <c r="K1893" s="113">
        <f>VLOOKUP(J1893,辅助信息!H:I,2,FALSE)</f>
        <v>15884666220</v>
      </c>
      <c r="L1893" s="115" t="str">
        <f>VLOOKUP(B1893,辅助信息!E:J,6,FALSE)</f>
        <v>现场禁止使用氢能源挂车！优先威钢发货,我方卸车,新老国标钢厂不加价可直发，因陕钢多次出现磅差，项目拒绝使用</v>
      </c>
      <c r="M1893" s="84">
        <v>45828</v>
      </c>
      <c r="O1893" s="55">
        <f ca="1" t="shared" si="117"/>
        <v>0</v>
      </c>
      <c r="P1893" s="55">
        <f ca="1" t="shared" si="118"/>
        <v>129</v>
      </c>
      <c r="Q1893" s="22" t="str">
        <f>VLOOKUP(B1893,辅助信息!E:M,9,FALSE)</f>
        <v>ZTWM-CDGS-XS-2024-0030-华西集采-简州大道</v>
      </c>
      <c r="R1893" s="22" t="str">
        <f>_xlfn._xlws.FILTER(辅助信息!D:D,辅助信息!E:E=B1893)</f>
        <v>华西简阳西城嘉苑</v>
      </c>
    </row>
    <row r="1894" hidden="1" spans="2:18">
      <c r="B1894" s="33" t="s">
        <v>81</v>
      </c>
      <c r="C1894" s="63">
        <v>45826</v>
      </c>
      <c r="D1894" s="113" t="str">
        <f>VLOOKUP(B1894,辅助信息!E:K,7,FALSE)</f>
        <v>JWDDCD2025060900080</v>
      </c>
      <c r="E1894" s="113" t="str">
        <f>VLOOKUP(F1894,辅助信息!A:B,2,FALSE)</f>
        <v>螺纹钢</v>
      </c>
      <c r="F1894" s="33" t="s">
        <v>30</v>
      </c>
      <c r="G1894" s="29">
        <v>3</v>
      </c>
      <c r="H1894" s="114" t="str">
        <f>_xlfn.XLOOKUP(C1894&amp;F1894&amp;I1894&amp;J1894,'[1]2025年已发货'!$F:$F&amp;'[1]2025年已发货'!$C:$C&amp;'[1]2025年已发货'!$G:$G&amp;'[1]2025年已发货'!$H:$H,'[1]2025年已发货'!$E:$E,"未发货")</f>
        <v>未发货</v>
      </c>
      <c r="I1894" s="113" t="str">
        <f>VLOOKUP(B1894,辅助信息!E:I,3,FALSE)</f>
        <v>（华西简阳西城嘉苑）四川省成都市简阳市简城街道高屋村</v>
      </c>
      <c r="J1894" s="113" t="str">
        <f>VLOOKUP(B1894,辅助信息!E:I,4,FALSE)</f>
        <v>张瀚镭</v>
      </c>
      <c r="K1894" s="113">
        <f>VLOOKUP(J1894,辅助信息!H:I,2,FALSE)</f>
        <v>15884666220</v>
      </c>
      <c r="L1894" s="115" t="str">
        <f>VLOOKUP(B1894,辅助信息!E:J,6,FALSE)</f>
        <v>现场禁止使用氢能源挂车！优先威钢发货,我方卸车,新老国标钢厂不加价可直发，因陕钢多次出现磅差，项目拒绝使用</v>
      </c>
      <c r="M1894" s="84">
        <v>45828</v>
      </c>
      <c r="O1894" s="55">
        <f ca="1" t="shared" si="117"/>
        <v>0</v>
      </c>
      <c r="P1894" s="55">
        <f ca="1" t="shared" si="118"/>
        <v>129</v>
      </c>
      <c r="Q1894" s="22" t="str">
        <f>VLOOKUP(B1894,辅助信息!E:M,9,FALSE)</f>
        <v>ZTWM-CDGS-XS-2024-0030-华西集采-简州大道</v>
      </c>
      <c r="R1894" s="22" t="str">
        <f>_xlfn._xlws.FILTER(辅助信息!D:D,辅助信息!E:E=B1894)</f>
        <v>华西简阳西城嘉苑</v>
      </c>
    </row>
    <row r="1895" hidden="1" spans="2:18">
      <c r="B1895" s="33" t="s">
        <v>81</v>
      </c>
      <c r="C1895" s="63">
        <v>45826</v>
      </c>
      <c r="D1895" s="113" t="str">
        <f>VLOOKUP(B1895,辅助信息!E:K,7,FALSE)</f>
        <v>JWDDCD2025060900080</v>
      </c>
      <c r="E1895" s="113" t="str">
        <f>VLOOKUP(F1895,辅助信息!A:B,2,FALSE)</f>
        <v>螺纹钢</v>
      </c>
      <c r="F1895" s="33" t="s">
        <v>33</v>
      </c>
      <c r="G1895" s="29">
        <v>21</v>
      </c>
      <c r="H1895" s="114" t="str">
        <f>_xlfn.XLOOKUP(C1895&amp;F1895&amp;I1895&amp;J1895,'[1]2025年已发货'!$F:$F&amp;'[1]2025年已发货'!$C:$C&amp;'[1]2025年已发货'!$G:$G&amp;'[1]2025年已发货'!$H:$H,'[1]2025年已发货'!$E:$E,"未发货")</f>
        <v>未发货</v>
      </c>
      <c r="I1895" s="113" t="str">
        <f>VLOOKUP(B1895,辅助信息!E:I,3,FALSE)</f>
        <v>（华西简阳西城嘉苑）四川省成都市简阳市简城街道高屋村</v>
      </c>
      <c r="J1895" s="113" t="str">
        <f>VLOOKUP(B1895,辅助信息!E:I,4,FALSE)</f>
        <v>张瀚镭</v>
      </c>
      <c r="K1895" s="113">
        <f>VLOOKUP(J1895,辅助信息!H:I,2,FALSE)</f>
        <v>15884666220</v>
      </c>
      <c r="L1895" s="115" t="str">
        <f>VLOOKUP(B1895,辅助信息!E:J,6,FALSE)</f>
        <v>现场禁止使用氢能源挂车！优先威钢发货,我方卸车,新老国标钢厂不加价可直发，因陕钢多次出现磅差，项目拒绝使用</v>
      </c>
      <c r="M1895" s="84">
        <v>45828</v>
      </c>
      <c r="O1895" s="55">
        <f ca="1" t="shared" si="117"/>
        <v>0</v>
      </c>
      <c r="P1895" s="55">
        <f ca="1" t="shared" si="118"/>
        <v>129</v>
      </c>
      <c r="Q1895" s="22" t="str">
        <f>VLOOKUP(B1895,辅助信息!E:M,9,FALSE)</f>
        <v>ZTWM-CDGS-XS-2024-0030-华西集采-简州大道</v>
      </c>
      <c r="R1895" s="22" t="str">
        <f>_xlfn._xlws.FILTER(辅助信息!D:D,辅助信息!E:E=B1895)</f>
        <v>华西简阳西城嘉苑</v>
      </c>
    </row>
    <row r="1896" hidden="1" spans="2:18">
      <c r="B1896" s="33" t="s">
        <v>81</v>
      </c>
      <c r="C1896" s="63">
        <v>45826</v>
      </c>
      <c r="D1896" s="113" t="str">
        <f>VLOOKUP(B1896,辅助信息!E:K,7,FALSE)</f>
        <v>JWDDCD2025060900080</v>
      </c>
      <c r="E1896" s="113" t="str">
        <f>VLOOKUP(F1896,辅助信息!A:B,2,FALSE)</f>
        <v>螺纹钢</v>
      </c>
      <c r="F1896" s="33" t="s">
        <v>28</v>
      </c>
      <c r="G1896" s="29">
        <v>3</v>
      </c>
      <c r="H1896" s="114" t="str">
        <f>_xlfn.XLOOKUP(C1896&amp;F1896&amp;I1896&amp;J1896,'[1]2025年已发货'!$F:$F&amp;'[1]2025年已发货'!$C:$C&amp;'[1]2025年已发货'!$G:$G&amp;'[1]2025年已发货'!$H:$H,'[1]2025年已发货'!$E:$E,"未发货")</f>
        <v>未发货</v>
      </c>
      <c r="I1896" s="113" t="str">
        <f>VLOOKUP(B1896,辅助信息!E:I,3,FALSE)</f>
        <v>（华西简阳西城嘉苑）四川省成都市简阳市简城街道高屋村</v>
      </c>
      <c r="J1896" s="113" t="str">
        <f>VLOOKUP(B1896,辅助信息!E:I,4,FALSE)</f>
        <v>张瀚镭</v>
      </c>
      <c r="K1896" s="113">
        <f>VLOOKUP(J1896,辅助信息!H:I,2,FALSE)</f>
        <v>15884666220</v>
      </c>
      <c r="L1896" s="115" t="str">
        <f>VLOOKUP(B1896,辅助信息!E:J,6,FALSE)</f>
        <v>现场禁止使用氢能源挂车！优先威钢发货,我方卸车,新老国标钢厂不加价可直发，因陕钢多次出现磅差，项目拒绝使用</v>
      </c>
      <c r="M1896" s="84">
        <v>45828</v>
      </c>
      <c r="O1896" s="55">
        <f ca="1" t="shared" si="117"/>
        <v>0</v>
      </c>
      <c r="P1896" s="55">
        <f ca="1" t="shared" si="118"/>
        <v>129</v>
      </c>
      <c r="Q1896" s="22" t="str">
        <f>VLOOKUP(B1896,辅助信息!E:M,9,FALSE)</f>
        <v>ZTWM-CDGS-XS-2024-0030-华西集采-简州大道</v>
      </c>
      <c r="R1896" s="22" t="str">
        <f>_xlfn._xlws.FILTER(辅助信息!D:D,辅助信息!E:E=B1896)</f>
        <v>华西简阳西城嘉苑</v>
      </c>
    </row>
    <row r="1897" hidden="1" spans="2:18">
      <c r="B1897" s="76" t="s">
        <v>81</v>
      </c>
      <c r="C1897" s="77">
        <v>45826</v>
      </c>
      <c r="D1897" s="117" t="str">
        <f>VLOOKUP(B1897,辅助信息!E:K,7,FALSE)</f>
        <v>JWDDCD2025060900080</v>
      </c>
      <c r="E1897" s="117" t="str">
        <f>VLOOKUP(F1897,辅助信息!A:B,2,FALSE)</f>
        <v>螺纹钢</v>
      </c>
      <c r="F1897" s="76" t="s">
        <v>18</v>
      </c>
      <c r="G1897" s="78">
        <v>5</v>
      </c>
      <c r="H1897" s="118" t="str">
        <f>_xlfn.XLOOKUP(C1897&amp;F1897&amp;I1897&amp;J1897,'[1]2025年已发货'!$F:$F&amp;'[1]2025年已发货'!$C:$C&amp;'[1]2025年已发货'!$G:$G&amp;'[1]2025年已发货'!$H:$H,'[1]2025年已发货'!$E:$E,"未发货")</f>
        <v>未发货</v>
      </c>
      <c r="I1897" s="113" t="str">
        <f>VLOOKUP(B1897,辅助信息!E:I,3,FALSE)</f>
        <v>（华西简阳西城嘉苑）四川省成都市简阳市简城街道高屋村</v>
      </c>
      <c r="J1897" s="113" t="str">
        <f>VLOOKUP(B1897,辅助信息!E:I,4,FALSE)</f>
        <v>张瀚镭</v>
      </c>
      <c r="K1897" s="113">
        <f>VLOOKUP(J1897,辅助信息!H:I,2,FALSE)</f>
        <v>15884666220</v>
      </c>
      <c r="L1897" s="115" t="str">
        <f>VLOOKUP(B1897,辅助信息!E:J,6,FALSE)</f>
        <v>现场禁止使用氢能源挂车！优先威钢发货,我方卸车,新老国标钢厂不加价可直发，因陕钢多次出现磅差，项目拒绝使用</v>
      </c>
      <c r="M1897" s="84">
        <v>45828</v>
      </c>
      <c r="O1897" s="55">
        <f ca="1" t="shared" si="117"/>
        <v>0</v>
      </c>
      <c r="P1897" s="55">
        <f ca="1" t="shared" si="118"/>
        <v>129</v>
      </c>
      <c r="Q1897" s="22" t="str">
        <f>VLOOKUP(B1897,辅助信息!E:M,9,FALSE)</f>
        <v>ZTWM-CDGS-XS-2024-0030-华西集采-简州大道</v>
      </c>
      <c r="R1897" s="22" t="str">
        <f>_xlfn._xlws.FILTER(辅助信息!D:D,辅助信息!E:E=B1897)</f>
        <v>华西简阳西城嘉苑</v>
      </c>
    </row>
    <row r="1898" hidden="1" spans="1:18">
      <c r="A1898" s="70" t="s">
        <v>174</v>
      </c>
      <c r="B1898" s="33" t="s">
        <v>31</v>
      </c>
      <c r="C1898" s="63">
        <v>45827</v>
      </c>
      <c r="D1898" s="113" t="str">
        <f>VLOOKUP(B1898,辅助信息!E:K,7,FALSE)</f>
        <v>JWDDCD2024121000136</v>
      </c>
      <c r="E1898" s="113" t="str">
        <f>VLOOKUP(F1898,辅助信息!A:B,2,FALSE)</f>
        <v>螺纹钢</v>
      </c>
      <c r="F1898" s="33" t="s">
        <v>18</v>
      </c>
      <c r="G1898" s="29">
        <v>12</v>
      </c>
      <c r="H1898" s="114">
        <f>_xlfn.XLOOKUP(C1898&amp;F1898&amp;I1898&amp;J1898,'[1]2025年已发货'!$F:$F&amp;'[1]2025年已发货'!$C:$C&amp;'[1]2025年已发货'!$G:$G&amp;'[1]2025年已发货'!$H:$H,'[1]2025年已发货'!$E:$E,"未发货")</f>
        <v>12</v>
      </c>
      <c r="I1898" s="113" t="str">
        <f>VLOOKUP(B1898,辅助信息!E:I,3,FALSE)</f>
        <v>（四川商建-射洪城乡一体化项目）遂宁市射洪市忠新幼儿园北侧约220米新溪小区</v>
      </c>
      <c r="J1898" s="113" t="str">
        <f>VLOOKUP(B1898,辅助信息!E:I,4,FALSE)</f>
        <v>柏子刚</v>
      </c>
      <c r="K1898" s="113">
        <f>VLOOKUP(J1898,辅助信息!H:I,2,FALSE)</f>
        <v>15692885305</v>
      </c>
      <c r="L1898" s="115" t="str">
        <f>VLOOKUP(B1898,辅助信息!E:J,6,FALSE)</f>
        <v>提前联系到场规格及数量</v>
      </c>
      <c r="M1898" s="84">
        <v>45828</v>
      </c>
      <c r="O1898" s="55">
        <f ca="1" t="shared" si="117"/>
        <v>0</v>
      </c>
      <c r="P1898" s="55">
        <f ca="1" t="shared" si="118"/>
        <v>129</v>
      </c>
      <c r="Q1898" s="22" t="str">
        <f>VLOOKUP(B1898,辅助信息!E:M,9,FALSE)</f>
        <v>ZTWM-CDGS-XS-2024-0179-四川商投-射洪城乡一体化建设项目</v>
      </c>
      <c r="R1898" s="22" t="str">
        <f>_xlfn._xlws.FILTER(辅助信息!D:D,辅助信息!E:E=B1898)</f>
        <v>四川商建
射洪城乡一体化项目</v>
      </c>
    </row>
    <row r="1899" hidden="1" spans="1:18">
      <c r="A1899" s="70"/>
      <c r="B1899" s="33" t="s">
        <v>31</v>
      </c>
      <c r="C1899" s="63">
        <v>45827</v>
      </c>
      <c r="D1899" s="113" t="str">
        <f>VLOOKUP(B1899,辅助信息!E:K,7,FALSE)</f>
        <v>JWDDCD2024121000136</v>
      </c>
      <c r="E1899" s="113" t="str">
        <f>VLOOKUP(F1899,辅助信息!A:B,2,FALSE)</f>
        <v>螺纹钢</v>
      </c>
      <c r="F1899" s="33" t="s">
        <v>22</v>
      </c>
      <c r="G1899" s="29">
        <v>23</v>
      </c>
      <c r="H1899" s="114">
        <f>_xlfn.XLOOKUP(C1899&amp;F1899&amp;I1899&amp;J1899,'[1]2025年已发货'!$F:$F&amp;'[1]2025年已发货'!$C:$C&amp;'[1]2025年已发货'!$G:$G&amp;'[1]2025年已发货'!$H:$H,'[1]2025年已发货'!$E:$E,"未发货")</f>
        <v>23</v>
      </c>
      <c r="I1899" s="113" t="str">
        <f>VLOOKUP(B1899,辅助信息!E:I,3,FALSE)</f>
        <v>（四川商建-射洪城乡一体化项目）遂宁市射洪市忠新幼儿园北侧约220米新溪小区</v>
      </c>
      <c r="J1899" s="113" t="str">
        <f>VLOOKUP(B1899,辅助信息!E:I,4,FALSE)</f>
        <v>柏子刚</v>
      </c>
      <c r="K1899" s="113">
        <f>VLOOKUP(J1899,辅助信息!H:I,2,FALSE)</f>
        <v>15692885305</v>
      </c>
      <c r="L1899" s="115" t="str">
        <f>VLOOKUP(B1899,辅助信息!E:J,6,FALSE)</f>
        <v>提前联系到场规格及数量</v>
      </c>
      <c r="M1899" s="84">
        <v>45828</v>
      </c>
      <c r="O1899" s="55">
        <f ca="1" t="shared" si="117"/>
        <v>0</v>
      </c>
      <c r="P1899" s="55">
        <f ca="1" t="shared" si="118"/>
        <v>129</v>
      </c>
      <c r="Q1899" s="22" t="str">
        <f>VLOOKUP(B1899,辅助信息!E:M,9,FALSE)</f>
        <v>ZTWM-CDGS-XS-2024-0179-四川商投-射洪城乡一体化建设项目</v>
      </c>
      <c r="R1899" s="22" t="str">
        <f>_xlfn._xlws.FILTER(辅助信息!D:D,辅助信息!E:E=B1899)</f>
        <v>四川商建
射洪城乡一体化项目</v>
      </c>
    </row>
    <row r="1900" hidden="1" spans="1:18">
      <c r="A1900" s="125" t="s">
        <v>172</v>
      </c>
      <c r="B1900" s="113" t="s">
        <v>147</v>
      </c>
      <c r="C1900" s="63">
        <v>45827</v>
      </c>
      <c r="D1900" s="113" t="str">
        <f>VLOOKUP(B1900,辅助信息!E:K,7,FALSE)</f>
        <v>JWDDCD2025052800131</v>
      </c>
      <c r="E1900" s="113" t="str">
        <f>VLOOKUP(F1900,辅助信息!A:B,2,FALSE)</f>
        <v>高线</v>
      </c>
      <c r="F1900" s="113" t="s">
        <v>57</v>
      </c>
      <c r="G1900" s="114">
        <v>9</v>
      </c>
      <c r="H1900" s="114" t="str">
        <f>_xlfn.XLOOKUP(C1900&amp;F1900&amp;I1900&amp;J1900,'[1]2025年已发货'!$F:$F&amp;'[1]2025年已发货'!$C:$C&amp;'[1]2025年已发货'!$G:$G&amp;'[1]2025年已发货'!$H:$H,'[1]2025年已发货'!$E:$E,"未发货")</f>
        <v>未发货</v>
      </c>
      <c r="I1900" s="113" t="str">
        <f>VLOOKUP(B1900,辅助信息!E:I,3,FALSE)</f>
        <v>（商投建工达州中医药科技园-4工区-11号楼）达州市通川区达州中医药职业学院犀牛大道北段</v>
      </c>
      <c r="J1900" s="113" t="str">
        <f>VLOOKUP(B1900,辅助信息!E:I,4,FALSE)</f>
        <v>张扬</v>
      </c>
      <c r="K1900" s="113">
        <f>VLOOKUP(J1900,辅助信息!H:I,2,FALSE)</f>
        <v>18381904567</v>
      </c>
      <c r="L1900" s="115" t="str">
        <f>VLOOKUP(B1900,辅助信息!E:J,6,FALSE)</f>
        <v>控制炉批号！多了现场不收！,优先安排达钢,提前联系到场规格及数量</v>
      </c>
      <c r="M1900" s="84">
        <v>45828</v>
      </c>
      <c r="O1900" s="55">
        <f ca="1" t="shared" si="117"/>
        <v>0</v>
      </c>
      <c r="P1900" s="55">
        <f ca="1" t="shared" si="118"/>
        <v>129</v>
      </c>
      <c r="Q1900" s="22" t="str">
        <f>VLOOKUP(B1900,辅助信息!E:M,9,FALSE)</f>
        <v>ZTWM-CDGS-XS-2024-0134-商投建工达州中医药科技成果示范园项目</v>
      </c>
      <c r="R1900" s="22" t="str">
        <f>_xlfn._xlws.FILTER(辅助信息!D:D,辅助信息!E:E=B1900)</f>
        <v>商投建工达州中医药科技园</v>
      </c>
    </row>
    <row r="1901" hidden="1" spans="1:18">
      <c r="A1901" s="125"/>
      <c r="B1901" s="113" t="s">
        <v>147</v>
      </c>
      <c r="C1901" s="63">
        <v>45827</v>
      </c>
      <c r="D1901" s="113" t="str">
        <f>VLOOKUP(B1901,辅助信息!E:K,7,FALSE)</f>
        <v>JWDDCD2025052800131</v>
      </c>
      <c r="E1901" s="113" t="str">
        <f>VLOOKUP(F1901,辅助信息!A:B,2,FALSE)</f>
        <v>螺纹钢</v>
      </c>
      <c r="F1901" s="113" t="s">
        <v>32</v>
      </c>
      <c r="G1901" s="114">
        <v>12</v>
      </c>
      <c r="H1901" s="114">
        <f>_xlfn.XLOOKUP(C1901&amp;F1901&amp;I1901&amp;J1901,'[1]2025年已发货'!$F:$F&amp;'[1]2025年已发货'!$C:$C&amp;'[1]2025年已发货'!$G:$G&amp;'[1]2025年已发货'!$H:$H,'[1]2025年已发货'!$E:$E,"未发货")</f>
        <v>12</v>
      </c>
      <c r="I1901" s="113" t="str">
        <f>VLOOKUP(B1901,辅助信息!E:I,3,FALSE)</f>
        <v>（商投建工达州中医药科技园-4工区-11号楼）达州市通川区达州中医药职业学院犀牛大道北段</v>
      </c>
      <c r="J1901" s="113" t="str">
        <f>VLOOKUP(B1901,辅助信息!E:I,4,FALSE)</f>
        <v>张扬</v>
      </c>
      <c r="K1901" s="113">
        <f>VLOOKUP(J1901,辅助信息!H:I,2,FALSE)</f>
        <v>18381904567</v>
      </c>
      <c r="L1901" s="115" t="str">
        <f>VLOOKUP(B1901,辅助信息!E:J,6,FALSE)</f>
        <v>控制炉批号！多了现场不收！,优先安排达钢,提前联系到场规格及数量</v>
      </c>
      <c r="M1901" s="84">
        <v>45828</v>
      </c>
      <c r="O1901" s="55">
        <f ca="1" t="shared" si="117"/>
        <v>0</v>
      </c>
      <c r="P1901" s="55">
        <f ca="1" t="shared" si="118"/>
        <v>129</v>
      </c>
      <c r="Q1901" s="22" t="str">
        <f>VLOOKUP(B1901,辅助信息!E:M,9,FALSE)</f>
        <v>ZTWM-CDGS-XS-2024-0134-商投建工达州中医药科技成果示范园项目</v>
      </c>
      <c r="R1901" s="22" t="str">
        <f>_xlfn._xlws.FILTER(辅助信息!D:D,辅助信息!E:E=B1901)</f>
        <v>商投建工达州中医药科技园</v>
      </c>
    </row>
    <row r="1902" hidden="1" spans="1:18">
      <c r="A1902" s="125"/>
      <c r="B1902" s="113" t="s">
        <v>147</v>
      </c>
      <c r="C1902" s="63">
        <v>45827</v>
      </c>
      <c r="D1902" s="113" t="str">
        <f>VLOOKUP(B1902,辅助信息!E:K,7,FALSE)</f>
        <v>JWDDCD2025052800131</v>
      </c>
      <c r="E1902" s="113" t="str">
        <f>VLOOKUP(F1902,辅助信息!A:B,2,FALSE)</f>
        <v>螺纹钢</v>
      </c>
      <c r="F1902" s="113" t="s">
        <v>30</v>
      </c>
      <c r="G1902" s="114">
        <v>3</v>
      </c>
      <c r="H1902" s="114" t="str">
        <f>_xlfn.XLOOKUP(C1902&amp;F1902&amp;I1902&amp;J1902,'[1]2025年已发货'!$F:$F&amp;'[1]2025年已发货'!$C:$C&amp;'[1]2025年已发货'!$G:$G&amp;'[1]2025年已发货'!$H:$H,'[1]2025年已发货'!$E:$E,"未发货")</f>
        <v>未发货</v>
      </c>
      <c r="I1902" s="113" t="str">
        <f>VLOOKUP(B1902,辅助信息!E:I,3,FALSE)</f>
        <v>（商投建工达州中医药科技园-4工区-11号楼）达州市通川区达州中医药职业学院犀牛大道北段</v>
      </c>
      <c r="J1902" s="113" t="str">
        <f>VLOOKUP(B1902,辅助信息!E:I,4,FALSE)</f>
        <v>张扬</v>
      </c>
      <c r="K1902" s="113">
        <f>VLOOKUP(J1902,辅助信息!H:I,2,FALSE)</f>
        <v>18381904567</v>
      </c>
      <c r="L1902" s="115" t="str">
        <f>VLOOKUP(B1902,辅助信息!E:J,6,FALSE)</f>
        <v>控制炉批号！多了现场不收！,优先安排达钢,提前联系到场规格及数量</v>
      </c>
      <c r="M1902" s="84">
        <v>45828</v>
      </c>
      <c r="O1902" s="55">
        <f ca="1" t="shared" si="117"/>
        <v>0</v>
      </c>
      <c r="P1902" s="55">
        <f ca="1" t="shared" si="118"/>
        <v>129</v>
      </c>
      <c r="Q1902" s="22" t="str">
        <f>VLOOKUP(B1902,辅助信息!E:M,9,FALSE)</f>
        <v>ZTWM-CDGS-XS-2024-0134-商投建工达州中医药科技成果示范园项目</v>
      </c>
      <c r="R1902" s="22" t="str">
        <f>_xlfn._xlws.FILTER(辅助信息!D:D,辅助信息!E:E=B1902)</f>
        <v>商投建工达州中医药科技园</v>
      </c>
    </row>
    <row r="1903" hidden="1" spans="1:18">
      <c r="A1903" s="125"/>
      <c r="B1903" s="113" t="s">
        <v>147</v>
      </c>
      <c r="C1903" s="63">
        <v>45827</v>
      </c>
      <c r="D1903" s="113" t="str">
        <f>VLOOKUP(B1903,辅助信息!E:K,7,FALSE)</f>
        <v>JWDDCD2025052800131</v>
      </c>
      <c r="E1903" s="113" t="str">
        <f>VLOOKUP(F1903,辅助信息!A:B,2,FALSE)</f>
        <v>螺纹钢</v>
      </c>
      <c r="F1903" s="113" t="s">
        <v>28</v>
      </c>
      <c r="G1903" s="114">
        <v>3</v>
      </c>
      <c r="H1903" s="114">
        <f>_xlfn.XLOOKUP(C1903&amp;F1903&amp;I1903&amp;J1903,'[1]2025年已发货'!$F:$F&amp;'[1]2025年已发货'!$C:$C&amp;'[1]2025年已发货'!$G:$G&amp;'[1]2025年已发货'!$H:$H,'[1]2025年已发货'!$E:$E,"未发货")</f>
        <v>3</v>
      </c>
      <c r="I1903" s="113" t="str">
        <f>VLOOKUP(B1903,辅助信息!E:I,3,FALSE)</f>
        <v>（商投建工达州中医药科技园-4工区-11号楼）达州市通川区达州中医药职业学院犀牛大道北段</v>
      </c>
      <c r="J1903" s="113" t="str">
        <f>VLOOKUP(B1903,辅助信息!E:I,4,FALSE)</f>
        <v>张扬</v>
      </c>
      <c r="K1903" s="113">
        <f>VLOOKUP(J1903,辅助信息!H:I,2,FALSE)</f>
        <v>18381904567</v>
      </c>
      <c r="L1903" s="115" t="str">
        <f>VLOOKUP(B1903,辅助信息!E:J,6,FALSE)</f>
        <v>控制炉批号！多了现场不收！,优先安排达钢,提前联系到场规格及数量</v>
      </c>
      <c r="M1903" s="84">
        <v>45828</v>
      </c>
      <c r="O1903" s="55">
        <f ca="1" t="shared" ref="O1903:O1918" si="119">IF(OR(M1903="",N1903&lt;&gt;""),"",MAX(M1903-TODAY(),0))</f>
        <v>0</v>
      </c>
      <c r="P1903" s="55">
        <f ca="1" t="shared" ref="P1903:P1918" si="120">IF(M1903="","",IF(N1903&lt;&gt;"",MAX(N1903-M1903,0),IF(TODAY()&gt;M1903,TODAY()-M1903,0)))</f>
        <v>129</v>
      </c>
      <c r="Q1903" s="22" t="str">
        <f>VLOOKUP(B1903,辅助信息!E:M,9,FALSE)</f>
        <v>ZTWM-CDGS-XS-2024-0134-商投建工达州中医药科技成果示范园项目</v>
      </c>
      <c r="R1903" s="22" t="str">
        <f>_xlfn._xlws.FILTER(辅助信息!D:D,辅助信息!E:E=B1903)</f>
        <v>商投建工达州中医药科技园</v>
      </c>
    </row>
    <row r="1904" hidden="1" spans="1:18">
      <c r="A1904" s="125"/>
      <c r="B1904" s="113" t="s">
        <v>147</v>
      </c>
      <c r="C1904" s="63">
        <v>45827</v>
      </c>
      <c r="D1904" s="113" t="str">
        <f>VLOOKUP(B1904,辅助信息!E:K,7,FALSE)</f>
        <v>JWDDCD2025052800131</v>
      </c>
      <c r="E1904" s="113" t="str">
        <f>VLOOKUP(F1904,辅助信息!A:B,2,FALSE)</f>
        <v>螺纹钢</v>
      </c>
      <c r="F1904" s="113" t="s">
        <v>18</v>
      </c>
      <c r="G1904" s="114">
        <v>15</v>
      </c>
      <c r="H1904" s="114">
        <f>_xlfn.XLOOKUP(C1904&amp;F1904&amp;I1904&amp;J1904,'[1]2025年已发货'!$F:$F&amp;'[1]2025年已发货'!$C:$C&amp;'[1]2025年已发货'!$G:$G&amp;'[1]2025年已发货'!$H:$H,'[1]2025年已发货'!$E:$E,"未发货")</f>
        <v>15</v>
      </c>
      <c r="I1904" s="113" t="str">
        <f>VLOOKUP(B1904,辅助信息!E:I,3,FALSE)</f>
        <v>（商投建工达州中医药科技园-4工区-11号楼）达州市通川区达州中医药职业学院犀牛大道北段</v>
      </c>
      <c r="J1904" s="113" t="str">
        <f>VLOOKUP(B1904,辅助信息!E:I,4,FALSE)</f>
        <v>张扬</v>
      </c>
      <c r="K1904" s="113">
        <f>VLOOKUP(J1904,辅助信息!H:I,2,FALSE)</f>
        <v>18381904567</v>
      </c>
      <c r="L1904" s="115" t="str">
        <f>VLOOKUP(B1904,辅助信息!E:J,6,FALSE)</f>
        <v>控制炉批号！多了现场不收！,优先安排达钢,提前联系到场规格及数量</v>
      </c>
      <c r="M1904" s="84">
        <v>45828</v>
      </c>
      <c r="O1904" s="55">
        <f ca="1" t="shared" si="119"/>
        <v>0</v>
      </c>
      <c r="P1904" s="55">
        <f ca="1" t="shared" si="120"/>
        <v>129</v>
      </c>
      <c r="Q1904" s="22" t="str">
        <f>VLOOKUP(B1904,辅助信息!E:M,9,FALSE)</f>
        <v>ZTWM-CDGS-XS-2024-0134-商投建工达州中医药科技成果示范园项目</v>
      </c>
      <c r="R1904" s="22" t="str">
        <f>_xlfn._xlws.FILTER(辅助信息!D:D,辅助信息!E:E=B1904)</f>
        <v>商投建工达州中医药科技园</v>
      </c>
    </row>
    <row r="1905" hidden="1" spans="1:18">
      <c r="A1905" s="125" t="s">
        <v>173</v>
      </c>
      <c r="B1905" s="113" t="s">
        <v>163</v>
      </c>
      <c r="C1905" s="63">
        <v>45827</v>
      </c>
      <c r="D1905" s="113" t="str">
        <f>VLOOKUP(B1905,辅助信息!E:K,7,FALSE)</f>
        <v>JWDDCD2025052800131</v>
      </c>
      <c r="E1905" s="113" t="str">
        <f>VLOOKUP(F1905,辅助信息!A:B,2,FALSE)</f>
        <v>盘螺</v>
      </c>
      <c r="F1905" s="113" t="s">
        <v>40</v>
      </c>
      <c r="G1905" s="114">
        <v>18</v>
      </c>
      <c r="H1905" s="114">
        <f>_xlfn.XLOOKUP(C1905&amp;F1905&amp;I1905&amp;J1905,'[1]2025年已发货'!$F:$F&amp;'[1]2025年已发货'!$C:$C&amp;'[1]2025年已发货'!$G:$G&amp;'[1]2025年已发货'!$H:$H,'[1]2025年已发货'!$E:$E,"未发货")</f>
        <v>18</v>
      </c>
      <c r="I1905" s="113" t="str">
        <f>VLOOKUP(B1905,辅助信息!E:I,3,FALSE)</f>
        <v>（商投建工达州中医药科技园-4工区-9号楼）达州市通川区达州中医药职业学院犀牛大道北段</v>
      </c>
      <c r="J1905" s="113" t="str">
        <f>VLOOKUP(B1905,辅助信息!E:I,4,FALSE)</f>
        <v>张扬</v>
      </c>
      <c r="K1905" s="113">
        <f>VLOOKUP(J1905,辅助信息!H:I,2,FALSE)</f>
        <v>18381904567</v>
      </c>
      <c r="L1905" s="115" t="str">
        <f>VLOOKUP(B1905,辅助信息!E:J,6,FALSE)</f>
        <v>控制炉批号！多了现场不收！,优先安排达钢,提前联系到场规格及数量</v>
      </c>
      <c r="M1905" s="84">
        <v>45828</v>
      </c>
      <c r="O1905" s="55">
        <f ca="1" t="shared" si="119"/>
        <v>0</v>
      </c>
      <c r="P1905" s="55">
        <f ca="1" t="shared" si="120"/>
        <v>129</v>
      </c>
      <c r="Q1905" s="22" t="str">
        <f>VLOOKUP(B1905,辅助信息!E:M,9,FALSE)</f>
        <v>ZTWM-CDGS-XS-2024-0134-商投建工达州中医药科技成果示范园项目</v>
      </c>
      <c r="R1905" s="22" t="str">
        <f>_xlfn._xlws.FILTER(辅助信息!D:D,辅助信息!E:E=B1905)</f>
        <v>商投建工达州中医药科技园</v>
      </c>
    </row>
    <row r="1906" hidden="1" spans="1:18">
      <c r="A1906" s="125"/>
      <c r="B1906" s="113" t="s">
        <v>163</v>
      </c>
      <c r="C1906" s="63">
        <v>45827</v>
      </c>
      <c r="D1906" s="113" t="str">
        <f>VLOOKUP(B1906,辅助信息!E:K,7,FALSE)</f>
        <v>JWDDCD2025052800131</v>
      </c>
      <c r="E1906" s="113" t="str">
        <f>VLOOKUP(F1906,辅助信息!A:B,2,FALSE)</f>
        <v>螺纹钢</v>
      </c>
      <c r="F1906" s="113" t="s">
        <v>32</v>
      </c>
      <c r="G1906" s="114">
        <v>6</v>
      </c>
      <c r="H1906" s="114">
        <f>_xlfn.XLOOKUP(C1906&amp;F1906&amp;I1906&amp;J1906,'[1]2025年已发货'!$F:$F&amp;'[1]2025年已发货'!$C:$C&amp;'[1]2025年已发货'!$G:$G&amp;'[1]2025年已发货'!$H:$H,'[1]2025年已发货'!$E:$E,"未发货")</f>
        <v>6</v>
      </c>
      <c r="I1906" s="113" t="str">
        <f>VLOOKUP(B1906,辅助信息!E:I,3,FALSE)</f>
        <v>（商投建工达州中医药科技园-4工区-9号楼）达州市通川区达州中医药职业学院犀牛大道北段</v>
      </c>
      <c r="J1906" s="113" t="str">
        <f>VLOOKUP(B1906,辅助信息!E:I,4,FALSE)</f>
        <v>张扬</v>
      </c>
      <c r="K1906" s="113">
        <f>VLOOKUP(J1906,辅助信息!H:I,2,FALSE)</f>
        <v>18381904567</v>
      </c>
      <c r="L1906" s="115" t="str">
        <f>VLOOKUP(B1906,辅助信息!E:J,6,FALSE)</f>
        <v>控制炉批号！多了现场不收！,优先安排达钢,提前联系到场规格及数量</v>
      </c>
      <c r="M1906" s="84">
        <v>45828</v>
      </c>
      <c r="O1906" s="55">
        <f ca="1" t="shared" si="119"/>
        <v>0</v>
      </c>
      <c r="P1906" s="55">
        <f ca="1" t="shared" si="120"/>
        <v>129</v>
      </c>
      <c r="Q1906" s="22" t="str">
        <f>VLOOKUP(B1906,辅助信息!E:M,9,FALSE)</f>
        <v>ZTWM-CDGS-XS-2024-0134-商投建工达州中医药科技成果示范园项目</v>
      </c>
      <c r="R1906" s="22" t="str">
        <f>_xlfn._xlws.FILTER(辅助信息!D:D,辅助信息!E:E=B1906)</f>
        <v>商投建工达州中医药科技园</v>
      </c>
    </row>
    <row r="1907" hidden="1" spans="1:18">
      <c r="A1907" s="125"/>
      <c r="B1907" s="113" t="s">
        <v>163</v>
      </c>
      <c r="C1907" s="63">
        <v>45827</v>
      </c>
      <c r="D1907" s="113" t="str">
        <f>VLOOKUP(B1907,辅助信息!E:K,7,FALSE)</f>
        <v>JWDDCD2025052800131</v>
      </c>
      <c r="E1907" s="113" t="str">
        <f>VLOOKUP(F1907,辅助信息!A:B,2,FALSE)</f>
        <v>螺纹钢</v>
      </c>
      <c r="F1907" s="113" t="s">
        <v>30</v>
      </c>
      <c r="G1907" s="114">
        <f>6+9</f>
        <v>15</v>
      </c>
      <c r="H1907" s="114" t="str">
        <f>_xlfn.XLOOKUP(C1907&amp;F1907&amp;I1907&amp;J1907,'[1]2025年已发货'!$F:$F&amp;'[1]2025年已发货'!$C:$C&amp;'[1]2025年已发货'!$G:$G&amp;'[1]2025年已发货'!$H:$H,'[1]2025年已发货'!$E:$E,"未发货")</f>
        <v>未发货</v>
      </c>
      <c r="I1907" s="113" t="str">
        <f>VLOOKUP(B1907,辅助信息!E:I,3,FALSE)</f>
        <v>（商投建工达州中医药科技园-4工区-9号楼）达州市通川区达州中医药职业学院犀牛大道北段</v>
      </c>
      <c r="J1907" s="113" t="str">
        <f>VLOOKUP(B1907,辅助信息!E:I,4,FALSE)</f>
        <v>张扬</v>
      </c>
      <c r="K1907" s="113">
        <f>VLOOKUP(J1907,辅助信息!H:I,2,FALSE)</f>
        <v>18381904567</v>
      </c>
      <c r="L1907" s="115" t="str">
        <f>VLOOKUP(B1907,辅助信息!E:J,6,FALSE)</f>
        <v>控制炉批号！多了现场不收！,优先安排达钢,提前联系到场规格及数量</v>
      </c>
      <c r="M1907" s="84">
        <v>45828</v>
      </c>
      <c r="O1907" s="55">
        <f ca="1" t="shared" si="119"/>
        <v>0</v>
      </c>
      <c r="P1907" s="55">
        <f ca="1" t="shared" si="120"/>
        <v>129</v>
      </c>
      <c r="Q1907" s="22" t="str">
        <f>VLOOKUP(B1907,辅助信息!E:M,9,FALSE)</f>
        <v>ZTWM-CDGS-XS-2024-0134-商投建工达州中医药科技成果示范园项目</v>
      </c>
      <c r="R1907" s="22" t="str">
        <f>_xlfn._xlws.FILTER(辅助信息!D:D,辅助信息!E:E=B1907)</f>
        <v>商投建工达州中医药科技园</v>
      </c>
    </row>
    <row r="1908" hidden="1" spans="2:18">
      <c r="B1908" s="33" t="s">
        <v>92</v>
      </c>
      <c r="C1908" s="63">
        <v>45828</v>
      </c>
      <c r="D1908" s="113" t="str">
        <f>VLOOKUP(B1908,辅助信息!E:K,7,FALSE)</f>
        <v>JWDDCD2025051800046</v>
      </c>
      <c r="E1908" s="113" t="str">
        <f>VLOOKUP(F1908,辅助信息!A:B,2,FALSE)</f>
        <v>盘螺</v>
      </c>
      <c r="F1908" s="33" t="s">
        <v>40</v>
      </c>
      <c r="G1908" s="29">
        <v>7.5</v>
      </c>
      <c r="H1908" s="114">
        <f>_xlfn.XLOOKUP(C1908&amp;F1908&amp;I1908&amp;J1908,'[1]2025年已发货'!$F:$F&amp;'[1]2025年已发货'!$C:$C&amp;'[1]2025年已发货'!$G:$G&amp;'[1]2025年已发货'!$H:$H,'[1]2025年已发货'!$E:$E,"未发货")</f>
        <v>7.5</v>
      </c>
      <c r="I1908" s="113" t="str">
        <f>VLOOKUP(B1908,辅助信息!E:I,3,FALSE)</f>
        <v>（华西萌海科创农业生态谷）成都市简阳市白金山水库</v>
      </c>
      <c r="J1908" s="113" t="str">
        <f>VLOOKUP(B1908,辅助信息!E:I,4,FALSE)</f>
        <v>石清国</v>
      </c>
      <c r="K1908" s="113">
        <f>VLOOKUP(J1908,辅助信息!H:I,2,FALSE)</f>
        <v>13458642015</v>
      </c>
      <c r="L1908" s="126" t="str">
        <f>VLOOKUP(B1908,辅助信息!E:J,6,FALSE)</f>
        <v>优先威钢,我方卸车,新老国标钢厂不加价可直发</v>
      </c>
      <c r="M1908" s="84">
        <v>45829</v>
      </c>
      <c r="O1908" s="55">
        <f ca="1" t="shared" si="119"/>
        <v>0</v>
      </c>
      <c r="P1908" s="55">
        <f ca="1" t="shared" si="120"/>
        <v>128</v>
      </c>
      <c r="Q1908" s="22" t="str">
        <f>VLOOKUP(B1908,辅助信息!E:M,9,FALSE)</f>
        <v>ZTWM-CDGS-XS-2024-0092-华西-萌海科创农业生态谷</v>
      </c>
      <c r="R1908" s="22" t="str">
        <f>_xlfn._xlws.FILTER(辅助信息!D:D,辅助信息!E:E=B1908)</f>
        <v>华西萌海-科创农业生态谷</v>
      </c>
    </row>
    <row r="1909" hidden="1" spans="2:18">
      <c r="B1909" s="33" t="s">
        <v>92</v>
      </c>
      <c r="C1909" s="63">
        <v>45828</v>
      </c>
      <c r="D1909" s="113" t="str">
        <f>VLOOKUP(B1909,辅助信息!E:K,7,FALSE)</f>
        <v>JWDDCD2025051800046</v>
      </c>
      <c r="E1909" s="113" t="str">
        <f>VLOOKUP(F1909,辅助信息!A:B,2,FALSE)</f>
        <v>盘螺</v>
      </c>
      <c r="F1909" s="33" t="s">
        <v>26</v>
      </c>
      <c r="G1909" s="29">
        <v>5</v>
      </c>
      <c r="H1909" s="114">
        <f>_xlfn.XLOOKUP(C1909&amp;F1909&amp;I1909&amp;J1909,'[1]2025年已发货'!$F:$F&amp;'[1]2025年已发货'!$C:$C&amp;'[1]2025年已发货'!$G:$G&amp;'[1]2025年已发货'!$H:$H,'[1]2025年已发货'!$E:$E,"未发货")</f>
        <v>5</v>
      </c>
      <c r="I1909" s="113" t="str">
        <f>VLOOKUP(B1909,辅助信息!E:I,3,FALSE)</f>
        <v>（华西萌海科创农业生态谷）成都市简阳市白金山水库</v>
      </c>
      <c r="J1909" s="113" t="str">
        <f>VLOOKUP(B1909,辅助信息!E:I,4,FALSE)</f>
        <v>石清国</v>
      </c>
      <c r="K1909" s="113">
        <f>VLOOKUP(J1909,辅助信息!H:I,2,FALSE)</f>
        <v>13458642015</v>
      </c>
      <c r="L1909" s="126" t="str">
        <f>VLOOKUP(B1909,辅助信息!E:J,6,FALSE)</f>
        <v>优先威钢,我方卸车,新老国标钢厂不加价可直发</v>
      </c>
      <c r="M1909" s="84">
        <v>45829</v>
      </c>
      <c r="O1909" s="55">
        <f ca="1" t="shared" si="119"/>
        <v>0</v>
      </c>
      <c r="P1909" s="55">
        <f ca="1" t="shared" si="120"/>
        <v>128</v>
      </c>
      <c r="Q1909" s="22" t="str">
        <f>VLOOKUP(B1909,辅助信息!E:M,9,FALSE)</f>
        <v>ZTWM-CDGS-XS-2024-0092-华西-萌海科创农业生态谷</v>
      </c>
      <c r="R1909" s="22" t="str">
        <f>_xlfn._xlws.FILTER(辅助信息!D:D,辅助信息!E:E=B1909)</f>
        <v>华西萌海-科创农业生态谷</v>
      </c>
    </row>
    <row r="1910" hidden="1" spans="2:18">
      <c r="B1910" s="33" t="s">
        <v>92</v>
      </c>
      <c r="C1910" s="63">
        <v>45828</v>
      </c>
      <c r="D1910" s="113" t="str">
        <f>VLOOKUP(B1910,辅助信息!E:K,7,FALSE)</f>
        <v>JWDDCD2025051800046</v>
      </c>
      <c r="E1910" s="113" t="str">
        <f>VLOOKUP(F1910,辅助信息!A:B,2,FALSE)</f>
        <v>螺纹钢</v>
      </c>
      <c r="F1910" s="33" t="s">
        <v>27</v>
      </c>
      <c r="G1910" s="29">
        <v>9</v>
      </c>
      <c r="H1910" s="114">
        <f>_xlfn.XLOOKUP(C1910&amp;F1910&amp;I1910&amp;J1910,'[1]2025年已发货'!$F:$F&amp;'[1]2025年已发货'!$C:$C&amp;'[1]2025年已发货'!$G:$G&amp;'[1]2025年已发货'!$H:$H,'[1]2025年已发货'!$E:$E,"未发货")</f>
        <v>9</v>
      </c>
      <c r="I1910" s="113" t="str">
        <f>VLOOKUP(B1910,辅助信息!E:I,3,FALSE)</f>
        <v>（华西萌海科创农业生态谷）成都市简阳市白金山水库</v>
      </c>
      <c r="J1910" s="113" t="str">
        <f>VLOOKUP(B1910,辅助信息!E:I,4,FALSE)</f>
        <v>石清国</v>
      </c>
      <c r="K1910" s="113">
        <f>VLOOKUP(J1910,辅助信息!H:I,2,FALSE)</f>
        <v>13458642015</v>
      </c>
      <c r="L1910" s="126" t="str">
        <f>VLOOKUP(B1910,辅助信息!E:J,6,FALSE)</f>
        <v>优先威钢,我方卸车,新老国标钢厂不加价可直发</v>
      </c>
      <c r="M1910" s="84">
        <v>45829</v>
      </c>
      <c r="O1910" s="55">
        <f ca="1" t="shared" si="119"/>
        <v>0</v>
      </c>
      <c r="P1910" s="55">
        <f ca="1" t="shared" si="120"/>
        <v>128</v>
      </c>
      <c r="Q1910" s="22" t="str">
        <f>VLOOKUP(B1910,辅助信息!E:M,9,FALSE)</f>
        <v>ZTWM-CDGS-XS-2024-0092-华西-萌海科创农业生态谷</v>
      </c>
      <c r="R1910" s="22" t="str">
        <f>_xlfn._xlws.FILTER(辅助信息!D:D,辅助信息!E:E=B1910)</f>
        <v>华西萌海-科创农业生态谷</v>
      </c>
    </row>
    <row r="1911" hidden="1" spans="2:18">
      <c r="B1911" s="33" t="s">
        <v>92</v>
      </c>
      <c r="C1911" s="63">
        <v>45828</v>
      </c>
      <c r="D1911" s="113" t="str">
        <f>VLOOKUP(B1911,辅助信息!E:K,7,FALSE)</f>
        <v>JWDDCD2025051800046</v>
      </c>
      <c r="E1911" s="113" t="str">
        <f>VLOOKUP(F1911,辅助信息!A:B,2,FALSE)</f>
        <v>螺纹钢</v>
      </c>
      <c r="F1911" s="33" t="s">
        <v>19</v>
      </c>
      <c r="G1911" s="29">
        <v>3</v>
      </c>
      <c r="H1911" s="114">
        <f>_xlfn.XLOOKUP(C1911&amp;F1911&amp;I1911&amp;J1911,'[1]2025年已发货'!$F:$F&amp;'[1]2025年已发货'!$C:$C&amp;'[1]2025年已发货'!$G:$G&amp;'[1]2025年已发货'!$H:$H,'[1]2025年已发货'!$E:$E,"未发货")</f>
        <v>3</v>
      </c>
      <c r="I1911" s="113" t="str">
        <f>VLOOKUP(B1911,辅助信息!E:I,3,FALSE)</f>
        <v>（华西萌海科创农业生态谷）成都市简阳市白金山水库</v>
      </c>
      <c r="J1911" s="113" t="str">
        <f>VLOOKUP(B1911,辅助信息!E:I,4,FALSE)</f>
        <v>石清国</v>
      </c>
      <c r="K1911" s="113">
        <f>VLOOKUP(J1911,辅助信息!H:I,2,FALSE)</f>
        <v>13458642015</v>
      </c>
      <c r="L1911" s="126" t="str">
        <f>VLOOKUP(B1911,辅助信息!E:J,6,FALSE)</f>
        <v>优先威钢,我方卸车,新老国标钢厂不加价可直发</v>
      </c>
      <c r="M1911" s="84">
        <v>45829</v>
      </c>
      <c r="O1911" s="55">
        <f ca="1" t="shared" si="119"/>
        <v>0</v>
      </c>
      <c r="P1911" s="55">
        <f ca="1" t="shared" si="120"/>
        <v>128</v>
      </c>
      <c r="Q1911" s="22" t="str">
        <f>VLOOKUP(B1911,辅助信息!E:M,9,FALSE)</f>
        <v>ZTWM-CDGS-XS-2024-0092-华西-萌海科创农业生态谷</v>
      </c>
      <c r="R1911" s="22" t="str">
        <f>_xlfn._xlws.FILTER(辅助信息!D:D,辅助信息!E:E=B1911)</f>
        <v>华西萌海-科创农业生态谷</v>
      </c>
    </row>
    <row r="1912" hidden="1" spans="2:18">
      <c r="B1912" s="33" t="s">
        <v>92</v>
      </c>
      <c r="C1912" s="63">
        <v>45828</v>
      </c>
      <c r="D1912" s="113" t="str">
        <f>VLOOKUP(B1912,辅助信息!E:K,7,FALSE)</f>
        <v>JWDDCD2025051800046</v>
      </c>
      <c r="E1912" s="113" t="str">
        <f>VLOOKUP(F1912,辅助信息!A:B,2,FALSE)</f>
        <v>螺纹钢</v>
      </c>
      <c r="F1912" s="33" t="s">
        <v>32</v>
      </c>
      <c r="G1912" s="29">
        <v>3</v>
      </c>
      <c r="H1912" s="114">
        <f>_xlfn.XLOOKUP(C1912&amp;F1912&amp;I1912&amp;J1912,'[1]2025年已发货'!$F:$F&amp;'[1]2025年已发货'!$C:$C&amp;'[1]2025年已发货'!$G:$G&amp;'[1]2025年已发货'!$H:$H,'[1]2025年已发货'!$E:$E,"未发货")</f>
        <v>3</v>
      </c>
      <c r="I1912" s="113" t="str">
        <f>VLOOKUP(B1912,辅助信息!E:I,3,FALSE)</f>
        <v>（华西萌海科创农业生态谷）成都市简阳市白金山水库</v>
      </c>
      <c r="J1912" s="113" t="str">
        <f>VLOOKUP(B1912,辅助信息!E:I,4,FALSE)</f>
        <v>石清国</v>
      </c>
      <c r="K1912" s="113">
        <f>VLOOKUP(J1912,辅助信息!H:I,2,FALSE)</f>
        <v>13458642015</v>
      </c>
      <c r="L1912" s="126" t="str">
        <f>VLOOKUP(B1912,辅助信息!E:J,6,FALSE)</f>
        <v>优先威钢,我方卸车,新老国标钢厂不加价可直发</v>
      </c>
      <c r="M1912" s="84">
        <v>45829</v>
      </c>
      <c r="O1912" s="55">
        <f ca="1" t="shared" si="119"/>
        <v>0</v>
      </c>
      <c r="P1912" s="55">
        <f ca="1" t="shared" si="120"/>
        <v>128</v>
      </c>
      <c r="Q1912" s="22" t="str">
        <f>VLOOKUP(B1912,辅助信息!E:M,9,FALSE)</f>
        <v>ZTWM-CDGS-XS-2024-0092-华西-萌海科创农业生态谷</v>
      </c>
      <c r="R1912" s="22" t="str">
        <f>_xlfn._xlws.FILTER(辅助信息!D:D,辅助信息!E:E=B1912)</f>
        <v>华西萌海-科创农业生态谷</v>
      </c>
    </row>
    <row r="1913" hidden="1" spans="2:18">
      <c r="B1913" s="33" t="s">
        <v>92</v>
      </c>
      <c r="C1913" s="63">
        <v>45828</v>
      </c>
      <c r="D1913" s="113" t="str">
        <f>VLOOKUP(B1913,辅助信息!E:K,7,FALSE)</f>
        <v>JWDDCD2025051800046</v>
      </c>
      <c r="E1913" s="113" t="str">
        <f>VLOOKUP(F1913,辅助信息!A:B,2,FALSE)</f>
        <v>螺纹钢</v>
      </c>
      <c r="F1913" s="33" t="s">
        <v>33</v>
      </c>
      <c r="G1913" s="29">
        <v>3</v>
      </c>
      <c r="H1913" s="114">
        <f>_xlfn.XLOOKUP(C1913&amp;F1913&amp;I1913&amp;J1913,'[1]2025年已发货'!$F:$F&amp;'[1]2025年已发货'!$C:$C&amp;'[1]2025年已发货'!$G:$G&amp;'[1]2025年已发货'!$H:$H,'[1]2025年已发货'!$E:$E,"未发货")</f>
        <v>3</v>
      </c>
      <c r="I1913" s="113" t="str">
        <f>VLOOKUP(B1913,辅助信息!E:I,3,FALSE)</f>
        <v>（华西萌海科创农业生态谷）成都市简阳市白金山水库</v>
      </c>
      <c r="J1913" s="113" t="str">
        <f>VLOOKUP(B1913,辅助信息!E:I,4,FALSE)</f>
        <v>石清国</v>
      </c>
      <c r="K1913" s="113">
        <f>VLOOKUP(J1913,辅助信息!H:I,2,FALSE)</f>
        <v>13458642015</v>
      </c>
      <c r="L1913" s="126" t="str">
        <f>VLOOKUP(B1913,辅助信息!E:J,6,FALSE)</f>
        <v>优先威钢,我方卸车,新老国标钢厂不加价可直发</v>
      </c>
      <c r="M1913" s="84">
        <v>45829</v>
      </c>
      <c r="O1913" s="55">
        <f ca="1" t="shared" si="119"/>
        <v>0</v>
      </c>
      <c r="P1913" s="55">
        <f ca="1" t="shared" si="120"/>
        <v>128</v>
      </c>
      <c r="Q1913" s="22" t="str">
        <f>VLOOKUP(B1913,辅助信息!E:M,9,FALSE)</f>
        <v>ZTWM-CDGS-XS-2024-0092-华西-萌海科创农业生态谷</v>
      </c>
      <c r="R1913" s="22" t="str">
        <f>_xlfn._xlws.FILTER(辅助信息!D:D,辅助信息!E:E=B1913)</f>
        <v>华西萌海-科创农业生态谷</v>
      </c>
    </row>
    <row r="1914" hidden="1" spans="2:18">
      <c r="B1914" s="33" t="s">
        <v>92</v>
      </c>
      <c r="C1914" s="63">
        <v>45828</v>
      </c>
      <c r="D1914" s="113" t="str">
        <f>VLOOKUP(B1914,辅助信息!E:K,7,FALSE)</f>
        <v>JWDDCD2025051800046</v>
      </c>
      <c r="E1914" s="113" t="str">
        <f>VLOOKUP(F1914,辅助信息!A:B,2,FALSE)</f>
        <v>螺纹钢</v>
      </c>
      <c r="F1914" s="33" t="s">
        <v>28</v>
      </c>
      <c r="G1914" s="29">
        <v>3</v>
      </c>
      <c r="H1914" s="114">
        <f>_xlfn.XLOOKUP(C1914&amp;F1914&amp;I1914&amp;J1914,'[1]2025年已发货'!$F:$F&amp;'[1]2025年已发货'!$C:$C&amp;'[1]2025年已发货'!$G:$G&amp;'[1]2025年已发货'!$H:$H,'[1]2025年已发货'!$E:$E,"未发货")</f>
        <v>3</v>
      </c>
      <c r="I1914" s="113" t="str">
        <f>VLOOKUP(B1914,辅助信息!E:I,3,FALSE)</f>
        <v>（华西萌海科创农业生态谷）成都市简阳市白金山水库</v>
      </c>
      <c r="J1914" s="113" t="str">
        <f>VLOOKUP(B1914,辅助信息!E:I,4,FALSE)</f>
        <v>石清国</v>
      </c>
      <c r="K1914" s="113">
        <f>VLOOKUP(J1914,辅助信息!H:I,2,FALSE)</f>
        <v>13458642015</v>
      </c>
      <c r="L1914" s="126" t="str">
        <f>VLOOKUP(B1914,辅助信息!E:J,6,FALSE)</f>
        <v>优先威钢,我方卸车,新老国标钢厂不加价可直发</v>
      </c>
      <c r="M1914" s="84">
        <v>45829</v>
      </c>
      <c r="O1914" s="55">
        <f ca="1" t="shared" si="119"/>
        <v>0</v>
      </c>
      <c r="P1914" s="55">
        <f ca="1" t="shared" si="120"/>
        <v>128</v>
      </c>
      <c r="Q1914" s="22" t="str">
        <f>VLOOKUP(B1914,辅助信息!E:M,9,FALSE)</f>
        <v>ZTWM-CDGS-XS-2024-0092-华西-萌海科创农业生态谷</v>
      </c>
      <c r="R1914" s="22" t="str">
        <f>_xlfn._xlws.FILTER(辅助信息!D:D,辅助信息!E:E=B1914)</f>
        <v>华西萌海-科创农业生态谷</v>
      </c>
    </row>
    <row r="1915" hidden="1" spans="2:18">
      <c r="B1915" s="33" t="s">
        <v>92</v>
      </c>
      <c r="C1915" s="63">
        <v>45828</v>
      </c>
      <c r="D1915" s="113" t="str">
        <f>VLOOKUP(B1915,辅助信息!E:K,7,FALSE)</f>
        <v>JWDDCD2025051800046</v>
      </c>
      <c r="E1915" s="113" t="str">
        <f>VLOOKUP(F1915,辅助信息!A:B,2,FALSE)</f>
        <v>螺纹钢</v>
      </c>
      <c r="F1915" s="33" t="s">
        <v>65</v>
      </c>
      <c r="G1915" s="29">
        <v>3</v>
      </c>
      <c r="H1915" s="114">
        <f>_xlfn.XLOOKUP(C1915&amp;F1915&amp;I1915&amp;J1915,'[1]2025年已发货'!$F:$F&amp;'[1]2025年已发货'!$C:$C&amp;'[1]2025年已发货'!$G:$G&amp;'[1]2025年已发货'!$H:$H,'[1]2025年已发货'!$E:$E,"未发货")</f>
        <v>3</v>
      </c>
      <c r="I1915" s="113" t="str">
        <f>VLOOKUP(B1915,辅助信息!E:I,3,FALSE)</f>
        <v>（华西萌海科创农业生态谷）成都市简阳市白金山水库</v>
      </c>
      <c r="J1915" s="113" t="str">
        <f>VLOOKUP(B1915,辅助信息!E:I,4,FALSE)</f>
        <v>石清国</v>
      </c>
      <c r="K1915" s="113">
        <f>VLOOKUP(J1915,辅助信息!H:I,2,FALSE)</f>
        <v>13458642015</v>
      </c>
      <c r="L1915" s="126" t="str">
        <f>VLOOKUP(B1915,辅助信息!E:J,6,FALSE)</f>
        <v>优先威钢,我方卸车,新老国标钢厂不加价可直发</v>
      </c>
      <c r="M1915" s="84">
        <v>45829</v>
      </c>
      <c r="O1915" s="55">
        <f ca="1" t="shared" si="119"/>
        <v>0</v>
      </c>
      <c r="P1915" s="55">
        <f ca="1" t="shared" si="120"/>
        <v>128</v>
      </c>
      <c r="Q1915" s="22" t="str">
        <f>VLOOKUP(B1915,辅助信息!E:M,9,FALSE)</f>
        <v>ZTWM-CDGS-XS-2024-0092-华西-萌海科创农业生态谷</v>
      </c>
      <c r="R1915" s="22" t="str">
        <f>_xlfn._xlws.FILTER(辅助信息!D:D,辅助信息!E:E=B1915)</f>
        <v>华西萌海-科创农业生态谷</v>
      </c>
    </row>
    <row r="1916" hidden="1" spans="2:18">
      <c r="B1916" s="33" t="s">
        <v>92</v>
      </c>
      <c r="C1916" s="63">
        <v>45828</v>
      </c>
      <c r="D1916" s="113" t="str">
        <f>VLOOKUP(B1916,辅助信息!E:K,7,FALSE)</f>
        <v>JWDDCD2025051800046</v>
      </c>
      <c r="E1916" s="113" t="str">
        <f>VLOOKUP(F1916,辅助信息!A:B,2,FALSE)</f>
        <v>螺纹钢</v>
      </c>
      <c r="F1916" s="33" t="s">
        <v>58</v>
      </c>
      <c r="G1916" s="29">
        <v>6</v>
      </c>
      <c r="H1916" s="114">
        <f>_xlfn.XLOOKUP(C1916&amp;F1916&amp;I1916&amp;J1916,'[1]2025年已发货'!$F:$F&amp;'[1]2025年已发货'!$C:$C&amp;'[1]2025年已发货'!$G:$G&amp;'[1]2025年已发货'!$H:$H,'[1]2025年已发货'!$E:$E,"未发货")</f>
        <v>6</v>
      </c>
      <c r="I1916" s="113" t="str">
        <f>VLOOKUP(B1916,辅助信息!E:I,3,FALSE)</f>
        <v>（华西萌海科创农业生态谷）成都市简阳市白金山水库</v>
      </c>
      <c r="J1916" s="113" t="str">
        <f>VLOOKUP(B1916,辅助信息!E:I,4,FALSE)</f>
        <v>石清国</v>
      </c>
      <c r="K1916" s="113">
        <f>VLOOKUP(J1916,辅助信息!H:I,2,FALSE)</f>
        <v>13458642015</v>
      </c>
      <c r="L1916" s="126" t="str">
        <f>VLOOKUP(B1916,辅助信息!E:J,6,FALSE)</f>
        <v>优先威钢,我方卸车,新老国标钢厂不加价可直发</v>
      </c>
      <c r="M1916" s="84">
        <v>45829</v>
      </c>
      <c r="O1916" s="55">
        <f ca="1" t="shared" si="119"/>
        <v>0</v>
      </c>
      <c r="P1916" s="55">
        <f ca="1" t="shared" si="120"/>
        <v>128</v>
      </c>
      <c r="Q1916" s="22" t="str">
        <f>VLOOKUP(B1916,辅助信息!E:M,9,FALSE)</f>
        <v>ZTWM-CDGS-XS-2024-0092-华西-萌海科创农业生态谷</v>
      </c>
      <c r="R1916" s="22" t="str">
        <f>_xlfn._xlws.FILTER(辅助信息!D:D,辅助信息!E:E=B1916)</f>
        <v>华西萌海-科创农业生态谷</v>
      </c>
    </row>
    <row r="1917" hidden="1" spans="2:18">
      <c r="B1917" s="33" t="s">
        <v>92</v>
      </c>
      <c r="C1917" s="63">
        <v>45828</v>
      </c>
      <c r="D1917" s="113" t="str">
        <f>VLOOKUP(B1917,辅助信息!E:K,7,FALSE)</f>
        <v>JWDDCD2025051800046</v>
      </c>
      <c r="E1917" s="113" t="str">
        <f>VLOOKUP(F1917,辅助信息!A:B,2,FALSE)</f>
        <v>螺纹钢</v>
      </c>
      <c r="F1917" s="33" t="s">
        <v>46</v>
      </c>
      <c r="G1917" s="29">
        <v>6</v>
      </c>
      <c r="H1917" s="114">
        <f>_xlfn.XLOOKUP(C1917&amp;F1917&amp;I1917&amp;J1917,'[1]2025年已发货'!$F:$F&amp;'[1]2025年已发货'!$C:$C&amp;'[1]2025年已发货'!$G:$G&amp;'[1]2025年已发货'!$H:$H,'[1]2025年已发货'!$E:$E,"未发货")</f>
        <v>6</v>
      </c>
      <c r="I1917" s="113" t="str">
        <f>VLOOKUP(B1917,辅助信息!E:I,3,FALSE)</f>
        <v>（华西萌海科创农业生态谷）成都市简阳市白金山水库</v>
      </c>
      <c r="J1917" s="113" t="str">
        <f>VLOOKUP(B1917,辅助信息!E:I,4,FALSE)</f>
        <v>石清国</v>
      </c>
      <c r="K1917" s="113">
        <f>VLOOKUP(J1917,辅助信息!H:I,2,FALSE)</f>
        <v>13458642015</v>
      </c>
      <c r="L1917" s="126" t="str">
        <f>VLOOKUP(B1917,辅助信息!E:J,6,FALSE)</f>
        <v>优先威钢,我方卸车,新老国标钢厂不加价可直发</v>
      </c>
      <c r="M1917" s="84">
        <v>45829</v>
      </c>
      <c r="O1917" s="55">
        <f ca="1" t="shared" si="119"/>
        <v>0</v>
      </c>
      <c r="P1917" s="55">
        <f ca="1" t="shared" si="120"/>
        <v>128</v>
      </c>
      <c r="Q1917" s="22" t="str">
        <f>VLOOKUP(B1917,辅助信息!E:M,9,FALSE)</f>
        <v>ZTWM-CDGS-XS-2024-0092-华西-萌海科创农业生态谷</v>
      </c>
      <c r="R1917" s="22" t="str">
        <f>_xlfn._xlws.FILTER(辅助信息!D:D,辅助信息!E:E=B1917)</f>
        <v>华西萌海-科创农业生态谷</v>
      </c>
    </row>
    <row r="1918" hidden="1" spans="2:18">
      <c r="B1918" s="33" t="s">
        <v>92</v>
      </c>
      <c r="C1918" s="63">
        <v>45828</v>
      </c>
      <c r="D1918" s="113" t="str">
        <f>VLOOKUP(B1918,辅助信息!E:K,7,FALSE)</f>
        <v>JWDDCD2025051800046</v>
      </c>
      <c r="E1918" s="113" t="str">
        <f>VLOOKUP(F1918,辅助信息!A:B,2,FALSE)</f>
        <v>螺纹钢</v>
      </c>
      <c r="F1918" s="33" t="s">
        <v>22</v>
      </c>
      <c r="G1918" s="29">
        <v>21</v>
      </c>
      <c r="H1918" s="114">
        <f>_xlfn.XLOOKUP(C1918&amp;F1918&amp;I1918&amp;J1918,'[1]2025年已发货'!$F:$F&amp;'[1]2025年已发货'!$C:$C&amp;'[1]2025年已发货'!$G:$G&amp;'[1]2025年已发货'!$H:$H,'[1]2025年已发货'!$E:$E,"未发货")</f>
        <v>21</v>
      </c>
      <c r="I1918" s="113" t="str">
        <f>VLOOKUP(B1918,辅助信息!E:I,3,FALSE)</f>
        <v>（华西萌海科创农业生态谷）成都市简阳市白金山水库</v>
      </c>
      <c r="J1918" s="113" t="str">
        <f>VLOOKUP(B1918,辅助信息!E:I,4,FALSE)</f>
        <v>石清国</v>
      </c>
      <c r="K1918" s="113">
        <f>VLOOKUP(J1918,辅助信息!H:I,2,FALSE)</f>
        <v>13458642015</v>
      </c>
      <c r="L1918" s="126" t="str">
        <f>VLOOKUP(B1918,辅助信息!E:J,6,FALSE)</f>
        <v>优先威钢,我方卸车,新老国标钢厂不加价可直发</v>
      </c>
      <c r="M1918" s="84">
        <v>45829</v>
      </c>
      <c r="O1918" s="55">
        <f ca="1" t="shared" si="119"/>
        <v>0</v>
      </c>
      <c r="P1918" s="55">
        <f ca="1" t="shared" si="120"/>
        <v>128</v>
      </c>
      <c r="Q1918" s="22" t="str">
        <f>VLOOKUP(B1918,辅助信息!E:M,9,FALSE)</f>
        <v>ZTWM-CDGS-XS-2024-0092-华西-萌海科创农业生态谷</v>
      </c>
      <c r="R1918" s="22" t="str">
        <f>_xlfn._xlws.FILTER(辅助信息!D:D,辅助信息!E:E=B1918)</f>
        <v>华西萌海-科创农业生态谷</v>
      </c>
    </row>
    <row r="1919" hidden="1" spans="2:18">
      <c r="B1919" s="33" t="s">
        <v>81</v>
      </c>
      <c r="C1919" s="63">
        <v>45828</v>
      </c>
      <c r="D1919" s="113" t="str">
        <f>VLOOKUP(B1919,辅助信息!E:K,7,FALSE)</f>
        <v>JWDDCD2025060900080</v>
      </c>
      <c r="E1919" s="113" t="str">
        <f>VLOOKUP(F1919,辅助信息!A:B,2,FALSE)</f>
        <v>盘螺</v>
      </c>
      <c r="F1919" s="33" t="s">
        <v>40</v>
      </c>
      <c r="G1919" s="29">
        <v>5</v>
      </c>
      <c r="H1919" s="114">
        <f>_xlfn.XLOOKUP(C1919&amp;F1919&amp;I1919&amp;J1919,'[1]2025年已发货'!$F:$F&amp;'[1]2025年已发货'!$C:$C&amp;'[1]2025年已发货'!$G:$G&amp;'[1]2025年已发货'!$H:$H,'[1]2025年已发货'!$E:$E,"未发货")</f>
        <v>5</v>
      </c>
      <c r="I1919" s="113" t="str">
        <f>VLOOKUP(B1919,辅助信息!E:I,3,FALSE)</f>
        <v>（华西简阳西城嘉苑）四川省成都市简阳市简城街道高屋村</v>
      </c>
      <c r="J1919" s="113" t="str">
        <f>VLOOKUP(B1919,辅助信息!E:I,4,FALSE)</f>
        <v>张瀚镭</v>
      </c>
      <c r="K1919" s="113">
        <f>VLOOKUP(J1919,辅助信息!H:I,2,FALSE)</f>
        <v>15884666220</v>
      </c>
      <c r="L1919" s="126" t="str">
        <f>VLOOKUP(B1919,辅助信息!E:J,6,FALSE)</f>
        <v>现场禁止使用氢能源挂车！优先威钢发货,我方卸车,新老国标钢厂不加价可直发，因陕钢多次出现磅差，项目拒绝使用</v>
      </c>
      <c r="M1919" s="84">
        <v>45829</v>
      </c>
      <c r="O1919" s="55">
        <f ca="1" t="shared" ref="O1919:O1925" si="121">IF(OR(M1919="",N1919&lt;&gt;""),"",MAX(M1919-TODAY(),0))</f>
        <v>0</v>
      </c>
      <c r="P1919" s="55">
        <f ca="1" t="shared" ref="P1919:P1925" si="122">IF(M1919="","",IF(N1919&lt;&gt;"",MAX(N1919-M1919,0),IF(TODAY()&gt;M1919,TODAY()-M1919,0)))</f>
        <v>128</v>
      </c>
      <c r="Q1919" s="22" t="str">
        <f>VLOOKUP(B1919,辅助信息!E:M,9,FALSE)</f>
        <v>ZTWM-CDGS-XS-2024-0030-华西集采-简州大道</v>
      </c>
      <c r="R1919" s="22" t="str">
        <f>_xlfn._xlws.FILTER(辅助信息!D:D,辅助信息!E:E=B1919)</f>
        <v>华西简阳西城嘉苑</v>
      </c>
    </row>
    <row r="1920" hidden="1" spans="2:18">
      <c r="B1920" s="33" t="s">
        <v>81</v>
      </c>
      <c r="C1920" s="63">
        <v>45828</v>
      </c>
      <c r="D1920" s="113" t="str">
        <f>VLOOKUP(B1920,辅助信息!E:K,7,FALSE)</f>
        <v>JWDDCD2025060900080</v>
      </c>
      <c r="E1920" s="113" t="str">
        <f>VLOOKUP(F1920,辅助信息!A:B,2,FALSE)</f>
        <v>螺纹钢</v>
      </c>
      <c r="F1920" s="33" t="s">
        <v>19</v>
      </c>
      <c r="G1920" s="29">
        <v>66</v>
      </c>
      <c r="H1920" s="114">
        <f>_xlfn.XLOOKUP(C1920&amp;F1920&amp;I1920&amp;J1920,'[1]2025年已发货'!$F:$F&amp;'[1]2025年已发货'!$C:$C&amp;'[1]2025年已发货'!$G:$G&amp;'[1]2025年已发货'!$H:$H,'[1]2025年已发货'!$E:$E,"未发货")</f>
        <v>66</v>
      </c>
      <c r="I1920" s="113" t="str">
        <f>VLOOKUP(B1920,辅助信息!E:I,3,FALSE)</f>
        <v>（华西简阳西城嘉苑）四川省成都市简阳市简城街道高屋村</v>
      </c>
      <c r="J1920" s="113" t="str">
        <f>VLOOKUP(B1920,辅助信息!E:I,4,FALSE)</f>
        <v>张瀚镭</v>
      </c>
      <c r="K1920" s="113">
        <f>VLOOKUP(J1920,辅助信息!H:I,2,FALSE)</f>
        <v>15884666220</v>
      </c>
      <c r="L1920" s="126" t="str">
        <f>VLOOKUP(B1920,辅助信息!E:J,6,FALSE)</f>
        <v>现场禁止使用氢能源挂车！优先威钢发货,我方卸车,新老国标钢厂不加价可直发，因陕钢多次出现磅差，项目拒绝使用</v>
      </c>
      <c r="M1920" s="84">
        <v>45829</v>
      </c>
      <c r="O1920" s="55">
        <f ca="1" t="shared" si="121"/>
        <v>0</v>
      </c>
      <c r="P1920" s="55">
        <f ca="1" t="shared" si="122"/>
        <v>128</v>
      </c>
      <c r="Q1920" s="22" t="str">
        <f>VLOOKUP(B1920,辅助信息!E:M,9,FALSE)</f>
        <v>ZTWM-CDGS-XS-2024-0030-华西集采-简州大道</v>
      </c>
      <c r="R1920" s="22" t="str">
        <f>_xlfn._xlws.FILTER(辅助信息!D:D,辅助信息!E:E=B1920)</f>
        <v>华西简阳西城嘉苑</v>
      </c>
    </row>
    <row r="1921" hidden="1" spans="2:18">
      <c r="B1921" s="33" t="s">
        <v>81</v>
      </c>
      <c r="C1921" s="63">
        <v>45828</v>
      </c>
      <c r="D1921" s="113" t="str">
        <f>VLOOKUP(B1921,辅助信息!E:K,7,FALSE)</f>
        <v>JWDDCD2025060900080</v>
      </c>
      <c r="E1921" s="113" t="str">
        <f>VLOOKUP(F1921,辅助信息!A:B,2,FALSE)</f>
        <v>螺纹钢</v>
      </c>
      <c r="F1921" s="33" t="s">
        <v>32</v>
      </c>
      <c r="G1921" s="29">
        <v>3</v>
      </c>
      <c r="H1921" s="114">
        <f>_xlfn.XLOOKUP(C1921&amp;F1921&amp;I1921&amp;J1921,'[1]2025年已发货'!$F:$F&amp;'[1]2025年已发货'!$C:$C&amp;'[1]2025年已发货'!$G:$G&amp;'[1]2025年已发货'!$H:$H,'[1]2025年已发货'!$E:$E,"未发货")</f>
        <v>3</v>
      </c>
      <c r="I1921" s="113" t="str">
        <f>VLOOKUP(B1921,辅助信息!E:I,3,FALSE)</f>
        <v>（华西简阳西城嘉苑）四川省成都市简阳市简城街道高屋村</v>
      </c>
      <c r="J1921" s="113" t="str">
        <f>VLOOKUP(B1921,辅助信息!E:I,4,FALSE)</f>
        <v>张瀚镭</v>
      </c>
      <c r="K1921" s="113">
        <f>VLOOKUP(J1921,辅助信息!H:I,2,FALSE)</f>
        <v>15884666220</v>
      </c>
      <c r="L1921" s="126" t="str">
        <f>VLOOKUP(B1921,辅助信息!E:J,6,FALSE)</f>
        <v>现场禁止使用氢能源挂车！优先威钢发货,我方卸车,新老国标钢厂不加价可直发，因陕钢多次出现磅差，项目拒绝使用</v>
      </c>
      <c r="M1921" s="84">
        <v>45829</v>
      </c>
      <c r="O1921" s="55">
        <f ca="1" t="shared" si="121"/>
        <v>0</v>
      </c>
      <c r="P1921" s="55">
        <f ca="1" t="shared" si="122"/>
        <v>128</v>
      </c>
      <c r="Q1921" s="22" t="str">
        <f>VLOOKUP(B1921,辅助信息!E:M,9,FALSE)</f>
        <v>ZTWM-CDGS-XS-2024-0030-华西集采-简州大道</v>
      </c>
      <c r="R1921" s="22" t="str">
        <f>_xlfn._xlws.FILTER(辅助信息!D:D,辅助信息!E:E=B1921)</f>
        <v>华西简阳西城嘉苑</v>
      </c>
    </row>
    <row r="1922" hidden="1" spans="2:18">
      <c r="B1922" s="33" t="s">
        <v>81</v>
      </c>
      <c r="C1922" s="63">
        <v>45828</v>
      </c>
      <c r="D1922" s="113" t="str">
        <f>VLOOKUP(B1922,辅助信息!E:K,7,FALSE)</f>
        <v>JWDDCD2025060900080</v>
      </c>
      <c r="E1922" s="113" t="str">
        <f>VLOOKUP(F1922,辅助信息!A:B,2,FALSE)</f>
        <v>螺纹钢</v>
      </c>
      <c r="F1922" s="33" t="s">
        <v>30</v>
      </c>
      <c r="G1922" s="29">
        <v>3</v>
      </c>
      <c r="H1922" s="114">
        <f>_xlfn.XLOOKUP(C1922&amp;F1922&amp;I1922&amp;J1922,'[1]2025年已发货'!$F:$F&amp;'[1]2025年已发货'!$C:$C&amp;'[1]2025年已发货'!$G:$G&amp;'[1]2025年已发货'!$H:$H,'[1]2025年已发货'!$E:$E,"未发货")</f>
        <v>3</v>
      </c>
      <c r="I1922" s="113" t="str">
        <f>VLOOKUP(B1922,辅助信息!E:I,3,FALSE)</f>
        <v>（华西简阳西城嘉苑）四川省成都市简阳市简城街道高屋村</v>
      </c>
      <c r="J1922" s="113" t="str">
        <f>VLOOKUP(B1922,辅助信息!E:I,4,FALSE)</f>
        <v>张瀚镭</v>
      </c>
      <c r="K1922" s="113">
        <f>VLOOKUP(J1922,辅助信息!H:I,2,FALSE)</f>
        <v>15884666220</v>
      </c>
      <c r="L1922" s="126" t="str">
        <f>VLOOKUP(B1922,辅助信息!E:J,6,FALSE)</f>
        <v>现场禁止使用氢能源挂车！优先威钢发货,我方卸车,新老国标钢厂不加价可直发，因陕钢多次出现磅差，项目拒绝使用</v>
      </c>
      <c r="M1922" s="84">
        <v>45829</v>
      </c>
      <c r="O1922" s="55">
        <f ca="1" t="shared" si="121"/>
        <v>0</v>
      </c>
      <c r="P1922" s="55">
        <f ca="1" t="shared" si="122"/>
        <v>128</v>
      </c>
      <c r="Q1922" s="22" t="str">
        <f>VLOOKUP(B1922,辅助信息!E:M,9,FALSE)</f>
        <v>ZTWM-CDGS-XS-2024-0030-华西集采-简州大道</v>
      </c>
      <c r="R1922" s="22" t="str">
        <f>_xlfn._xlws.FILTER(辅助信息!D:D,辅助信息!E:E=B1922)</f>
        <v>华西简阳西城嘉苑</v>
      </c>
    </row>
    <row r="1923" hidden="1" spans="2:18">
      <c r="B1923" s="33" t="s">
        <v>81</v>
      </c>
      <c r="C1923" s="63">
        <v>45828</v>
      </c>
      <c r="D1923" s="113" t="str">
        <f>VLOOKUP(B1923,辅助信息!E:K,7,FALSE)</f>
        <v>JWDDCD2025060900080</v>
      </c>
      <c r="E1923" s="113" t="str">
        <f>VLOOKUP(F1923,辅助信息!A:B,2,FALSE)</f>
        <v>螺纹钢</v>
      </c>
      <c r="F1923" s="33" t="s">
        <v>33</v>
      </c>
      <c r="G1923" s="29">
        <v>21</v>
      </c>
      <c r="H1923" s="114">
        <f>_xlfn.XLOOKUP(C1923&amp;F1923&amp;I1923&amp;J1923,'[1]2025年已发货'!$F:$F&amp;'[1]2025年已发货'!$C:$C&amp;'[1]2025年已发货'!$G:$G&amp;'[1]2025年已发货'!$H:$H,'[1]2025年已发货'!$E:$E,"未发货")</f>
        <v>21</v>
      </c>
      <c r="I1923" s="113" t="str">
        <f>VLOOKUP(B1923,辅助信息!E:I,3,FALSE)</f>
        <v>（华西简阳西城嘉苑）四川省成都市简阳市简城街道高屋村</v>
      </c>
      <c r="J1923" s="113" t="str">
        <f>VLOOKUP(B1923,辅助信息!E:I,4,FALSE)</f>
        <v>张瀚镭</v>
      </c>
      <c r="K1923" s="113">
        <f>VLOOKUP(J1923,辅助信息!H:I,2,FALSE)</f>
        <v>15884666220</v>
      </c>
      <c r="L1923" s="126" t="str">
        <f>VLOOKUP(B1923,辅助信息!E:J,6,FALSE)</f>
        <v>现场禁止使用氢能源挂车！优先威钢发货,我方卸车,新老国标钢厂不加价可直发，因陕钢多次出现磅差，项目拒绝使用</v>
      </c>
      <c r="M1923" s="84">
        <v>45829</v>
      </c>
      <c r="O1923" s="55">
        <f ca="1" t="shared" si="121"/>
        <v>0</v>
      </c>
      <c r="P1923" s="55">
        <f ca="1" t="shared" si="122"/>
        <v>128</v>
      </c>
      <c r="Q1923" s="22" t="str">
        <f>VLOOKUP(B1923,辅助信息!E:M,9,FALSE)</f>
        <v>ZTWM-CDGS-XS-2024-0030-华西集采-简州大道</v>
      </c>
      <c r="R1923" s="22" t="str">
        <f>_xlfn._xlws.FILTER(辅助信息!D:D,辅助信息!E:E=B1923)</f>
        <v>华西简阳西城嘉苑</v>
      </c>
    </row>
    <row r="1924" hidden="1" spans="2:18">
      <c r="B1924" s="33" t="s">
        <v>81</v>
      </c>
      <c r="C1924" s="63">
        <v>45828</v>
      </c>
      <c r="D1924" s="113" t="str">
        <f>VLOOKUP(B1924,辅助信息!E:K,7,FALSE)</f>
        <v>JWDDCD2025060900080</v>
      </c>
      <c r="E1924" s="113" t="str">
        <f>VLOOKUP(F1924,辅助信息!A:B,2,FALSE)</f>
        <v>螺纹钢</v>
      </c>
      <c r="F1924" s="33" t="s">
        <v>28</v>
      </c>
      <c r="G1924" s="29">
        <v>3</v>
      </c>
      <c r="H1924" s="114">
        <f>_xlfn.XLOOKUP(C1924&amp;F1924&amp;I1924&amp;J1924,'[1]2025年已发货'!$F:$F&amp;'[1]2025年已发货'!$C:$C&amp;'[1]2025年已发货'!$G:$G&amp;'[1]2025年已发货'!$H:$H,'[1]2025年已发货'!$E:$E,"未发货")</f>
        <v>3</v>
      </c>
      <c r="I1924" s="113" t="str">
        <f>VLOOKUP(B1924,辅助信息!E:I,3,FALSE)</f>
        <v>（华西简阳西城嘉苑）四川省成都市简阳市简城街道高屋村</v>
      </c>
      <c r="J1924" s="113" t="str">
        <f>VLOOKUP(B1924,辅助信息!E:I,4,FALSE)</f>
        <v>张瀚镭</v>
      </c>
      <c r="K1924" s="113">
        <f>VLOOKUP(J1924,辅助信息!H:I,2,FALSE)</f>
        <v>15884666220</v>
      </c>
      <c r="L1924" s="126" t="str">
        <f>VLOOKUP(B1924,辅助信息!E:J,6,FALSE)</f>
        <v>现场禁止使用氢能源挂车！优先威钢发货,我方卸车,新老国标钢厂不加价可直发，因陕钢多次出现磅差，项目拒绝使用</v>
      </c>
      <c r="M1924" s="84">
        <v>45829</v>
      </c>
      <c r="O1924" s="55">
        <f ca="1" t="shared" si="121"/>
        <v>0</v>
      </c>
      <c r="P1924" s="55">
        <f ca="1" t="shared" si="122"/>
        <v>128</v>
      </c>
      <c r="Q1924" s="22" t="str">
        <f>VLOOKUP(B1924,辅助信息!E:M,9,FALSE)</f>
        <v>ZTWM-CDGS-XS-2024-0030-华西集采-简州大道</v>
      </c>
      <c r="R1924" s="22" t="str">
        <f>_xlfn._xlws.FILTER(辅助信息!D:D,辅助信息!E:E=B1924)</f>
        <v>华西简阳西城嘉苑</v>
      </c>
    </row>
    <row r="1925" hidden="1" spans="2:18">
      <c r="B1925" s="33" t="s">
        <v>81</v>
      </c>
      <c r="C1925" s="63">
        <v>45828</v>
      </c>
      <c r="D1925" s="113" t="str">
        <f>VLOOKUP(B1925,辅助信息!E:K,7,FALSE)</f>
        <v>JWDDCD2025060900080</v>
      </c>
      <c r="E1925" s="113" t="str">
        <f>VLOOKUP(F1925,辅助信息!A:B,2,FALSE)</f>
        <v>螺纹钢</v>
      </c>
      <c r="F1925" s="33" t="s">
        <v>18</v>
      </c>
      <c r="G1925" s="29">
        <v>5</v>
      </c>
      <c r="H1925" s="114">
        <f>_xlfn.XLOOKUP(C1925&amp;F1925&amp;I1925&amp;J1925,'[1]2025年已发货'!$F:$F&amp;'[1]2025年已发货'!$C:$C&amp;'[1]2025年已发货'!$G:$G&amp;'[1]2025年已发货'!$H:$H,'[1]2025年已发货'!$E:$E,"未发货")</f>
        <v>5</v>
      </c>
      <c r="I1925" s="113" t="str">
        <f>VLOOKUP(B1925,辅助信息!E:I,3,FALSE)</f>
        <v>（华西简阳西城嘉苑）四川省成都市简阳市简城街道高屋村</v>
      </c>
      <c r="J1925" s="113" t="str">
        <f>VLOOKUP(B1925,辅助信息!E:I,4,FALSE)</f>
        <v>张瀚镭</v>
      </c>
      <c r="K1925" s="113">
        <f>VLOOKUP(J1925,辅助信息!H:I,2,FALSE)</f>
        <v>15884666220</v>
      </c>
      <c r="L1925" s="126" t="str">
        <f>VLOOKUP(B1925,辅助信息!E:J,6,FALSE)</f>
        <v>现场禁止使用氢能源挂车！优先威钢发货,我方卸车,新老国标钢厂不加价可直发，因陕钢多次出现磅差，项目拒绝使用</v>
      </c>
      <c r="M1925" s="84">
        <v>45829</v>
      </c>
      <c r="O1925" s="55">
        <f ca="1" t="shared" si="121"/>
        <v>0</v>
      </c>
      <c r="P1925" s="55">
        <f ca="1" t="shared" si="122"/>
        <v>128</v>
      </c>
      <c r="Q1925" s="22" t="str">
        <f>VLOOKUP(B1925,辅助信息!E:M,9,FALSE)</f>
        <v>ZTWM-CDGS-XS-2024-0030-华西集采-简州大道</v>
      </c>
      <c r="R1925" s="22" t="str">
        <f>_xlfn._xlws.FILTER(辅助信息!D:D,辅助信息!E:E=B1925)</f>
        <v>华西简阳西城嘉苑</v>
      </c>
    </row>
    <row r="1926" hidden="1" spans="1:18">
      <c r="A1926" s="64" t="s">
        <v>175</v>
      </c>
      <c r="B1926" s="33" t="s">
        <v>81</v>
      </c>
      <c r="C1926" s="63">
        <v>45830</v>
      </c>
      <c r="D1926" s="113" t="str">
        <f>VLOOKUP(B1926,辅助信息!E:K,7,FALSE)</f>
        <v>JWDDCD2025060900080</v>
      </c>
      <c r="E1926" s="113" t="str">
        <f>VLOOKUP(F1926,辅助信息!A:B,2,FALSE)</f>
        <v>盘螺</v>
      </c>
      <c r="F1926" s="33" t="s">
        <v>49</v>
      </c>
      <c r="G1926" s="29">
        <v>2.5</v>
      </c>
      <c r="H1926" s="114">
        <f>_xlfn.XLOOKUP(C1926&amp;F1926&amp;I1926&amp;J1926,'[1]2025年已发货'!$F:$F&amp;'[1]2025年已发货'!$C:$C&amp;'[1]2025年已发货'!$G:$G&amp;'[1]2025年已发货'!$H:$H,'[1]2025年已发货'!$E:$E,"未发货")</f>
        <v>2.5</v>
      </c>
      <c r="I1926" s="113" t="str">
        <f>VLOOKUP(B1926,辅助信息!E:I,3,FALSE)</f>
        <v>（华西简阳西城嘉苑）四川省成都市简阳市简城街道高屋村</v>
      </c>
      <c r="J1926" s="113" t="str">
        <f>VLOOKUP(B1926,辅助信息!E:I,4,FALSE)</f>
        <v>张瀚镭</v>
      </c>
      <c r="K1926" s="113">
        <f>VLOOKUP(J1926,辅助信息!H:I,2,FALSE)</f>
        <v>15884666220</v>
      </c>
      <c r="L1926" s="126" t="str">
        <f>VLOOKUP(B1926,辅助信息!E:J,6,FALSE)</f>
        <v>现场禁止使用氢能源挂车！优先威钢发货,我方卸车,新老国标钢厂不加价可直发，因陕钢多次出现磅差，项目拒绝使用</v>
      </c>
      <c r="M1926" s="84">
        <v>45831</v>
      </c>
      <c r="O1926" s="55">
        <f ca="1" t="shared" ref="O1926:O1940" si="123">IF(OR(M1926="",N1926&lt;&gt;""),"",MAX(M1926-TODAY(),0))</f>
        <v>0</v>
      </c>
      <c r="P1926" s="55">
        <f ca="1" t="shared" ref="P1926:P1940" si="124">IF(M1926="","",IF(N1926&lt;&gt;"",MAX(N1926-M1926,0),IF(TODAY()&gt;M1926,TODAY()-M1926,0)))</f>
        <v>126</v>
      </c>
      <c r="Q1926" s="22" t="str">
        <f>VLOOKUP(B1926,辅助信息!E:M,9,FALSE)</f>
        <v>ZTWM-CDGS-XS-2024-0030-华西集采-简州大道</v>
      </c>
      <c r="R1926" s="22" t="str">
        <f>_xlfn._xlws.FILTER(辅助信息!D:D,辅助信息!E:E=B1926)</f>
        <v>华西简阳西城嘉苑</v>
      </c>
    </row>
    <row r="1927" hidden="1" spans="1:18">
      <c r="A1927" s="64"/>
      <c r="B1927" s="33" t="s">
        <v>81</v>
      </c>
      <c r="C1927" s="63">
        <v>45830</v>
      </c>
      <c r="D1927" s="113" t="str">
        <f>VLOOKUP(B1927,辅助信息!E:K,7,FALSE)</f>
        <v>JWDDCD2025060900080</v>
      </c>
      <c r="E1927" s="113" t="str">
        <f>VLOOKUP(F1927,辅助信息!A:B,2,FALSE)</f>
        <v>盘螺</v>
      </c>
      <c r="F1927" s="33" t="s">
        <v>40</v>
      </c>
      <c r="G1927" s="29">
        <v>27</v>
      </c>
      <c r="H1927" s="114">
        <f>_xlfn.XLOOKUP(C1927&amp;F1927&amp;I1927&amp;J1927,'[1]2025年已发货'!$F:$F&amp;'[1]2025年已发货'!$C:$C&amp;'[1]2025年已发货'!$G:$G&amp;'[1]2025年已发货'!$H:$H,'[1]2025年已发货'!$E:$E,"未发货")</f>
        <v>27</v>
      </c>
      <c r="I1927" s="113" t="str">
        <f>VLOOKUP(B1927,辅助信息!E:I,3,FALSE)</f>
        <v>（华西简阳西城嘉苑）四川省成都市简阳市简城街道高屋村</v>
      </c>
      <c r="J1927" s="113" t="str">
        <f>VLOOKUP(B1927,辅助信息!E:I,4,FALSE)</f>
        <v>张瀚镭</v>
      </c>
      <c r="K1927" s="113">
        <f>VLOOKUP(J1927,辅助信息!H:I,2,FALSE)</f>
        <v>15884666220</v>
      </c>
      <c r="L1927" s="126" t="str">
        <f>VLOOKUP(B1927,辅助信息!E:J,6,FALSE)</f>
        <v>现场禁止使用氢能源挂车！优先威钢发货,我方卸车,新老国标钢厂不加价可直发，因陕钢多次出现磅差，项目拒绝使用</v>
      </c>
      <c r="M1927" s="84">
        <v>45831</v>
      </c>
      <c r="O1927" s="55">
        <f ca="1" t="shared" si="123"/>
        <v>0</v>
      </c>
      <c r="P1927" s="55">
        <f ca="1" t="shared" si="124"/>
        <v>126</v>
      </c>
      <c r="Q1927" s="22" t="str">
        <f>VLOOKUP(B1927,辅助信息!E:M,9,FALSE)</f>
        <v>ZTWM-CDGS-XS-2024-0030-华西集采-简州大道</v>
      </c>
      <c r="R1927" s="22" t="str">
        <f>_xlfn._xlws.FILTER(辅助信息!D:D,辅助信息!E:E=B1927)</f>
        <v>华西简阳西城嘉苑</v>
      </c>
    </row>
    <row r="1928" hidden="1" spans="1:18">
      <c r="A1928" s="64"/>
      <c r="B1928" s="33" t="s">
        <v>81</v>
      </c>
      <c r="C1928" s="63">
        <v>45830</v>
      </c>
      <c r="D1928" s="113" t="str">
        <f>VLOOKUP(B1928,辅助信息!E:K,7,FALSE)</f>
        <v>JWDDCD2025060900080</v>
      </c>
      <c r="E1928" s="113" t="str">
        <f>VLOOKUP(F1928,辅助信息!A:B,2,FALSE)</f>
        <v>盘螺</v>
      </c>
      <c r="F1928" s="33" t="s">
        <v>41</v>
      </c>
      <c r="G1928" s="29">
        <v>44</v>
      </c>
      <c r="H1928" s="114">
        <f>_xlfn.XLOOKUP(C1928&amp;F1928&amp;I1928&amp;J1928,'[1]2025年已发货'!$F:$F&amp;'[1]2025年已发货'!$C:$C&amp;'[1]2025年已发货'!$G:$G&amp;'[1]2025年已发货'!$H:$H,'[1]2025年已发货'!$E:$E,"未发货")</f>
        <v>46</v>
      </c>
      <c r="I1928" s="113" t="str">
        <f>VLOOKUP(B1928,辅助信息!E:I,3,FALSE)</f>
        <v>（华西简阳西城嘉苑）四川省成都市简阳市简城街道高屋村</v>
      </c>
      <c r="J1928" s="113" t="str">
        <f>VLOOKUP(B1928,辅助信息!E:I,4,FALSE)</f>
        <v>张瀚镭</v>
      </c>
      <c r="K1928" s="113">
        <f>VLOOKUP(J1928,辅助信息!H:I,2,FALSE)</f>
        <v>15884666220</v>
      </c>
      <c r="L1928" s="126" t="str">
        <f>VLOOKUP(B1928,辅助信息!E:J,6,FALSE)</f>
        <v>现场禁止使用氢能源挂车！优先威钢发货,我方卸车,新老国标钢厂不加价可直发，因陕钢多次出现磅差，项目拒绝使用</v>
      </c>
      <c r="M1928" s="84">
        <v>45831</v>
      </c>
      <c r="O1928" s="55">
        <f ca="1" t="shared" si="123"/>
        <v>0</v>
      </c>
      <c r="P1928" s="55">
        <f ca="1" t="shared" si="124"/>
        <v>126</v>
      </c>
      <c r="Q1928" s="22" t="str">
        <f>VLOOKUP(B1928,辅助信息!E:M,9,FALSE)</f>
        <v>ZTWM-CDGS-XS-2024-0030-华西集采-简州大道</v>
      </c>
      <c r="R1928" s="22" t="str">
        <f>_xlfn._xlws.FILTER(辅助信息!D:D,辅助信息!E:E=B1928)</f>
        <v>华西简阳西城嘉苑</v>
      </c>
    </row>
    <row r="1929" hidden="1" spans="1:18">
      <c r="A1929" s="64"/>
      <c r="B1929" s="33" t="s">
        <v>81</v>
      </c>
      <c r="C1929" s="63">
        <v>45830</v>
      </c>
      <c r="D1929" s="113" t="str">
        <f>VLOOKUP(B1929,辅助信息!E:K,7,FALSE)</f>
        <v>JWDDCD2025060900080</v>
      </c>
      <c r="E1929" s="113" t="str">
        <f>VLOOKUP(F1929,辅助信息!A:B,2,FALSE)</f>
        <v>盘螺</v>
      </c>
      <c r="F1929" s="33" t="s">
        <v>26</v>
      </c>
      <c r="G1929" s="29">
        <v>27</v>
      </c>
      <c r="H1929" s="114" t="str">
        <f>_xlfn.XLOOKUP(C1929&amp;F1929&amp;I1929&amp;J1929,'[1]2025年已发货'!$F:$F&amp;'[1]2025年已发货'!$C:$C&amp;'[1]2025年已发货'!$G:$G&amp;'[1]2025年已发货'!$H:$H,'[1]2025年已发货'!$E:$E,"未发货")</f>
        <v>未发货</v>
      </c>
      <c r="I1929" s="113" t="str">
        <f>VLOOKUP(B1929,辅助信息!E:I,3,FALSE)</f>
        <v>（华西简阳西城嘉苑）四川省成都市简阳市简城街道高屋村</v>
      </c>
      <c r="J1929" s="113" t="str">
        <f>VLOOKUP(B1929,辅助信息!E:I,4,FALSE)</f>
        <v>张瀚镭</v>
      </c>
      <c r="K1929" s="113">
        <f>VLOOKUP(J1929,辅助信息!H:I,2,FALSE)</f>
        <v>15884666220</v>
      </c>
      <c r="L1929" s="126" t="str">
        <f>VLOOKUP(B1929,辅助信息!E:J,6,FALSE)</f>
        <v>现场禁止使用氢能源挂车！优先威钢发货,我方卸车,新老国标钢厂不加价可直发，因陕钢多次出现磅差，项目拒绝使用</v>
      </c>
      <c r="M1929" s="84">
        <v>45831</v>
      </c>
      <c r="O1929" s="55">
        <f ca="1" t="shared" si="123"/>
        <v>0</v>
      </c>
      <c r="P1929" s="55">
        <f ca="1" t="shared" si="124"/>
        <v>126</v>
      </c>
      <c r="Q1929" s="22" t="str">
        <f>VLOOKUP(B1929,辅助信息!E:M,9,FALSE)</f>
        <v>ZTWM-CDGS-XS-2024-0030-华西集采-简州大道</v>
      </c>
      <c r="R1929" s="22" t="str">
        <f>_xlfn._xlws.FILTER(辅助信息!D:D,辅助信息!E:E=B1929)</f>
        <v>华西简阳西城嘉苑</v>
      </c>
    </row>
    <row r="1930" hidden="1" spans="1:18">
      <c r="A1930" s="64"/>
      <c r="B1930" s="33" t="s">
        <v>81</v>
      </c>
      <c r="C1930" s="63">
        <v>45830</v>
      </c>
      <c r="D1930" s="113" t="str">
        <f>VLOOKUP(B1930,辅助信息!E:K,7,FALSE)</f>
        <v>JWDDCD2025060900080</v>
      </c>
      <c r="E1930" s="113" t="str">
        <f>VLOOKUP(F1930,辅助信息!A:B,2,FALSE)</f>
        <v>螺纹钢</v>
      </c>
      <c r="F1930" s="33" t="s">
        <v>19</v>
      </c>
      <c r="G1930" s="29">
        <v>30</v>
      </c>
      <c r="H1930" s="114">
        <f>_xlfn.XLOOKUP(C1930&amp;F1930&amp;I1930&amp;J1930,'[1]2025年已发货'!$F:$F&amp;'[1]2025年已发货'!$C:$C&amp;'[1]2025年已发货'!$G:$G&amp;'[1]2025年已发货'!$H:$H,'[1]2025年已发货'!$E:$E,"未发货")</f>
        <v>30</v>
      </c>
      <c r="I1930" s="113" t="str">
        <f>VLOOKUP(B1930,辅助信息!E:I,3,FALSE)</f>
        <v>（华西简阳西城嘉苑）四川省成都市简阳市简城街道高屋村</v>
      </c>
      <c r="J1930" s="113" t="str">
        <f>VLOOKUP(B1930,辅助信息!E:I,4,FALSE)</f>
        <v>张瀚镭</v>
      </c>
      <c r="K1930" s="113">
        <f>VLOOKUP(J1930,辅助信息!H:I,2,FALSE)</f>
        <v>15884666220</v>
      </c>
      <c r="L1930" s="126" t="str">
        <f>VLOOKUP(B1930,辅助信息!E:J,6,FALSE)</f>
        <v>现场禁止使用氢能源挂车！优先威钢发货,我方卸车,新老国标钢厂不加价可直发，因陕钢多次出现磅差，项目拒绝使用</v>
      </c>
      <c r="M1930" s="84">
        <v>45831</v>
      </c>
      <c r="O1930" s="55">
        <f ca="1" t="shared" si="123"/>
        <v>0</v>
      </c>
      <c r="P1930" s="55">
        <f ca="1" t="shared" si="124"/>
        <v>126</v>
      </c>
      <c r="Q1930" s="22" t="str">
        <f>VLOOKUP(B1930,辅助信息!E:M,9,FALSE)</f>
        <v>ZTWM-CDGS-XS-2024-0030-华西集采-简州大道</v>
      </c>
      <c r="R1930" s="22" t="str">
        <f>_xlfn._xlws.FILTER(辅助信息!D:D,辅助信息!E:E=B1930)</f>
        <v>华西简阳西城嘉苑</v>
      </c>
    </row>
    <row r="1931" hidden="1" spans="1:18">
      <c r="A1931" s="64"/>
      <c r="B1931" s="33" t="s">
        <v>81</v>
      </c>
      <c r="C1931" s="63">
        <v>45830</v>
      </c>
      <c r="D1931" s="113" t="str">
        <f>VLOOKUP(B1931,辅助信息!E:K,7,FALSE)</f>
        <v>JWDDCD2025060900080</v>
      </c>
      <c r="E1931" s="113" t="str">
        <f>VLOOKUP(F1931,辅助信息!A:B,2,FALSE)</f>
        <v>螺纹钢</v>
      </c>
      <c r="F1931" s="33" t="s">
        <v>32</v>
      </c>
      <c r="G1931" s="29">
        <v>52</v>
      </c>
      <c r="H1931" s="114">
        <f>_xlfn.XLOOKUP(C1931&amp;F1931&amp;I1931&amp;J1931,'[1]2025年已发货'!$F:$F&amp;'[1]2025年已发货'!$C:$C&amp;'[1]2025年已发货'!$G:$G&amp;'[1]2025年已发货'!$H:$H,'[1]2025年已发货'!$E:$E,"未发货")</f>
        <v>30</v>
      </c>
      <c r="I1931" s="113" t="str">
        <f>VLOOKUP(B1931,辅助信息!E:I,3,FALSE)</f>
        <v>（华西简阳西城嘉苑）四川省成都市简阳市简城街道高屋村</v>
      </c>
      <c r="J1931" s="113" t="str">
        <f>VLOOKUP(B1931,辅助信息!E:I,4,FALSE)</f>
        <v>张瀚镭</v>
      </c>
      <c r="K1931" s="113">
        <f>VLOOKUP(J1931,辅助信息!H:I,2,FALSE)</f>
        <v>15884666220</v>
      </c>
      <c r="L1931" s="126" t="str">
        <f>VLOOKUP(B1931,辅助信息!E:J,6,FALSE)</f>
        <v>现场禁止使用氢能源挂车！优先威钢发货,我方卸车,新老国标钢厂不加价可直发，因陕钢多次出现磅差，项目拒绝使用</v>
      </c>
      <c r="M1931" s="84">
        <v>45831</v>
      </c>
      <c r="O1931" s="55">
        <f ca="1" t="shared" si="123"/>
        <v>0</v>
      </c>
      <c r="P1931" s="55">
        <f ca="1" t="shared" si="124"/>
        <v>126</v>
      </c>
      <c r="Q1931" s="22" t="str">
        <f>VLOOKUP(B1931,辅助信息!E:M,9,FALSE)</f>
        <v>ZTWM-CDGS-XS-2024-0030-华西集采-简州大道</v>
      </c>
      <c r="R1931" s="22" t="str">
        <f>_xlfn._xlws.FILTER(辅助信息!D:D,辅助信息!E:E=B1931)</f>
        <v>华西简阳西城嘉苑</v>
      </c>
    </row>
    <row r="1932" hidden="1" spans="1:18">
      <c r="A1932" s="64"/>
      <c r="B1932" s="33" t="s">
        <v>81</v>
      </c>
      <c r="C1932" s="63">
        <v>45830</v>
      </c>
      <c r="D1932" s="113" t="str">
        <f>VLOOKUP(B1932,辅助信息!E:K,7,FALSE)</f>
        <v>JWDDCD2025060900080</v>
      </c>
      <c r="E1932" s="113" t="str">
        <f>VLOOKUP(F1932,辅助信息!A:B,2,FALSE)</f>
        <v>螺纹钢</v>
      </c>
      <c r="F1932" s="33" t="s">
        <v>30</v>
      </c>
      <c r="G1932" s="29">
        <v>2.5</v>
      </c>
      <c r="H1932" s="114">
        <f>_xlfn.XLOOKUP(C1932&amp;F1932&amp;I1932&amp;J1932,'[1]2025年已发货'!$F:$F&amp;'[1]2025年已发货'!$C:$C&amp;'[1]2025年已发货'!$G:$G&amp;'[1]2025年已发货'!$H:$H,'[1]2025年已发货'!$E:$E,"未发货")</f>
        <v>3</v>
      </c>
      <c r="I1932" s="113" t="str">
        <f>VLOOKUP(B1932,辅助信息!E:I,3,FALSE)</f>
        <v>（华西简阳西城嘉苑）四川省成都市简阳市简城街道高屋村</v>
      </c>
      <c r="J1932" s="113" t="str">
        <f>VLOOKUP(B1932,辅助信息!E:I,4,FALSE)</f>
        <v>张瀚镭</v>
      </c>
      <c r="K1932" s="113">
        <f>VLOOKUP(J1932,辅助信息!H:I,2,FALSE)</f>
        <v>15884666220</v>
      </c>
      <c r="L1932" s="126" t="str">
        <f>VLOOKUP(B1932,辅助信息!E:J,6,FALSE)</f>
        <v>现场禁止使用氢能源挂车！优先威钢发货,我方卸车,新老国标钢厂不加价可直发，因陕钢多次出现磅差，项目拒绝使用</v>
      </c>
      <c r="M1932" s="84">
        <v>45831</v>
      </c>
      <c r="O1932" s="55">
        <f ca="1" t="shared" si="123"/>
        <v>0</v>
      </c>
      <c r="P1932" s="55">
        <f ca="1" t="shared" si="124"/>
        <v>126</v>
      </c>
      <c r="Q1932" s="22" t="str">
        <f>VLOOKUP(B1932,辅助信息!E:M,9,FALSE)</f>
        <v>ZTWM-CDGS-XS-2024-0030-华西集采-简州大道</v>
      </c>
      <c r="R1932" s="22" t="str">
        <f>_xlfn._xlws.FILTER(辅助信息!D:D,辅助信息!E:E=B1932)</f>
        <v>华西简阳西城嘉苑</v>
      </c>
    </row>
    <row r="1933" hidden="1" spans="1:18">
      <c r="A1933" s="64"/>
      <c r="B1933" s="33" t="s">
        <v>81</v>
      </c>
      <c r="C1933" s="63">
        <v>45830</v>
      </c>
      <c r="D1933" s="113" t="str">
        <f>VLOOKUP(B1933,辅助信息!E:K,7,FALSE)</f>
        <v>JWDDCD2025060900080</v>
      </c>
      <c r="E1933" s="113" t="str">
        <f>VLOOKUP(F1933,辅助信息!A:B,2,FALSE)</f>
        <v>螺纹钢</v>
      </c>
      <c r="F1933" s="33" t="s">
        <v>33</v>
      </c>
      <c r="G1933" s="29">
        <v>30</v>
      </c>
      <c r="H1933" s="114" t="str">
        <f>_xlfn.XLOOKUP(C1933&amp;F1933&amp;I1933&amp;J1933,'[1]2025年已发货'!$F:$F&amp;'[1]2025年已发货'!$C:$C&amp;'[1]2025年已发货'!$G:$G&amp;'[1]2025年已发货'!$H:$H,'[1]2025年已发货'!$E:$E,"未发货")</f>
        <v>未发货</v>
      </c>
      <c r="I1933" s="113" t="str">
        <f>VLOOKUP(B1933,辅助信息!E:I,3,FALSE)</f>
        <v>（华西简阳西城嘉苑）四川省成都市简阳市简城街道高屋村</v>
      </c>
      <c r="J1933" s="113" t="str">
        <f>VLOOKUP(B1933,辅助信息!E:I,4,FALSE)</f>
        <v>张瀚镭</v>
      </c>
      <c r="K1933" s="113">
        <f>VLOOKUP(J1933,辅助信息!H:I,2,FALSE)</f>
        <v>15884666220</v>
      </c>
      <c r="L1933" s="126" t="str">
        <f>VLOOKUP(B1933,辅助信息!E:J,6,FALSE)</f>
        <v>现场禁止使用氢能源挂车！优先威钢发货,我方卸车,新老国标钢厂不加价可直发，因陕钢多次出现磅差，项目拒绝使用</v>
      </c>
      <c r="M1933" s="84">
        <v>45831</v>
      </c>
      <c r="O1933" s="55">
        <f ca="1" t="shared" si="123"/>
        <v>0</v>
      </c>
      <c r="P1933" s="55">
        <f ca="1" t="shared" si="124"/>
        <v>126</v>
      </c>
      <c r="Q1933" s="22" t="str">
        <f>VLOOKUP(B1933,辅助信息!E:M,9,FALSE)</f>
        <v>ZTWM-CDGS-XS-2024-0030-华西集采-简州大道</v>
      </c>
      <c r="R1933" s="22" t="str">
        <f>_xlfn._xlws.FILTER(辅助信息!D:D,辅助信息!E:E=B1933)</f>
        <v>华西简阳西城嘉苑</v>
      </c>
    </row>
    <row r="1934" hidden="1" spans="1:18">
      <c r="A1934" s="64"/>
      <c r="B1934" s="33" t="s">
        <v>81</v>
      </c>
      <c r="C1934" s="63">
        <v>45830</v>
      </c>
      <c r="D1934" s="113" t="str">
        <f>VLOOKUP(B1934,辅助信息!E:K,7,FALSE)</f>
        <v>JWDDCD2025060900080</v>
      </c>
      <c r="E1934" s="113" t="str">
        <f>VLOOKUP(F1934,辅助信息!A:B,2,FALSE)</f>
        <v>螺纹钢</v>
      </c>
      <c r="F1934" s="33" t="s">
        <v>28</v>
      </c>
      <c r="G1934" s="29">
        <v>5</v>
      </c>
      <c r="H1934" s="114">
        <f>_xlfn.XLOOKUP(C1934&amp;F1934&amp;I1934&amp;J1934,'[1]2025年已发货'!$F:$F&amp;'[1]2025年已发货'!$C:$C&amp;'[1]2025年已发货'!$G:$G&amp;'[1]2025年已发货'!$H:$H,'[1]2025年已发货'!$E:$E,"未发货")</f>
        <v>6</v>
      </c>
      <c r="I1934" s="113" t="str">
        <f>VLOOKUP(B1934,辅助信息!E:I,3,FALSE)</f>
        <v>（华西简阳西城嘉苑）四川省成都市简阳市简城街道高屋村</v>
      </c>
      <c r="J1934" s="113" t="str">
        <f>VLOOKUP(B1934,辅助信息!E:I,4,FALSE)</f>
        <v>张瀚镭</v>
      </c>
      <c r="K1934" s="113">
        <f>VLOOKUP(J1934,辅助信息!H:I,2,FALSE)</f>
        <v>15884666220</v>
      </c>
      <c r="L1934" s="126" t="str">
        <f>VLOOKUP(B1934,辅助信息!E:J,6,FALSE)</f>
        <v>现场禁止使用氢能源挂车！优先威钢发货,我方卸车,新老国标钢厂不加价可直发，因陕钢多次出现磅差，项目拒绝使用</v>
      </c>
      <c r="M1934" s="84">
        <v>45831</v>
      </c>
      <c r="O1934" s="55">
        <f ca="1" t="shared" si="123"/>
        <v>0</v>
      </c>
      <c r="P1934" s="55">
        <f ca="1" t="shared" si="124"/>
        <v>126</v>
      </c>
      <c r="Q1934" s="22" t="str">
        <f>VLOOKUP(B1934,辅助信息!E:M,9,FALSE)</f>
        <v>ZTWM-CDGS-XS-2024-0030-华西集采-简州大道</v>
      </c>
      <c r="R1934" s="22" t="str">
        <f>_xlfn._xlws.FILTER(辅助信息!D:D,辅助信息!E:E=B1934)</f>
        <v>华西简阳西城嘉苑</v>
      </c>
    </row>
    <row r="1935" hidden="1" spans="1:18">
      <c r="A1935" s="64"/>
      <c r="B1935" s="33" t="s">
        <v>81</v>
      </c>
      <c r="C1935" s="63">
        <v>45830</v>
      </c>
      <c r="D1935" s="113" t="str">
        <f>VLOOKUP(B1935,辅助信息!E:K,7,FALSE)</f>
        <v>JWDDCD2025060900080</v>
      </c>
      <c r="E1935" s="113" t="str">
        <f>VLOOKUP(F1935,辅助信息!A:B,2,FALSE)</f>
        <v>螺纹钢</v>
      </c>
      <c r="F1935" s="33" t="s">
        <v>18</v>
      </c>
      <c r="G1935" s="29">
        <v>6</v>
      </c>
      <c r="H1935" s="114" t="str">
        <f>_xlfn.XLOOKUP(C1935&amp;F1935&amp;I1935&amp;J1935,'[1]2025年已发货'!$F:$F&amp;'[1]2025年已发货'!$C:$C&amp;'[1]2025年已发货'!$G:$G&amp;'[1]2025年已发货'!$H:$H,'[1]2025年已发货'!$E:$E,"未发货")</f>
        <v>未发货</v>
      </c>
      <c r="I1935" s="113" t="str">
        <f>VLOOKUP(B1935,辅助信息!E:I,3,FALSE)</f>
        <v>（华西简阳西城嘉苑）四川省成都市简阳市简城街道高屋村</v>
      </c>
      <c r="J1935" s="113" t="str">
        <f>VLOOKUP(B1935,辅助信息!E:I,4,FALSE)</f>
        <v>张瀚镭</v>
      </c>
      <c r="K1935" s="113">
        <f>VLOOKUP(J1935,辅助信息!H:I,2,FALSE)</f>
        <v>15884666220</v>
      </c>
      <c r="L1935" s="126" t="str">
        <f>VLOOKUP(B1935,辅助信息!E:J,6,FALSE)</f>
        <v>现场禁止使用氢能源挂车！优先威钢发货,我方卸车,新老国标钢厂不加价可直发，因陕钢多次出现磅差，项目拒绝使用</v>
      </c>
      <c r="M1935" s="84">
        <v>45831</v>
      </c>
      <c r="O1935" s="55">
        <f ca="1" t="shared" si="123"/>
        <v>0</v>
      </c>
      <c r="P1935" s="55">
        <f ca="1" t="shared" si="124"/>
        <v>126</v>
      </c>
      <c r="Q1935" s="22" t="str">
        <f>VLOOKUP(B1935,辅助信息!E:M,9,FALSE)</f>
        <v>ZTWM-CDGS-XS-2024-0030-华西集采-简州大道</v>
      </c>
      <c r="R1935" s="22" t="str">
        <f>_xlfn._xlws.FILTER(辅助信息!D:D,辅助信息!E:E=B1935)</f>
        <v>华西简阳西城嘉苑</v>
      </c>
    </row>
    <row r="1936" hidden="1" spans="2:18">
      <c r="B1936" s="33" t="s">
        <v>47</v>
      </c>
      <c r="C1936" s="63">
        <v>45828</v>
      </c>
      <c r="D1936" s="113" t="str">
        <f>VLOOKUP(B1936,辅助信息!E:K,7,FALSE)</f>
        <v>JWDDCD2025052800131</v>
      </c>
      <c r="E1936" s="113" t="str">
        <f>VLOOKUP(F1936,辅助信息!A:B,2,FALSE)</f>
        <v>盘螺</v>
      </c>
      <c r="F1936" s="33" t="s">
        <v>40</v>
      </c>
      <c r="G1936" s="29">
        <v>23</v>
      </c>
      <c r="H1936" s="114">
        <f>_xlfn.XLOOKUP(C1936&amp;F1936&amp;I1936&amp;J1936,'[1]2025年已发货'!$F:$F&amp;'[1]2025年已发货'!$C:$C&amp;'[1]2025年已发货'!$G:$G&amp;'[1]2025年已发货'!$H:$H,'[1]2025年已发货'!$E:$E,"未发货")</f>
        <v>23</v>
      </c>
      <c r="I1936" s="113" t="str">
        <f>VLOOKUP(B1936,辅助信息!E:I,3,FALSE)</f>
        <v>（商投建工达州中医药科技园-1工区）达州市通川区达州中医药职业学院犀牛大道北段</v>
      </c>
      <c r="J1936" s="113" t="str">
        <f>VLOOKUP(B1936,辅助信息!E:I,4,FALSE)</f>
        <v>程黄刚</v>
      </c>
      <c r="K1936" s="113">
        <f>VLOOKUP(J1936,辅助信息!H:I,2,FALSE)</f>
        <v>15108211617</v>
      </c>
      <c r="L1936" s="126" t="str">
        <f>VLOOKUP(B1936,辅助信息!E:J,6,FALSE)</f>
        <v>控制炉批号！多了现场不收！,优先安排达钢,提前联系到场规格及数量</v>
      </c>
      <c r="M1936" s="84">
        <v>45830</v>
      </c>
      <c r="O1936" s="55">
        <f ca="1" t="shared" si="123"/>
        <v>0</v>
      </c>
      <c r="P1936" s="55">
        <f ca="1" t="shared" si="124"/>
        <v>127</v>
      </c>
      <c r="Q1936" s="22" t="str">
        <f>VLOOKUP(B1936,辅助信息!E:M,9,FALSE)</f>
        <v>ZTWM-CDGS-XS-2024-0134-商投建工达州中医药科技成果示范园项目</v>
      </c>
      <c r="R1936" s="22" t="str">
        <f>_xlfn._xlws.FILTER(辅助信息!D:D,辅助信息!E:E=B1936)</f>
        <v>商投建工达州中医药科技园</v>
      </c>
    </row>
    <row r="1937" hidden="1" spans="2:18">
      <c r="B1937" s="33" t="s">
        <v>47</v>
      </c>
      <c r="C1937" s="63">
        <v>45828</v>
      </c>
      <c r="D1937" s="113" t="str">
        <f>VLOOKUP(B1937,辅助信息!E:K,7,FALSE)</f>
        <v>JWDDCD2025052800131</v>
      </c>
      <c r="E1937" s="113" t="str">
        <f>VLOOKUP(F1937,辅助信息!A:B,2,FALSE)</f>
        <v>盘螺</v>
      </c>
      <c r="F1937" s="33" t="s">
        <v>41</v>
      </c>
      <c r="G1937" s="29">
        <v>15</v>
      </c>
      <c r="H1937" s="114">
        <f>_xlfn.XLOOKUP(C1937&amp;F1937&amp;I1937&amp;J1937,'[1]2025年已发货'!$F:$F&amp;'[1]2025年已发货'!$C:$C&amp;'[1]2025年已发货'!$G:$G&amp;'[1]2025年已发货'!$H:$H,'[1]2025年已发货'!$E:$E,"未发货")</f>
        <v>15</v>
      </c>
      <c r="I1937" s="113" t="str">
        <f>VLOOKUP(B1937,辅助信息!E:I,3,FALSE)</f>
        <v>（商投建工达州中医药科技园-1工区）达州市通川区达州中医药职业学院犀牛大道北段</v>
      </c>
      <c r="J1937" s="113" t="str">
        <f>VLOOKUP(B1937,辅助信息!E:I,4,FALSE)</f>
        <v>程黄刚</v>
      </c>
      <c r="K1937" s="113">
        <f>VLOOKUP(J1937,辅助信息!H:I,2,FALSE)</f>
        <v>15108211617</v>
      </c>
      <c r="L1937" s="126" t="str">
        <f>VLOOKUP(B1937,辅助信息!E:J,6,FALSE)</f>
        <v>控制炉批号！多了现场不收！,优先安排达钢,提前联系到场规格及数量</v>
      </c>
      <c r="M1937" s="84">
        <v>45830</v>
      </c>
      <c r="O1937" s="55">
        <f ca="1" t="shared" si="123"/>
        <v>0</v>
      </c>
      <c r="P1937" s="55">
        <f ca="1" t="shared" si="124"/>
        <v>127</v>
      </c>
      <c r="Q1937" s="22" t="str">
        <f>VLOOKUP(B1937,辅助信息!E:M,9,FALSE)</f>
        <v>ZTWM-CDGS-XS-2024-0134-商投建工达州中医药科技成果示范园项目</v>
      </c>
      <c r="R1937" s="22" t="str">
        <f>_xlfn._xlws.FILTER(辅助信息!D:D,辅助信息!E:E=B1937)</f>
        <v>商投建工达州中医药科技园</v>
      </c>
    </row>
    <row r="1938" hidden="1" spans="2:18">
      <c r="B1938" s="33" t="s">
        <v>47</v>
      </c>
      <c r="C1938" s="63">
        <v>45828</v>
      </c>
      <c r="D1938" s="113" t="str">
        <f>VLOOKUP(B1938,辅助信息!E:K,7,FALSE)</f>
        <v>JWDDCD2025052800131</v>
      </c>
      <c r="E1938" s="113" t="str">
        <f>VLOOKUP(F1938,辅助信息!A:B,2,FALSE)</f>
        <v>螺纹钢</v>
      </c>
      <c r="F1938" s="33" t="s">
        <v>30</v>
      </c>
      <c r="G1938" s="29">
        <v>12</v>
      </c>
      <c r="H1938" s="114">
        <f>_xlfn.XLOOKUP(C1938&amp;F1938&amp;I1938&amp;J1938,'[1]2025年已发货'!$F:$F&amp;'[1]2025年已发货'!$C:$C&amp;'[1]2025年已发货'!$G:$G&amp;'[1]2025年已发货'!$H:$H,'[1]2025年已发货'!$E:$E,"未发货")</f>
        <v>12</v>
      </c>
      <c r="I1938" s="113" t="str">
        <f>VLOOKUP(B1938,辅助信息!E:I,3,FALSE)</f>
        <v>（商投建工达州中医药科技园-1工区）达州市通川区达州中医药职业学院犀牛大道北段</v>
      </c>
      <c r="J1938" s="113" t="str">
        <f>VLOOKUP(B1938,辅助信息!E:I,4,FALSE)</f>
        <v>程黄刚</v>
      </c>
      <c r="K1938" s="113">
        <f>VLOOKUP(J1938,辅助信息!H:I,2,FALSE)</f>
        <v>15108211617</v>
      </c>
      <c r="L1938" s="126" t="str">
        <f>VLOOKUP(B1938,辅助信息!E:J,6,FALSE)</f>
        <v>控制炉批号！多了现场不收！,优先安排达钢,提前联系到场规格及数量</v>
      </c>
      <c r="M1938" s="84">
        <v>45830</v>
      </c>
      <c r="O1938" s="55">
        <f ca="1" t="shared" si="123"/>
        <v>0</v>
      </c>
      <c r="P1938" s="55">
        <f ca="1" t="shared" si="124"/>
        <v>127</v>
      </c>
      <c r="Q1938" s="22" t="str">
        <f>VLOOKUP(B1938,辅助信息!E:M,9,FALSE)</f>
        <v>ZTWM-CDGS-XS-2024-0134-商投建工达州中医药科技成果示范园项目</v>
      </c>
      <c r="R1938" s="22" t="str">
        <f>_xlfn._xlws.FILTER(辅助信息!D:D,辅助信息!E:E=B1938)</f>
        <v>商投建工达州中医药科技园</v>
      </c>
    </row>
    <row r="1939" hidden="1" spans="2:18">
      <c r="B1939" s="33" t="s">
        <v>47</v>
      </c>
      <c r="C1939" s="63">
        <v>45828</v>
      </c>
      <c r="D1939" s="113" t="str">
        <f>VLOOKUP(B1939,辅助信息!E:K,7,FALSE)</f>
        <v>JWDDCD2025052800131</v>
      </c>
      <c r="E1939" s="113" t="str">
        <f>VLOOKUP(F1939,辅助信息!A:B,2,FALSE)</f>
        <v>螺纹钢</v>
      </c>
      <c r="F1939" s="33" t="s">
        <v>33</v>
      </c>
      <c r="G1939" s="29">
        <v>6</v>
      </c>
      <c r="H1939" s="114">
        <f>_xlfn.XLOOKUP(C1939&amp;F1939&amp;I1939&amp;J1939,'[1]2025年已发货'!$F:$F&amp;'[1]2025年已发货'!$C:$C&amp;'[1]2025年已发货'!$G:$G&amp;'[1]2025年已发货'!$H:$H,'[1]2025年已发货'!$E:$E,"未发货")</f>
        <v>6</v>
      </c>
      <c r="I1939" s="113" t="str">
        <f>VLOOKUP(B1939,辅助信息!E:I,3,FALSE)</f>
        <v>（商投建工达州中医药科技园-1工区）达州市通川区达州中医药职业学院犀牛大道北段</v>
      </c>
      <c r="J1939" s="113" t="str">
        <f>VLOOKUP(B1939,辅助信息!E:I,4,FALSE)</f>
        <v>程黄刚</v>
      </c>
      <c r="K1939" s="113">
        <f>VLOOKUP(J1939,辅助信息!H:I,2,FALSE)</f>
        <v>15108211617</v>
      </c>
      <c r="L1939" s="126" t="str">
        <f>VLOOKUP(B1939,辅助信息!E:J,6,FALSE)</f>
        <v>控制炉批号！多了现场不收！,优先安排达钢,提前联系到场规格及数量</v>
      </c>
      <c r="M1939" s="84">
        <v>45830</v>
      </c>
      <c r="O1939" s="55">
        <f ca="1" t="shared" si="123"/>
        <v>0</v>
      </c>
      <c r="P1939" s="55">
        <f ca="1" t="shared" si="124"/>
        <v>127</v>
      </c>
      <c r="Q1939" s="22" t="str">
        <f>VLOOKUP(B1939,辅助信息!E:M,9,FALSE)</f>
        <v>ZTWM-CDGS-XS-2024-0134-商投建工达州中医药科技成果示范园项目</v>
      </c>
      <c r="R1939" s="22" t="str">
        <f>_xlfn._xlws.FILTER(辅助信息!D:D,辅助信息!E:E=B1939)</f>
        <v>商投建工达州中医药科技园</v>
      </c>
    </row>
    <row r="1940" hidden="1" spans="2:18">
      <c r="B1940" s="33" t="s">
        <v>56</v>
      </c>
      <c r="C1940" s="63">
        <v>45830</v>
      </c>
      <c r="D1940" s="113" t="str">
        <f>VLOOKUP(B1940,辅助信息!E:K,7,FALSE)</f>
        <v>JWDDCD2025052800131</v>
      </c>
      <c r="E1940" s="113" t="str">
        <f>VLOOKUP(F1940,辅助信息!A:B,2,FALSE)</f>
        <v>盘螺</v>
      </c>
      <c r="F1940" s="33" t="s">
        <v>40</v>
      </c>
      <c r="G1940" s="29">
        <v>35</v>
      </c>
      <c r="H1940" s="114">
        <f>_xlfn.XLOOKUP(C1940&amp;F1940&amp;I1940&amp;J1940,'[1]2025年已发货'!$F:$F&amp;'[1]2025年已发货'!$C:$C&amp;'[1]2025年已发货'!$G:$G&amp;'[1]2025年已发货'!$H:$H,'[1]2025年已发货'!$E:$E,"未发货")</f>
        <v>35</v>
      </c>
      <c r="I1940" s="113" t="str">
        <f>VLOOKUP(B1940,辅助信息!E:I,3,FALSE)</f>
        <v>（商投建工达州中医药科技园-4工区-7号楼）达州市通川区达州中医药职业学院犀牛大道北段</v>
      </c>
      <c r="J1940" s="113" t="str">
        <f>VLOOKUP(B1940,辅助信息!E:I,4,FALSE)</f>
        <v>张扬</v>
      </c>
      <c r="K1940" s="113">
        <f>VLOOKUP(J1940,辅助信息!H:I,2,FALSE)</f>
        <v>18381904567</v>
      </c>
      <c r="L1940" s="126" t="str">
        <f>VLOOKUP(B1940,辅助信息!E:J,6,FALSE)</f>
        <v>控制炉批号！多了现场不收！,优先安排达钢,提前联系到场规格及数量</v>
      </c>
      <c r="M1940" s="84">
        <v>45831</v>
      </c>
      <c r="O1940" s="55">
        <f ca="1" t="shared" si="123"/>
        <v>0</v>
      </c>
      <c r="P1940" s="55">
        <f ca="1" t="shared" si="124"/>
        <v>126</v>
      </c>
      <c r="Q1940" s="22" t="str">
        <f>VLOOKUP(B1940,辅助信息!E:M,9,FALSE)</f>
        <v>ZTWM-CDGS-XS-2024-0134-商投建工达州中医药科技成果示范园项目</v>
      </c>
      <c r="R1940" s="22" t="str">
        <f>_xlfn._xlws.FILTER(辅助信息!D:D,辅助信息!E:E=B1940)</f>
        <v>商投建工达州中医药科技园</v>
      </c>
    </row>
    <row r="1941" hidden="1" spans="2:18">
      <c r="B1941" s="33" t="s">
        <v>31</v>
      </c>
      <c r="C1941" s="63">
        <v>45830</v>
      </c>
      <c r="D1941" s="113" t="str">
        <f>VLOOKUP(B1941,辅助信息!E:K,7,FALSE)</f>
        <v>JWDDCD2024121000136</v>
      </c>
      <c r="E1941" s="113" t="str">
        <f>VLOOKUP(F1941,辅助信息!A:B,2,FALSE)</f>
        <v>螺纹钢</v>
      </c>
      <c r="F1941" s="33" t="s">
        <v>58</v>
      </c>
      <c r="G1941" s="29">
        <v>8</v>
      </c>
      <c r="H1941" s="114">
        <f>_xlfn.XLOOKUP(C1941&amp;F1941&amp;I1941&amp;J1941,'[1]2025年已发货'!$F:$F&amp;'[1]2025年已发货'!$C:$C&amp;'[1]2025年已发货'!$G:$G&amp;'[1]2025年已发货'!$H:$H,'[1]2025年已发货'!$E:$E,"未发货")</f>
        <v>8</v>
      </c>
      <c r="I1941" s="113" t="str">
        <f>VLOOKUP(B1941,辅助信息!E:I,3,FALSE)</f>
        <v>（四川商建-射洪城乡一体化项目）遂宁市射洪市忠新幼儿园北侧约220米新溪小区</v>
      </c>
      <c r="J1941" s="113" t="str">
        <f>VLOOKUP(B1941,辅助信息!E:I,4,FALSE)</f>
        <v>柏子刚</v>
      </c>
      <c r="K1941" s="113">
        <f>VLOOKUP(J1941,辅助信息!H:I,2,FALSE)</f>
        <v>15692885305</v>
      </c>
      <c r="L1941" s="126" t="str">
        <f>VLOOKUP(B1941,辅助信息!E:J,6,FALSE)</f>
        <v>提前联系到场规格及数量</v>
      </c>
      <c r="M1941" s="84">
        <v>45831</v>
      </c>
      <c r="O1941" s="55">
        <f ca="1" t="shared" ref="O1941:O1953" si="125">IF(OR(M1941="",N1941&lt;&gt;""),"",MAX(M1941-TODAY(),0))</f>
        <v>0</v>
      </c>
      <c r="P1941" s="55">
        <f ca="1" t="shared" ref="P1941:P1953" si="126">IF(M1941="","",IF(N1941&lt;&gt;"",MAX(N1941-M1941,0),IF(TODAY()&gt;M1941,TODAY()-M1941,0)))</f>
        <v>126</v>
      </c>
      <c r="Q1941" s="22" t="str">
        <f>VLOOKUP(B1941,辅助信息!E:M,9,FALSE)</f>
        <v>ZTWM-CDGS-XS-2024-0179-四川商投-射洪城乡一体化建设项目</v>
      </c>
      <c r="R1941" s="22" t="str">
        <f>_xlfn._xlws.FILTER(辅助信息!D:D,辅助信息!E:E=B1941)</f>
        <v>四川商建
射洪城乡一体化项目</v>
      </c>
    </row>
    <row r="1942" hidden="1" spans="2:18">
      <c r="B1942" s="33" t="s">
        <v>31</v>
      </c>
      <c r="C1942" s="63">
        <v>45830</v>
      </c>
      <c r="D1942" s="113" t="str">
        <f>VLOOKUP(B1942,辅助信息!E:K,7,FALSE)</f>
        <v>JWDDCD2024121000136</v>
      </c>
      <c r="E1942" s="113" t="str">
        <f>VLOOKUP(F1942,辅助信息!A:B,2,FALSE)</f>
        <v>螺纹钢</v>
      </c>
      <c r="F1942" s="33" t="s">
        <v>46</v>
      </c>
      <c r="G1942" s="29">
        <v>5</v>
      </c>
      <c r="H1942" s="114">
        <f>_xlfn.XLOOKUP(C1942&amp;F1942&amp;I1942&amp;J1942,'[1]2025年已发货'!$F:$F&amp;'[1]2025年已发货'!$C:$C&amp;'[1]2025年已发货'!$G:$G&amp;'[1]2025年已发货'!$H:$H,'[1]2025年已发货'!$E:$E,"未发货")</f>
        <v>5</v>
      </c>
      <c r="I1942" s="113" t="str">
        <f>VLOOKUP(B1942,辅助信息!E:I,3,FALSE)</f>
        <v>（四川商建-射洪城乡一体化项目）遂宁市射洪市忠新幼儿园北侧约220米新溪小区</v>
      </c>
      <c r="J1942" s="113" t="str">
        <f>VLOOKUP(B1942,辅助信息!E:I,4,FALSE)</f>
        <v>柏子刚</v>
      </c>
      <c r="K1942" s="113">
        <f>VLOOKUP(J1942,辅助信息!H:I,2,FALSE)</f>
        <v>15692885305</v>
      </c>
      <c r="L1942" s="126" t="str">
        <f>VLOOKUP(B1942,辅助信息!E:J,6,FALSE)</f>
        <v>提前联系到场规格及数量</v>
      </c>
      <c r="M1942" s="84">
        <v>45831</v>
      </c>
      <c r="O1942" s="55">
        <f ca="1" t="shared" si="125"/>
        <v>0</v>
      </c>
      <c r="P1942" s="55">
        <f ca="1" t="shared" si="126"/>
        <v>126</v>
      </c>
      <c r="Q1942" s="22" t="str">
        <f>VLOOKUP(B1942,辅助信息!E:M,9,FALSE)</f>
        <v>ZTWM-CDGS-XS-2024-0179-四川商投-射洪城乡一体化建设项目</v>
      </c>
      <c r="R1942" s="22" t="str">
        <f>_xlfn._xlws.FILTER(辅助信息!D:D,辅助信息!E:E=B1942)</f>
        <v>四川商建
射洪城乡一体化项目</v>
      </c>
    </row>
    <row r="1943" hidden="1" spans="2:18">
      <c r="B1943" s="33" t="s">
        <v>31</v>
      </c>
      <c r="C1943" s="63">
        <v>45830</v>
      </c>
      <c r="D1943" s="113" t="str">
        <f>VLOOKUP(B1943,辅助信息!E:K,7,FALSE)</f>
        <v>JWDDCD2024121000136</v>
      </c>
      <c r="E1943" s="113" t="str">
        <f>VLOOKUP(F1943,辅助信息!A:B,2,FALSE)</f>
        <v>螺纹钢</v>
      </c>
      <c r="F1943" s="33" t="s">
        <v>22</v>
      </c>
      <c r="G1943" s="29">
        <v>22</v>
      </c>
      <c r="H1943" s="114">
        <f>_xlfn.XLOOKUP(C1943&amp;F1943&amp;I1943&amp;J1943,'[1]2025年已发货'!$F:$F&amp;'[1]2025年已发货'!$C:$C&amp;'[1]2025年已发货'!$G:$G&amp;'[1]2025年已发货'!$H:$H,'[1]2025年已发货'!$E:$E,"未发货")</f>
        <v>22</v>
      </c>
      <c r="I1943" s="113" t="str">
        <f>VLOOKUP(B1943,辅助信息!E:I,3,FALSE)</f>
        <v>（四川商建-射洪城乡一体化项目）遂宁市射洪市忠新幼儿园北侧约220米新溪小区</v>
      </c>
      <c r="J1943" s="113" t="str">
        <f>VLOOKUP(B1943,辅助信息!E:I,4,FALSE)</f>
        <v>柏子刚</v>
      </c>
      <c r="K1943" s="113">
        <f>VLOOKUP(J1943,辅助信息!H:I,2,FALSE)</f>
        <v>15692885305</v>
      </c>
      <c r="L1943" s="126" t="str">
        <f>VLOOKUP(B1943,辅助信息!E:J,6,FALSE)</f>
        <v>提前联系到场规格及数量</v>
      </c>
      <c r="M1943" s="84">
        <v>45831</v>
      </c>
      <c r="O1943" s="55">
        <f ca="1" t="shared" si="125"/>
        <v>0</v>
      </c>
      <c r="P1943" s="55">
        <f ca="1" t="shared" si="126"/>
        <v>126</v>
      </c>
      <c r="Q1943" s="22" t="str">
        <f>VLOOKUP(B1943,辅助信息!E:M,9,FALSE)</f>
        <v>ZTWM-CDGS-XS-2024-0179-四川商投-射洪城乡一体化建设项目</v>
      </c>
      <c r="R1943" s="22" t="str">
        <f>_xlfn._xlws.FILTER(辅助信息!D:D,辅助信息!E:E=B1943)</f>
        <v>四川商建
射洪城乡一体化项目</v>
      </c>
    </row>
    <row r="1944" hidden="1" spans="2:17">
      <c r="B1944" s="33" t="s">
        <v>176</v>
      </c>
      <c r="C1944" s="63">
        <v>45832</v>
      </c>
      <c r="D1944" s="113" t="str">
        <f>VLOOKUP(B1944,辅助信息!E:K,7,FALSE)</f>
        <v>JWDDCD2025062200016</v>
      </c>
      <c r="E1944" s="113" t="str">
        <f>VLOOKUP(F1944,辅助信息!A:B,2,FALSE)</f>
        <v>高线</v>
      </c>
      <c r="F1944" s="33" t="s">
        <v>53</v>
      </c>
      <c r="G1944" s="29">
        <v>2.5</v>
      </c>
      <c r="H1944" s="114" t="str">
        <f>_xlfn.XLOOKUP(C1944&amp;F1944&amp;I1944&amp;J1944,'[1]2025年已发货'!$F:$F&amp;'[1]2025年已发货'!$C:$C&amp;'[1]2025年已发货'!$G:$G&amp;'[1]2025年已发货'!$H:$H,'[1]2025年已发货'!$E:$E,"未发货")</f>
        <v>未发货</v>
      </c>
      <c r="I1944" s="113" t="str">
        <f>VLOOKUP(B1944,辅助信息!E:I,3,FALSE)</f>
        <v>(武汉电气化局成达万高铁强电项目-渠县)四川省达州市渠县渠北镇雷家湾渠县北站旁</v>
      </c>
      <c r="J1944" s="113" t="str">
        <f>VLOOKUP(B1944,辅助信息!E:I,4,FALSE)</f>
        <v>刘频</v>
      </c>
      <c r="K1944" s="113">
        <f>VLOOKUP(J1944,辅助信息!H:I,2,FALSE)</f>
        <v>18779627939</v>
      </c>
      <c r="L1944" s="126" t="str">
        <f>VLOOKUP(B1944,辅助信息!E:J,6,FALSE)</f>
        <v>锈货不收！！下雨天钢筋没盖篷布不收！！，装货前联系收货人核实到场规格,没提前告知进场规格现场不给予接收</v>
      </c>
      <c r="M1944" s="84">
        <v>45831</v>
      </c>
      <c r="O1944" s="55">
        <f ca="1" t="shared" si="125"/>
        <v>0</v>
      </c>
      <c r="P1944" s="55">
        <f ca="1" t="shared" si="126"/>
        <v>126</v>
      </c>
      <c r="Q1944" s="22" t="str">
        <f>VLOOKUP(B1944,辅助信息!E:M,9,FALSE)</f>
        <v>ZTWM-CDGS-XS-2025-0033-中铁武汉电气化局集团有限公司成达万高速铁路强电工程项目</v>
      </c>
    </row>
    <row r="1945" hidden="1" spans="2:17">
      <c r="B1945" s="33" t="s">
        <v>176</v>
      </c>
      <c r="C1945" s="63">
        <v>45832</v>
      </c>
      <c r="D1945" s="113" t="str">
        <f>VLOOKUP(B1945,辅助信息!E:K,7,FALSE)</f>
        <v>JWDDCD2025062200016</v>
      </c>
      <c r="E1945" s="113" t="str">
        <f>VLOOKUP(F1945,辅助信息!A:B,2,FALSE)</f>
        <v>盘螺</v>
      </c>
      <c r="F1945" s="33" t="s">
        <v>40</v>
      </c>
      <c r="G1945" s="29">
        <v>5</v>
      </c>
      <c r="H1945" s="114">
        <f>_xlfn.XLOOKUP(C1945&amp;F1945&amp;I1945&amp;J1945,'[1]2025年已发货'!$F:$F&amp;'[1]2025年已发货'!$C:$C&amp;'[1]2025年已发货'!$G:$G&amp;'[1]2025年已发货'!$H:$H,'[1]2025年已发货'!$E:$E,"未发货")</f>
        <v>5</v>
      </c>
      <c r="I1945" s="113" t="str">
        <f>VLOOKUP(B1945,辅助信息!E:I,3,FALSE)</f>
        <v>(武汉电气化局成达万高铁强电项目-渠县)四川省达州市渠县渠北镇雷家湾渠县北站旁</v>
      </c>
      <c r="J1945" s="113" t="str">
        <f>VLOOKUP(B1945,辅助信息!E:I,4,FALSE)</f>
        <v>刘频</v>
      </c>
      <c r="K1945" s="113">
        <f>VLOOKUP(J1945,辅助信息!H:I,2,FALSE)</f>
        <v>18779627939</v>
      </c>
      <c r="L1945" s="126" t="str">
        <f>VLOOKUP(B1945,辅助信息!E:J,6,FALSE)</f>
        <v>锈货不收！！下雨天钢筋没盖篷布不收！！，装货前联系收货人核实到场规格,没提前告知进场规格现场不给予接收</v>
      </c>
      <c r="M1945" s="84">
        <v>45831</v>
      </c>
      <c r="O1945" s="55">
        <f ca="1" t="shared" si="125"/>
        <v>0</v>
      </c>
      <c r="P1945" s="55">
        <f ca="1" t="shared" si="126"/>
        <v>126</v>
      </c>
      <c r="Q1945" s="22" t="str">
        <f>VLOOKUP(B1945,辅助信息!E:M,9,FALSE)</f>
        <v>ZTWM-CDGS-XS-2025-0033-中铁武汉电气化局集团有限公司成达万高速铁路强电工程项目</v>
      </c>
    </row>
    <row r="1946" hidden="1" spans="2:17">
      <c r="B1946" s="33" t="s">
        <v>176</v>
      </c>
      <c r="C1946" s="63">
        <v>45832</v>
      </c>
      <c r="D1946" s="113" t="str">
        <f>VLOOKUP(B1946,辅助信息!E:K,7,FALSE)</f>
        <v>JWDDCD2025062200016</v>
      </c>
      <c r="E1946" s="113" t="str">
        <f>VLOOKUP(F1946,辅助信息!A:B,2,FALSE)</f>
        <v>盘螺</v>
      </c>
      <c r="F1946" s="33" t="s">
        <v>41</v>
      </c>
      <c r="G1946" s="29">
        <v>5</v>
      </c>
      <c r="H1946" s="114">
        <f>_xlfn.XLOOKUP(C1946&amp;F1946&amp;I1946&amp;J1946,'[1]2025年已发货'!$F:$F&amp;'[1]2025年已发货'!$C:$C&amp;'[1]2025年已发货'!$G:$G&amp;'[1]2025年已发货'!$H:$H,'[1]2025年已发货'!$E:$E,"未发货")</f>
        <v>5</v>
      </c>
      <c r="I1946" s="113" t="str">
        <f>VLOOKUP(B1946,辅助信息!E:I,3,FALSE)</f>
        <v>(武汉电气化局成达万高铁强电项目-渠县)四川省达州市渠县渠北镇雷家湾渠县北站旁</v>
      </c>
      <c r="J1946" s="113" t="str">
        <f>VLOOKUP(B1946,辅助信息!E:I,4,FALSE)</f>
        <v>刘频</v>
      </c>
      <c r="K1946" s="113">
        <f>VLOOKUP(J1946,辅助信息!H:I,2,FALSE)</f>
        <v>18779627939</v>
      </c>
      <c r="L1946" s="126" t="str">
        <f>VLOOKUP(B1946,辅助信息!E:J,6,FALSE)</f>
        <v>锈货不收！！下雨天钢筋没盖篷布不收！！，装货前联系收货人核实到场规格,没提前告知进场规格现场不给予接收</v>
      </c>
      <c r="M1946" s="84">
        <v>45831</v>
      </c>
      <c r="O1946" s="55">
        <f ca="1" t="shared" si="125"/>
        <v>0</v>
      </c>
      <c r="P1946" s="55">
        <f ca="1" t="shared" si="126"/>
        <v>126</v>
      </c>
      <c r="Q1946" s="22" t="str">
        <f>VLOOKUP(B1946,辅助信息!E:M,9,FALSE)</f>
        <v>ZTWM-CDGS-XS-2025-0033-中铁武汉电气化局集团有限公司成达万高速铁路强电工程项目</v>
      </c>
    </row>
    <row r="1947" hidden="1" spans="2:17">
      <c r="B1947" s="33" t="s">
        <v>176</v>
      </c>
      <c r="C1947" s="63">
        <v>45832</v>
      </c>
      <c r="D1947" s="113" t="str">
        <f>VLOOKUP(B1947,辅助信息!E:K,7,FALSE)</f>
        <v>JWDDCD2025062200016</v>
      </c>
      <c r="E1947" s="113" t="str">
        <f>VLOOKUP(F1947,辅助信息!A:B,2,FALSE)</f>
        <v>螺纹钢</v>
      </c>
      <c r="F1947" s="33" t="s">
        <v>111</v>
      </c>
      <c r="G1947" s="29">
        <v>15</v>
      </c>
      <c r="H1947" s="114">
        <f>_xlfn.XLOOKUP(C1947&amp;F1947&amp;I1947&amp;J1947,'[1]2025年已发货'!$F:$F&amp;'[1]2025年已发货'!$C:$C&amp;'[1]2025年已发货'!$G:$G&amp;'[1]2025年已发货'!$H:$H,'[1]2025年已发货'!$E:$E,"未发货")</f>
        <v>10</v>
      </c>
      <c r="I1947" s="113" t="str">
        <f>VLOOKUP(B1947,辅助信息!E:I,3,FALSE)</f>
        <v>(武汉电气化局成达万高铁强电项目-渠县)四川省达州市渠县渠北镇雷家湾渠县北站旁</v>
      </c>
      <c r="J1947" s="113" t="str">
        <f>VLOOKUP(B1947,辅助信息!E:I,4,FALSE)</f>
        <v>刘频</v>
      </c>
      <c r="K1947" s="113">
        <f>VLOOKUP(J1947,辅助信息!H:I,2,FALSE)</f>
        <v>18779627939</v>
      </c>
      <c r="L1947" s="126" t="str">
        <f>VLOOKUP(B1947,辅助信息!E:J,6,FALSE)</f>
        <v>锈货不收！！下雨天钢筋没盖篷布不收！！，装货前联系收货人核实到场规格,没提前告知进场规格现场不给予接收</v>
      </c>
      <c r="M1947" s="84">
        <v>45831</v>
      </c>
      <c r="O1947" s="55">
        <f ca="1" t="shared" si="125"/>
        <v>0</v>
      </c>
      <c r="P1947" s="55">
        <f ca="1" t="shared" si="126"/>
        <v>126</v>
      </c>
      <c r="Q1947" s="22" t="str">
        <f>VLOOKUP(B1947,辅助信息!E:M,9,FALSE)</f>
        <v>ZTWM-CDGS-XS-2025-0033-中铁武汉电气化局集团有限公司成达万高速铁路强电工程项目</v>
      </c>
    </row>
    <row r="1948" hidden="1" spans="2:17">
      <c r="B1948" s="33" t="s">
        <v>176</v>
      </c>
      <c r="C1948" s="63">
        <v>45832</v>
      </c>
      <c r="D1948" s="113" t="str">
        <f>VLOOKUP(B1948,辅助信息!E:K,7,FALSE)</f>
        <v>JWDDCD2025062200016</v>
      </c>
      <c r="E1948" s="113" t="str">
        <f>VLOOKUP(F1948,辅助信息!A:B,2,FALSE)</f>
        <v>螺纹钢</v>
      </c>
      <c r="F1948" s="33" t="s">
        <v>76</v>
      </c>
      <c r="G1948" s="29">
        <f>3*8</f>
        <v>24</v>
      </c>
      <c r="H1948" s="114">
        <f>_xlfn.XLOOKUP(C1948&amp;F1948&amp;I1948&amp;J1948,'[1]2025年已发货'!$F:$F&amp;'[1]2025年已发货'!$C:$C&amp;'[1]2025年已发货'!$G:$G&amp;'[1]2025年已发货'!$H:$H,'[1]2025年已发货'!$E:$E,"未发货")</f>
        <v>5</v>
      </c>
      <c r="I1948" s="113" t="str">
        <f>VLOOKUP(B1948,辅助信息!E:I,3,FALSE)</f>
        <v>(武汉电气化局成达万高铁强电项目-渠县)四川省达州市渠县渠北镇雷家湾渠县北站旁</v>
      </c>
      <c r="J1948" s="113" t="str">
        <f>VLOOKUP(B1948,辅助信息!E:I,4,FALSE)</f>
        <v>刘频</v>
      </c>
      <c r="K1948" s="113">
        <f>VLOOKUP(J1948,辅助信息!H:I,2,FALSE)</f>
        <v>18779627939</v>
      </c>
      <c r="L1948" s="126" t="str">
        <f>VLOOKUP(B1948,辅助信息!E:J,6,FALSE)</f>
        <v>锈货不收！！下雨天钢筋没盖篷布不收！！，装货前联系收货人核实到场规格,没提前告知进场规格现场不给予接收</v>
      </c>
      <c r="M1948" s="84">
        <v>45831</v>
      </c>
      <c r="O1948" s="55">
        <f ca="1" t="shared" si="125"/>
        <v>0</v>
      </c>
      <c r="P1948" s="55">
        <f ca="1" t="shared" si="126"/>
        <v>126</v>
      </c>
      <c r="Q1948" s="22" t="str">
        <f>VLOOKUP(B1948,辅助信息!E:M,9,FALSE)</f>
        <v>ZTWM-CDGS-XS-2025-0033-中铁武汉电气化局集团有限公司成达万高速铁路强电工程项目</v>
      </c>
    </row>
    <row r="1949" hidden="1" spans="2:17">
      <c r="B1949" s="33" t="s">
        <v>176</v>
      </c>
      <c r="C1949" s="63">
        <v>45832</v>
      </c>
      <c r="D1949" s="113" t="str">
        <f>VLOOKUP(B1949,辅助信息!E:K,7,FALSE)</f>
        <v>JWDDCD2025062200016</v>
      </c>
      <c r="E1949" s="113" t="str">
        <f>VLOOKUP(F1949,辅助信息!A:B,2,FALSE)</f>
        <v>螺纹钢</v>
      </c>
      <c r="F1949" s="33" t="s">
        <v>90</v>
      </c>
      <c r="G1949" s="29">
        <v>15</v>
      </c>
      <c r="H1949" s="114">
        <f>_xlfn.XLOOKUP(C1949&amp;F1949&amp;I1949&amp;J1949,'[1]2025年已发货'!$F:$F&amp;'[1]2025年已发货'!$C:$C&amp;'[1]2025年已发货'!$G:$G&amp;'[1]2025年已发货'!$H:$H,'[1]2025年已发货'!$E:$E,"未发货")</f>
        <v>15</v>
      </c>
      <c r="I1949" s="113" t="str">
        <f>VLOOKUP(B1949,辅助信息!E:I,3,FALSE)</f>
        <v>(武汉电气化局成达万高铁强电项目-渠县)四川省达州市渠县渠北镇雷家湾渠县北站旁</v>
      </c>
      <c r="J1949" s="113" t="str">
        <f>VLOOKUP(B1949,辅助信息!E:I,4,FALSE)</f>
        <v>刘频</v>
      </c>
      <c r="K1949" s="113">
        <f>VLOOKUP(J1949,辅助信息!H:I,2,FALSE)</f>
        <v>18779627939</v>
      </c>
      <c r="L1949" s="126" t="str">
        <f>VLOOKUP(B1949,辅助信息!E:J,6,FALSE)</f>
        <v>锈货不收！！下雨天钢筋没盖篷布不收！！，装货前联系收货人核实到场规格,没提前告知进场规格现场不给予接收</v>
      </c>
      <c r="M1949" s="84">
        <v>45831</v>
      </c>
      <c r="O1949" s="55">
        <f ca="1" t="shared" si="125"/>
        <v>0</v>
      </c>
      <c r="P1949" s="55">
        <f ca="1" t="shared" si="126"/>
        <v>126</v>
      </c>
      <c r="Q1949" s="22" t="str">
        <f>VLOOKUP(B1949,辅助信息!E:M,9,FALSE)</f>
        <v>ZTWM-CDGS-XS-2025-0033-中铁武汉电气化局集团有限公司成达万高速铁路强电工程项目</v>
      </c>
    </row>
    <row r="1950" hidden="1" spans="2:17">
      <c r="B1950" s="33" t="s">
        <v>176</v>
      </c>
      <c r="C1950" s="63">
        <v>45832</v>
      </c>
      <c r="D1950" s="113" t="str">
        <f>VLOOKUP(B1950,辅助信息!E:K,7,FALSE)</f>
        <v>JWDDCD2025062200016</v>
      </c>
      <c r="E1950" s="113" t="str">
        <f>VLOOKUP(F1950,辅助信息!A:B,2,FALSE)</f>
        <v>螺纹钢</v>
      </c>
      <c r="F1950" s="33" t="s">
        <v>130</v>
      </c>
      <c r="G1950" s="29">
        <f>3*8</f>
        <v>24</v>
      </c>
      <c r="H1950" s="114">
        <f>_xlfn.XLOOKUP(C1950&amp;F1950&amp;I1950&amp;J1950,'[1]2025年已发货'!$F:$F&amp;'[1]2025年已发货'!$C:$C&amp;'[1]2025年已发货'!$G:$G&amp;'[1]2025年已发货'!$H:$H,'[1]2025年已发货'!$E:$E,"未发货")</f>
        <v>25</v>
      </c>
      <c r="I1950" s="113" t="str">
        <f>VLOOKUP(B1950,辅助信息!E:I,3,FALSE)</f>
        <v>(武汉电气化局成达万高铁强电项目-渠县)四川省达州市渠县渠北镇雷家湾渠县北站旁</v>
      </c>
      <c r="J1950" s="113" t="str">
        <f>VLOOKUP(B1950,辅助信息!E:I,4,FALSE)</f>
        <v>刘频</v>
      </c>
      <c r="K1950" s="113">
        <f>VLOOKUP(J1950,辅助信息!H:I,2,FALSE)</f>
        <v>18779627939</v>
      </c>
      <c r="L1950" s="126" t="str">
        <f>VLOOKUP(B1950,辅助信息!E:J,6,FALSE)</f>
        <v>锈货不收！！下雨天钢筋没盖篷布不收！！，装货前联系收货人核实到场规格,没提前告知进场规格现场不给予接收</v>
      </c>
      <c r="M1950" s="84">
        <v>45831</v>
      </c>
      <c r="O1950" s="55">
        <f ca="1" t="shared" si="125"/>
        <v>0</v>
      </c>
      <c r="P1950" s="55">
        <f ca="1" t="shared" si="126"/>
        <v>126</v>
      </c>
      <c r="Q1950" s="22" t="str">
        <f>VLOOKUP(B1950,辅助信息!E:M,9,FALSE)</f>
        <v>ZTWM-CDGS-XS-2025-0033-中铁武汉电气化局集团有限公司成达万高速铁路强电工程项目</v>
      </c>
    </row>
    <row r="1951" hidden="1" spans="2:17">
      <c r="B1951" s="33" t="s">
        <v>176</v>
      </c>
      <c r="C1951" s="63">
        <v>45832</v>
      </c>
      <c r="D1951" s="113" t="str">
        <f>VLOOKUP(B1951,辅助信息!E:K,7,FALSE)</f>
        <v>JWDDCD2025062200016</v>
      </c>
      <c r="E1951" s="113" t="str">
        <f>VLOOKUP(F1951,辅助信息!A:B,2,FALSE)</f>
        <v>螺纹钢</v>
      </c>
      <c r="F1951" s="33" t="s">
        <v>138</v>
      </c>
      <c r="G1951" s="29">
        <v>12</v>
      </c>
      <c r="H1951" s="114">
        <f>_xlfn.XLOOKUP(C1951&amp;F1951&amp;I1951&amp;J1951,'[1]2025年已发货'!$F:$F&amp;'[1]2025年已发货'!$C:$C&amp;'[1]2025年已发货'!$G:$G&amp;'[1]2025年已发货'!$H:$H,'[1]2025年已发货'!$E:$E,"未发货")</f>
        <v>12.5</v>
      </c>
      <c r="I1951" s="113" t="str">
        <f>VLOOKUP(B1951,辅助信息!E:I,3,FALSE)</f>
        <v>(武汉电气化局成达万高铁强电项目-渠县)四川省达州市渠县渠北镇雷家湾渠县北站旁</v>
      </c>
      <c r="J1951" s="113" t="str">
        <f>VLOOKUP(B1951,辅助信息!E:I,4,FALSE)</f>
        <v>刘频</v>
      </c>
      <c r="K1951" s="113">
        <f>VLOOKUP(J1951,辅助信息!H:I,2,FALSE)</f>
        <v>18779627939</v>
      </c>
      <c r="L1951" s="126" t="str">
        <f>VLOOKUP(B1951,辅助信息!E:J,6,FALSE)</f>
        <v>锈货不收！！下雨天钢筋没盖篷布不收！！，装货前联系收货人核实到场规格,没提前告知进场规格现场不给予接收</v>
      </c>
      <c r="M1951" s="84">
        <v>45831</v>
      </c>
      <c r="O1951" s="55">
        <f ca="1" t="shared" ref="O1951:O1968" si="127">IF(OR(M1951="",N1951&lt;&gt;""),"",MAX(M1951-TODAY(),0))</f>
        <v>0</v>
      </c>
      <c r="P1951" s="55">
        <f ca="1" t="shared" ref="P1951:P1968" si="128">IF(M1951="","",IF(N1951&lt;&gt;"",MAX(N1951-M1951,0),IF(TODAY()&gt;M1951,TODAY()-M1951,0)))</f>
        <v>126</v>
      </c>
      <c r="Q1951" s="22" t="str">
        <f>VLOOKUP(B1951,辅助信息!E:M,9,FALSE)</f>
        <v>ZTWM-CDGS-XS-2025-0033-中铁武汉电气化局集团有限公司成达万高速铁路强电工程项目</v>
      </c>
    </row>
    <row r="1952" hidden="1" spans="2:17">
      <c r="B1952" s="33" t="s">
        <v>176</v>
      </c>
      <c r="C1952" s="63">
        <v>45832</v>
      </c>
      <c r="D1952" s="113" t="str">
        <f>VLOOKUP(B1952,辅助信息!E:K,7,FALSE)</f>
        <v>JWDDCD2025062200016</v>
      </c>
      <c r="E1952" s="113" t="str">
        <f>VLOOKUP(F1952,辅助信息!A:B,2,FALSE)</f>
        <v>螺纹钢</v>
      </c>
      <c r="F1952" s="33" t="s">
        <v>133</v>
      </c>
      <c r="G1952" s="29">
        <v>3</v>
      </c>
      <c r="H1952" s="114">
        <f>_xlfn.XLOOKUP(C1952&amp;F1952&amp;I1952&amp;J1952,'[1]2025年已发货'!$F:$F&amp;'[1]2025年已发货'!$C:$C&amp;'[1]2025年已发货'!$G:$G&amp;'[1]2025年已发货'!$H:$H,'[1]2025年已发货'!$E:$E,"未发货")</f>
        <v>2.5</v>
      </c>
      <c r="I1952" s="113" t="str">
        <f>VLOOKUP(B1952,辅助信息!E:I,3,FALSE)</f>
        <v>(武汉电气化局成达万高铁强电项目-渠县)四川省达州市渠县渠北镇雷家湾渠县北站旁</v>
      </c>
      <c r="J1952" s="113" t="str">
        <f>VLOOKUP(B1952,辅助信息!E:I,4,FALSE)</f>
        <v>刘频</v>
      </c>
      <c r="K1952" s="113">
        <f>VLOOKUP(J1952,辅助信息!H:I,2,FALSE)</f>
        <v>18779627939</v>
      </c>
      <c r="L1952" s="126" t="str">
        <f>VLOOKUP(B1952,辅助信息!E:J,6,FALSE)</f>
        <v>锈货不收！！下雨天钢筋没盖篷布不收！！，装货前联系收货人核实到场规格,没提前告知进场规格现场不给予接收</v>
      </c>
      <c r="M1952" s="84">
        <v>45831</v>
      </c>
      <c r="O1952" s="55">
        <f ca="1" t="shared" si="127"/>
        <v>0</v>
      </c>
      <c r="P1952" s="55">
        <f ca="1" t="shared" si="128"/>
        <v>126</v>
      </c>
      <c r="Q1952" s="22" t="str">
        <f>VLOOKUP(B1952,辅助信息!E:M,9,FALSE)</f>
        <v>ZTWM-CDGS-XS-2025-0033-中铁武汉电气化局集团有限公司成达万高速铁路强电工程项目</v>
      </c>
    </row>
    <row r="1953" hidden="1" spans="2:17">
      <c r="B1953" s="33" t="s">
        <v>176</v>
      </c>
      <c r="C1953" s="63">
        <v>45832</v>
      </c>
      <c r="D1953" s="113" t="str">
        <f>VLOOKUP(B1953,辅助信息!E:K,7,FALSE)</f>
        <v>JWDDCD2025062200016</v>
      </c>
      <c r="E1953" s="113" t="str">
        <f>VLOOKUP(F1953,辅助信息!A:B,2,FALSE)</f>
        <v>螺纹钢</v>
      </c>
      <c r="F1953" s="33" t="s">
        <v>91</v>
      </c>
      <c r="G1953" s="29">
        <v>18</v>
      </c>
      <c r="H1953" s="114">
        <f>_xlfn.XLOOKUP(C1953&amp;F1953&amp;I1953&amp;J1953,'[1]2025年已发货'!$F:$F&amp;'[1]2025年已发货'!$C:$C&amp;'[1]2025年已发货'!$G:$G&amp;'[1]2025年已发货'!$H:$H,'[1]2025年已发货'!$E:$E,"未发货")</f>
        <v>17.5</v>
      </c>
      <c r="I1953" s="113" t="str">
        <f>VLOOKUP(B1953,辅助信息!E:I,3,FALSE)</f>
        <v>(武汉电气化局成达万高铁强电项目-渠县)四川省达州市渠县渠北镇雷家湾渠县北站旁</v>
      </c>
      <c r="J1953" s="113" t="str">
        <f>VLOOKUP(B1953,辅助信息!E:I,4,FALSE)</f>
        <v>刘频</v>
      </c>
      <c r="K1953" s="113">
        <f>VLOOKUP(J1953,辅助信息!H:I,2,FALSE)</f>
        <v>18779627939</v>
      </c>
      <c r="L1953" s="126" t="str">
        <f>VLOOKUP(B1953,辅助信息!E:J,6,FALSE)</f>
        <v>锈货不收！！下雨天钢筋没盖篷布不收！！，装货前联系收货人核实到场规格,没提前告知进场规格现场不给予接收</v>
      </c>
      <c r="M1953" s="84">
        <v>45831</v>
      </c>
      <c r="O1953" s="55">
        <f ca="1" t="shared" si="127"/>
        <v>0</v>
      </c>
      <c r="P1953" s="55">
        <f ca="1" t="shared" si="128"/>
        <v>126</v>
      </c>
      <c r="Q1953" s="22" t="str">
        <f>VLOOKUP(B1953,辅助信息!E:M,9,FALSE)</f>
        <v>ZTWM-CDGS-XS-2025-0033-中铁武汉电气化局集团有限公司成达万高速铁路强电工程项目</v>
      </c>
    </row>
    <row r="1954" hidden="1" spans="2:17">
      <c r="B1954" s="33" t="s">
        <v>177</v>
      </c>
      <c r="C1954" s="63">
        <v>45832</v>
      </c>
      <c r="D1954" s="113" t="str">
        <f>VLOOKUP(B1954,辅助信息!E:K,7,FALSE)</f>
        <v>JWDDCD2025062200016</v>
      </c>
      <c r="E1954" s="113" t="str">
        <f>VLOOKUP(F1954,辅助信息!A:B,2,FALSE)</f>
        <v>高线</v>
      </c>
      <c r="F1954" s="33" t="s">
        <v>57</v>
      </c>
      <c r="G1954" s="29">
        <v>2.5</v>
      </c>
      <c r="H1954" s="114">
        <f>_xlfn.XLOOKUP(C1954&amp;F1954&amp;I1954&amp;J1954,'[1]2025年已发货'!$F:$F&amp;'[1]2025年已发货'!$C:$C&amp;'[1]2025年已发货'!$G:$G&amp;'[1]2025年已发货'!$H:$H,'[1]2025年已发货'!$E:$E,"未发货")</f>
        <v>2.5</v>
      </c>
      <c r="I1954" s="113" t="str">
        <f>VLOOKUP(B1954,辅助信息!E:I,3,FALSE)</f>
        <v>(武汉电气化局成达万高铁强电项目-南充营山)四川省南充市营山县保真路景阳名城南50米(保真路东)</v>
      </c>
      <c r="J1954" s="113" t="str">
        <f>VLOOKUP(B1954,辅助信息!E:I,4,FALSE)</f>
        <v>周开亮</v>
      </c>
      <c r="K1954" s="113">
        <f>VLOOKUP(J1954,辅助信息!H:I,2,FALSE)</f>
        <v>18381485052</v>
      </c>
      <c r="L1954" s="126" t="str">
        <f>VLOOKUP(B1954,辅助信息!E:J,6,FALSE)</f>
        <v>锈货不收！！下雨天钢筋没盖篷布不收！！，装货前联系收货人核实到场规格,没提前告知进场规格现场不给予接收</v>
      </c>
      <c r="M1954" s="84">
        <v>45831</v>
      </c>
      <c r="O1954" s="55">
        <f ca="1" t="shared" si="127"/>
        <v>0</v>
      </c>
      <c r="P1954" s="55">
        <f ca="1" t="shared" si="128"/>
        <v>126</v>
      </c>
      <c r="Q1954" s="22" t="str">
        <f>VLOOKUP(B1954,辅助信息!E:M,9,FALSE)</f>
        <v>ZTWM-CDGS-XS-2025-0033-中铁武汉电气化局集团有限公司成达万高速铁路强电工程项目</v>
      </c>
    </row>
    <row r="1955" hidden="1" spans="2:17">
      <c r="B1955" s="33" t="s">
        <v>177</v>
      </c>
      <c r="C1955" s="63">
        <v>45832</v>
      </c>
      <c r="D1955" s="113" t="str">
        <f>VLOOKUP(B1955,辅助信息!E:K,7,FALSE)</f>
        <v>JWDDCD2025062200016</v>
      </c>
      <c r="E1955" s="113" t="str">
        <f>VLOOKUP(F1955,辅助信息!A:B,2,FALSE)</f>
        <v>盘螺</v>
      </c>
      <c r="F1955" s="33" t="s">
        <v>40</v>
      </c>
      <c r="G1955" s="29">
        <v>5</v>
      </c>
      <c r="H1955" s="114">
        <f>_xlfn.XLOOKUP(C1955&amp;F1955&amp;I1955&amp;J1955,'[1]2025年已发货'!$F:$F&amp;'[1]2025年已发货'!$C:$C&amp;'[1]2025年已发货'!$G:$G&amp;'[1]2025年已发货'!$H:$H,'[1]2025年已发货'!$E:$E,"未发货")</f>
        <v>5</v>
      </c>
      <c r="I1955" s="113" t="str">
        <f>VLOOKUP(B1955,辅助信息!E:I,3,FALSE)</f>
        <v>(武汉电气化局成达万高铁强电项目-南充营山)四川省南充市营山县保真路景阳名城南50米(保真路东)</v>
      </c>
      <c r="J1955" s="113" t="str">
        <f>VLOOKUP(B1955,辅助信息!E:I,4,FALSE)</f>
        <v>周开亮</v>
      </c>
      <c r="K1955" s="113">
        <f>VLOOKUP(J1955,辅助信息!H:I,2,FALSE)</f>
        <v>18381485052</v>
      </c>
      <c r="L1955" s="126" t="str">
        <f>VLOOKUP(B1955,辅助信息!E:J,6,FALSE)</f>
        <v>锈货不收！！下雨天钢筋没盖篷布不收！！，装货前联系收货人核实到场规格,没提前告知进场规格现场不给予接收</v>
      </c>
      <c r="M1955" s="84">
        <v>45831</v>
      </c>
      <c r="O1955" s="55">
        <f ca="1" t="shared" si="127"/>
        <v>0</v>
      </c>
      <c r="P1955" s="55">
        <f ca="1" t="shared" si="128"/>
        <v>126</v>
      </c>
      <c r="Q1955" s="22" t="str">
        <f>VLOOKUP(B1955,辅助信息!E:M,9,FALSE)</f>
        <v>ZTWM-CDGS-XS-2025-0033-中铁武汉电气化局集团有限公司成达万高速铁路强电工程项目</v>
      </c>
    </row>
    <row r="1956" hidden="1" spans="2:17">
      <c r="B1956" s="33" t="s">
        <v>177</v>
      </c>
      <c r="C1956" s="63">
        <v>45832</v>
      </c>
      <c r="D1956" s="113" t="str">
        <f>VLOOKUP(B1956,辅助信息!E:K,7,FALSE)</f>
        <v>JWDDCD2025062200016</v>
      </c>
      <c r="E1956" s="113" t="str">
        <f>VLOOKUP(F1956,辅助信息!A:B,2,FALSE)</f>
        <v>盘螺</v>
      </c>
      <c r="F1956" s="33" t="s">
        <v>41</v>
      </c>
      <c r="G1956" s="29">
        <v>5</v>
      </c>
      <c r="H1956" s="114">
        <f>_xlfn.XLOOKUP(C1956&amp;F1956&amp;I1956&amp;J1956,'[1]2025年已发货'!$F:$F&amp;'[1]2025年已发货'!$C:$C&amp;'[1]2025年已发货'!$G:$G&amp;'[1]2025年已发货'!$H:$H,'[1]2025年已发货'!$E:$E,"未发货")</f>
        <v>5</v>
      </c>
      <c r="I1956" s="113" t="str">
        <f>VLOOKUP(B1956,辅助信息!E:I,3,FALSE)</f>
        <v>(武汉电气化局成达万高铁强电项目-南充营山)四川省南充市营山县保真路景阳名城南50米(保真路东)</v>
      </c>
      <c r="J1956" s="113" t="str">
        <f>VLOOKUP(B1956,辅助信息!E:I,4,FALSE)</f>
        <v>周开亮</v>
      </c>
      <c r="K1956" s="113">
        <f>VLOOKUP(J1956,辅助信息!H:I,2,FALSE)</f>
        <v>18381485052</v>
      </c>
      <c r="L1956" s="126" t="str">
        <f>VLOOKUP(B1956,辅助信息!E:J,6,FALSE)</f>
        <v>锈货不收！！下雨天钢筋没盖篷布不收！！，装货前联系收货人核实到场规格,没提前告知进场规格现场不给予接收</v>
      </c>
      <c r="M1956" s="84">
        <v>45831</v>
      </c>
      <c r="O1956" s="55">
        <f ca="1" t="shared" si="127"/>
        <v>0</v>
      </c>
      <c r="P1956" s="55">
        <f ca="1" t="shared" si="128"/>
        <v>126</v>
      </c>
      <c r="Q1956" s="22" t="str">
        <f>VLOOKUP(B1956,辅助信息!E:M,9,FALSE)</f>
        <v>ZTWM-CDGS-XS-2025-0033-中铁武汉电气化局集团有限公司成达万高速铁路强电工程项目</v>
      </c>
    </row>
    <row r="1957" hidden="1" spans="2:17">
      <c r="B1957" s="33" t="s">
        <v>177</v>
      </c>
      <c r="C1957" s="63">
        <v>45832</v>
      </c>
      <c r="D1957" s="113" t="str">
        <f>VLOOKUP(B1957,辅助信息!E:K,7,FALSE)</f>
        <v>JWDDCD2025062200016</v>
      </c>
      <c r="E1957" s="113" t="str">
        <f>VLOOKUP(F1957,辅助信息!A:B,2,FALSE)</f>
        <v>螺纹钢</v>
      </c>
      <c r="F1957" s="33" t="s">
        <v>27</v>
      </c>
      <c r="G1957" s="29">
        <v>3</v>
      </c>
      <c r="H1957" s="114">
        <f>_xlfn.XLOOKUP(C1957&amp;F1957&amp;I1957&amp;J1957,'[1]2025年已发货'!$F:$F&amp;'[1]2025年已发货'!$C:$C&amp;'[1]2025年已发货'!$G:$G&amp;'[1]2025年已发货'!$H:$H,'[1]2025年已发货'!$E:$E,"未发货")</f>
        <v>3</v>
      </c>
      <c r="I1957" s="113" t="str">
        <f>VLOOKUP(B1957,辅助信息!E:I,3,FALSE)</f>
        <v>(武汉电气化局成达万高铁强电项目-南充营山)四川省南充市营山县保真路景阳名城南50米(保真路东)</v>
      </c>
      <c r="J1957" s="113" t="str">
        <f>VLOOKUP(B1957,辅助信息!E:I,4,FALSE)</f>
        <v>周开亮</v>
      </c>
      <c r="K1957" s="113">
        <f>VLOOKUP(J1957,辅助信息!H:I,2,FALSE)</f>
        <v>18381485052</v>
      </c>
      <c r="L1957" s="126" t="str">
        <f>VLOOKUP(B1957,辅助信息!E:J,6,FALSE)</f>
        <v>锈货不收！！下雨天钢筋没盖篷布不收！！，装货前联系收货人核实到场规格,没提前告知进场规格现场不给予接收</v>
      </c>
      <c r="M1957" s="84">
        <v>45831</v>
      </c>
      <c r="O1957" s="55">
        <f ca="1" t="shared" si="127"/>
        <v>0</v>
      </c>
      <c r="P1957" s="55">
        <f ca="1" t="shared" si="128"/>
        <v>126</v>
      </c>
      <c r="Q1957" s="22" t="str">
        <f>VLOOKUP(B1957,辅助信息!E:M,9,FALSE)</f>
        <v>ZTWM-CDGS-XS-2025-0033-中铁武汉电气化局集团有限公司成达万高速铁路强电工程项目</v>
      </c>
    </row>
    <row r="1958" hidden="1" spans="2:17">
      <c r="B1958" s="33" t="s">
        <v>177</v>
      </c>
      <c r="C1958" s="63">
        <v>45832</v>
      </c>
      <c r="D1958" s="113" t="str">
        <f>VLOOKUP(B1958,辅助信息!E:K,7,FALSE)</f>
        <v>JWDDCD2025062200016</v>
      </c>
      <c r="E1958" s="113" t="str">
        <f>VLOOKUP(F1958,辅助信息!A:B,2,FALSE)</f>
        <v>螺纹钢</v>
      </c>
      <c r="F1958" s="33" t="s">
        <v>19</v>
      </c>
      <c r="G1958" s="29">
        <v>12</v>
      </c>
      <c r="H1958" s="114">
        <f>_xlfn.XLOOKUP(C1958&amp;F1958&amp;I1958&amp;J1958,'[1]2025年已发货'!$F:$F&amp;'[1]2025年已发货'!$C:$C&amp;'[1]2025年已发货'!$G:$G&amp;'[1]2025年已发货'!$H:$H,'[1]2025年已发货'!$E:$E,"未发货")</f>
        <v>12</v>
      </c>
      <c r="I1958" s="113" t="str">
        <f>VLOOKUP(B1958,辅助信息!E:I,3,FALSE)</f>
        <v>(武汉电气化局成达万高铁强电项目-南充营山)四川省南充市营山县保真路景阳名城南50米(保真路东)</v>
      </c>
      <c r="J1958" s="113" t="str">
        <f>VLOOKUP(B1958,辅助信息!E:I,4,FALSE)</f>
        <v>周开亮</v>
      </c>
      <c r="K1958" s="113">
        <f>VLOOKUP(J1958,辅助信息!H:I,2,FALSE)</f>
        <v>18381485052</v>
      </c>
      <c r="L1958" s="126" t="str">
        <f>VLOOKUP(B1958,辅助信息!E:J,6,FALSE)</f>
        <v>锈货不收！！下雨天钢筋没盖篷布不收！！，装货前联系收货人核实到场规格,没提前告知进场规格现场不给予接收</v>
      </c>
      <c r="M1958" s="84">
        <v>45831</v>
      </c>
      <c r="O1958" s="55">
        <f ca="1" t="shared" si="127"/>
        <v>0</v>
      </c>
      <c r="P1958" s="55">
        <f ca="1" t="shared" si="128"/>
        <v>126</v>
      </c>
      <c r="Q1958" s="22" t="str">
        <f>VLOOKUP(B1958,辅助信息!E:M,9,FALSE)</f>
        <v>ZTWM-CDGS-XS-2025-0033-中铁武汉电气化局集团有限公司成达万高速铁路强电工程项目</v>
      </c>
    </row>
    <row r="1959" hidden="1" spans="2:17">
      <c r="B1959" s="33" t="s">
        <v>177</v>
      </c>
      <c r="C1959" s="63">
        <v>45832</v>
      </c>
      <c r="D1959" s="113" t="str">
        <f>VLOOKUP(B1959,辅助信息!E:K,7,FALSE)</f>
        <v>JWDDCD2025062200016</v>
      </c>
      <c r="E1959" s="113" t="str">
        <f>VLOOKUP(F1959,辅助信息!A:B,2,FALSE)</f>
        <v>螺纹钢</v>
      </c>
      <c r="F1959" s="33" t="s">
        <v>32</v>
      </c>
      <c r="G1959" s="29">
        <v>15</v>
      </c>
      <c r="H1959" s="114">
        <f>_xlfn.XLOOKUP(C1959&amp;F1959&amp;I1959&amp;J1959,'[1]2025年已发货'!$F:$F&amp;'[1]2025年已发货'!$C:$C&amp;'[1]2025年已发货'!$G:$G&amp;'[1]2025年已发货'!$H:$H,'[1]2025年已发货'!$E:$E,"未发货")</f>
        <v>15</v>
      </c>
      <c r="I1959" s="113" t="str">
        <f>VLOOKUP(B1959,辅助信息!E:I,3,FALSE)</f>
        <v>(武汉电气化局成达万高铁强电项目-南充营山)四川省南充市营山县保真路景阳名城南50米(保真路东)</v>
      </c>
      <c r="J1959" s="113" t="str">
        <f>VLOOKUP(B1959,辅助信息!E:I,4,FALSE)</f>
        <v>周开亮</v>
      </c>
      <c r="K1959" s="113">
        <f>VLOOKUP(J1959,辅助信息!H:I,2,FALSE)</f>
        <v>18381485052</v>
      </c>
      <c r="L1959" s="126" t="str">
        <f>VLOOKUP(B1959,辅助信息!E:J,6,FALSE)</f>
        <v>锈货不收！！下雨天钢筋没盖篷布不收！！，装货前联系收货人核实到场规格,没提前告知进场规格现场不给予接收</v>
      </c>
      <c r="M1959" s="84">
        <v>45831</v>
      </c>
      <c r="O1959" s="55">
        <f ca="1" t="shared" si="127"/>
        <v>0</v>
      </c>
      <c r="P1959" s="55">
        <f ca="1" t="shared" si="128"/>
        <v>126</v>
      </c>
      <c r="Q1959" s="22" t="str">
        <f>VLOOKUP(B1959,辅助信息!E:M,9,FALSE)</f>
        <v>ZTWM-CDGS-XS-2025-0033-中铁武汉电气化局集团有限公司成达万高速铁路强电工程项目</v>
      </c>
    </row>
    <row r="1960" hidden="1" spans="2:17">
      <c r="B1960" s="33" t="s">
        <v>177</v>
      </c>
      <c r="C1960" s="63">
        <v>45832</v>
      </c>
      <c r="D1960" s="113" t="str">
        <f>VLOOKUP(B1960,辅助信息!E:K,7,FALSE)</f>
        <v>JWDDCD2025062200016</v>
      </c>
      <c r="E1960" s="113" t="str">
        <f>VLOOKUP(F1960,辅助信息!A:B,2,FALSE)</f>
        <v>螺纹钢</v>
      </c>
      <c r="F1960" s="33" t="s">
        <v>33</v>
      </c>
      <c r="G1960" s="29">
        <v>9</v>
      </c>
      <c r="H1960" s="114">
        <f>_xlfn.XLOOKUP(C1960&amp;F1960&amp;I1960&amp;J1960,'[1]2025年已发货'!$F:$F&amp;'[1]2025年已发货'!$C:$C&amp;'[1]2025年已发货'!$G:$G&amp;'[1]2025年已发货'!$H:$H,'[1]2025年已发货'!$E:$E,"未发货")</f>
        <v>9</v>
      </c>
      <c r="I1960" s="113" t="str">
        <f>VLOOKUP(B1960,辅助信息!E:I,3,FALSE)</f>
        <v>(武汉电气化局成达万高铁强电项目-南充营山)四川省南充市营山县保真路景阳名城南50米(保真路东)</v>
      </c>
      <c r="J1960" s="113" t="str">
        <f>VLOOKUP(B1960,辅助信息!E:I,4,FALSE)</f>
        <v>周开亮</v>
      </c>
      <c r="K1960" s="113">
        <f>VLOOKUP(J1960,辅助信息!H:I,2,FALSE)</f>
        <v>18381485052</v>
      </c>
      <c r="L1960" s="126" t="str">
        <f>VLOOKUP(B1960,辅助信息!E:J,6,FALSE)</f>
        <v>锈货不收！！下雨天钢筋没盖篷布不收！！，装货前联系收货人核实到场规格,没提前告知进场规格现场不给予接收</v>
      </c>
      <c r="M1960" s="84">
        <v>45831</v>
      </c>
      <c r="O1960" s="55">
        <f ca="1" t="shared" si="127"/>
        <v>0</v>
      </c>
      <c r="P1960" s="55">
        <f ca="1" t="shared" si="128"/>
        <v>126</v>
      </c>
      <c r="Q1960" s="22" t="str">
        <f>VLOOKUP(B1960,辅助信息!E:M,9,FALSE)</f>
        <v>ZTWM-CDGS-XS-2025-0033-中铁武汉电气化局集团有限公司成达万高速铁路强电工程项目</v>
      </c>
    </row>
    <row r="1961" hidden="1" spans="2:17">
      <c r="B1961" s="33" t="s">
        <v>177</v>
      </c>
      <c r="C1961" s="63">
        <v>45832</v>
      </c>
      <c r="D1961" s="113" t="str">
        <f>VLOOKUP(B1961,辅助信息!E:K,7,FALSE)</f>
        <v>JWDDCD2025062200016</v>
      </c>
      <c r="E1961" s="113" t="str">
        <f>VLOOKUP(F1961,辅助信息!A:B,2,FALSE)</f>
        <v>螺纹钢</v>
      </c>
      <c r="F1961" s="33" t="s">
        <v>130</v>
      </c>
      <c r="G1961" s="29">
        <f>3*17</f>
        <v>51</v>
      </c>
      <c r="H1961" s="114">
        <f>_xlfn.XLOOKUP(C1961&amp;F1961&amp;I1961&amp;J1961,'[1]2025年已发货'!$F:$F&amp;'[1]2025年已发货'!$C:$C&amp;'[1]2025年已发货'!$G:$G&amp;'[1]2025年已发货'!$H:$H,'[1]2025年已发货'!$E:$E,"未发货")</f>
        <v>51</v>
      </c>
      <c r="I1961" s="113" t="str">
        <f>VLOOKUP(B1961,辅助信息!E:I,3,FALSE)</f>
        <v>(武汉电气化局成达万高铁强电项目-南充营山)四川省南充市营山县保真路景阳名城南50米(保真路东)</v>
      </c>
      <c r="J1961" s="113" t="str">
        <f>VLOOKUP(B1961,辅助信息!E:I,4,FALSE)</f>
        <v>周开亮</v>
      </c>
      <c r="K1961" s="113">
        <f>VLOOKUP(J1961,辅助信息!H:I,2,FALSE)</f>
        <v>18381485052</v>
      </c>
      <c r="L1961" s="126" t="str">
        <f>VLOOKUP(B1961,辅助信息!E:J,6,FALSE)</f>
        <v>锈货不收！！下雨天钢筋没盖篷布不收！！，装货前联系收货人核实到场规格,没提前告知进场规格现场不给予接收</v>
      </c>
      <c r="M1961" s="84">
        <v>45831</v>
      </c>
      <c r="O1961" s="55">
        <f ca="1" t="shared" si="127"/>
        <v>0</v>
      </c>
      <c r="P1961" s="55">
        <f ca="1" t="shared" si="128"/>
        <v>126</v>
      </c>
      <c r="Q1961" s="22" t="str">
        <f>VLOOKUP(B1961,辅助信息!E:M,9,FALSE)</f>
        <v>ZTWM-CDGS-XS-2025-0033-中铁武汉电气化局集团有限公司成达万高速铁路强电工程项目</v>
      </c>
    </row>
    <row r="1962" hidden="1" spans="1:17">
      <c r="A1962" s="122"/>
      <c r="B1962" s="113" t="s">
        <v>81</v>
      </c>
      <c r="C1962" s="63">
        <v>45831</v>
      </c>
      <c r="D1962" s="113" t="str">
        <f>VLOOKUP(B1962,辅助信息!E:K,7,FALSE)</f>
        <v>JWDDCD2025060900080</v>
      </c>
      <c r="E1962" s="113" t="str">
        <f>VLOOKUP(F1962,辅助信息!A:B,2,FALSE)</f>
        <v>盘螺</v>
      </c>
      <c r="F1962" s="113" t="s">
        <v>26</v>
      </c>
      <c r="G1962" s="114">
        <v>27</v>
      </c>
      <c r="H1962" s="114">
        <f>_xlfn.XLOOKUP(C1962&amp;F1962&amp;I1962&amp;J1962,'[1]2025年已发货'!$F:$F&amp;'[1]2025年已发货'!$C:$C&amp;'[1]2025年已发货'!$G:$G&amp;'[1]2025年已发货'!$H:$H,'[1]2025年已发货'!$E:$E,"未发货")</f>
        <v>27</v>
      </c>
      <c r="I1962" s="113" t="str">
        <f>VLOOKUP(B1962,辅助信息!E:I,3,FALSE)</f>
        <v>（华西简阳西城嘉苑）四川省成都市简阳市简城街道高屋村</v>
      </c>
      <c r="J1962" s="113" t="str">
        <f>VLOOKUP(B1962,辅助信息!E:I,4,FALSE)</f>
        <v>张瀚镭</v>
      </c>
      <c r="K1962" s="113">
        <f>VLOOKUP(J1962,辅助信息!H:I,2,FALSE)</f>
        <v>15884666220</v>
      </c>
      <c r="L1962" s="115" t="str">
        <f>VLOOKUP(B1962,辅助信息!E:J,6,FALSE)</f>
        <v>现场禁止使用氢能源挂车！优先威钢发货,我方卸车,新老国标钢厂不加价可直发，因陕钢多次出现磅差，项目拒绝使用</v>
      </c>
      <c r="M1962" s="84">
        <v>45831</v>
      </c>
      <c r="O1962" s="55">
        <f ca="1" t="shared" si="127"/>
        <v>0</v>
      </c>
      <c r="P1962" s="55">
        <f ca="1" t="shared" si="128"/>
        <v>126</v>
      </c>
      <c r="Q1962" s="22" t="str">
        <f>VLOOKUP(B1962,辅助信息!E:M,9,FALSE)</f>
        <v>ZTWM-CDGS-XS-2024-0030-华西集采-简州大道</v>
      </c>
    </row>
    <row r="1963" hidden="1" spans="1:17">
      <c r="A1963" s="122"/>
      <c r="B1963" s="113" t="s">
        <v>81</v>
      </c>
      <c r="C1963" s="63">
        <v>45831</v>
      </c>
      <c r="D1963" s="113" t="str">
        <f>VLOOKUP(B1963,辅助信息!E:K,7,FALSE)</f>
        <v>JWDDCD2025060900080</v>
      </c>
      <c r="E1963" s="113" t="str">
        <f>VLOOKUP(F1963,辅助信息!A:B,2,FALSE)</f>
        <v>螺纹钢</v>
      </c>
      <c r="F1963" s="113" t="s">
        <v>32</v>
      </c>
      <c r="G1963" s="114">
        <v>22</v>
      </c>
      <c r="H1963" s="114">
        <f>_xlfn.XLOOKUP(C1963&amp;F1963&amp;I1963&amp;J1963,'[1]2025年已发货'!$F:$F&amp;'[1]2025年已发货'!$C:$C&amp;'[1]2025年已发货'!$G:$G&amp;'[1]2025年已发货'!$H:$H,'[1]2025年已发货'!$E:$E,"未发货")</f>
        <v>18</v>
      </c>
      <c r="I1963" s="113" t="str">
        <f>VLOOKUP(B1963,辅助信息!E:I,3,FALSE)</f>
        <v>（华西简阳西城嘉苑）四川省成都市简阳市简城街道高屋村</v>
      </c>
      <c r="J1963" s="113" t="str">
        <f>VLOOKUP(B1963,辅助信息!E:I,4,FALSE)</f>
        <v>张瀚镭</v>
      </c>
      <c r="K1963" s="113">
        <f>VLOOKUP(J1963,辅助信息!H:I,2,FALSE)</f>
        <v>15884666220</v>
      </c>
      <c r="L1963" s="115" t="str">
        <f>VLOOKUP(B1963,辅助信息!E:J,6,FALSE)</f>
        <v>现场禁止使用氢能源挂车！优先威钢发货,我方卸车,新老国标钢厂不加价可直发，因陕钢多次出现磅差，项目拒绝使用</v>
      </c>
      <c r="M1963" s="84">
        <v>45831</v>
      </c>
      <c r="O1963" s="55">
        <f ca="1" t="shared" si="127"/>
        <v>0</v>
      </c>
      <c r="P1963" s="55">
        <f ca="1" t="shared" si="128"/>
        <v>126</v>
      </c>
      <c r="Q1963" s="22" t="str">
        <f>VLOOKUP(B1963,辅助信息!E:M,9,FALSE)</f>
        <v>ZTWM-CDGS-XS-2024-0030-华西集采-简州大道</v>
      </c>
    </row>
    <row r="1964" hidden="1" spans="1:17">
      <c r="A1964" s="122"/>
      <c r="B1964" s="113" t="s">
        <v>81</v>
      </c>
      <c r="C1964" s="63">
        <v>45831</v>
      </c>
      <c r="D1964" s="113" t="str">
        <f>VLOOKUP(B1964,辅助信息!E:K,7,FALSE)</f>
        <v>JWDDCD2025060900080</v>
      </c>
      <c r="E1964" s="113" t="str">
        <f>VLOOKUP(F1964,辅助信息!A:B,2,FALSE)</f>
        <v>螺纹钢</v>
      </c>
      <c r="F1964" s="113" t="s">
        <v>33</v>
      </c>
      <c r="G1964" s="114">
        <v>30</v>
      </c>
      <c r="H1964" s="114">
        <f>_xlfn.XLOOKUP(C1964&amp;F1964&amp;I1964&amp;J1964,'[1]2025年已发货'!$F:$F&amp;'[1]2025年已发货'!$C:$C&amp;'[1]2025年已发货'!$G:$G&amp;'[1]2025年已发货'!$H:$H,'[1]2025年已发货'!$E:$E,"未发货")</f>
        <v>21</v>
      </c>
      <c r="I1964" s="113" t="str">
        <f>VLOOKUP(B1964,辅助信息!E:I,3,FALSE)</f>
        <v>（华西简阳西城嘉苑）四川省成都市简阳市简城街道高屋村</v>
      </c>
      <c r="J1964" s="113" t="str">
        <f>VLOOKUP(B1964,辅助信息!E:I,4,FALSE)</f>
        <v>张瀚镭</v>
      </c>
      <c r="K1964" s="113">
        <f>VLOOKUP(J1964,辅助信息!H:I,2,FALSE)</f>
        <v>15884666220</v>
      </c>
      <c r="L1964" s="115" t="str">
        <f>VLOOKUP(B1964,辅助信息!E:J,6,FALSE)</f>
        <v>现场禁止使用氢能源挂车！优先威钢发货,我方卸车,新老国标钢厂不加价可直发，因陕钢多次出现磅差，项目拒绝使用</v>
      </c>
      <c r="M1964" s="84">
        <v>45831</v>
      </c>
      <c r="O1964" s="55">
        <f ca="1" t="shared" si="127"/>
        <v>0</v>
      </c>
      <c r="P1964" s="55">
        <f ca="1" t="shared" si="128"/>
        <v>126</v>
      </c>
      <c r="Q1964" s="22" t="str">
        <f>VLOOKUP(B1964,辅助信息!E:M,9,FALSE)</f>
        <v>ZTWM-CDGS-XS-2024-0030-华西集采-简州大道</v>
      </c>
    </row>
    <row r="1965" hidden="1" spans="1:17">
      <c r="A1965" s="122"/>
      <c r="B1965" s="113" t="s">
        <v>81</v>
      </c>
      <c r="C1965" s="63">
        <v>45831</v>
      </c>
      <c r="D1965" s="113" t="str">
        <f>VLOOKUP(B1965,辅助信息!E:K,7,FALSE)</f>
        <v>JWDDCD2025060900080</v>
      </c>
      <c r="E1965" s="113" t="str">
        <f>VLOOKUP(F1965,辅助信息!A:B,2,FALSE)</f>
        <v>螺纹钢</v>
      </c>
      <c r="F1965" s="113" t="s">
        <v>18</v>
      </c>
      <c r="G1965" s="114">
        <v>6</v>
      </c>
      <c r="H1965" s="114">
        <f>_xlfn.XLOOKUP(C1965&amp;F1965&amp;I1965&amp;J1965,'[1]2025年已发货'!$F:$F&amp;'[1]2025年已发货'!$C:$C&amp;'[1]2025年已发货'!$G:$G&amp;'[1]2025年已发货'!$H:$H,'[1]2025年已发货'!$E:$E,"未发货")</f>
        <v>6</v>
      </c>
      <c r="I1965" s="113" t="str">
        <f>VLOOKUP(B1965,辅助信息!E:I,3,FALSE)</f>
        <v>（华西简阳西城嘉苑）四川省成都市简阳市简城街道高屋村</v>
      </c>
      <c r="J1965" s="113" t="str">
        <f>VLOOKUP(B1965,辅助信息!E:I,4,FALSE)</f>
        <v>张瀚镭</v>
      </c>
      <c r="K1965" s="113">
        <f>VLOOKUP(J1965,辅助信息!H:I,2,FALSE)</f>
        <v>15884666220</v>
      </c>
      <c r="L1965" s="115" t="str">
        <f>VLOOKUP(B1965,辅助信息!E:J,6,FALSE)</f>
        <v>现场禁止使用氢能源挂车！优先威钢发货,我方卸车,新老国标钢厂不加价可直发，因陕钢多次出现磅差，项目拒绝使用</v>
      </c>
      <c r="M1965" s="84">
        <v>45831</v>
      </c>
      <c r="O1965" s="55">
        <f ca="1" t="shared" si="127"/>
        <v>0</v>
      </c>
      <c r="P1965" s="55">
        <f ca="1" t="shared" si="128"/>
        <v>126</v>
      </c>
      <c r="Q1965" s="22" t="str">
        <f>VLOOKUP(B1965,辅助信息!E:M,9,FALSE)</f>
        <v>ZTWM-CDGS-XS-2024-0030-华西集采-简州大道</v>
      </c>
    </row>
    <row r="1966" hidden="1" spans="1:17">
      <c r="A1966" s="50" t="s">
        <v>178</v>
      </c>
      <c r="B1966" s="33" t="s">
        <v>44</v>
      </c>
      <c r="C1966" s="63">
        <v>45831</v>
      </c>
      <c r="D1966" s="113" t="str">
        <f>VLOOKUP(B1966,辅助信息!E:K,7,FALSE)</f>
        <v>JWDDCD2025060600053</v>
      </c>
      <c r="E1966" s="113" t="str">
        <f>VLOOKUP(F1966,辅助信息!A:B,2,FALSE)</f>
        <v>盘螺</v>
      </c>
      <c r="F1966" s="33" t="s">
        <v>26</v>
      </c>
      <c r="G1966" s="29">
        <v>20</v>
      </c>
      <c r="H1966" s="114">
        <f>_xlfn.XLOOKUP(C1966&amp;F1966&amp;I1966&amp;J1966,'[1]2025年已发货'!$F:$F&amp;'[1]2025年已发货'!$C:$C&amp;'[1]2025年已发货'!$G:$G&amp;'[1]2025年已发货'!$H:$H,'[1]2025年已发货'!$E:$E,"未发货")</f>
        <v>20</v>
      </c>
      <c r="I1966" s="113" t="str">
        <f>VLOOKUP(B1966,辅助信息!E:I,3,FALSE)</f>
        <v>（华西酒城南）成都市武侯区火车南站西路8号酒城南项目</v>
      </c>
      <c r="J1966" s="113" t="str">
        <f>VLOOKUP(B1966,辅助信息!E:I,4,FALSE)</f>
        <v>龙耀宇</v>
      </c>
      <c r="K1966" s="113">
        <f>VLOOKUP(J1966,辅助信息!H:I,2,FALSE)</f>
        <v>18384145895</v>
      </c>
      <c r="L1966" s="115" t="str">
        <f>VLOOKUP(B1966,辅助信息!E:J,6,FALSE)</f>
        <v>对方卸车</v>
      </c>
      <c r="M1966" s="84">
        <v>45831</v>
      </c>
      <c r="O1966" s="55">
        <f ca="1" t="shared" si="127"/>
        <v>0</v>
      </c>
      <c r="P1966" s="55">
        <f ca="1" t="shared" si="128"/>
        <v>126</v>
      </c>
      <c r="Q1966" s="22" t="str">
        <f>VLOOKUP(B1966,辅助信息!E:M,9,FALSE)</f>
        <v>ZTWM-CDGS-XS-2024-0189-华西集采-酒城南项目</v>
      </c>
    </row>
    <row r="1967" hidden="1" spans="1:18">
      <c r="A1967" s="50" t="s">
        <v>178</v>
      </c>
      <c r="B1967" s="33" t="s">
        <v>151</v>
      </c>
      <c r="C1967" s="63">
        <v>45834</v>
      </c>
      <c r="D1967" s="113" t="str">
        <f>VLOOKUP(B1967,辅助信息!E:K,7,FALSE)</f>
        <v>JWDDCD2025051000019</v>
      </c>
      <c r="E1967" s="113" t="str">
        <f>VLOOKUP(F1967,辅助信息!A:B,2,FALSE)</f>
        <v>螺纹钢</v>
      </c>
      <c r="F1967" s="33" t="s">
        <v>27</v>
      </c>
      <c r="G1967" s="29">
        <v>6</v>
      </c>
      <c r="H1967" s="114">
        <f>_xlfn.XLOOKUP(C1967&amp;F1967&amp;I1967&amp;J1967,'[1]2025年已发货'!$F:$F&amp;'[1]2025年已发货'!$C:$C&amp;'[1]2025年已发货'!$G:$G&amp;'[1]2025年已发货'!$H:$H,'[1]2025年已发货'!$E:$E,"未发货")</f>
        <v>6</v>
      </c>
      <c r="I1967" s="113" t="str">
        <f>VLOOKUP(B1967,辅助信息!E:I,3,FALSE)</f>
        <v>(五冶钢构医学科学产业园建设项目房建一部-四标（3-7）)四川省南充市顺庆区搬罾街道学府大道二段</v>
      </c>
      <c r="J1967" s="113" t="str">
        <f>VLOOKUP(B1967,辅助信息!E:I,4,FALSE)</f>
        <v>胡泽宇</v>
      </c>
      <c r="K1967" s="113">
        <f>VLOOKUP(J1967,辅助信息!H:I,2,FALSE)</f>
        <v>18141337338</v>
      </c>
      <c r="L1967" s="115" t="str">
        <f>VLOOKUP(B1967,辅助信息!E:J,6,FALSE)</f>
        <v>送货单：送货单位：南充思临新材料科技有限公司,收货单位：五冶集团川北(南充)建设有限公司,项目名称：南充医学科学产业园,送货车型13米,装货前联系收货人核实到场规格</v>
      </c>
      <c r="M1967" s="84">
        <v>45835</v>
      </c>
      <c r="O1967" s="55">
        <f ca="1" t="shared" si="127"/>
        <v>0</v>
      </c>
      <c r="P1967" s="55">
        <f ca="1" t="shared" si="128"/>
        <v>122</v>
      </c>
      <c r="Q1967" s="22" t="str">
        <f>VLOOKUP(B1967,辅助信息!E:M,9,FALSE)</f>
        <v>ZTWM-CDGS-XS-2024-0248-五冶钢构-南充市医学院项目</v>
      </c>
      <c r="R1967" s="22" t="str">
        <f>_xlfn._xlws.FILTER(辅助信息!D:D,辅助信息!E:E=B1967)</f>
        <v>五冶钢构南充医学科学产业园建设项目</v>
      </c>
    </row>
    <row r="1968" hidden="1" spans="2:18">
      <c r="B1968" s="33" t="s">
        <v>151</v>
      </c>
      <c r="C1968" s="63">
        <v>45834</v>
      </c>
      <c r="D1968" s="113" t="str">
        <f>VLOOKUP(B1968,辅助信息!E:K,7,FALSE)</f>
        <v>JWDDCD2025051000019</v>
      </c>
      <c r="E1968" s="113" t="str">
        <f>VLOOKUP(F1968,辅助信息!A:B,2,FALSE)</f>
        <v>螺纹钢</v>
      </c>
      <c r="F1968" s="33" t="s">
        <v>19</v>
      </c>
      <c r="G1968" s="29">
        <v>21</v>
      </c>
      <c r="H1968" s="114">
        <f>_xlfn.XLOOKUP(C1968&amp;F1968&amp;I1968&amp;J1968,'[1]2025年已发货'!$F:$F&amp;'[1]2025年已发货'!$C:$C&amp;'[1]2025年已发货'!$G:$G&amp;'[1]2025年已发货'!$H:$H,'[1]2025年已发货'!$E:$E,"未发货")</f>
        <v>21</v>
      </c>
      <c r="I1968" s="113" t="str">
        <f>VLOOKUP(B1968,辅助信息!E:I,3,FALSE)</f>
        <v>(五冶钢构医学科学产业园建设项目房建一部-四标（3-7）)四川省南充市顺庆区搬罾街道学府大道二段</v>
      </c>
      <c r="J1968" s="113" t="str">
        <f>VLOOKUP(B1968,辅助信息!E:I,4,FALSE)</f>
        <v>胡泽宇</v>
      </c>
      <c r="K1968" s="113">
        <f>VLOOKUP(J1968,辅助信息!H:I,2,FALSE)</f>
        <v>18141337338</v>
      </c>
      <c r="L1968" s="115" t="str">
        <f>VLOOKUP(B1968,辅助信息!E:J,6,FALSE)</f>
        <v>送货单：送货单位：南充思临新材料科技有限公司,收货单位：五冶集团川北(南充)建设有限公司,项目名称：南充医学科学产业园,送货车型13米,装货前联系收货人核实到场规格</v>
      </c>
      <c r="M1968" s="84">
        <v>45835</v>
      </c>
      <c r="O1968" s="55">
        <f ca="1" t="shared" si="127"/>
        <v>0</v>
      </c>
      <c r="P1968" s="55">
        <f ca="1" t="shared" si="128"/>
        <v>122</v>
      </c>
      <c r="Q1968" s="22" t="str">
        <f>VLOOKUP(B1968,辅助信息!E:M,9,FALSE)</f>
        <v>ZTWM-CDGS-XS-2024-0248-五冶钢构-南充市医学院项目</v>
      </c>
      <c r="R1968" s="22" t="str">
        <f>_xlfn._xlws.FILTER(辅助信息!D:D,辅助信息!E:E=B1968)</f>
        <v>五冶钢构南充医学科学产业园建设项目</v>
      </c>
    </row>
    <row r="1969" hidden="1" spans="2:18">
      <c r="B1969" s="33" t="s">
        <v>179</v>
      </c>
      <c r="C1969" s="63">
        <v>45834</v>
      </c>
      <c r="D1969" s="113" t="str">
        <f>VLOOKUP(B1969,辅助信息!E:K,7,FALSE)</f>
        <v>JWDDCD2025052800131</v>
      </c>
      <c r="E1969" s="113" t="str">
        <f>VLOOKUP(F1969,辅助信息!A:B,2,FALSE)</f>
        <v>螺纹钢</v>
      </c>
      <c r="F1969" s="33" t="s">
        <v>66</v>
      </c>
      <c r="G1969" s="29">
        <v>9</v>
      </c>
      <c r="H1969" s="114">
        <f>_xlfn.XLOOKUP(C1969&amp;F1969&amp;I1969&amp;J1969,'[1]2025年已发货'!$F:$F&amp;'[1]2025年已发货'!$C:$C&amp;'[1]2025年已发货'!$G:$G&amp;'[1]2025年已发货'!$H:$H,'[1]2025年已发货'!$E:$E,"未发货")</f>
        <v>9</v>
      </c>
      <c r="I1969" s="113" t="str">
        <f>VLOOKUP(B1969,辅助信息!E:I,3,FALSE)</f>
        <v>（商投建工达州中医药科技园-4工区-3号楼）达州市通川区达州中医药职业学院犀牛大道北段</v>
      </c>
      <c r="J1969" s="113" t="str">
        <f>VLOOKUP(B1969,辅助信息!E:I,4,FALSE)</f>
        <v>张扬</v>
      </c>
      <c r="K1969" s="113">
        <f>VLOOKUP(J1969,辅助信息!H:I,2,FALSE)</f>
        <v>18381904567</v>
      </c>
      <c r="L1969" s="115" t="str">
        <f>VLOOKUP(B1969,辅助信息!E:J,6,FALSE)</f>
        <v>控制炉批号！多了现场不收！,优先安排达钢,提前联系到场规格及数量</v>
      </c>
      <c r="M1969" s="84">
        <v>45835</v>
      </c>
      <c r="O1969" s="55">
        <f ca="1" t="shared" ref="O1969:O1977" si="129">IF(OR(M1969="",N1969&lt;&gt;""),"",MAX(M1969-TODAY(),0))</f>
        <v>0</v>
      </c>
      <c r="P1969" s="55">
        <f ca="1" t="shared" ref="P1969:P1977" si="130">IF(M1969="","",IF(N1969&lt;&gt;"",MAX(N1969-M1969,0),IF(TODAY()&gt;M1969,TODAY()-M1969,0)))</f>
        <v>122</v>
      </c>
      <c r="Q1969" s="22" t="str">
        <f>VLOOKUP(B1969,辅助信息!E:M,9,FALSE)</f>
        <v>ZTWM-CDGS-XS-2024-0134-商投建工达州中医药科技成果示范园项目</v>
      </c>
      <c r="R1969" s="22" t="str">
        <f>_xlfn._xlws.FILTER(辅助信息!D:D,辅助信息!E:E=B1969)</f>
        <v>商投建工达州中医药科技园</v>
      </c>
    </row>
    <row r="1970" hidden="1" spans="2:18">
      <c r="B1970" s="33" t="s">
        <v>179</v>
      </c>
      <c r="C1970" s="63">
        <v>45834</v>
      </c>
      <c r="D1970" s="113" t="str">
        <f>VLOOKUP(B1970,辅助信息!E:K,7,FALSE)</f>
        <v>JWDDCD2025052800131</v>
      </c>
      <c r="E1970" s="113" t="str">
        <f>VLOOKUP(F1970,辅助信息!A:B,2,FALSE)</f>
        <v>螺纹钢</v>
      </c>
      <c r="F1970" s="33" t="s">
        <v>58</v>
      </c>
      <c r="G1970" s="29">
        <v>12</v>
      </c>
      <c r="H1970" s="114">
        <f>_xlfn.XLOOKUP(C1970&amp;F1970&amp;I1970&amp;J1970,'[1]2025年已发货'!$F:$F&amp;'[1]2025年已发货'!$C:$C&amp;'[1]2025年已发货'!$G:$G&amp;'[1]2025年已发货'!$H:$H,'[1]2025年已发货'!$E:$E,"未发货")</f>
        <v>12</v>
      </c>
      <c r="I1970" s="113" t="str">
        <f>VLOOKUP(B1970,辅助信息!E:I,3,FALSE)</f>
        <v>（商投建工达州中医药科技园-4工区-3号楼）达州市通川区达州中医药职业学院犀牛大道北段</v>
      </c>
      <c r="J1970" s="113" t="str">
        <f>VLOOKUP(B1970,辅助信息!E:I,4,FALSE)</f>
        <v>张扬</v>
      </c>
      <c r="K1970" s="113">
        <f>VLOOKUP(J1970,辅助信息!H:I,2,FALSE)</f>
        <v>18381904567</v>
      </c>
      <c r="L1970" s="115" t="str">
        <f>VLOOKUP(B1970,辅助信息!E:J,6,FALSE)</f>
        <v>控制炉批号！多了现场不收！,优先安排达钢,提前联系到场规格及数量</v>
      </c>
      <c r="M1970" s="84">
        <v>45835</v>
      </c>
      <c r="O1970" s="55">
        <f ca="1" t="shared" si="129"/>
        <v>0</v>
      </c>
      <c r="P1970" s="55">
        <f ca="1" t="shared" si="130"/>
        <v>122</v>
      </c>
      <c r="Q1970" s="22" t="str">
        <f>VLOOKUP(B1970,辅助信息!E:M,9,FALSE)</f>
        <v>ZTWM-CDGS-XS-2024-0134-商投建工达州中医药科技成果示范园项目</v>
      </c>
      <c r="R1970" s="22" t="str">
        <f>_xlfn._xlws.FILTER(辅助信息!D:D,辅助信息!E:E=B1970)</f>
        <v>商投建工达州中医药科技园</v>
      </c>
    </row>
    <row r="1971" hidden="1" spans="2:18">
      <c r="B1971" s="33" t="s">
        <v>179</v>
      </c>
      <c r="C1971" s="63">
        <v>45834</v>
      </c>
      <c r="D1971" s="113" t="str">
        <f>VLOOKUP(B1971,辅助信息!E:K,7,FALSE)</f>
        <v>JWDDCD2025052800131</v>
      </c>
      <c r="E1971" s="113" t="str">
        <f>VLOOKUP(F1971,辅助信息!A:B,2,FALSE)</f>
        <v>螺纹钢</v>
      </c>
      <c r="F1971" s="33" t="s">
        <v>22</v>
      </c>
      <c r="G1971" s="29">
        <v>24</v>
      </c>
      <c r="H1971" s="114" t="str">
        <f>_xlfn.XLOOKUP(C1971&amp;F1971&amp;I1971&amp;J1971,'[1]2025年已发货'!$F:$F&amp;'[1]2025年已发货'!$C:$C&amp;'[1]2025年已发货'!$G:$G&amp;'[1]2025年已发货'!$H:$H,'[1]2025年已发货'!$E:$E,"未发货")</f>
        <v>未发货</v>
      </c>
      <c r="I1971" s="113" t="str">
        <f>VLOOKUP(B1971,辅助信息!E:I,3,FALSE)</f>
        <v>（商投建工达州中医药科技园-4工区-3号楼）达州市通川区达州中医药职业学院犀牛大道北段</v>
      </c>
      <c r="J1971" s="113" t="str">
        <f>VLOOKUP(B1971,辅助信息!E:I,4,FALSE)</f>
        <v>张扬</v>
      </c>
      <c r="K1971" s="113">
        <f>VLOOKUP(J1971,辅助信息!H:I,2,FALSE)</f>
        <v>18381904567</v>
      </c>
      <c r="L1971" s="115" t="str">
        <f>VLOOKUP(B1971,辅助信息!E:J,6,FALSE)</f>
        <v>控制炉批号！多了现场不收！,优先安排达钢,提前联系到场规格及数量</v>
      </c>
      <c r="M1971" s="84">
        <v>45835</v>
      </c>
      <c r="O1971" s="55">
        <f ca="1" t="shared" si="129"/>
        <v>0</v>
      </c>
      <c r="P1971" s="55">
        <f ca="1" t="shared" si="130"/>
        <v>122</v>
      </c>
      <c r="Q1971" s="22" t="str">
        <f>VLOOKUP(B1971,辅助信息!E:M,9,FALSE)</f>
        <v>ZTWM-CDGS-XS-2024-0134-商投建工达州中医药科技成果示范园项目</v>
      </c>
      <c r="R1971" s="22" t="str">
        <f>_xlfn._xlws.FILTER(辅助信息!D:D,辅助信息!E:E=B1971)</f>
        <v>商投建工达州中医药科技园</v>
      </c>
    </row>
    <row r="1972" hidden="1" spans="2:18">
      <c r="B1972" s="33" t="s">
        <v>180</v>
      </c>
      <c r="C1972" s="63">
        <v>45834</v>
      </c>
      <c r="D1972" s="113" t="str">
        <f>VLOOKUP(B1972,辅助信息!E:K,7,FALSE)</f>
        <v>JWDDCD2025052800131</v>
      </c>
      <c r="E1972" s="113" t="str">
        <f>VLOOKUP(F1972,辅助信息!A:B,2,FALSE)</f>
        <v>螺纹钢</v>
      </c>
      <c r="F1972" s="33" t="s">
        <v>66</v>
      </c>
      <c r="G1972" s="29">
        <v>6</v>
      </c>
      <c r="H1972" s="114">
        <f>_xlfn.XLOOKUP(C1972&amp;F1972&amp;I1972&amp;J1972,'[1]2025年已发货'!$F:$F&amp;'[1]2025年已发货'!$C:$C&amp;'[1]2025年已发货'!$G:$G&amp;'[1]2025年已发货'!$H:$H,'[1]2025年已发货'!$E:$E,"未发货")</f>
        <v>6</v>
      </c>
      <c r="I1972" s="113" t="str">
        <f>VLOOKUP(B1972,辅助信息!E:I,3,FALSE)</f>
        <v>（商投建工达州中医药科技园-4工区-8号楼）达州市通川区达州中医药职业学院犀牛大道北段</v>
      </c>
      <c r="J1972" s="113" t="str">
        <f>VLOOKUP(B1972,辅助信息!E:I,4,FALSE)</f>
        <v>张扬</v>
      </c>
      <c r="K1972" s="113">
        <f>VLOOKUP(J1972,辅助信息!H:I,2,FALSE)</f>
        <v>18381904567</v>
      </c>
      <c r="L1972" s="115" t="str">
        <f>VLOOKUP(B1972,辅助信息!E:J,6,FALSE)</f>
        <v>控制炉批号！多了现场不收！,优先安排达钢,提前联系到场规格及数量</v>
      </c>
      <c r="M1972" s="84">
        <v>45835</v>
      </c>
      <c r="O1972" s="55">
        <f ca="1" t="shared" si="129"/>
        <v>0</v>
      </c>
      <c r="P1972" s="55">
        <f ca="1" t="shared" si="130"/>
        <v>122</v>
      </c>
      <c r="Q1972" s="22" t="str">
        <f>VLOOKUP(B1972,辅助信息!E:M,9,FALSE)</f>
        <v>ZTWM-CDGS-XS-2024-0134-商投建工达州中医药科技成果示范园项目</v>
      </c>
      <c r="R1972" s="22" t="str">
        <f>_xlfn._xlws.FILTER(辅助信息!D:D,辅助信息!E:E=B1972)</f>
        <v>商投建工达州中医药科技园</v>
      </c>
    </row>
    <row r="1973" hidden="1" spans="2:18">
      <c r="B1973" s="33" t="s">
        <v>180</v>
      </c>
      <c r="C1973" s="63">
        <v>45834</v>
      </c>
      <c r="D1973" s="113" t="str">
        <f>VLOOKUP(B1973,辅助信息!E:K,7,FALSE)</f>
        <v>JWDDCD2025052800131</v>
      </c>
      <c r="E1973" s="113" t="str">
        <f>VLOOKUP(F1973,辅助信息!A:B,2,FALSE)</f>
        <v>螺纹钢</v>
      </c>
      <c r="F1973" s="33" t="s">
        <v>45</v>
      </c>
      <c r="G1973" s="29">
        <v>6</v>
      </c>
      <c r="H1973" s="114">
        <f>_xlfn.XLOOKUP(C1973&amp;F1973&amp;I1973&amp;J1973,'[1]2025年已发货'!$F:$F&amp;'[1]2025年已发货'!$C:$C&amp;'[1]2025年已发货'!$G:$G&amp;'[1]2025年已发货'!$H:$H,'[1]2025年已发货'!$E:$E,"未发货")</f>
        <v>6</v>
      </c>
      <c r="I1973" s="113" t="str">
        <f>VLOOKUP(B1973,辅助信息!E:I,3,FALSE)</f>
        <v>（商投建工达州中医药科技园-4工区-8号楼）达州市通川区达州中医药职业学院犀牛大道北段</v>
      </c>
      <c r="J1973" s="113" t="str">
        <f>VLOOKUP(B1973,辅助信息!E:I,4,FALSE)</f>
        <v>张扬</v>
      </c>
      <c r="K1973" s="113">
        <f>VLOOKUP(J1973,辅助信息!H:I,2,FALSE)</f>
        <v>18381904567</v>
      </c>
      <c r="L1973" s="115" t="str">
        <f>VLOOKUP(B1973,辅助信息!E:J,6,FALSE)</f>
        <v>控制炉批号！多了现场不收！,优先安排达钢,提前联系到场规格及数量</v>
      </c>
      <c r="M1973" s="84">
        <v>45835</v>
      </c>
      <c r="O1973" s="55">
        <f ca="1" t="shared" si="129"/>
        <v>0</v>
      </c>
      <c r="P1973" s="55">
        <f ca="1" t="shared" si="130"/>
        <v>122</v>
      </c>
      <c r="Q1973" s="22" t="str">
        <f>VLOOKUP(B1973,辅助信息!E:M,9,FALSE)</f>
        <v>ZTWM-CDGS-XS-2024-0134-商投建工达州中医药科技成果示范园项目</v>
      </c>
      <c r="R1973" s="22" t="str">
        <f>_xlfn._xlws.FILTER(辅助信息!D:D,辅助信息!E:E=B1973)</f>
        <v>商投建工达州中医药科技园</v>
      </c>
    </row>
    <row r="1974" hidden="1" spans="2:18">
      <c r="B1974" s="33" t="s">
        <v>180</v>
      </c>
      <c r="C1974" s="63">
        <v>45834</v>
      </c>
      <c r="D1974" s="113" t="str">
        <f>VLOOKUP(B1974,辅助信息!E:K,7,FALSE)</f>
        <v>JWDDCD2025052800131</v>
      </c>
      <c r="E1974" s="113" t="str">
        <f>VLOOKUP(F1974,辅助信息!A:B,2,FALSE)</f>
        <v>螺纹钢</v>
      </c>
      <c r="F1974" s="33" t="s">
        <v>21</v>
      </c>
      <c r="G1974" s="29">
        <v>6</v>
      </c>
      <c r="H1974" s="114" t="str">
        <f>_xlfn.XLOOKUP(C1974&amp;F1974&amp;I1974&amp;J1974,'[1]2025年已发货'!$F:$F&amp;'[1]2025年已发货'!$C:$C&amp;'[1]2025年已发货'!$G:$G&amp;'[1]2025年已发货'!$H:$H,'[1]2025年已发货'!$E:$E,"未发货")</f>
        <v>未发货</v>
      </c>
      <c r="I1974" s="113" t="str">
        <f>VLOOKUP(B1974,辅助信息!E:I,3,FALSE)</f>
        <v>（商投建工达州中医药科技园-4工区-8号楼）达州市通川区达州中医药职业学院犀牛大道北段</v>
      </c>
      <c r="J1974" s="113" t="str">
        <f>VLOOKUP(B1974,辅助信息!E:I,4,FALSE)</f>
        <v>张扬</v>
      </c>
      <c r="K1974" s="113">
        <f>VLOOKUP(J1974,辅助信息!H:I,2,FALSE)</f>
        <v>18381904567</v>
      </c>
      <c r="L1974" s="115" t="str">
        <f>VLOOKUP(B1974,辅助信息!E:J,6,FALSE)</f>
        <v>控制炉批号！多了现场不收！,优先安排达钢,提前联系到场规格及数量</v>
      </c>
      <c r="M1974" s="84">
        <v>45835</v>
      </c>
      <c r="O1974" s="55">
        <f ca="1" t="shared" si="129"/>
        <v>0</v>
      </c>
      <c r="P1974" s="55">
        <f ca="1" t="shared" si="130"/>
        <v>122</v>
      </c>
      <c r="Q1974" s="22" t="str">
        <f>VLOOKUP(B1974,辅助信息!E:M,9,FALSE)</f>
        <v>ZTWM-CDGS-XS-2024-0134-商投建工达州中医药科技成果示范园项目</v>
      </c>
      <c r="R1974" s="22" t="str">
        <f>_xlfn._xlws.FILTER(辅助信息!D:D,辅助信息!E:E=B1974)</f>
        <v>商投建工达州中医药科技园</v>
      </c>
    </row>
    <row r="1975" hidden="1" spans="2:18">
      <c r="B1975" s="33" t="s">
        <v>180</v>
      </c>
      <c r="C1975" s="63">
        <v>45834</v>
      </c>
      <c r="D1975" s="113" t="str">
        <f>VLOOKUP(B1975,辅助信息!E:K,7,FALSE)</f>
        <v>JWDDCD2025052800131</v>
      </c>
      <c r="E1975" s="113" t="str">
        <f>VLOOKUP(F1975,辅助信息!A:B,2,FALSE)</f>
        <v>螺纹钢</v>
      </c>
      <c r="F1975" s="33" t="s">
        <v>58</v>
      </c>
      <c r="G1975" s="29">
        <v>24</v>
      </c>
      <c r="H1975" s="114">
        <f>_xlfn.XLOOKUP(C1975&amp;F1975&amp;I1975&amp;J1975,'[1]2025年已发货'!$F:$F&amp;'[1]2025年已发货'!$C:$C&amp;'[1]2025年已发货'!$G:$G&amp;'[1]2025年已发货'!$H:$H,'[1]2025年已发货'!$E:$E,"未发货")</f>
        <v>24</v>
      </c>
      <c r="I1975" s="113" t="str">
        <f>VLOOKUP(B1975,辅助信息!E:I,3,FALSE)</f>
        <v>（商投建工达州中医药科技园-4工区-8号楼）达州市通川区达州中医药职业学院犀牛大道北段</v>
      </c>
      <c r="J1975" s="113" t="str">
        <f>VLOOKUP(B1975,辅助信息!E:I,4,FALSE)</f>
        <v>张扬</v>
      </c>
      <c r="K1975" s="113">
        <f>VLOOKUP(J1975,辅助信息!H:I,2,FALSE)</f>
        <v>18381904567</v>
      </c>
      <c r="L1975" s="115" t="str">
        <f>VLOOKUP(B1975,辅助信息!E:J,6,FALSE)</f>
        <v>控制炉批号！多了现场不收！,优先安排达钢,提前联系到场规格及数量</v>
      </c>
      <c r="M1975" s="84">
        <v>45835</v>
      </c>
      <c r="O1975" s="55">
        <f ca="1" t="shared" si="129"/>
        <v>0</v>
      </c>
      <c r="P1975" s="55">
        <f ca="1" t="shared" si="130"/>
        <v>122</v>
      </c>
      <c r="Q1975" s="22" t="str">
        <f>VLOOKUP(B1975,辅助信息!E:M,9,FALSE)</f>
        <v>ZTWM-CDGS-XS-2024-0134-商投建工达州中医药科技成果示范园项目</v>
      </c>
      <c r="R1975" s="22" t="str">
        <f>_xlfn._xlws.FILTER(辅助信息!D:D,辅助信息!E:E=B1975)</f>
        <v>商投建工达州中医药科技园</v>
      </c>
    </row>
    <row r="1976" hidden="1" spans="2:18">
      <c r="B1976" s="33" t="s">
        <v>180</v>
      </c>
      <c r="C1976" s="63">
        <v>45834</v>
      </c>
      <c r="D1976" s="113" t="str">
        <f>VLOOKUP(B1976,辅助信息!E:K,7,FALSE)</f>
        <v>JWDDCD2025052800131</v>
      </c>
      <c r="E1976" s="113" t="str">
        <f>VLOOKUP(F1976,辅助信息!A:B,2,FALSE)</f>
        <v>螺纹钢</v>
      </c>
      <c r="F1976" s="33" t="s">
        <v>46</v>
      </c>
      <c r="G1976" s="29">
        <v>24</v>
      </c>
      <c r="H1976" s="114" t="str">
        <f>_xlfn.XLOOKUP(C1976&amp;F1976&amp;I1976&amp;J1976,'[1]2025年已发货'!$F:$F&amp;'[1]2025年已发货'!$C:$C&amp;'[1]2025年已发货'!$G:$G&amp;'[1]2025年已发货'!$H:$H,'[1]2025年已发货'!$E:$E,"未发货")</f>
        <v>未发货</v>
      </c>
      <c r="I1976" s="113" t="str">
        <f>VLOOKUP(B1976,辅助信息!E:I,3,FALSE)</f>
        <v>（商投建工达州中医药科技园-4工区-8号楼）达州市通川区达州中医药职业学院犀牛大道北段</v>
      </c>
      <c r="J1976" s="113" t="str">
        <f>VLOOKUP(B1976,辅助信息!E:I,4,FALSE)</f>
        <v>张扬</v>
      </c>
      <c r="K1976" s="113">
        <f>VLOOKUP(J1976,辅助信息!H:I,2,FALSE)</f>
        <v>18381904567</v>
      </c>
      <c r="L1976" s="115" t="str">
        <f>VLOOKUP(B1976,辅助信息!E:J,6,FALSE)</f>
        <v>控制炉批号！多了现场不收！,优先安排达钢,提前联系到场规格及数量</v>
      </c>
      <c r="M1976" s="84">
        <v>45835</v>
      </c>
      <c r="O1976" s="55">
        <f ca="1" t="shared" si="129"/>
        <v>0</v>
      </c>
      <c r="P1976" s="55">
        <f ca="1" t="shared" si="130"/>
        <v>122</v>
      </c>
      <c r="Q1976" s="22" t="str">
        <f>VLOOKUP(B1976,辅助信息!E:M,9,FALSE)</f>
        <v>ZTWM-CDGS-XS-2024-0134-商投建工达州中医药科技成果示范园项目</v>
      </c>
      <c r="R1976" s="22" t="str">
        <f>_xlfn._xlws.FILTER(辅助信息!D:D,辅助信息!E:E=B1976)</f>
        <v>商投建工达州中医药科技园</v>
      </c>
    </row>
    <row r="1977" hidden="1" spans="2:18">
      <c r="B1977" s="33" t="s">
        <v>180</v>
      </c>
      <c r="C1977" s="63">
        <v>45834</v>
      </c>
      <c r="D1977" s="113" t="str">
        <f>VLOOKUP(B1977,辅助信息!E:K,7,FALSE)</f>
        <v>JWDDCD2025052800131</v>
      </c>
      <c r="E1977" s="113" t="str">
        <f>VLOOKUP(F1977,辅助信息!A:B,2,FALSE)</f>
        <v>螺纹钢</v>
      </c>
      <c r="F1977" s="33" t="s">
        <v>22</v>
      </c>
      <c r="G1977" s="29">
        <v>24</v>
      </c>
      <c r="H1977" s="114" t="str">
        <f>_xlfn.XLOOKUP(C1977&amp;F1977&amp;I1977&amp;J1977,'[1]2025年已发货'!$F:$F&amp;'[1]2025年已发货'!$C:$C&amp;'[1]2025年已发货'!$G:$G&amp;'[1]2025年已发货'!$H:$H,'[1]2025年已发货'!$E:$E,"未发货")</f>
        <v>未发货</v>
      </c>
      <c r="I1977" s="113" t="str">
        <f>VLOOKUP(B1977,辅助信息!E:I,3,FALSE)</f>
        <v>（商投建工达州中医药科技园-4工区-8号楼）达州市通川区达州中医药职业学院犀牛大道北段</v>
      </c>
      <c r="J1977" s="113" t="str">
        <f>VLOOKUP(B1977,辅助信息!E:I,4,FALSE)</f>
        <v>张扬</v>
      </c>
      <c r="K1977" s="113">
        <f>VLOOKUP(J1977,辅助信息!H:I,2,FALSE)</f>
        <v>18381904567</v>
      </c>
      <c r="L1977" s="115" t="str">
        <f>VLOOKUP(B1977,辅助信息!E:J,6,FALSE)</f>
        <v>控制炉批号！多了现场不收！,优先安排达钢,提前联系到场规格及数量</v>
      </c>
      <c r="M1977" s="84">
        <v>45835</v>
      </c>
      <c r="O1977" s="55">
        <f ca="1" t="shared" si="129"/>
        <v>0</v>
      </c>
      <c r="P1977" s="55">
        <f ca="1" t="shared" si="130"/>
        <v>122</v>
      </c>
      <c r="Q1977" s="22" t="str">
        <f>VLOOKUP(B1977,辅助信息!E:M,9,FALSE)</f>
        <v>ZTWM-CDGS-XS-2024-0134-商投建工达州中医药科技成果示范园项目</v>
      </c>
      <c r="R1977" s="22" t="str">
        <f>_xlfn._xlws.FILTER(辅助信息!D:D,辅助信息!E:E=B1977)</f>
        <v>商投建工达州中医药科技园</v>
      </c>
    </row>
    <row r="1978" hidden="1" spans="2:18">
      <c r="B1978" s="33" t="s">
        <v>47</v>
      </c>
      <c r="C1978" s="63">
        <v>45834</v>
      </c>
      <c r="D1978" s="113" t="str">
        <f>VLOOKUP(B1978,辅助信息!E:K,7,FALSE)</f>
        <v>JWDDCD2025052800131</v>
      </c>
      <c r="E1978" s="113" t="str">
        <f>VLOOKUP(F1978,辅助信息!A:B,2,FALSE)</f>
        <v>螺纹钢</v>
      </c>
      <c r="F1978" s="33" t="s">
        <v>21</v>
      </c>
      <c r="G1978" s="29">
        <v>12</v>
      </c>
      <c r="H1978" s="114" t="str">
        <f>_xlfn.XLOOKUP(C1978&amp;F1978&amp;I1978&amp;J1978,'[1]2025年已发货'!$F:$F&amp;'[1]2025年已发货'!$C:$C&amp;'[1]2025年已发货'!$G:$G&amp;'[1]2025年已发货'!$H:$H,'[1]2025年已发货'!$E:$E,"未发货")</f>
        <v>未发货</v>
      </c>
      <c r="I1978" s="113" t="str">
        <f>VLOOKUP(B1978,辅助信息!E:I,3,FALSE)</f>
        <v>（商投建工达州中医药科技园-1工区）达州市通川区达州中医药职业学院犀牛大道北段</v>
      </c>
      <c r="J1978" s="113" t="str">
        <f>VLOOKUP(B1978,辅助信息!E:I,4,FALSE)</f>
        <v>程黄刚</v>
      </c>
      <c r="K1978" s="113">
        <f>VLOOKUP(J1978,辅助信息!H:I,2,FALSE)</f>
        <v>15108211617</v>
      </c>
      <c r="L1978" s="115" t="str">
        <f>VLOOKUP(B1978,辅助信息!E:J,6,FALSE)</f>
        <v>控制炉批号！多了现场不收！,优先安排达钢,提前联系到场规格及数量</v>
      </c>
      <c r="M1978" s="84">
        <v>45835</v>
      </c>
      <c r="O1978" s="55">
        <f ca="1" t="shared" ref="O1978:O1989" si="131">IF(OR(M1978="",N1978&lt;&gt;""),"",MAX(M1978-TODAY(),0))</f>
        <v>0</v>
      </c>
      <c r="P1978" s="55">
        <f ca="1" t="shared" ref="P1978:P1989" si="132">IF(M1978="","",IF(N1978&lt;&gt;"",MAX(N1978-M1978,0),IF(TODAY()&gt;M1978,TODAY()-M1978,0)))</f>
        <v>122</v>
      </c>
      <c r="Q1978" s="22" t="str">
        <f>VLOOKUP(B1978,辅助信息!E:M,9,FALSE)</f>
        <v>ZTWM-CDGS-XS-2024-0134-商投建工达州中医药科技成果示范园项目</v>
      </c>
      <c r="R1978" s="22" t="str">
        <f>_xlfn._xlws.FILTER(辅助信息!D:D,辅助信息!E:E=B1978)</f>
        <v>商投建工达州中医药科技园</v>
      </c>
    </row>
    <row r="1979" hidden="1" spans="2:18">
      <c r="B1979" s="33" t="s">
        <v>47</v>
      </c>
      <c r="C1979" s="63">
        <v>45834</v>
      </c>
      <c r="D1979" s="113" t="str">
        <f>VLOOKUP(B1979,辅助信息!E:K,7,FALSE)</f>
        <v>JWDDCD2025052800131</v>
      </c>
      <c r="E1979" s="113" t="str">
        <f>VLOOKUP(F1979,辅助信息!A:B,2,FALSE)</f>
        <v>螺纹钢</v>
      </c>
      <c r="F1979" s="33" t="s">
        <v>58</v>
      </c>
      <c r="G1979" s="29">
        <v>6</v>
      </c>
      <c r="H1979" s="114" t="str">
        <f>_xlfn.XLOOKUP(C1979&amp;F1979&amp;I1979&amp;J1979,'[1]2025年已发货'!$F:$F&amp;'[1]2025年已发货'!$C:$C&amp;'[1]2025年已发货'!$G:$G&amp;'[1]2025年已发货'!$H:$H,'[1]2025年已发货'!$E:$E,"未发货")</f>
        <v>未发货</v>
      </c>
      <c r="I1979" s="113" t="str">
        <f>VLOOKUP(B1979,辅助信息!E:I,3,FALSE)</f>
        <v>（商投建工达州中医药科技园-1工区）达州市通川区达州中医药职业学院犀牛大道北段</v>
      </c>
      <c r="J1979" s="113" t="str">
        <f>VLOOKUP(B1979,辅助信息!E:I,4,FALSE)</f>
        <v>程黄刚</v>
      </c>
      <c r="K1979" s="113">
        <f>VLOOKUP(J1979,辅助信息!H:I,2,FALSE)</f>
        <v>15108211617</v>
      </c>
      <c r="L1979" s="115" t="str">
        <f>VLOOKUP(B1979,辅助信息!E:J,6,FALSE)</f>
        <v>控制炉批号！多了现场不收！,优先安排达钢,提前联系到场规格及数量</v>
      </c>
      <c r="M1979" s="84">
        <v>45835</v>
      </c>
      <c r="O1979" s="55">
        <f ca="1" t="shared" si="131"/>
        <v>0</v>
      </c>
      <c r="P1979" s="55">
        <f ca="1" t="shared" si="132"/>
        <v>122</v>
      </c>
      <c r="Q1979" s="22" t="str">
        <f>VLOOKUP(B1979,辅助信息!E:M,9,FALSE)</f>
        <v>ZTWM-CDGS-XS-2024-0134-商投建工达州中医药科技成果示范园项目</v>
      </c>
      <c r="R1979" s="22" t="str">
        <f>_xlfn._xlws.FILTER(辅助信息!D:D,辅助信息!E:E=B1979)</f>
        <v>商投建工达州中医药科技园</v>
      </c>
    </row>
    <row r="1980" hidden="1" spans="2:18">
      <c r="B1980" s="33" t="s">
        <v>47</v>
      </c>
      <c r="C1980" s="63">
        <v>45834</v>
      </c>
      <c r="D1980" s="113" t="str">
        <f>VLOOKUP(B1980,辅助信息!E:K,7,FALSE)</f>
        <v>JWDDCD2025052800131</v>
      </c>
      <c r="E1980" s="113" t="str">
        <f>VLOOKUP(F1980,辅助信息!A:B,2,FALSE)</f>
        <v>盘螺</v>
      </c>
      <c r="F1980" s="33" t="s">
        <v>49</v>
      </c>
      <c r="G1980" s="29">
        <v>3</v>
      </c>
      <c r="H1980" s="114" t="str">
        <f>_xlfn.XLOOKUP(C1980&amp;F1980&amp;I1980&amp;J1980,'[1]2025年已发货'!$F:$F&amp;'[1]2025年已发货'!$C:$C&amp;'[1]2025年已发货'!$G:$G&amp;'[1]2025年已发货'!$H:$H,'[1]2025年已发货'!$E:$E,"未发货")</f>
        <v>未发货</v>
      </c>
      <c r="I1980" s="113" t="str">
        <f>VLOOKUP(B1980,辅助信息!E:I,3,FALSE)</f>
        <v>（商投建工达州中医药科技园-1工区）达州市通川区达州中医药职业学院犀牛大道北段</v>
      </c>
      <c r="J1980" s="113" t="str">
        <f>VLOOKUP(B1980,辅助信息!E:I,4,FALSE)</f>
        <v>程黄刚</v>
      </c>
      <c r="K1980" s="113">
        <f>VLOOKUP(J1980,辅助信息!H:I,2,FALSE)</f>
        <v>15108211617</v>
      </c>
      <c r="L1980" s="115" t="str">
        <f>VLOOKUP(B1980,辅助信息!E:J,6,FALSE)</f>
        <v>控制炉批号！多了现场不收！,优先安排达钢,提前联系到场规格及数量</v>
      </c>
      <c r="M1980" s="84">
        <v>45835</v>
      </c>
      <c r="O1980" s="55">
        <f ca="1" t="shared" si="131"/>
        <v>0</v>
      </c>
      <c r="P1980" s="55">
        <f ca="1" t="shared" si="132"/>
        <v>122</v>
      </c>
      <c r="Q1980" s="22" t="str">
        <f>VLOOKUP(B1980,辅助信息!E:M,9,FALSE)</f>
        <v>ZTWM-CDGS-XS-2024-0134-商投建工达州中医药科技成果示范园项目</v>
      </c>
      <c r="R1980" s="22" t="str">
        <f>_xlfn._xlws.FILTER(辅助信息!D:D,辅助信息!E:E=B1980)</f>
        <v>商投建工达州中医药科技园</v>
      </c>
    </row>
    <row r="1981" hidden="1" spans="2:18">
      <c r="B1981" s="33" t="s">
        <v>47</v>
      </c>
      <c r="C1981" s="63">
        <v>45834</v>
      </c>
      <c r="D1981" s="113" t="str">
        <f>VLOOKUP(B1981,辅助信息!E:K,7,FALSE)</f>
        <v>JWDDCD2025052800131</v>
      </c>
      <c r="E1981" s="113" t="str">
        <f>VLOOKUP(F1981,辅助信息!A:B,2,FALSE)</f>
        <v>螺纹钢</v>
      </c>
      <c r="F1981" s="33" t="s">
        <v>27</v>
      </c>
      <c r="G1981" s="29">
        <v>12</v>
      </c>
      <c r="H1981" s="114" t="str">
        <f>_xlfn.XLOOKUP(C1981&amp;F1981&amp;I1981&amp;J1981,'[1]2025年已发货'!$F:$F&amp;'[1]2025年已发货'!$C:$C&amp;'[1]2025年已发货'!$G:$G&amp;'[1]2025年已发货'!$H:$H,'[1]2025年已发货'!$E:$E,"未发货")</f>
        <v>未发货</v>
      </c>
      <c r="I1981" s="113" t="str">
        <f>VLOOKUP(B1981,辅助信息!E:I,3,FALSE)</f>
        <v>（商投建工达州中医药科技园-1工区）达州市通川区达州中医药职业学院犀牛大道北段</v>
      </c>
      <c r="J1981" s="113" t="str">
        <f>VLOOKUP(B1981,辅助信息!E:I,4,FALSE)</f>
        <v>程黄刚</v>
      </c>
      <c r="K1981" s="113">
        <f>VLOOKUP(J1981,辅助信息!H:I,2,FALSE)</f>
        <v>15108211617</v>
      </c>
      <c r="L1981" s="115" t="str">
        <f>VLOOKUP(B1981,辅助信息!E:J,6,FALSE)</f>
        <v>控制炉批号！多了现场不收！,优先安排达钢,提前联系到场规格及数量</v>
      </c>
      <c r="M1981" s="84">
        <v>45835</v>
      </c>
      <c r="O1981" s="55">
        <f ca="1" t="shared" si="131"/>
        <v>0</v>
      </c>
      <c r="P1981" s="55">
        <f ca="1" t="shared" si="132"/>
        <v>122</v>
      </c>
      <c r="Q1981" s="22" t="str">
        <f>VLOOKUP(B1981,辅助信息!E:M,9,FALSE)</f>
        <v>ZTWM-CDGS-XS-2024-0134-商投建工达州中医药科技成果示范园项目</v>
      </c>
      <c r="R1981" s="22" t="str">
        <f>_xlfn._xlws.FILTER(辅助信息!D:D,辅助信息!E:E=B1981)</f>
        <v>商投建工达州中医药科技园</v>
      </c>
    </row>
    <row r="1982" hidden="1" spans="2:18">
      <c r="B1982" s="33" t="s">
        <v>47</v>
      </c>
      <c r="C1982" s="63">
        <v>45834</v>
      </c>
      <c r="D1982" s="113" t="str">
        <f>VLOOKUP(B1982,辅助信息!E:K,7,FALSE)</f>
        <v>JWDDCD2025052800131</v>
      </c>
      <c r="E1982" s="113" t="str">
        <f>VLOOKUP(F1982,辅助信息!A:B,2,FALSE)</f>
        <v>螺纹钢</v>
      </c>
      <c r="F1982" s="33" t="s">
        <v>19</v>
      </c>
      <c r="G1982" s="29">
        <v>3</v>
      </c>
      <c r="H1982" s="114" t="str">
        <f>_xlfn.XLOOKUP(C1982&amp;F1982&amp;I1982&amp;J1982,'[1]2025年已发货'!$F:$F&amp;'[1]2025年已发货'!$C:$C&amp;'[1]2025年已发货'!$G:$G&amp;'[1]2025年已发货'!$H:$H,'[1]2025年已发货'!$E:$E,"未发货")</f>
        <v>未发货</v>
      </c>
      <c r="I1982" s="113" t="str">
        <f>VLOOKUP(B1982,辅助信息!E:I,3,FALSE)</f>
        <v>（商投建工达州中医药科技园-1工区）达州市通川区达州中医药职业学院犀牛大道北段</v>
      </c>
      <c r="J1982" s="113" t="str">
        <f>VLOOKUP(B1982,辅助信息!E:I,4,FALSE)</f>
        <v>程黄刚</v>
      </c>
      <c r="K1982" s="113">
        <f>VLOOKUP(J1982,辅助信息!H:I,2,FALSE)</f>
        <v>15108211617</v>
      </c>
      <c r="L1982" s="115" t="str">
        <f>VLOOKUP(B1982,辅助信息!E:J,6,FALSE)</f>
        <v>控制炉批号！多了现场不收！,优先安排达钢,提前联系到场规格及数量</v>
      </c>
      <c r="M1982" s="84">
        <v>45835</v>
      </c>
      <c r="O1982" s="55">
        <f ca="1" t="shared" si="131"/>
        <v>0</v>
      </c>
      <c r="P1982" s="55">
        <f ca="1" t="shared" si="132"/>
        <v>122</v>
      </c>
      <c r="Q1982" s="22" t="str">
        <f>VLOOKUP(B1982,辅助信息!E:M,9,FALSE)</f>
        <v>ZTWM-CDGS-XS-2024-0134-商投建工达州中医药科技成果示范园项目</v>
      </c>
      <c r="R1982" s="22" t="str">
        <f>_xlfn._xlws.FILTER(辅助信息!D:D,辅助信息!E:E=B1982)</f>
        <v>商投建工达州中医药科技园</v>
      </c>
    </row>
    <row r="1983" hidden="1" spans="2:18">
      <c r="B1983" s="33" t="s">
        <v>47</v>
      </c>
      <c r="C1983" s="63">
        <v>45834</v>
      </c>
      <c r="D1983" s="113" t="str">
        <f>VLOOKUP(B1983,辅助信息!E:K,7,FALSE)</f>
        <v>JWDDCD2025052800131</v>
      </c>
      <c r="E1983" s="113" t="str">
        <f>VLOOKUP(F1983,辅助信息!A:B,2,FALSE)</f>
        <v>螺纹钢</v>
      </c>
      <c r="F1983" s="33" t="s">
        <v>32</v>
      </c>
      <c r="G1983" s="29">
        <v>12</v>
      </c>
      <c r="H1983" s="114" t="str">
        <f>_xlfn.XLOOKUP(C1983&amp;F1983&amp;I1983&amp;J1983,'[1]2025年已发货'!$F:$F&amp;'[1]2025年已发货'!$C:$C&amp;'[1]2025年已发货'!$G:$G&amp;'[1]2025年已发货'!$H:$H,'[1]2025年已发货'!$E:$E,"未发货")</f>
        <v>未发货</v>
      </c>
      <c r="I1983" s="113" t="str">
        <f>VLOOKUP(B1983,辅助信息!E:I,3,FALSE)</f>
        <v>（商投建工达州中医药科技园-1工区）达州市通川区达州中医药职业学院犀牛大道北段</v>
      </c>
      <c r="J1983" s="113" t="str">
        <f>VLOOKUP(B1983,辅助信息!E:I,4,FALSE)</f>
        <v>程黄刚</v>
      </c>
      <c r="K1983" s="113">
        <f>VLOOKUP(J1983,辅助信息!H:I,2,FALSE)</f>
        <v>15108211617</v>
      </c>
      <c r="L1983" s="115" t="str">
        <f>VLOOKUP(B1983,辅助信息!E:J,6,FALSE)</f>
        <v>控制炉批号！多了现场不收！,优先安排达钢,提前联系到场规格及数量</v>
      </c>
      <c r="M1983" s="84">
        <v>45835</v>
      </c>
      <c r="O1983" s="55">
        <f ca="1" t="shared" si="131"/>
        <v>0</v>
      </c>
      <c r="P1983" s="55">
        <f ca="1" t="shared" si="132"/>
        <v>122</v>
      </c>
      <c r="Q1983" s="22" t="str">
        <f>VLOOKUP(B1983,辅助信息!E:M,9,FALSE)</f>
        <v>ZTWM-CDGS-XS-2024-0134-商投建工达州中医药科技成果示范园项目</v>
      </c>
      <c r="R1983" s="22" t="str">
        <f>_xlfn._xlws.FILTER(辅助信息!D:D,辅助信息!E:E=B1983)</f>
        <v>商投建工达州中医药科技园</v>
      </c>
    </row>
    <row r="1984" hidden="1" spans="2:18">
      <c r="B1984" s="33" t="s">
        <v>47</v>
      </c>
      <c r="C1984" s="63">
        <v>45834</v>
      </c>
      <c r="D1984" s="113" t="str">
        <f>VLOOKUP(B1984,辅助信息!E:K,7,FALSE)</f>
        <v>JWDDCD2025052800131</v>
      </c>
      <c r="E1984" s="113" t="str">
        <f>VLOOKUP(F1984,辅助信息!A:B,2,FALSE)</f>
        <v>螺纹钢</v>
      </c>
      <c r="F1984" s="33" t="s">
        <v>45</v>
      </c>
      <c r="G1984" s="29">
        <v>3</v>
      </c>
      <c r="H1984" s="114" t="str">
        <f>_xlfn.XLOOKUP(C1984&amp;F1984&amp;I1984&amp;J1984,'[1]2025年已发货'!$F:$F&amp;'[1]2025年已发货'!$C:$C&amp;'[1]2025年已发货'!$G:$G&amp;'[1]2025年已发货'!$H:$H,'[1]2025年已发货'!$E:$E,"未发货")</f>
        <v>未发货</v>
      </c>
      <c r="I1984" s="113" t="str">
        <f>VLOOKUP(B1984,辅助信息!E:I,3,FALSE)</f>
        <v>（商投建工达州中医药科技园-1工区）达州市通川区达州中医药职业学院犀牛大道北段</v>
      </c>
      <c r="J1984" s="113" t="str">
        <f>VLOOKUP(B1984,辅助信息!E:I,4,FALSE)</f>
        <v>程黄刚</v>
      </c>
      <c r="K1984" s="113">
        <f>VLOOKUP(J1984,辅助信息!H:I,2,FALSE)</f>
        <v>15108211617</v>
      </c>
      <c r="L1984" s="115" t="str">
        <f>VLOOKUP(B1984,辅助信息!E:J,6,FALSE)</f>
        <v>控制炉批号！多了现场不收！,优先安排达钢,提前联系到场规格及数量</v>
      </c>
      <c r="M1984" s="84">
        <v>45835</v>
      </c>
      <c r="O1984" s="55">
        <f ca="1" t="shared" si="131"/>
        <v>0</v>
      </c>
      <c r="P1984" s="55">
        <f ca="1" t="shared" si="132"/>
        <v>122</v>
      </c>
      <c r="Q1984" s="22" t="str">
        <f>VLOOKUP(B1984,辅助信息!E:M,9,FALSE)</f>
        <v>ZTWM-CDGS-XS-2024-0134-商投建工达州中医药科技成果示范园项目</v>
      </c>
      <c r="R1984" s="22" t="str">
        <f>_xlfn._xlws.FILTER(辅助信息!D:D,辅助信息!E:E=B1984)</f>
        <v>商投建工达州中医药科技园</v>
      </c>
    </row>
    <row r="1985" hidden="1" spans="2:18">
      <c r="B1985" s="33" t="s">
        <v>47</v>
      </c>
      <c r="C1985" s="63">
        <v>45834</v>
      </c>
      <c r="D1985" s="113" t="str">
        <f>VLOOKUP(B1985,辅助信息!E:K,7,FALSE)</f>
        <v>JWDDCD2025052800131</v>
      </c>
      <c r="E1985" s="113" t="str">
        <f>VLOOKUP(F1985,辅助信息!A:B,2,FALSE)</f>
        <v>螺纹钢</v>
      </c>
      <c r="F1985" s="33" t="s">
        <v>46</v>
      </c>
      <c r="G1985" s="29">
        <v>18</v>
      </c>
      <c r="H1985" s="114" t="str">
        <f>_xlfn.XLOOKUP(C1985&amp;F1985&amp;I1985&amp;J1985,'[1]2025年已发货'!$F:$F&amp;'[1]2025年已发货'!$C:$C&amp;'[1]2025年已发货'!$G:$G&amp;'[1]2025年已发货'!$H:$H,'[1]2025年已发货'!$E:$E,"未发货")</f>
        <v>未发货</v>
      </c>
      <c r="I1985" s="113" t="str">
        <f>VLOOKUP(B1985,辅助信息!E:I,3,FALSE)</f>
        <v>（商投建工达州中医药科技园-1工区）达州市通川区达州中医药职业学院犀牛大道北段</v>
      </c>
      <c r="J1985" s="113" t="str">
        <f>VLOOKUP(B1985,辅助信息!E:I,4,FALSE)</f>
        <v>程黄刚</v>
      </c>
      <c r="K1985" s="113">
        <f>VLOOKUP(J1985,辅助信息!H:I,2,FALSE)</f>
        <v>15108211617</v>
      </c>
      <c r="L1985" s="115" t="str">
        <f>VLOOKUP(B1985,辅助信息!E:J,6,FALSE)</f>
        <v>控制炉批号！多了现场不收！,优先安排达钢,提前联系到场规格及数量</v>
      </c>
      <c r="M1985" s="84">
        <v>45835</v>
      </c>
      <c r="O1985" s="55">
        <f ca="1" t="shared" si="131"/>
        <v>0</v>
      </c>
      <c r="P1985" s="55">
        <f ca="1" t="shared" si="132"/>
        <v>122</v>
      </c>
      <c r="Q1985" s="22" t="str">
        <f>VLOOKUP(B1985,辅助信息!E:M,9,FALSE)</f>
        <v>ZTWM-CDGS-XS-2024-0134-商投建工达州中医药科技成果示范园项目</v>
      </c>
      <c r="R1985" s="22" t="str">
        <f>_xlfn._xlws.FILTER(辅助信息!D:D,辅助信息!E:E=B1985)</f>
        <v>商投建工达州中医药科技园</v>
      </c>
    </row>
    <row r="1986" hidden="1" spans="2:18">
      <c r="B1986" s="33" t="s">
        <v>47</v>
      </c>
      <c r="C1986" s="63">
        <v>45834</v>
      </c>
      <c r="D1986" s="113" t="str">
        <f>VLOOKUP(B1986,辅助信息!E:K,7,FALSE)</f>
        <v>JWDDCD2025052800131</v>
      </c>
      <c r="E1986" s="113" t="str">
        <f>VLOOKUP(F1986,辅助信息!A:B,2,FALSE)</f>
        <v>螺纹钢</v>
      </c>
      <c r="F1986" s="33" t="s">
        <v>22</v>
      </c>
      <c r="G1986" s="29">
        <v>9</v>
      </c>
      <c r="H1986" s="114" t="str">
        <f>_xlfn.XLOOKUP(C1986&amp;F1986&amp;I1986&amp;J1986,'[1]2025年已发货'!$F:$F&amp;'[1]2025年已发货'!$C:$C&amp;'[1]2025年已发货'!$G:$G&amp;'[1]2025年已发货'!$H:$H,'[1]2025年已发货'!$E:$E,"未发货")</f>
        <v>未发货</v>
      </c>
      <c r="I1986" s="113" t="str">
        <f>VLOOKUP(B1986,辅助信息!E:I,3,FALSE)</f>
        <v>（商投建工达州中医药科技园-1工区）达州市通川区达州中医药职业学院犀牛大道北段</v>
      </c>
      <c r="J1986" s="113" t="str">
        <f>VLOOKUP(B1986,辅助信息!E:I,4,FALSE)</f>
        <v>程黄刚</v>
      </c>
      <c r="K1986" s="113">
        <f>VLOOKUP(J1986,辅助信息!H:I,2,FALSE)</f>
        <v>15108211617</v>
      </c>
      <c r="L1986" s="115" t="str">
        <f>VLOOKUP(B1986,辅助信息!E:J,6,FALSE)</f>
        <v>控制炉批号！多了现场不收！,优先安排达钢,提前联系到场规格及数量</v>
      </c>
      <c r="M1986" s="84">
        <v>45835</v>
      </c>
      <c r="O1986" s="55">
        <f ca="1" t="shared" si="131"/>
        <v>0</v>
      </c>
      <c r="P1986" s="55">
        <f ca="1" t="shared" si="132"/>
        <v>122</v>
      </c>
      <c r="Q1986" s="22" t="str">
        <f>VLOOKUP(B1986,辅助信息!E:M,9,FALSE)</f>
        <v>ZTWM-CDGS-XS-2024-0134-商投建工达州中医药科技成果示范园项目</v>
      </c>
      <c r="R1986" s="22" t="str">
        <f>_xlfn._xlws.FILTER(辅助信息!D:D,辅助信息!E:E=B1986)</f>
        <v>商投建工达州中医药科技园</v>
      </c>
    </row>
    <row r="1987" hidden="1" spans="2:18">
      <c r="B1987" s="113" t="s">
        <v>176</v>
      </c>
      <c r="C1987" s="63">
        <v>45834</v>
      </c>
      <c r="D1987" s="113" t="str">
        <f>VLOOKUP(B1987,辅助信息!E:K,7,FALSE)</f>
        <v>JWDDCD2025062200016</v>
      </c>
      <c r="E1987" s="113" t="str">
        <f>VLOOKUP(F1987,辅助信息!A:B,2,FALSE)</f>
        <v>高线</v>
      </c>
      <c r="F1987" s="113" t="s">
        <v>53</v>
      </c>
      <c r="G1987" s="114">
        <v>2.5</v>
      </c>
      <c r="H1987" s="114" t="str">
        <f>_xlfn.XLOOKUP(C1987&amp;F1987&amp;I1987&amp;J1987,'[1]2025年已发货'!$F:$F&amp;'[1]2025年已发货'!$C:$C&amp;'[1]2025年已发货'!$G:$G&amp;'[1]2025年已发货'!$H:$H,'[1]2025年已发货'!$E:$E,"未发货")</f>
        <v>未发货</v>
      </c>
      <c r="I1987" s="113" t="str">
        <f>VLOOKUP(B1987,辅助信息!E:I,3,FALSE)</f>
        <v>(武汉电气化局成达万高铁强电项目-渠县)四川省达州市渠县渠北镇雷家湾渠县北站旁</v>
      </c>
      <c r="J1987" s="113" t="str">
        <f>VLOOKUP(B1987,辅助信息!E:I,4,FALSE)</f>
        <v>刘频</v>
      </c>
      <c r="K1987" s="113">
        <f>VLOOKUP(J1987,辅助信息!H:I,2,FALSE)</f>
        <v>18779627939</v>
      </c>
      <c r="L1987" s="115" t="str">
        <f>VLOOKUP(B1987,辅助信息!E:J,6,FALSE)</f>
        <v>锈货不收！！下雨天钢筋没盖篷布不收！！，装货前联系收货人核实到场规格,没提前告知进场规格现场不给予接收</v>
      </c>
      <c r="M1987" s="84">
        <v>45831</v>
      </c>
      <c r="O1987" s="55">
        <f ca="1" t="shared" si="131"/>
        <v>0</v>
      </c>
      <c r="P1987" s="55">
        <f ca="1" t="shared" si="132"/>
        <v>126</v>
      </c>
      <c r="Q1987" s="22" t="str">
        <f>VLOOKUP(B1987,辅助信息!E:M,9,FALSE)</f>
        <v>ZTWM-CDGS-XS-2025-0033-中铁武汉电气化局集团有限公司成达万高速铁路强电工程项目</v>
      </c>
      <c r="R1987" s="22" t="str">
        <f>_xlfn._xlws.FILTER(辅助信息!D:D,辅助信息!E:E=B1987)</f>
        <v>武汉电气化局成达万高铁强电项目</v>
      </c>
    </row>
    <row r="1988" hidden="1" spans="2:18">
      <c r="B1988" s="113" t="s">
        <v>176</v>
      </c>
      <c r="C1988" s="63">
        <v>45834</v>
      </c>
      <c r="D1988" s="113" t="str">
        <f>VLOOKUP(B1988,辅助信息!E:K,7,FALSE)</f>
        <v>JWDDCD2025062200016</v>
      </c>
      <c r="E1988" s="113" t="str">
        <f>VLOOKUP(F1988,辅助信息!A:B,2,FALSE)</f>
        <v>螺纹钢</v>
      </c>
      <c r="F1988" s="113" t="s">
        <v>111</v>
      </c>
      <c r="G1988" s="114">
        <v>5</v>
      </c>
      <c r="H1988" s="114" t="str">
        <f>_xlfn.XLOOKUP(C1988&amp;F1988&amp;I1988&amp;J1988,'[1]2025年已发货'!$F:$F&amp;'[1]2025年已发货'!$C:$C&amp;'[1]2025年已发货'!$G:$G&amp;'[1]2025年已发货'!$H:$H,'[1]2025年已发货'!$E:$E,"未发货")</f>
        <v>未发货</v>
      </c>
      <c r="I1988" s="113" t="str">
        <f>VLOOKUP(B1988,辅助信息!E:I,3,FALSE)</f>
        <v>(武汉电气化局成达万高铁强电项目-渠县)四川省达州市渠县渠北镇雷家湾渠县北站旁</v>
      </c>
      <c r="J1988" s="113" t="str">
        <f>VLOOKUP(B1988,辅助信息!E:I,4,FALSE)</f>
        <v>刘频</v>
      </c>
      <c r="K1988" s="113">
        <f>VLOOKUP(J1988,辅助信息!H:I,2,FALSE)</f>
        <v>18779627939</v>
      </c>
      <c r="L1988" s="115" t="str">
        <f>VLOOKUP(B1988,辅助信息!E:J,6,FALSE)</f>
        <v>锈货不收！！下雨天钢筋没盖篷布不收！！，装货前联系收货人核实到场规格,没提前告知进场规格现场不给予接收</v>
      </c>
      <c r="M1988" s="84">
        <v>45831</v>
      </c>
      <c r="O1988" s="55">
        <f ca="1" t="shared" si="131"/>
        <v>0</v>
      </c>
      <c r="P1988" s="55">
        <f ca="1" t="shared" si="132"/>
        <v>126</v>
      </c>
      <c r="Q1988" s="22" t="str">
        <f>VLOOKUP(B1988,辅助信息!E:M,9,FALSE)</f>
        <v>ZTWM-CDGS-XS-2025-0033-中铁武汉电气化局集团有限公司成达万高速铁路强电工程项目</v>
      </c>
      <c r="R1988" s="22" t="str">
        <f>_xlfn._xlws.FILTER(辅助信息!D:D,辅助信息!E:E=B1988)</f>
        <v>武汉电气化局成达万高铁强电项目</v>
      </c>
    </row>
    <row r="1989" hidden="1" spans="2:18">
      <c r="B1989" s="113" t="s">
        <v>176</v>
      </c>
      <c r="C1989" s="63">
        <v>45834</v>
      </c>
      <c r="D1989" s="113" t="str">
        <f>VLOOKUP(B1989,辅助信息!E:K,7,FALSE)</f>
        <v>JWDDCD2025062200016</v>
      </c>
      <c r="E1989" s="113" t="str">
        <f>VLOOKUP(F1989,辅助信息!A:B,2,FALSE)</f>
        <v>螺纹钢</v>
      </c>
      <c r="F1989" s="113" t="s">
        <v>76</v>
      </c>
      <c r="G1989" s="114">
        <f>24-5</f>
        <v>19</v>
      </c>
      <c r="H1989" s="114" t="str">
        <f>_xlfn.XLOOKUP(C1989&amp;F1989&amp;I1989&amp;J1989,'[1]2025年已发货'!$F:$F&amp;'[1]2025年已发货'!$C:$C&amp;'[1]2025年已发货'!$G:$G&amp;'[1]2025年已发货'!$H:$H,'[1]2025年已发货'!$E:$E,"未发货")</f>
        <v>未发货</v>
      </c>
      <c r="I1989" s="113" t="str">
        <f>VLOOKUP(B1989,辅助信息!E:I,3,FALSE)</f>
        <v>(武汉电气化局成达万高铁强电项目-渠县)四川省达州市渠县渠北镇雷家湾渠县北站旁</v>
      </c>
      <c r="J1989" s="113" t="str">
        <f>VLOOKUP(B1989,辅助信息!E:I,4,FALSE)</f>
        <v>刘频</v>
      </c>
      <c r="K1989" s="113">
        <f>VLOOKUP(J1989,辅助信息!H:I,2,FALSE)</f>
        <v>18779627939</v>
      </c>
      <c r="L1989" s="115" t="str">
        <f>VLOOKUP(B1989,辅助信息!E:J,6,FALSE)</f>
        <v>锈货不收！！下雨天钢筋没盖篷布不收！！，装货前联系收货人核实到场规格,没提前告知进场规格现场不给予接收</v>
      </c>
      <c r="M1989" s="84">
        <v>45831</v>
      </c>
      <c r="O1989" s="55">
        <f ca="1" t="shared" si="131"/>
        <v>0</v>
      </c>
      <c r="P1989" s="55">
        <f ca="1" t="shared" si="132"/>
        <v>126</v>
      </c>
      <c r="Q1989" s="22" t="str">
        <f>VLOOKUP(B1989,辅助信息!E:M,9,FALSE)</f>
        <v>ZTWM-CDGS-XS-2025-0033-中铁武汉电气化局集团有限公司成达万高速铁路强电工程项目</v>
      </c>
      <c r="R1989" s="22" t="str">
        <f>_xlfn._xlws.FILTER(辅助信息!D:D,辅助信息!E:E=B1989)</f>
        <v>武汉电气化局成达万高铁强电项目</v>
      </c>
    </row>
    <row r="1990" hidden="1" spans="2:18">
      <c r="B1990" s="33" t="s">
        <v>167</v>
      </c>
      <c r="C1990" s="63">
        <v>45834</v>
      </c>
      <c r="D1990" s="113" t="str">
        <f>VLOOKUP(B1990,辅助信息!E:K,7,FALSE)</f>
        <v>JWDDCD2025102100473</v>
      </c>
      <c r="E1990" s="113" t="str">
        <f>VLOOKUP(F1990,辅助信息!A:B,2,FALSE)</f>
        <v>高线</v>
      </c>
      <c r="F1990" s="33" t="s">
        <v>53</v>
      </c>
      <c r="G1990" s="29">
        <v>2.5</v>
      </c>
      <c r="H1990" s="114">
        <f>_xlfn.XLOOKUP(C1990&amp;F1990&amp;I1990&amp;J1990,'[1]2025年已发货'!$F:$F&amp;'[1]2025年已发货'!$C:$C&amp;'[1]2025年已发货'!$G:$G&amp;'[1]2025年已发货'!$H:$H,'[1]2025年已发货'!$E:$E,"未发货")</f>
        <v>2.5</v>
      </c>
      <c r="I1990" s="113" t="str">
        <f>VLOOKUP(B1990,辅助信息!E:I,3,FALSE)</f>
        <v>(五冶建设扩建艺体中学二期工程)四川省成都市双流区光荣路成都艺体中学南200米</v>
      </c>
      <c r="J1990" s="113" t="str">
        <f>VLOOKUP(B1990,辅助信息!E:I,4,FALSE)</f>
        <v>谢序强</v>
      </c>
      <c r="K1990" s="113">
        <f>VLOOKUP(J1990,辅助信息!H:I,2,FALSE)</f>
        <v>13458588232</v>
      </c>
      <c r="L1990" s="115"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84">
        <v>45831</v>
      </c>
      <c r="O1990" s="55">
        <f ca="1" t="shared" ref="O1990:O2032" si="133">IF(OR(M1990="",N1990&lt;&gt;""),"",MAX(M1990-TODAY(),0))</f>
        <v>0</v>
      </c>
      <c r="P1990" s="55">
        <f ca="1" t="shared" ref="P1990:P2032" si="134">IF(M1990="","",IF(N1990&lt;&gt;"",MAX(N1990-M1990,0),IF(TODAY()&gt;M1990,TODAY()-M1990,0)))</f>
        <v>126</v>
      </c>
      <c r="Q1990" s="22" t="str">
        <f>VLOOKUP(B1990,辅助信息!E:M,9,FALSE)</f>
        <v>ZTWM-CDGS-XS-2025-0073-五冶天府-成都怡心湖片区及龙泉驿医院等项目</v>
      </c>
      <c r="R1990" s="22" t="str">
        <f>_xlfn._xlws.FILTER(辅助信息!D:D,辅助信息!E:E=B1990)</f>
        <v>五冶建设扩建艺体中学二期工程</v>
      </c>
    </row>
    <row r="1991" hidden="1" spans="2:18">
      <c r="B1991" s="33" t="s">
        <v>167</v>
      </c>
      <c r="C1991" s="63">
        <v>45834</v>
      </c>
      <c r="D1991" s="113" t="str">
        <f>VLOOKUP(B1991,辅助信息!E:K,7,FALSE)</f>
        <v>JWDDCD2025102100473</v>
      </c>
      <c r="E1991" s="113" t="str">
        <f>VLOOKUP(F1991,辅助信息!A:B,2,FALSE)</f>
        <v>高线</v>
      </c>
      <c r="F1991" s="33" t="s">
        <v>51</v>
      </c>
      <c r="G1991" s="29">
        <v>2.5</v>
      </c>
      <c r="H1991" s="114">
        <f>_xlfn.XLOOKUP(C1991&amp;F1991&amp;I1991&amp;J1991,'[1]2025年已发货'!$F:$F&amp;'[1]2025年已发货'!$C:$C&amp;'[1]2025年已发货'!$G:$G&amp;'[1]2025年已发货'!$H:$H,'[1]2025年已发货'!$E:$E,"未发货")</f>
        <v>2.5</v>
      </c>
      <c r="I1991" s="113" t="str">
        <f>VLOOKUP(B1991,辅助信息!E:I,3,FALSE)</f>
        <v>(五冶建设扩建艺体中学二期工程)四川省成都市双流区光荣路成都艺体中学南200米</v>
      </c>
      <c r="J1991" s="113" t="str">
        <f>VLOOKUP(B1991,辅助信息!E:I,4,FALSE)</f>
        <v>谢序强</v>
      </c>
      <c r="K1991" s="113">
        <f>VLOOKUP(J1991,辅助信息!H:I,2,FALSE)</f>
        <v>13458588232</v>
      </c>
      <c r="L1991" s="115"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84">
        <v>45831</v>
      </c>
      <c r="O1991" s="55">
        <f ca="1" t="shared" si="133"/>
        <v>0</v>
      </c>
      <c r="P1991" s="55">
        <f ca="1" t="shared" si="134"/>
        <v>126</v>
      </c>
      <c r="Q1991" s="22" t="str">
        <f>VLOOKUP(B1991,辅助信息!E:M,9,FALSE)</f>
        <v>ZTWM-CDGS-XS-2025-0073-五冶天府-成都怡心湖片区及龙泉驿医院等项目</v>
      </c>
      <c r="R1991" s="22" t="str">
        <f>_xlfn._xlws.FILTER(辅助信息!D:D,辅助信息!E:E=B1991)</f>
        <v>五冶建设扩建艺体中学二期工程</v>
      </c>
    </row>
    <row r="1992" hidden="1" spans="2:18">
      <c r="B1992" s="33" t="s">
        <v>167</v>
      </c>
      <c r="C1992" s="63">
        <v>45834</v>
      </c>
      <c r="D1992" s="113" t="str">
        <f>VLOOKUP(B1992,辅助信息!E:K,7,FALSE)</f>
        <v>JWDDCD2025102100473</v>
      </c>
      <c r="E1992" s="113" t="str">
        <f>VLOOKUP(F1992,辅助信息!A:B,2,FALSE)</f>
        <v>盘螺</v>
      </c>
      <c r="F1992" s="33" t="s">
        <v>49</v>
      </c>
      <c r="G1992" s="29">
        <v>2.5</v>
      </c>
      <c r="H1992" s="114">
        <f>_xlfn.XLOOKUP(C1992&amp;F1992&amp;I1992&amp;J1992,'[1]2025年已发货'!$F:$F&amp;'[1]2025年已发货'!$C:$C&amp;'[1]2025年已发货'!$G:$G&amp;'[1]2025年已发货'!$H:$H,'[1]2025年已发货'!$E:$E,"未发货")</f>
        <v>2.5</v>
      </c>
      <c r="I1992" s="113" t="str">
        <f>VLOOKUP(B1992,辅助信息!E:I,3,FALSE)</f>
        <v>(五冶建设扩建艺体中学二期工程)四川省成都市双流区光荣路成都艺体中学南200米</v>
      </c>
      <c r="J1992" s="113" t="str">
        <f>VLOOKUP(B1992,辅助信息!E:I,4,FALSE)</f>
        <v>谢序强</v>
      </c>
      <c r="K1992" s="113">
        <f>VLOOKUP(J1992,辅助信息!H:I,2,FALSE)</f>
        <v>13458588232</v>
      </c>
      <c r="L1992" s="115"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84">
        <v>45831</v>
      </c>
      <c r="O1992" s="55">
        <f ca="1" t="shared" si="133"/>
        <v>0</v>
      </c>
      <c r="P1992" s="55">
        <f ca="1" t="shared" si="134"/>
        <v>126</v>
      </c>
      <c r="Q1992" s="22" t="str">
        <f>VLOOKUP(B1992,辅助信息!E:M,9,FALSE)</f>
        <v>ZTWM-CDGS-XS-2025-0073-五冶天府-成都怡心湖片区及龙泉驿医院等项目</v>
      </c>
      <c r="R1992" s="22" t="str">
        <f>_xlfn._xlws.FILTER(辅助信息!D:D,辅助信息!E:E=B1992)</f>
        <v>五冶建设扩建艺体中学二期工程</v>
      </c>
    </row>
    <row r="1993" hidden="1" spans="2:18">
      <c r="B1993" s="33" t="s">
        <v>167</v>
      </c>
      <c r="C1993" s="63">
        <v>45834</v>
      </c>
      <c r="D1993" s="113" t="str">
        <f>VLOOKUP(B1993,辅助信息!E:K,7,FALSE)</f>
        <v>JWDDCD2025102100473</v>
      </c>
      <c r="E1993" s="113" t="str">
        <f>VLOOKUP(F1993,辅助信息!A:B,2,FALSE)</f>
        <v>盘螺</v>
      </c>
      <c r="F1993" s="33" t="s">
        <v>40</v>
      </c>
      <c r="G1993" s="29">
        <v>5</v>
      </c>
      <c r="H1993" s="114" t="str">
        <f>_xlfn.XLOOKUP(C1993&amp;F1993&amp;I1993&amp;J1993,'[1]2025年已发货'!$F:$F&amp;'[1]2025年已发货'!$C:$C&amp;'[1]2025年已发货'!$G:$G&amp;'[1]2025年已发货'!$H:$H,'[1]2025年已发货'!$E:$E,"未发货")</f>
        <v>未发货</v>
      </c>
      <c r="I1993" s="113" t="str">
        <f>VLOOKUP(B1993,辅助信息!E:I,3,FALSE)</f>
        <v>(五冶建设扩建艺体中学二期工程)四川省成都市双流区光荣路成都艺体中学南200米</v>
      </c>
      <c r="J1993" s="113" t="str">
        <f>VLOOKUP(B1993,辅助信息!E:I,4,FALSE)</f>
        <v>谢序强</v>
      </c>
      <c r="K1993" s="113">
        <f>VLOOKUP(J1993,辅助信息!H:I,2,FALSE)</f>
        <v>13458588232</v>
      </c>
      <c r="L1993" s="115"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84">
        <v>45831</v>
      </c>
      <c r="O1993" s="55">
        <f ca="1" t="shared" si="133"/>
        <v>0</v>
      </c>
      <c r="P1993" s="55">
        <f ca="1" t="shared" si="134"/>
        <v>126</v>
      </c>
      <c r="Q1993" s="22" t="str">
        <f>VLOOKUP(B1993,辅助信息!E:M,9,FALSE)</f>
        <v>ZTWM-CDGS-XS-2025-0073-五冶天府-成都怡心湖片区及龙泉驿医院等项目</v>
      </c>
      <c r="R1993" s="22" t="str">
        <f>_xlfn._xlws.FILTER(辅助信息!D:D,辅助信息!E:E=B1993)</f>
        <v>五冶建设扩建艺体中学二期工程</v>
      </c>
    </row>
    <row r="1994" hidden="1" spans="2:18">
      <c r="B1994" s="33" t="s">
        <v>167</v>
      </c>
      <c r="C1994" s="63">
        <v>45834</v>
      </c>
      <c r="D1994" s="113" t="str">
        <f>VLOOKUP(B1994,辅助信息!E:K,7,FALSE)</f>
        <v>JWDDCD2025102100473</v>
      </c>
      <c r="E1994" s="113" t="str">
        <f>VLOOKUP(F1994,辅助信息!A:B,2,FALSE)</f>
        <v>盘螺</v>
      </c>
      <c r="F1994" s="33" t="s">
        <v>41</v>
      </c>
      <c r="G1994" s="29">
        <v>10</v>
      </c>
      <c r="H1994" s="114" t="str">
        <f>_xlfn.XLOOKUP(C1994&amp;F1994&amp;I1994&amp;J1994,'[1]2025年已发货'!$F:$F&amp;'[1]2025年已发货'!$C:$C&amp;'[1]2025年已发货'!$G:$G&amp;'[1]2025年已发货'!$H:$H,'[1]2025年已发货'!$E:$E,"未发货")</f>
        <v>未发货</v>
      </c>
      <c r="I1994" s="113" t="str">
        <f>VLOOKUP(B1994,辅助信息!E:I,3,FALSE)</f>
        <v>(五冶建设扩建艺体中学二期工程)四川省成都市双流区光荣路成都艺体中学南200米</v>
      </c>
      <c r="J1994" s="113" t="str">
        <f>VLOOKUP(B1994,辅助信息!E:I,4,FALSE)</f>
        <v>谢序强</v>
      </c>
      <c r="K1994" s="113">
        <f>VLOOKUP(J1994,辅助信息!H:I,2,FALSE)</f>
        <v>13458588232</v>
      </c>
      <c r="L1994" s="115"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84">
        <v>45831</v>
      </c>
      <c r="O1994" s="55">
        <f ca="1" t="shared" si="133"/>
        <v>0</v>
      </c>
      <c r="P1994" s="55">
        <f ca="1" t="shared" si="134"/>
        <v>126</v>
      </c>
      <c r="Q1994" s="22" t="str">
        <f>VLOOKUP(B1994,辅助信息!E:M,9,FALSE)</f>
        <v>ZTWM-CDGS-XS-2025-0073-五冶天府-成都怡心湖片区及龙泉驿医院等项目</v>
      </c>
      <c r="R1994" s="22" t="str">
        <f>_xlfn._xlws.FILTER(辅助信息!D:D,辅助信息!E:E=B1994)</f>
        <v>五冶建设扩建艺体中学二期工程</v>
      </c>
    </row>
    <row r="1995" hidden="1" spans="2:18">
      <c r="B1995" s="33" t="s">
        <v>167</v>
      </c>
      <c r="C1995" s="63">
        <v>45834</v>
      </c>
      <c r="D1995" s="113" t="str">
        <f>VLOOKUP(B1995,辅助信息!E:K,7,FALSE)</f>
        <v>JWDDCD2025102100473</v>
      </c>
      <c r="E1995" s="113" t="str">
        <f>VLOOKUP(F1995,辅助信息!A:B,2,FALSE)</f>
        <v>螺纹钢</v>
      </c>
      <c r="F1995" s="33" t="s">
        <v>27</v>
      </c>
      <c r="G1995" s="29">
        <v>30</v>
      </c>
      <c r="H1995" s="114">
        <v>28</v>
      </c>
      <c r="I1995" s="113" t="str">
        <f>VLOOKUP(B1995,辅助信息!E:I,3,FALSE)</f>
        <v>(五冶建设扩建艺体中学二期工程)四川省成都市双流区光荣路成都艺体中学南200米</v>
      </c>
      <c r="J1995" s="113" t="str">
        <f>VLOOKUP(B1995,辅助信息!E:I,4,FALSE)</f>
        <v>谢序强</v>
      </c>
      <c r="K1995" s="113">
        <f>VLOOKUP(J1995,辅助信息!H:I,2,FALSE)</f>
        <v>13458588232</v>
      </c>
      <c r="L1995" s="115"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84">
        <v>45831</v>
      </c>
      <c r="O1995" s="55">
        <f ca="1" t="shared" si="133"/>
        <v>0</v>
      </c>
      <c r="P1995" s="55">
        <f ca="1" t="shared" si="134"/>
        <v>126</v>
      </c>
      <c r="Q1995" s="22" t="str">
        <f>VLOOKUP(B1995,辅助信息!E:M,9,FALSE)</f>
        <v>ZTWM-CDGS-XS-2025-0073-五冶天府-成都怡心湖片区及龙泉驿医院等项目</v>
      </c>
      <c r="R1995" s="22" t="str">
        <f>_xlfn._xlws.FILTER(辅助信息!D:D,辅助信息!E:E=B1995)</f>
        <v>五冶建设扩建艺体中学二期工程</v>
      </c>
    </row>
    <row r="1996" hidden="1" spans="2:18">
      <c r="B1996" s="33" t="s">
        <v>167</v>
      </c>
      <c r="C1996" s="63">
        <v>45834</v>
      </c>
      <c r="D1996" s="113" t="str">
        <f>VLOOKUP(B1996,辅助信息!E:K,7,FALSE)</f>
        <v>JWDDCD2025102100473</v>
      </c>
      <c r="E1996" s="113" t="str">
        <f>VLOOKUP(F1996,辅助信息!A:B,2,FALSE)</f>
        <v>螺纹钢</v>
      </c>
      <c r="F1996" s="33" t="s">
        <v>19</v>
      </c>
      <c r="G1996" s="29">
        <v>33</v>
      </c>
      <c r="H1996" s="114" t="str">
        <f>_xlfn.XLOOKUP(C1996&amp;F1996&amp;I1996&amp;J1996,'[1]2025年已发货'!$F:$F&amp;'[1]2025年已发货'!$C:$C&amp;'[1]2025年已发货'!$G:$G&amp;'[1]2025年已发货'!$H:$H,'[1]2025年已发货'!$E:$E,"未发货")</f>
        <v>未发货</v>
      </c>
      <c r="I1996" s="113" t="str">
        <f>VLOOKUP(B1996,辅助信息!E:I,3,FALSE)</f>
        <v>(五冶建设扩建艺体中学二期工程)四川省成都市双流区光荣路成都艺体中学南200米</v>
      </c>
      <c r="J1996" s="113" t="str">
        <f>VLOOKUP(B1996,辅助信息!E:I,4,FALSE)</f>
        <v>谢序强</v>
      </c>
      <c r="K1996" s="113">
        <f>VLOOKUP(J1996,辅助信息!H:I,2,FALSE)</f>
        <v>13458588232</v>
      </c>
      <c r="L1996" s="115"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84">
        <v>45831</v>
      </c>
      <c r="O1996" s="55">
        <f ca="1" t="shared" si="133"/>
        <v>0</v>
      </c>
      <c r="P1996" s="55">
        <f ca="1" t="shared" si="134"/>
        <v>126</v>
      </c>
      <c r="Q1996" s="22" t="str">
        <f>VLOOKUP(B1996,辅助信息!E:M,9,FALSE)</f>
        <v>ZTWM-CDGS-XS-2025-0073-五冶天府-成都怡心湖片区及龙泉驿医院等项目</v>
      </c>
      <c r="R1996" s="22" t="str">
        <f>_xlfn._xlws.FILTER(辅助信息!D:D,辅助信息!E:E=B1996)</f>
        <v>五冶建设扩建艺体中学二期工程</v>
      </c>
    </row>
    <row r="1997" hidden="1" spans="2:18">
      <c r="B1997" s="33" t="s">
        <v>167</v>
      </c>
      <c r="C1997" s="63">
        <v>45834</v>
      </c>
      <c r="D1997" s="113" t="str">
        <f>VLOOKUP(B1997,辅助信息!E:K,7,FALSE)</f>
        <v>JWDDCD2025102100473</v>
      </c>
      <c r="E1997" s="113" t="str">
        <f>VLOOKUP(F1997,辅助信息!A:B,2,FALSE)</f>
        <v>螺纹钢</v>
      </c>
      <c r="F1997" s="33" t="s">
        <v>32</v>
      </c>
      <c r="G1997" s="29">
        <v>24</v>
      </c>
      <c r="H1997" s="114" t="str">
        <f>_xlfn.XLOOKUP(C1997&amp;F1997&amp;I1997&amp;J1997,'[1]2025年已发货'!$F:$F&amp;'[1]2025年已发货'!$C:$C&amp;'[1]2025年已发货'!$G:$G&amp;'[1]2025年已发货'!$H:$H,'[1]2025年已发货'!$E:$E,"未发货")</f>
        <v>未发货</v>
      </c>
      <c r="I1997" s="113" t="str">
        <f>VLOOKUP(B1997,辅助信息!E:I,3,FALSE)</f>
        <v>(五冶建设扩建艺体中学二期工程)四川省成都市双流区光荣路成都艺体中学南200米</v>
      </c>
      <c r="J1997" s="113" t="str">
        <f>VLOOKUP(B1997,辅助信息!E:I,4,FALSE)</f>
        <v>谢序强</v>
      </c>
      <c r="K1997" s="113">
        <f>VLOOKUP(J1997,辅助信息!H:I,2,FALSE)</f>
        <v>13458588232</v>
      </c>
      <c r="L1997" s="115"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84">
        <v>45831</v>
      </c>
      <c r="O1997" s="55">
        <f ca="1" t="shared" si="133"/>
        <v>0</v>
      </c>
      <c r="P1997" s="55">
        <f ca="1" t="shared" si="134"/>
        <v>126</v>
      </c>
      <c r="Q1997" s="22" t="str">
        <f>VLOOKUP(B1997,辅助信息!E:M,9,FALSE)</f>
        <v>ZTWM-CDGS-XS-2025-0073-五冶天府-成都怡心湖片区及龙泉驿医院等项目</v>
      </c>
      <c r="R1997" s="22" t="str">
        <f>_xlfn._xlws.FILTER(辅助信息!D:D,辅助信息!E:E=B1997)</f>
        <v>五冶建设扩建艺体中学二期工程</v>
      </c>
    </row>
    <row r="1998" hidden="1" spans="2:18">
      <c r="B1998" s="33" t="s">
        <v>167</v>
      </c>
      <c r="C1998" s="63">
        <v>45834</v>
      </c>
      <c r="D1998" s="113" t="str">
        <f>VLOOKUP(B1998,辅助信息!E:K,7,FALSE)</f>
        <v>JWDDCD2025102100473</v>
      </c>
      <c r="E1998" s="113" t="str">
        <f>VLOOKUP(F1998,辅助信息!A:B,2,FALSE)</f>
        <v>螺纹钢</v>
      </c>
      <c r="F1998" s="33" t="s">
        <v>30</v>
      </c>
      <c r="G1998" s="29">
        <v>21</v>
      </c>
      <c r="H1998" s="114">
        <f>_xlfn.XLOOKUP(C1998&amp;F1998&amp;I1998&amp;J1998,'[1]2025年已发货'!$F:$F&amp;'[1]2025年已发货'!$C:$C&amp;'[1]2025年已发货'!$G:$G&amp;'[1]2025年已发货'!$H:$H,'[1]2025年已发货'!$E:$E,"未发货")</f>
        <v>15</v>
      </c>
      <c r="I1998" s="113" t="str">
        <f>VLOOKUP(B1998,辅助信息!E:I,3,FALSE)</f>
        <v>(五冶建设扩建艺体中学二期工程)四川省成都市双流区光荣路成都艺体中学南200米</v>
      </c>
      <c r="J1998" s="113" t="str">
        <f>VLOOKUP(B1998,辅助信息!E:I,4,FALSE)</f>
        <v>谢序强</v>
      </c>
      <c r="K1998" s="113">
        <f>VLOOKUP(J1998,辅助信息!H:I,2,FALSE)</f>
        <v>13458588232</v>
      </c>
      <c r="L1998" s="115"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84">
        <v>45831</v>
      </c>
      <c r="O1998" s="55">
        <f ca="1" t="shared" si="133"/>
        <v>0</v>
      </c>
      <c r="P1998" s="55">
        <f ca="1" t="shared" si="134"/>
        <v>126</v>
      </c>
      <c r="Q1998" s="22" t="str">
        <f>VLOOKUP(B1998,辅助信息!E:M,9,FALSE)</f>
        <v>ZTWM-CDGS-XS-2025-0073-五冶天府-成都怡心湖片区及龙泉驿医院等项目</v>
      </c>
      <c r="R1998" s="22" t="str">
        <f>_xlfn._xlws.FILTER(辅助信息!D:D,辅助信息!E:E=B1998)</f>
        <v>五冶建设扩建艺体中学二期工程</v>
      </c>
    </row>
    <row r="1999" hidden="1" spans="2:18">
      <c r="B1999" s="33" t="s">
        <v>167</v>
      </c>
      <c r="C1999" s="63">
        <v>45834</v>
      </c>
      <c r="D1999" s="113" t="str">
        <f>VLOOKUP(B1999,辅助信息!E:K,7,FALSE)</f>
        <v>JWDDCD2025102100473</v>
      </c>
      <c r="E1999" s="113" t="str">
        <f>VLOOKUP(F1999,辅助信息!A:B,2,FALSE)</f>
        <v>螺纹钢</v>
      </c>
      <c r="F1999" s="33" t="s">
        <v>33</v>
      </c>
      <c r="G1999" s="29">
        <v>15</v>
      </c>
      <c r="H1999" s="114" t="str">
        <f>_xlfn.XLOOKUP(C1999&amp;F1999&amp;I1999&amp;J1999,'[1]2025年已发货'!$F:$F&amp;'[1]2025年已发货'!$C:$C&amp;'[1]2025年已发货'!$G:$G&amp;'[1]2025年已发货'!$H:$H,'[1]2025年已发货'!$E:$E,"未发货")</f>
        <v>未发货</v>
      </c>
      <c r="I1999" s="113" t="str">
        <f>VLOOKUP(B1999,辅助信息!E:I,3,FALSE)</f>
        <v>(五冶建设扩建艺体中学二期工程)四川省成都市双流区光荣路成都艺体中学南200米</v>
      </c>
      <c r="J1999" s="113" t="str">
        <f>VLOOKUP(B1999,辅助信息!E:I,4,FALSE)</f>
        <v>谢序强</v>
      </c>
      <c r="K1999" s="113">
        <f>VLOOKUP(J1999,辅助信息!H:I,2,FALSE)</f>
        <v>13458588232</v>
      </c>
      <c r="L1999" s="115"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84">
        <v>45831</v>
      </c>
      <c r="O1999" s="55">
        <f ca="1" t="shared" si="133"/>
        <v>0</v>
      </c>
      <c r="P1999" s="55">
        <f ca="1" t="shared" si="134"/>
        <v>126</v>
      </c>
      <c r="Q1999" s="22" t="str">
        <f>VLOOKUP(B1999,辅助信息!E:M,9,FALSE)</f>
        <v>ZTWM-CDGS-XS-2025-0073-五冶天府-成都怡心湖片区及龙泉驿医院等项目</v>
      </c>
      <c r="R1999" s="22" t="str">
        <f>_xlfn._xlws.FILTER(辅助信息!D:D,辅助信息!E:E=B1999)</f>
        <v>五冶建设扩建艺体中学二期工程</v>
      </c>
    </row>
    <row r="2000" hidden="1" spans="2:18">
      <c r="B2000" s="33" t="s">
        <v>167</v>
      </c>
      <c r="C2000" s="63">
        <v>45834</v>
      </c>
      <c r="D2000" s="113" t="str">
        <f>VLOOKUP(B2000,辅助信息!E:K,7,FALSE)</f>
        <v>JWDDCD2025102100473</v>
      </c>
      <c r="E2000" s="113" t="str">
        <f>VLOOKUP(F2000,辅助信息!A:B,2,FALSE)</f>
        <v>螺纹钢</v>
      </c>
      <c r="F2000" s="33" t="s">
        <v>28</v>
      </c>
      <c r="G2000" s="29">
        <v>15</v>
      </c>
      <c r="H2000" s="114" t="str">
        <f>_xlfn.XLOOKUP(C2000&amp;F2000&amp;I2000&amp;J2000,'[1]2025年已发货'!$F:$F&amp;'[1]2025年已发货'!$C:$C&amp;'[1]2025年已发货'!$G:$G&amp;'[1]2025年已发货'!$H:$H,'[1]2025年已发货'!$E:$E,"未发货")</f>
        <v>未发货</v>
      </c>
      <c r="I2000" s="113" t="str">
        <f>VLOOKUP(B2000,辅助信息!E:I,3,FALSE)</f>
        <v>(五冶建设扩建艺体中学二期工程)四川省成都市双流区光荣路成都艺体中学南200米</v>
      </c>
      <c r="J2000" s="113" t="str">
        <f>VLOOKUP(B2000,辅助信息!E:I,4,FALSE)</f>
        <v>谢序强</v>
      </c>
      <c r="K2000" s="113">
        <f>VLOOKUP(J2000,辅助信息!H:I,2,FALSE)</f>
        <v>13458588232</v>
      </c>
      <c r="L2000" s="115"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84">
        <v>45831</v>
      </c>
      <c r="O2000" s="55">
        <f ca="1" t="shared" si="133"/>
        <v>0</v>
      </c>
      <c r="P2000" s="55">
        <f ca="1" t="shared" si="134"/>
        <v>126</v>
      </c>
      <c r="Q2000" s="22" t="str">
        <f>VLOOKUP(B2000,辅助信息!E:M,9,FALSE)</f>
        <v>ZTWM-CDGS-XS-2025-0073-五冶天府-成都怡心湖片区及龙泉驿医院等项目</v>
      </c>
      <c r="R2000" s="22" t="str">
        <f>_xlfn._xlws.FILTER(辅助信息!D:D,辅助信息!E:E=B2000)</f>
        <v>五冶建设扩建艺体中学二期工程</v>
      </c>
    </row>
    <row r="2001" hidden="1" spans="2:18">
      <c r="B2001" s="33" t="s">
        <v>167</v>
      </c>
      <c r="C2001" s="63">
        <v>45834</v>
      </c>
      <c r="D2001" s="113" t="str">
        <f>VLOOKUP(B2001,辅助信息!E:K,7,FALSE)</f>
        <v>JWDDCD2025102100473</v>
      </c>
      <c r="E2001" s="113" t="str">
        <f>VLOOKUP(F2001,辅助信息!A:B,2,FALSE)</f>
        <v>螺纹钢</v>
      </c>
      <c r="F2001" s="33" t="s">
        <v>18</v>
      </c>
      <c r="G2001" s="29">
        <v>9</v>
      </c>
      <c r="H2001" s="114">
        <f>_xlfn.XLOOKUP(C2001&amp;F2001&amp;I2001&amp;J2001,'[1]2025年已发货'!$F:$F&amp;'[1]2025年已发货'!$C:$C&amp;'[1]2025年已发货'!$G:$G&amp;'[1]2025年已发货'!$H:$H,'[1]2025年已发货'!$E:$E,"未发货")</f>
        <v>9</v>
      </c>
      <c r="I2001" s="113" t="str">
        <f>VLOOKUP(B2001,辅助信息!E:I,3,FALSE)</f>
        <v>(五冶建设扩建艺体中学二期工程)四川省成都市双流区光荣路成都艺体中学南200米</v>
      </c>
      <c r="J2001" s="113" t="str">
        <f>VLOOKUP(B2001,辅助信息!E:I,4,FALSE)</f>
        <v>谢序强</v>
      </c>
      <c r="K2001" s="113">
        <f>VLOOKUP(J2001,辅助信息!H:I,2,FALSE)</f>
        <v>13458588232</v>
      </c>
      <c r="L2001" s="115"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84">
        <v>45831</v>
      </c>
      <c r="O2001" s="55">
        <f ca="1" t="shared" si="133"/>
        <v>0</v>
      </c>
      <c r="P2001" s="55">
        <f ca="1" t="shared" si="134"/>
        <v>126</v>
      </c>
      <c r="Q2001" s="22" t="str">
        <f>VLOOKUP(B2001,辅助信息!E:M,9,FALSE)</f>
        <v>ZTWM-CDGS-XS-2025-0073-五冶天府-成都怡心湖片区及龙泉驿医院等项目</v>
      </c>
      <c r="R2001" s="22" t="str">
        <f>_xlfn._xlws.FILTER(辅助信息!D:D,辅助信息!E:E=B2001)</f>
        <v>五冶建设扩建艺体中学二期工程</v>
      </c>
    </row>
    <row r="2002" hidden="1" spans="2:18">
      <c r="B2002" s="33" t="s">
        <v>167</v>
      </c>
      <c r="C2002" s="63">
        <v>45834</v>
      </c>
      <c r="D2002" s="113" t="str">
        <f>VLOOKUP(B2002,辅助信息!E:K,7,FALSE)</f>
        <v>JWDDCD2025102100473</v>
      </c>
      <c r="E2002" s="113" t="str">
        <f>VLOOKUP(F2002,辅助信息!A:B,2,FALSE)</f>
        <v>螺纹钢</v>
      </c>
      <c r="F2002" s="33" t="s">
        <v>82</v>
      </c>
      <c r="G2002" s="29">
        <v>6</v>
      </c>
      <c r="H2002" s="114">
        <f>_xlfn.XLOOKUP(C2002&amp;F2002&amp;I2002&amp;J2002,'[1]2025年已发货'!$F:$F&amp;'[1]2025年已发货'!$C:$C&amp;'[1]2025年已发货'!$G:$G&amp;'[1]2025年已发货'!$H:$H,'[1]2025年已发货'!$E:$E,"未发货")</f>
        <v>6</v>
      </c>
      <c r="I2002" s="113" t="str">
        <f>VLOOKUP(B2002,辅助信息!E:I,3,FALSE)</f>
        <v>(五冶建设扩建艺体中学二期工程)四川省成都市双流区光荣路成都艺体中学南200米</v>
      </c>
      <c r="J2002" s="113" t="str">
        <f>VLOOKUP(B2002,辅助信息!E:I,4,FALSE)</f>
        <v>谢序强</v>
      </c>
      <c r="K2002" s="113">
        <f>VLOOKUP(J2002,辅助信息!H:I,2,FALSE)</f>
        <v>13458588232</v>
      </c>
      <c r="L2002" s="115"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84">
        <v>45831</v>
      </c>
      <c r="O2002" s="55">
        <f ca="1" t="shared" si="133"/>
        <v>0</v>
      </c>
      <c r="P2002" s="55">
        <f ca="1" t="shared" si="134"/>
        <v>126</v>
      </c>
      <c r="Q2002" s="22" t="str">
        <f>VLOOKUP(B2002,辅助信息!E:M,9,FALSE)</f>
        <v>ZTWM-CDGS-XS-2025-0073-五冶天府-成都怡心湖片区及龙泉驿医院等项目</v>
      </c>
      <c r="R2002" s="22" t="str">
        <f>_xlfn._xlws.FILTER(辅助信息!D:D,辅助信息!E:E=B2002)</f>
        <v>五冶建设扩建艺体中学二期工程</v>
      </c>
    </row>
    <row r="2003" hidden="1" spans="2:18">
      <c r="B2003" s="33" t="s">
        <v>167</v>
      </c>
      <c r="C2003" s="63">
        <v>45834</v>
      </c>
      <c r="D2003" s="113" t="str">
        <f>VLOOKUP(B2003,辅助信息!E:K,7,FALSE)</f>
        <v>JWDDCD2025102100473</v>
      </c>
      <c r="E2003" s="113" t="str">
        <f>VLOOKUP(F2003,辅助信息!A:B,2,FALSE)</f>
        <v>螺纹钢</v>
      </c>
      <c r="F2003" s="33" t="s">
        <v>45</v>
      </c>
      <c r="G2003" s="29">
        <v>6</v>
      </c>
      <c r="H2003" s="114">
        <f>_xlfn.XLOOKUP(C2003&amp;F2003&amp;I2003&amp;J2003,'[1]2025年已发货'!$F:$F&amp;'[1]2025年已发货'!$C:$C&amp;'[1]2025年已发货'!$G:$G&amp;'[1]2025年已发货'!$H:$H,'[1]2025年已发货'!$E:$E,"未发货")</f>
        <v>6</v>
      </c>
      <c r="I2003" s="113" t="str">
        <f>VLOOKUP(B2003,辅助信息!E:I,3,FALSE)</f>
        <v>(五冶建设扩建艺体中学二期工程)四川省成都市双流区光荣路成都艺体中学南200米</v>
      </c>
      <c r="J2003" s="113" t="str">
        <f>VLOOKUP(B2003,辅助信息!E:I,4,FALSE)</f>
        <v>谢序强</v>
      </c>
      <c r="K2003" s="113">
        <f>VLOOKUP(J2003,辅助信息!H:I,2,FALSE)</f>
        <v>13458588232</v>
      </c>
      <c r="L2003" s="115"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84">
        <v>45831</v>
      </c>
      <c r="O2003" s="55">
        <f ca="1" t="shared" si="133"/>
        <v>0</v>
      </c>
      <c r="P2003" s="55">
        <f ca="1" t="shared" si="134"/>
        <v>126</v>
      </c>
      <c r="Q2003" s="22" t="str">
        <f>VLOOKUP(B2003,辅助信息!E:M,9,FALSE)</f>
        <v>ZTWM-CDGS-XS-2025-0073-五冶天府-成都怡心湖片区及龙泉驿医院等项目</v>
      </c>
      <c r="R2003" s="22" t="str">
        <f>_xlfn._xlws.FILTER(辅助信息!D:D,辅助信息!E:E=B2003)</f>
        <v>五冶建设扩建艺体中学二期工程</v>
      </c>
    </row>
    <row r="2004" hidden="1" spans="2:18">
      <c r="B2004" s="33" t="s">
        <v>167</v>
      </c>
      <c r="C2004" s="63">
        <v>45834</v>
      </c>
      <c r="D2004" s="113" t="str">
        <f>VLOOKUP(B2004,辅助信息!E:K,7,FALSE)</f>
        <v>JWDDCD2025102100473</v>
      </c>
      <c r="E2004" s="113" t="str">
        <f>VLOOKUP(F2004,辅助信息!A:B,2,FALSE)</f>
        <v>螺纹钢</v>
      </c>
      <c r="F2004" s="33" t="s">
        <v>21</v>
      </c>
      <c r="G2004" s="29">
        <v>6</v>
      </c>
      <c r="H2004" s="114">
        <f>_xlfn.XLOOKUP(C2004&amp;F2004&amp;I2004&amp;J2004,'[1]2025年已发货'!$F:$F&amp;'[1]2025年已发货'!$C:$C&amp;'[1]2025年已发货'!$G:$G&amp;'[1]2025年已发货'!$H:$H,'[1]2025年已发货'!$E:$E,"未发货")</f>
        <v>6</v>
      </c>
      <c r="I2004" s="113" t="str">
        <f>VLOOKUP(B2004,辅助信息!E:I,3,FALSE)</f>
        <v>(五冶建设扩建艺体中学二期工程)四川省成都市双流区光荣路成都艺体中学南200米</v>
      </c>
      <c r="J2004" s="113" t="str">
        <f>VLOOKUP(B2004,辅助信息!E:I,4,FALSE)</f>
        <v>谢序强</v>
      </c>
      <c r="K2004" s="113">
        <f>VLOOKUP(J2004,辅助信息!H:I,2,FALSE)</f>
        <v>13458588232</v>
      </c>
      <c r="L2004" s="115"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84">
        <v>45831</v>
      </c>
      <c r="O2004" s="55">
        <f ca="1" t="shared" si="133"/>
        <v>0</v>
      </c>
      <c r="P2004" s="55">
        <f ca="1" t="shared" si="134"/>
        <v>126</v>
      </c>
      <c r="Q2004" s="22" t="str">
        <f>VLOOKUP(B2004,辅助信息!E:M,9,FALSE)</f>
        <v>ZTWM-CDGS-XS-2025-0073-五冶天府-成都怡心湖片区及龙泉驿医院等项目</v>
      </c>
      <c r="R2004" s="22" t="str">
        <f>_xlfn._xlws.FILTER(辅助信息!D:D,辅助信息!E:E=B2004)</f>
        <v>五冶建设扩建艺体中学二期工程</v>
      </c>
    </row>
    <row r="2005" hidden="1" spans="2:18">
      <c r="B2005" s="33" t="s">
        <v>167</v>
      </c>
      <c r="C2005" s="63">
        <v>45834</v>
      </c>
      <c r="D2005" s="113" t="str">
        <f>VLOOKUP(B2005,辅助信息!E:K,7,FALSE)</f>
        <v>JWDDCD2025102100473</v>
      </c>
      <c r="E2005" s="113" t="str">
        <f>VLOOKUP(F2005,辅助信息!A:B,2,FALSE)</f>
        <v>螺纹钢</v>
      </c>
      <c r="F2005" s="33" t="s">
        <v>58</v>
      </c>
      <c r="G2005" s="29">
        <v>6</v>
      </c>
      <c r="H2005" s="114">
        <f>_xlfn.XLOOKUP(C2005&amp;F2005&amp;I2005&amp;J2005,'[1]2025年已发货'!$F:$F&amp;'[1]2025年已发货'!$C:$C&amp;'[1]2025年已发货'!$G:$G&amp;'[1]2025年已发货'!$H:$H,'[1]2025年已发货'!$E:$E,"未发货")</f>
        <v>6</v>
      </c>
      <c r="I2005" s="113" t="str">
        <f>VLOOKUP(B2005,辅助信息!E:I,3,FALSE)</f>
        <v>(五冶建设扩建艺体中学二期工程)四川省成都市双流区光荣路成都艺体中学南200米</v>
      </c>
      <c r="J2005" s="113" t="str">
        <f>VLOOKUP(B2005,辅助信息!E:I,4,FALSE)</f>
        <v>谢序强</v>
      </c>
      <c r="K2005" s="113">
        <f>VLOOKUP(J2005,辅助信息!H:I,2,FALSE)</f>
        <v>13458588232</v>
      </c>
      <c r="L2005" s="115"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84">
        <v>45831</v>
      </c>
      <c r="O2005" s="55">
        <f ca="1" t="shared" si="133"/>
        <v>0</v>
      </c>
      <c r="P2005" s="55">
        <f ca="1" t="shared" si="134"/>
        <v>126</v>
      </c>
      <c r="Q2005" s="22" t="str">
        <f>VLOOKUP(B2005,辅助信息!E:M,9,FALSE)</f>
        <v>ZTWM-CDGS-XS-2025-0073-五冶天府-成都怡心湖片区及龙泉驿医院等项目</v>
      </c>
      <c r="R2005" s="22" t="str">
        <f>_xlfn._xlws.FILTER(辅助信息!D:D,辅助信息!E:E=B2005)</f>
        <v>五冶建设扩建艺体中学二期工程</v>
      </c>
    </row>
    <row r="2006" hidden="1" spans="2:18">
      <c r="B2006" s="33" t="s">
        <v>167</v>
      </c>
      <c r="C2006" s="63">
        <v>45834</v>
      </c>
      <c r="D2006" s="113" t="str">
        <f>VLOOKUP(B2006,辅助信息!E:K,7,FALSE)</f>
        <v>JWDDCD2025102100473</v>
      </c>
      <c r="E2006" s="113" t="str">
        <f>VLOOKUP(F2006,辅助信息!A:B,2,FALSE)</f>
        <v>螺纹钢</v>
      </c>
      <c r="F2006" s="33" t="s">
        <v>46</v>
      </c>
      <c r="G2006" s="29">
        <v>6</v>
      </c>
      <c r="H2006" s="114">
        <f>_xlfn.XLOOKUP(C2006&amp;F2006&amp;I2006&amp;J2006,'[1]2025年已发货'!$F:$F&amp;'[1]2025年已发货'!$C:$C&amp;'[1]2025年已发货'!$G:$G&amp;'[1]2025年已发货'!$H:$H,'[1]2025年已发货'!$E:$E,"未发货")</f>
        <v>6</v>
      </c>
      <c r="I2006" s="113" t="str">
        <f>VLOOKUP(B2006,辅助信息!E:I,3,FALSE)</f>
        <v>(五冶建设扩建艺体中学二期工程)四川省成都市双流区光荣路成都艺体中学南200米</v>
      </c>
      <c r="J2006" s="113" t="str">
        <f>VLOOKUP(B2006,辅助信息!E:I,4,FALSE)</f>
        <v>谢序强</v>
      </c>
      <c r="K2006" s="113">
        <f>VLOOKUP(J2006,辅助信息!H:I,2,FALSE)</f>
        <v>13458588232</v>
      </c>
      <c r="L2006" s="115"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84">
        <v>45831</v>
      </c>
      <c r="O2006" s="55">
        <f ca="1" t="shared" si="133"/>
        <v>0</v>
      </c>
      <c r="P2006" s="55">
        <f ca="1" t="shared" si="134"/>
        <v>126</v>
      </c>
      <c r="Q2006" s="22" t="str">
        <f>VLOOKUP(B2006,辅助信息!E:M,9,FALSE)</f>
        <v>ZTWM-CDGS-XS-2025-0073-五冶天府-成都怡心湖片区及龙泉驿医院等项目</v>
      </c>
      <c r="R2006" s="22" t="str">
        <f>_xlfn._xlws.FILTER(辅助信息!D:D,辅助信息!E:E=B2006)</f>
        <v>五冶建设扩建艺体中学二期工程</v>
      </c>
    </row>
    <row r="2007" hidden="1" spans="2:18">
      <c r="B2007" s="33" t="s">
        <v>167</v>
      </c>
      <c r="C2007" s="63">
        <v>45834</v>
      </c>
      <c r="D2007" s="113" t="str">
        <f>VLOOKUP(B2007,辅助信息!E:K,7,FALSE)</f>
        <v>JWDDCD2025102100473</v>
      </c>
      <c r="E2007" s="113" t="str">
        <f>VLOOKUP(F2007,辅助信息!A:B,2,FALSE)</f>
        <v>螺纹钢</v>
      </c>
      <c r="F2007" s="33" t="s">
        <v>22</v>
      </c>
      <c r="G2007" s="29">
        <v>9</v>
      </c>
      <c r="H2007" s="114">
        <f>_xlfn.XLOOKUP(C2007&amp;F2007&amp;I2007&amp;J2007,'[1]2025年已发货'!$F:$F&amp;'[1]2025年已发货'!$C:$C&amp;'[1]2025年已发货'!$G:$G&amp;'[1]2025年已发货'!$H:$H,'[1]2025年已发货'!$E:$E,"未发货")</f>
        <v>9</v>
      </c>
      <c r="I2007" s="113" t="str">
        <f>VLOOKUP(B2007,辅助信息!E:I,3,FALSE)</f>
        <v>(五冶建设扩建艺体中学二期工程)四川省成都市双流区光荣路成都艺体中学南200米</v>
      </c>
      <c r="J2007" s="113" t="str">
        <f>VLOOKUP(B2007,辅助信息!E:I,4,FALSE)</f>
        <v>谢序强</v>
      </c>
      <c r="K2007" s="113">
        <f>VLOOKUP(J2007,辅助信息!H:I,2,FALSE)</f>
        <v>13458588232</v>
      </c>
      <c r="L2007" s="115"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84">
        <v>45831</v>
      </c>
      <c r="O2007" s="55">
        <f ca="1" t="shared" si="133"/>
        <v>0</v>
      </c>
      <c r="P2007" s="55">
        <f ca="1" t="shared" si="134"/>
        <v>126</v>
      </c>
      <c r="Q2007" s="22" t="str">
        <f>VLOOKUP(B2007,辅助信息!E:M,9,FALSE)</f>
        <v>ZTWM-CDGS-XS-2025-0073-五冶天府-成都怡心湖片区及龙泉驿医院等项目</v>
      </c>
      <c r="R2007" s="22" t="str">
        <f>_xlfn._xlws.FILTER(辅助信息!D:D,辅助信息!E:E=B2007)</f>
        <v>五冶建设扩建艺体中学二期工程</v>
      </c>
    </row>
    <row r="2008" hidden="1" spans="2:18">
      <c r="B2008" s="33" t="s">
        <v>167</v>
      </c>
      <c r="C2008" s="63">
        <v>45834</v>
      </c>
      <c r="D2008" s="113" t="str">
        <f>VLOOKUP(B2008,辅助信息!E:K,7,FALSE)</f>
        <v>JWDDCD2025102100473</v>
      </c>
      <c r="E2008" s="113" t="str">
        <f>VLOOKUP(F2008,辅助信息!A:B,2,FALSE)</f>
        <v>螺纹钢</v>
      </c>
      <c r="F2008" s="33" t="s">
        <v>181</v>
      </c>
      <c r="G2008" s="29">
        <v>3</v>
      </c>
      <c r="H2008" s="114">
        <f>_xlfn.XLOOKUP(C2008&amp;F2008&amp;I2008&amp;J2008,'[1]2025年已发货'!$F:$F&amp;'[1]2025年已发货'!$C:$C&amp;'[1]2025年已发货'!$G:$G&amp;'[1]2025年已发货'!$H:$H,'[1]2025年已发货'!$E:$E,"未发货")</f>
        <v>3</v>
      </c>
      <c r="I2008" s="113" t="str">
        <f>VLOOKUP(B2008,辅助信息!E:I,3,FALSE)</f>
        <v>(五冶建设扩建艺体中学二期工程)四川省成都市双流区光荣路成都艺体中学南200米</v>
      </c>
      <c r="J2008" s="113" t="str">
        <f>VLOOKUP(B2008,辅助信息!E:I,4,FALSE)</f>
        <v>谢序强</v>
      </c>
      <c r="K2008" s="113">
        <f>VLOOKUP(J2008,辅助信息!H:I,2,FALSE)</f>
        <v>13458588232</v>
      </c>
      <c r="L2008" s="115"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84">
        <v>45831</v>
      </c>
      <c r="O2008" s="55">
        <f ca="1" t="shared" si="133"/>
        <v>0</v>
      </c>
      <c r="P2008" s="55">
        <f ca="1" t="shared" si="134"/>
        <v>126</v>
      </c>
      <c r="Q2008" s="22" t="str">
        <f>VLOOKUP(B2008,辅助信息!E:M,9,FALSE)</f>
        <v>ZTWM-CDGS-XS-2025-0073-五冶天府-成都怡心湖片区及龙泉驿医院等项目</v>
      </c>
      <c r="R2008" s="22" t="str">
        <f>_xlfn._xlws.FILTER(辅助信息!D:D,辅助信息!E:E=B2008)</f>
        <v>五冶建设扩建艺体中学二期工程</v>
      </c>
    </row>
    <row r="2009" hidden="1" spans="2:18">
      <c r="B2009" s="33" t="s">
        <v>167</v>
      </c>
      <c r="C2009" s="63">
        <v>45834</v>
      </c>
      <c r="D2009" s="113" t="str">
        <f>VLOOKUP(B2009,辅助信息!E:K,7,FALSE)</f>
        <v>JWDDCD2025102100473</v>
      </c>
      <c r="E2009" s="113" t="str">
        <f>VLOOKUP(F2009,辅助信息!A:B,2,FALSE)</f>
        <v>螺纹钢</v>
      </c>
      <c r="F2009" s="33" t="s">
        <v>182</v>
      </c>
      <c r="G2009" s="29">
        <v>3</v>
      </c>
      <c r="H2009" s="114">
        <f>_xlfn.XLOOKUP(C2009&amp;F2009&amp;I2009&amp;J2009,'[1]2025年已发货'!$F:$F&amp;'[1]2025年已发货'!$C:$C&amp;'[1]2025年已发货'!$G:$G&amp;'[1]2025年已发货'!$H:$H,'[1]2025年已发货'!$E:$E,"未发货")</f>
        <v>3</v>
      </c>
      <c r="I2009" s="113" t="str">
        <f>VLOOKUP(B2009,辅助信息!E:I,3,FALSE)</f>
        <v>(五冶建设扩建艺体中学二期工程)四川省成都市双流区光荣路成都艺体中学南200米</v>
      </c>
      <c r="J2009" s="113" t="str">
        <f>VLOOKUP(B2009,辅助信息!E:I,4,FALSE)</f>
        <v>谢序强</v>
      </c>
      <c r="K2009" s="113">
        <f>VLOOKUP(J2009,辅助信息!H:I,2,FALSE)</f>
        <v>13458588232</v>
      </c>
      <c r="L2009" s="115"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84">
        <v>45831</v>
      </c>
      <c r="O2009" s="55">
        <f ca="1" t="shared" si="133"/>
        <v>0</v>
      </c>
      <c r="P2009" s="55">
        <f ca="1" t="shared" si="134"/>
        <v>126</v>
      </c>
      <c r="Q2009" s="22" t="str">
        <f>VLOOKUP(B2009,辅助信息!E:M,9,FALSE)</f>
        <v>ZTWM-CDGS-XS-2025-0073-五冶天府-成都怡心湖片区及龙泉驿医院等项目</v>
      </c>
      <c r="R2009" s="22" t="str">
        <f>_xlfn._xlws.FILTER(辅助信息!D:D,辅助信息!E:E=B2009)</f>
        <v>五冶建设扩建艺体中学二期工程</v>
      </c>
    </row>
    <row r="2010" hidden="1" spans="2:18">
      <c r="B2010" s="113" t="s">
        <v>179</v>
      </c>
      <c r="C2010" s="63">
        <v>45835</v>
      </c>
      <c r="D2010" s="113" t="str">
        <f>VLOOKUP(B2010,辅助信息!E:K,7,FALSE)</f>
        <v>JWDDCD2025052800131</v>
      </c>
      <c r="E2010" s="113" t="str">
        <f>VLOOKUP(F2010,辅助信息!A:B,2,FALSE)</f>
        <v>螺纹钢</v>
      </c>
      <c r="F2010" s="113" t="s">
        <v>22</v>
      </c>
      <c r="G2010" s="114">
        <v>24</v>
      </c>
      <c r="H2010" s="127">
        <f>_xlfn.XLOOKUP(C2010&amp;F2010&amp;I2010&amp;J2010,'[1]2025年已发货'!$F:$F&amp;'[1]2025年已发货'!$C:$C&amp;'[1]2025年已发货'!$G:$G&amp;'[1]2025年已发货'!$H:$H,'[1]2025年已发货'!$E:$E,"未发货")</f>
        <v>10</v>
      </c>
      <c r="I2010" s="113" t="str">
        <f>VLOOKUP(B2010,辅助信息!E:I,3,FALSE)</f>
        <v>（商投建工达州中医药科技园-4工区-3号楼）达州市通川区达州中医药职业学院犀牛大道北段</v>
      </c>
      <c r="J2010" s="113" t="str">
        <f>VLOOKUP(B2010,辅助信息!E:I,4,FALSE)</f>
        <v>张扬</v>
      </c>
      <c r="K2010" s="113">
        <f>VLOOKUP(J2010,辅助信息!H:I,2,FALSE)</f>
        <v>18381904567</v>
      </c>
      <c r="L2010" s="115" t="str">
        <f>VLOOKUP(B2010,辅助信息!E:J,6,FALSE)</f>
        <v>控制炉批号！多了现场不收！,优先安排达钢,提前联系到场规格及数量</v>
      </c>
      <c r="M2010" s="84">
        <v>45835</v>
      </c>
      <c r="O2010" s="55">
        <f ca="1" t="shared" si="133"/>
        <v>0</v>
      </c>
      <c r="P2010" s="55">
        <f ca="1" t="shared" si="134"/>
        <v>122</v>
      </c>
      <c r="Q2010" s="22" t="str">
        <f>VLOOKUP(B2010,辅助信息!E:M,9,FALSE)</f>
        <v>ZTWM-CDGS-XS-2024-0134-商投建工达州中医药科技成果示范园项目</v>
      </c>
      <c r="R2010" s="22" t="str">
        <f>_xlfn._xlws.FILTER(辅助信息!D:D,辅助信息!E:E=B2010)</f>
        <v>商投建工达州中医药科技园</v>
      </c>
    </row>
    <row r="2011" hidden="1" spans="2:18">
      <c r="B2011" s="113" t="s">
        <v>180</v>
      </c>
      <c r="C2011" s="63">
        <v>45835</v>
      </c>
      <c r="D2011" s="113" t="str">
        <f>VLOOKUP(B2011,辅助信息!E:K,7,FALSE)</f>
        <v>JWDDCD2025052800131</v>
      </c>
      <c r="E2011" s="113" t="str">
        <f>VLOOKUP(F2011,辅助信息!A:B,2,FALSE)</f>
        <v>螺纹钢</v>
      </c>
      <c r="F2011" s="113" t="s">
        <v>21</v>
      </c>
      <c r="G2011" s="114">
        <v>6</v>
      </c>
      <c r="H2011" s="127">
        <f>_xlfn.XLOOKUP(C2011&amp;F2011&amp;I2011&amp;J2011,'[1]2025年已发货'!$F:$F&amp;'[1]2025年已发货'!$C:$C&amp;'[1]2025年已发货'!$G:$G&amp;'[1]2025年已发货'!$H:$H,'[1]2025年已发货'!$E:$E,"未发货")</f>
        <v>3</v>
      </c>
      <c r="I2011" s="113" t="str">
        <f>VLOOKUP(B2011,辅助信息!E:I,3,FALSE)</f>
        <v>（商投建工达州中医药科技园-4工区-8号楼）达州市通川区达州中医药职业学院犀牛大道北段</v>
      </c>
      <c r="J2011" s="113" t="str">
        <f>VLOOKUP(B2011,辅助信息!E:I,4,FALSE)</f>
        <v>张扬</v>
      </c>
      <c r="K2011" s="113">
        <f>VLOOKUP(J2011,辅助信息!H:I,2,FALSE)</f>
        <v>18381904567</v>
      </c>
      <c r="L2011" s="115" t="str">
        <f>VLOOKUP(B2011,辅助信息!E:J,6,FALSE)</f>
        <v>控制炉批号！多了现场不收！,优先安排达钢,提前联系到场规格及数量</v>
      </c>
      <c r="M2011" s="84">
        <v>45835</v>
      </c>
      <c r="O2011" s="55">
        <f ca="1" t="shared" si="133"/>
        <v>0</v>
      </c>
      <c r="P2011" s="55">
        <f ca="1" t="shared" si="134"/>
        <v>122</v>
      </c>
      <c r="Q2011" s="22" t="str">
        <f>VLOOKUP(B2011,辅助信息!E:M,9,FALSE)</f>
        <v>ZTWM-CDGS-XS-2024-0134-商投建工达州中医药科技成果示范园项目</v>
      </c>
      <c r="R2011" s="22" t="str">
        <f>_xlfn._xlws.FILTER(辅助信息!D:D,辅助信息!E:E=B2011)</f>
        <v>商投建工达州中医药科技园</v>
      </c>
    </row>
    <row r="2012" hidden="1" spans="2:18">
      <c r="B2012" s="113" t="s">
        <v>180</v>
      </c>
      <c r="C2012" s="63">
        <v>45835</v>
      </c>
      <c r="D2012" s="113" t="str">
        <f>VLOOKUP(B2012,辅助信息!E:K,7,FALSE)</f>
        <v>JWDDCD2025052800131</v>
      </c>
      <c r="E2012" s="113" t="str">
        <f>VLOOKUP(F2012,辅助信息!A:B,2,FALSE)</f>
        <v>螺纹钢</v>
      </c>
      <c r="F2012" s="113" t="s">
        <v>46</v>
      </c>
      <c r="G2012" s="114">
        <v>24</v>
      </c>
      <c r="H2012" s="127">
        <f>_xlfn.XLOOKUP(C2012&amp;F2012&amp;I2012&amp;J2012,'[1]2025年已发货'!$F:$F&amp;'[1]2025年已发货'!$C:$C&amp;'[1]2025年已发货'!$G:$G&amp;'[1]2025年已发货'!$H:$H,'[1]2025年已发货'!$E:$E,"未发货")</f>
        <v>10</v>
      </c>
      <c r="I2012" s="113" t="str">
        <f>VLOOKUP(B2012,辅助信息!E:I,3,FALSE)</f>
        <v>（商投建工达州中医药科技园-4工区-8号楼）达州市通川区达州中医药职业学院犀牛大道北段</v>
      </c>
      <c r="J2012" s="113" t="str">
        <f>VLOOKUP(B2012,辅助信息!E:I,4,FALSE)</f>
        <v>张扬</v>
      </c>
      <c r="K2012" s="113">
        <f>VLOOKUP(J2012,辅助信息!H:I,2,FALSE)</f>
        <v>18381904567</v>
      </c>
      <c r="L2012" s="115" t="str">
        <f>VLOOKUP(B2012,辅助信息!E:J,6,FALSE)</f>
        <v>控制炉批号！多了现场不收！,优先安排达钢,提前联系到场规格及数量</v>
      </c>
      <c r="M2012" s="84">
        <v>45835</v>
      </c>
      <c r="O2012" s="55">
        <f ca="1" t="shared" si="133"/>
        <v>0</v>
      </c>
      <c r="P2012" s="55">
        <f ca="1" t="shared" si="134"/>
        <v>122</v>
      </c>
      <c r="Q2012" s="22" t="str">
        <f>VLOOKUP(B2012,辅助信息!E:M,9,FALSE)</f>
        <v>ZTWM-CDGS-XS-2024-0134-商投建工达州中医药科技成果示范园项目</v>
      </c>
      <c r="R2012" s="22" t="str">
        <f>_xlfn._xlws.FILTER(辅助信息!D:D,辅助信息!E:E=B2012)</f>
        <v>商投建工达州中医药科技园</v>
      </c>
    </row>
    <row r="2013" hidden="1" spans="2:18">
      <c r="B2013" s="113" t="s">
        <v>180</v>
      </c>
      <c r="C2013" s="63">
        <v>45835</v>
      </c>
      <c r="D2013" s="113" t="str">
        <f>VLOOKUP(B2013,辅助信息!E:K,7,FALSE)</f>
        <v>JWDDCD2025052800131</v>
      </c>
      <c r="E2013" s="113" t="str">
        <f>VLOOKUP(F2013,辅助信息!A:B,2,FALSE)</f>
        <v>螺纹钢</v>
      </c>
      <c r="F2013" s="113" t="s">
        <v>22</v>
      </c>
      <c r="G2013" s="114">
        <v>24</v>
      </c>
      <c r="H2013" s="127">
        <f>_xlfn.XLOOKUP(C2013&amp;F2013&amp;I2013&amp;J2013,'[1]2025年已发货'!$F:$F&amp;'[1]2025年已发货'!$C:$C&amp;'[1]2025年已发货'!$G:$G&amp;'[1]2025年已发货'!$H:$H,'[1]2025年已发货'!$E:$E,"未发货")</f>
        <v>10</v>
      </c>
      <c r="I2013" s="113" t="str">
        <f>VLOOKUP(B2013,辅助信息!E:I,3,FALSE)</f>
        <v>（商投建工达州中医药科技园-4工区-8号楼）达州市通川区达州中医药职业学院犀牛大道北段</v>
      </c>
      <c r="J2013" s="113" t="str">
        <f>VLOOKUP(B2013,辅助信息!E:I,4,FALSE)</f>
        <v>张扬</v>
      </c>
      <c r="K2013" s="113">
        <f>VLOOKUP(J2013,辅助信息!H:I,2,FALSE)</f>
        <v>18381904567</v>
      </c>
      <c r="L2013" s="115" t="str">
        <f>VLOOKUP(B2013,辅助信息!E:J,6,FALSE)</f>
        <v>控制炉批号！多了现场不收！,优先安排达钢,提前联系到场规格及数量</v>
      </c>
      <c r="M2013" s="84">
        <v>45835</v>
      </c>
      <c r="O2013" s="55">
        <f ca="1" t="shared" si="133"/>
        <v>0</v>
      </c>
      <c r="P2013" s="55">
        <f ca="1" t="shared" si="134"/>
        <v>122</v>
      </c>
      <c r="Q2013" s="22" t="str">
        <f>VLOOKUP(B2013,辅助信息!E:M,9,FALSE)</f>
        <v>ZTWM-CDGS-XS-2024-0134-商投建工达州中医药科技成果示范园项目</v>
      </c>
      <c r="R2013" s="22" t="str">
        <f>_xlfn._xlws.FILTER(辅助信息!D:D,辅助信息!E:E=B2013)</f>
        <v>商投建工达州中医药科技园</v>
      </c>
    </row>
    <row r="2014" hidden="1" spans="2:18">
      <c r="B2014" s="113" t="s">
        <v>47</v>
      </c>
      <c r="C2014" s="63">
        <v>45835</v>
      </c>
      <c r="D2014" s="113" t="str">
        <f>VLOOKUP(B2014,辅助信息!E:K,7,FALSE)</f>
        <v>JWDDCD2025052800131</v>
      </c>
      <c r="E2014" s="113" t="str">
        <f>VLOOKUP(F2014,辅助信息!A:B,2,FALSE)</f>
        <v>螺纹钢</v>
      </c>
      <c r="F2014" s="113" t="s">
        <v>21</v>
      </c>
      <c r="G2014" s="114">
        <v>12</v>
      </c>
      <c r="H2014" s="127">
        <f>_xlfn.XLOOKUP(C2014&amp;F2014&amp;I2014&amp;J2014,'[1]2025年已发货'!$F:$F&amp;'[1]2025年已发货'!$C:$C&amp;'[1]2025年已发货'!$G:$G&amp;'[1]2025年已发货'!$H:$H,'[1]2025年已发货'!$E:$E,"未发货")</f>
        <v>5</v>
      </c>
      <c r="I2014" s="113" t="str">
        <f>VLOOKUP(B2014,辅助信息!E:I,3,FALSE)</f>
        <v>（商投建工达州中医药科技园-1工区）达州市通川区达州中医药职业学院犀牛大道北段</v>
      </c>
      <c r="J2014" s="113" t="str">
        <f>VLOOKUP(B2014,辅助信息!E:I,4,FALSE)</f>
        <v>程黄刚</v>
      </c>
      <c r="K2014" s="113">
        <f>VLOOKUP(J2014,辅助信息!H:I,2,FALSE)</f>
        <v>15108211617</v>
      </c>
      <c r="L2014" s="115" t="str">
        <f>VLOOKUP(B2014,辅助信息!E:J,6,FALSE)</f>
        <v>控制炉批号！多了现场不收！,优先安排达钢,提前联系到场规格及数量</v>
      </c>
      <c r="M2014" s="84">
        <v>45835</v>
      </c>
      <c r="O2014" s="55">
        <f ca="1" t="shared" si="133"/>
        <v>0</v>
      </c>
      <c r="P2014" s="55">
        <f ca="1" t="shared" si="134"/>
        <v>122</v>
      </c>
      <c r="Q2014" s="22" t="str">
        <f>VLOOKUP(B2014,辅助信息!E:M,9,FALSE)</f>
        <v>ZTWM-CDGS-XS-2024-0134-商投建工达州中医药科技成果示范园项目</v>
      </c>
      <c r="R2014" s="22" t="str">
        <f>_xlfn._xlws.FILTER(辅助信息!D:D,辅助信息!E:E=B2014)</f>
        <v>商投建工达州中医药科技园</v>
      </c>
    </row>
    <row r="2015" hidden="1" spans="2:18">
      <c r="B2015" s="113" t="s">
        <v>47</v>
      </c>
      <c r="C2015" s="63">
        <v>45835</v>
      </c>
      <c r="D2015" s="113" t="str">
        <f>VLOOKUP(B2015,辅助信息!E:K,7,FALSE)</f>
        <v>JWDDCD2025052800131</v>
      </c>
      <c r="E2015" s="113" t="str">
        <f>VLOOKUP(F2015,辅助信息!A:B,2,FALSE)</f>
        <v>螺纹钢</v>
      </c>
      <c r="F2015" s="113" t="s">
        <v>58</v>
      </c>
      <c r="G2015" s="114">
        <v>6</v>
      </c>
      <c r="H2015" s="127">
        <f>_xlfn.XLOOKUP(C2015&amp;F2015&amp;I2015&amp;J2015,'[1]2025年已发货'!$F:$F&amp;'[1]2025年已发货'!$C:$C&amp;'[1]2025年已发货'!$G:$G&amp;'[1]2025年已发货'!$H:$H,'[1]2025年已发货'!$E:$E,"未发货")</f>
        <v>5</v>
      </c>
      <c r="I2015" s="113" t="str">
        <f>VLOOKUP(B2015,辅助信息!E:I,3,FALSE)</f>
        <v>（商投建工达州中医药科技园-1工区）达州市通川区达州中医药职业学院犀牛大道北段</v>
      </c>
      <c r="J2015" s="113" t="str">
        <f>VLOOKUP(B2015,辅助信息!E:I,4,FALSE)</f>
        <v>程黄刚</v>
      </c>
      <c r="K2015" s="113">
        <f>VLOOKUP(J2015,辅助信息!H:I,2,FALSE)</f>
        <v>15108211617</v>
      </c>
      <c r="L2015" s="115" t="str">
        <f>VLOOKUP(B2015,辅助信息!E:J,6,FALSE)</f>
        <v>控制炉批号！多了现场不收！,优先安排达钢,提前联系到场规格及数量</v>
      </c>
      <c r="M2015" s="84">
        <v>45835</v>
      </c>
      <c r="O2015" s="55">
        <f ca="1" t="shared" si="133"/>
        <v>0</v>
      </c>
      <c r="P2015" s="55">
        <f ca="1" t="shared" si="134"/>
        <v>122</v>
      </c>
      <c r="Q2015" s="22" t="str">
        <f>VLOOKUP(B2015,辅助信息!E:M,9,FALSE)</f>
        <v>ZTWM-CDGS-XS-2024-0134-商投建工达州中医药科技成果示范园项目</v>
      </c>
      <c r="R2015" s="22" t="str">
        <f>_xlfn._xlws.FILTER(辅助信息!D:D,辅助信息!E:E=B2015)</f>
        <v>商投建工达州中医药科技园</v>
      </c>
    </row>
    <row r="2016" hidden="1" spans="2:18">
      <c r="B2016" s="113" t="s">
        <v>47</v>
      </c>
      <c r="C2016" s="63">
        <v>45835</v>
      </c>
      <c r="D2016" s="113" t="str">
        <f>VLOOKUP(B2016,辅助信息!E:K,7,FALSE)</f>
        <v>JWDDCD2025052800131</v>
      </c>
      <c r="E2016" s="113" t="str">
        <f>VLOOKUP(F2016,辅助信息!A:B,2,FALSE)</f>
        <v>盘螺</v>
      </c>
      <c r="F2016" s="113" t="s">
        <v>49</v>
      </c>
      <c r="G2016" s="114">
        <v>3</v>
      </c>
      <c r="H2016" s="127">
        <f>_xlfn.XLOOKUP(C2016&amp;F2016&amp;I2016&amp;J2016,'[1]2025年已发货'!$F:$F&amp;'[1]2025年已发货'!$C:$C&amp;'[1]2025年已发货'!$G:$G&amp;'[1]2025年已发货'!$H:$H,'[1]2025年已发货'!$E:$E,"未发货")</f>
        <v>3</v>
      </c>
      <c r="I2016" s="113" t="str">
        <f>VLOOKUP(B2016,辅助信息!E:I,3,FALSE)</f>
        <v>（商投建工达州中医药科技园-1工区）达州市通川区达州中医药职业学院犀牛大道北段</v>
      </c>
      <c r="J2016" s="113" t="str">
        <f>VLOOKUP(B2016,辅助信息!E:I,4,FALSE)</f>
        <v>程黄刚</v>
      </c>
      <c r="K2016" s="113">
        <f>VLOOKUP(J2016,辅助信息!H:I,2,FALSE)</f>
        <v>15108211617</v>
      </c>
      <c r="L2016" s="115" t="str">
        <f>VLOOKUP(B2016,辅助信息!E:J,6,FALSE)</f>
        <v>控制炉批号！多了现场不收！,优先安排达钢,提前联系到场规格及数量</v>
      </c>
      <c r="M2016" s="84">
        <v>45835</v>
      </c>
      <c r="O2016" s="55">
        <f ca="1" t="shared" si="133"/>
        <v>0</v>
      </c>
      <c r="P2016" s="55">
        <f ca="1" t="shared" si="134"/>
        <v>122</v>
      </c>
      <c r="Q2016" s="22" t="str">
        <f>VLOOKUP(B2016,辅助信息!E:M,9,FALSE)</f>
        <v>ZTWM-CDGS-XS-2024-0134-商投建工达州中医药科技成果示范园项目</v>
      </c>
      <c r="R2016" s="22" t="str">
        <f>_xlfn._xlws.FILTER(辅助信息!D:D,辅助信息!E:E=B2016)</f>
        <v>商投建工达州中医药科技园</v>
      </c>
    </row>
    <row r="2017" hidden="1" spans="2:18">
      <c r="B2017" s="113" t="s">
        <v>47</v>
      </c>
      <c r="C2017" s="63">
        <v>45835</v>
      </c>
      <c r="D2017" s="113" t="str">
        <f>VLOOKUP(B2017,辅助信息!E:K,7,FALSE)</f>
        <v>JWDDCD2025052800131</v>
      </c>
      <c r="E2017" s="113" t="str">
        <f>VLOOKUP(F2017,辅助信息!A:B,2,FALSE)</f>
        <v>螺纹钢</v>
      </c>
      <c r="F2017" s="113" t="s">
        <v>27</v>
      </c>
      <c r="G2017" s="114">
        <v>12</v>
      </c>
      <c r="H2017" s="127">
        <f>_xlfn.XLOOKUP(C2017&amp;F2017&amp;I2017&amp;J2017,'[1]2025年已发货'!$F:$F&amp;'[1]2025年已发货'!$C:$C&amp;'[1]2025年已发货'!$G:$G&amp;'[1]2025年已发货'!$H:$H,'[1]2025年已发货'!$E:$E,"未发货")</f>
        <v>12</v>
      </c>
      <c r="I2017" s="113" t="str">
        <f>VLOOKUP(B2017,辅助信息!E:I,3,FALSE)</f>
        <v>（商投建工达州中医药科技园-1工区）达州市通川区达州中医药职业学院犀牛大道北段</v>
      </c>
      <c r="J2017" s="113" t="str">
        <f>VLOOKUP(B2017,辅助信息!E:I,4,FALSE)</f>
        <v>程黄刚</v>
      </c>
      <c r="K2017" s="113">
        <f>VLOOKUP(J2017,辅助信息!H:I,2,FALSE)</f>
        <v>15108211617</v>
      </c>
      <c r="L2017" s="115" t="str">
        <f>VLOOKUP(B2017,辅助信息!E:J,6,FALSE)</f>
        <v>控制炉批号！多了现场不收！,优先安排达钢,提前联系到场规格及数量</v>
      </c>
      <c r="M2017" s="84">
        <v>45835</v>
      </c>
      <c r="O2017" s="55">
        <f ca="1" t="shared" si="133"/>
        <v>0</v>
      </c>
      <c r="P2017" s="55">
        <f ca="1" t="shared" si="134"/>
        <v>122</v>
      </c>
      <c r="Q2017" s="22" t="str">
        <f>VLOOKUP(B2017,辅助信息!E:M,9,FALSE)</f>
        <v>ZTWM-CDGS-XS-2024-0134-商投建工达州中医药科技成果示范园项目</v>
      </c>
      <c r="R2017" s="22" t="str">
        <f>_xlfn._xlws.FILTER(辅助信息!D:D,辅助信息!E:E=B2017)</f>
        <v>商投建工达州中医药科技园</v>
      </c>
    </row>
    <row r="2018" hidden="1" spans="2:18">
      <c r="B2018" s="113" t="s">
        <v>47</v>
      </c>
      <c r="C2018" s="63">
        <v>45835</v>
      </c>
      <c r="D2018" s="113" t="str">
        <f>VLOOKUP(B2018,辅助信息!E:K,7,FALSE)</f>
        <v>JWDDCD2025052800131</v>
      </c>
      <c r="E2018" s="113" t="str">
        <f>VLOOKUP(F2018,辅助信息!A:B,2,FALSE)</f>
        <v>螺纹钢</v>
      </c>
      <c r="F2018" s="113" t="s">
        <v>19</v>
      </c>
      <c r="G2018" s="114">
        <v>3</v>
      </c>
      <c r="H2018" s="127">
        <f>_xlfn.XLOOKUP(C2018&amp;F2018&amp;I2018&amp;J2018,'[1]2025年已发货'!$F:$F&amp;'[1]2025年已发货'!$C:$C&amp;'[1]2025年已发货'!$G:$G&amp;'[1]2025年已发货'!$H:$H,'[1]2025年已发货'!$E:$E,"未发货")</f>
        <v>3</v>
      </c>
      <c r="I2018" s="113" t="str">
        <f>VLOOKUP(B2018,辅助信息!E:I,3,FALSE)</f>
        <v>（商投建工达州中医药科技园-1工区）达州市通川区达州中医药职业学院犀牛大道北段</v>
      </c>
      <c r="J2018" s="113" t="str">
        <f>VLOOKUP(B2018,辅助信息!E:I,4,FALSE)</f>
        <v>程黄刚</v>
      </c>
      <c r="K2018" s="113">
        <f>VLOOKUP(J2018,辅助信息!H:I,2,FALSE)</f>
        <v>15108211617</v>
      </c>
      <c r="L2018" s="115" t="str">
        <f>VLOOKUP(B2018,辅助信息!E:J,6,FALSE)</f>
        <v>控制炉批号！多了现场不收！,优先安排达钢,提前联系到场规格及数量</v>
      </c>
      <c r="M2018" s="84">
        <v>45835</v>
      </c>
      <c r="O2018" s="55">
        <f ca="1" t="shared" si="133"/>
        <v>0</v>
      </c>
      <c r="P2018" s="55">
        <f ca="1" t="shared" si="134"/>
        <v>122</v>
      </c>
      <c r="Q2018" s="22" t="str">
        <f>VLOOKUP(B2018,辅助信息!E:M,9,FALSE)</f>
        <v>ZTWM-CDGS-XS-2024-0134-商投建工达州中医药科技成果示范园项目</v>
      </c>
      <c r="R2018" s="22" t="str">
        <f>_xlfn._xlws.FILTER(辅助信息!D:D,辅助信息!E:E=B2018)</f>
        <v>商投建工达州中医药科技园</v>
      </c>
    </row>
    <row r="2019" hidden="1" spans="2:18">
      <c r="B2019" s="113" t="s">
        <v>47</v>
      </c>
      <c r="C2019" s="63">
        <v>45835</v>
      </c>
      <c r="D2019" s="113" t="str">
        <f>VLOOKUP(B2019,辅助信息!E:K,7,FALSE)</f>
        <v>JWDDCD2025052800131</v>
      </c>
      <c r="E2019" s="113" t="str">
        <f>VLOOKUP(F2019,辅助信息!A:B,2,FALSE)</f>
        <v>螺纹钢</v>
      </c>
      <c r="F2019" s="113" t="s">
        <v>32</v>
      </c>
      <c r="G2019" s="114">
        <v>12</v>
      </c>
      <c r="H2019" s="127">
        <f>_xlfn.XLOOKUP(C2019&amp;F2019&amp;I2019&amp;J2019,'[1]2025年已发货'!$F:$F&amp;'[1]2025年已发货'!$C:$C&amp;'[1]2025年已发货'!$G:$G&amp;'[1]2025年已发货'!$H:$H,'[1]2025年已发货'!$E:$E,"未发货")</f>
        <v>12</v>
      </c>
      <c r="I2019" s="113" t="str">
        <f>VLOOKUP(B2019,辅助信息!E:I,3,FALSE)</f>
        <v>（商投建工达州中医药科技园-1工区）达州市通川区达州中医药职业学院犀牛大道北段</v>
      </c>
      <c r="J2019" s="113" t="str">
        <f>VLOOKUP(B2019,辅助信息!E:I,4,FALSE)</f>
        <v>程黄刚</v>
      </c>
      <c r="K2019" s="113">
        <f>VLOOKUP(J2019,辅助信息!H:I,2,FALSE)</f>
        <v>15108211617</v>
      </c>
      <c r="L2019" s="115" t="str">
        <f>VLOOKUP(B2019,辅助信息!E:J,6,FALSE)</f>
        <v>控制炉批号！多了现场不收！,优先安排达钢,提前联系到场规格及数量</v>
      </c>
      <c r="M2019" s="84">
        <v>45835</v>
      </c>
      <c r="O2019" s="55">
        <f ca="1" t="shared" si="133"/>
        <v>0</v>
      </c>
      <c r="P2019" s="55">
        <f ca="1" t="shared" si="134"/>
        <v>122</v>
      </c>
      <c r="Q2019" s="22" t="str">
        <f>VLOOKUP(B2019,辅助信息!E:M,9,FALSE)</f>
        <v>ZTWM-CDGS-XS-2024-0134-商投建工达州中医药科技成果示范园项目</v>
      </c>
      <c r="R2019" s="22" t="str">
        <f>_xlfn._xlws.FILTER(辅助信息!D:D,辅助信息!E:E=B2019)</f>
        <v>商投建工达州中医药科技园</v>
      </c>
    </row>
    <row r="2020" hidden="1" spans="2:18">
      <c r="B2020" s="113" t="s">
        <v>47</v>
      </c>
      <c r="C2020" s="63">
        <v>45835</v>
      </c>
      <c r="D2020" s="113" t="str">
        <f>VLOOKUP(B2020,辅助信息!E:K,7,FALSE)</f>
        <v>JWDDCD2025052800131</v>
      </c>
      <c r="E2020" s="113" t="str">
        <f>VLOOKUP(F2020,辅助信息!A:B,2,FALSE)</f>
        <v>螺纹钢</v>
      </c>
      <c r="F2020" s="113" t="s">
        <v>45</v>
      </c>
      <c r="G2020" s="114">
        <v>3</v>
      </c>
      <c r="H2020" s="127">
        <f>_xlfn.XLOOKUP(C2020&amp;F2020&amp;I2020&amp;J2020,'[1]2025年已发货'!$F:$F&amp;'[1]2025年已发货'!$C:$C&amp;'[1]2025年已发货'!$G:$G&amp;'[1]2025年已发货'!$H:$H,'[1]2025年已发货'!$E:$E,"未发货")</f>
        <v>3</v>
      </c>
      <c r="I2020" s="113" t="str">
        <f>VLOOKUP(B2020,辅助信息!E:I,3,FALSE)</f>
        <v>（商投建工达州中医药科技园-1工区）达州市通川区达州中医药职业学院犀牛大道北段</v>
      </c>
      <c r="J2020" s="113" t="str">
        <f>VLOOKUP(B2020,辅助信息!E:I,4,FALSE)</f>
        <v>程黄刚</v>
      </c>
      <c r="K2020" s="113">
        <f>VLOOKUP(J2020,辅助信息!H:I,2,FALSE)</f>
        <v>15108211617</v>
      </c>
      <c r="L2020" s="115" t="str">
        <f>VLOOKUP(B2020,辅助信息!E:J,6,FALSE)</f>
        <v>控制炉批号！多了现场不收！,优先安排达钢,提前联系到场规格及数量</v>
      </c>
      <c r="M2020" s="84">
        <v>45835</v>
      </c>
      <c r="O2020" s="55">
        <f ca="1" t="shared" si="133"/>
        <v>0</v>
      </c>
      <c r="P2020" s="55">
        <f ca="1" t="shared" si="134"/>
        <v>122</v>
      </c>
      <c r="Q2020" s="22" t="str">
        <f>VLOOKUP(B2020,辅助信息!E:M,9,FALSE)</f>
        <v>ZTWM-CDGS-XS-2024-0134-商投建工达州中医药科技成果示范园项目</v>
      </c>
      <c r="R2020" s="22" t="str">
        <f>_xlfn._xlws.FILTER(辅助信息!D:D,辅助信息!E:E=B2020)</f>
        <v>商投建工达州中医药科技园</v>
      </c>
    </row>
    <row r="2021" hidden="1" spans="2:18">
      <c r="B2021" s="113" t="s">
        <v>47</v>
      </c>
      <c r="C2021" s="63">
        <v>45835</v>
      </c>
      <c r="D2021" s="113" t="str">
        <f>VLOOKUP(B2021,辅助信息!E:K,7,FALSE)</f>
        <v>JWDDCD2025052800131</v>
      </c>
      <c r="E2021" s="113" t="str">
        <f>VLOOKUP(F2021,辅助信息!A:B,2,FALSE)</f>
        <v>螺纹钢</v>
      </c>
      <c r="F2021" s="113" t="s">
        <v>46</v>
      </c>
      <c r="G2021" s="114">
        <v>18</v>
      </c>
      <c r="H2021" s="127">
        <f>_xlfn.XLOOKUP(C2021&amp;F2021&amp;I2021&amp;J2021,'[1]2025年已发货'!$F:$F&amp;'[1]2025年已发货'!$C:$C&amp;'[1]2025年已发货'!$G:$G&amp;'[1]2025年已发货'!$H:$H,'[1]2025年已发货'!$E:$E,"未发货")</f>
        <v>15</v>
      </c>
      <c r="I2021" s="113" t="str">
        <f>VLOOKUP(B2021,辅助信息!E:I,3,FALSE)</f>
        <v>（商投建工达州中医药科技园-1工区）达州市通川区达州中医药职业学院犀牛大道北段</v>
      </c>
      <c r="J2021" s="113" t="str">
        <f>VLOOKUP(B2021,辅助信息!E:I,4,FALSE)</f>
        <v>程黄刚</v>
      </c>
      <c r="K2021" s="113">
        <f>VLOOKUP(J2021,辅助信息!H:I,2,FALSE)</f>
        <v>15108211617</v>
      </c>
      <c r="L2021" s="115" t="str">
        <f>VLOOKUP(B2021,辅助信息!E:J,6,FALSE)</f>
        <v>控制炉批号！多了现场不收！,优先安排达钢,提前联系到场规格及数量</v>
      </c>
      <c r="M2021" s="84">
        <v>45835</v>
      </c>
      <c r="O2021" s="55">
        <f ca="1" t="shared" si="133"/>
        <v>0</v>
      </c>
      <c r="P2021" s="55">
        <f ca="1" t="shared" si="134"/>
        <v>122</v>
      </c>
      <c r="Q2021" s="22" t="str">
        <f>VLOOKUP(B2021,辅助信息!E:M,9,FALSE)</f>
        <v>ZTWM-CDGS-XS-2024-0134-商投建工达州中医药科技成果示范园项目</v>
      </c>
      <c r="R2021" s="22" t="str">
        <f>_xlfn._xlws.FILTER(辅助信息!D:D,辅助信息!E:E=B2021)</f>
        <v>商投建工达州中医药科技园</v>
      </c>
    </row>
    <row r="2022" hidden="1" spans="2:18">
      <c r="B2022" s="113" t="s">
        <v>47</v>
      </c>
      <c r="C2022" s="63">
        <v>45835</v>
      </c>
      <c r="D2022" s="113" t="str">
        <f>VLOOKUP(B2022,辅助信息!E:K,7,FALSE)</f>
        <v>JWDDCD2025052800131</v>
      </c>
      <c r="E2022" s="113" t="str">
        <f>VLOOKUP(F2022,辅助信息!A:B,2,FALSE)</f>
        <v>螺纹钢</v>
      </c>
      <c r="F2022" s="113" t="s">
        <v>22</v>
      </c>
      <c r="G2022" s="114">
        <v>9</v>
      </c>
      <c r="H2022" s="127">
        <f>_xlfn.XLOOKUP(C2022&amp;F2022&amp;I2022&amp;J2022,'[1]2025年已发货'!$F:$F&amp;'[1]2025年已发货'!$C:$C&amp;'[1]2025年已发货'!$G:$G&amp;'[1]2025年已发货'!$H:$H,'[1]2025年已发货'!$E:$E,"未发货")</f>
        <v>5</v>
      </c>
      <c r="I2022" s="113" t="str">
        <f>VLOOKUP(B2022,辅助信息!E:I,3,FALSE)</f>
        <v>（商投建工达州中医药科技园-1工区）达州市通川区达州中医药职业学院犀牛大道北段</v>
      </c>
      <c r="J2022" s="113" t="str">
        <f>VLOOKUP(B2022,辅助信息!E:I,4,FALSE)</f>
        <v>程黄刚</v>
      </c>
      <c r="K2022" s="113">
        <f>VLOOKUP(J2022,辅助信息!H:I,2,FALSE)</f>
        <v>15108211617</v>
      </c>
      <c r="L2022" s="115" t="str">
        <f>VLOOKUP(B2022,辅助信息!E:J,6,FALSE)</f>
        <v>控制炉批号！多了现场不收！,优先安排达钢,提前联系到场规格及数量</v>
      </c>
      <c r="M2022" s="84">
        <v>45835</v>
      </c>
      <c r="O2022" s="55">
        <f ca="1" t="shared" si="133"/>
        <v>0</v>
      </c>
      <c r="P2022" s="55">
        <f ca="1" t="shared" si="134"/>
        <v>122</v>
      </c>
      <c r="Q2022" s="22" t="str">
        <f>VLOOKUP(B2022,辅助信息!E:M,9,FALSE)</f>
        <v>ZTWM-CDGS-XS-2024-0134-商投建工达州中医药科技成果示范园项目</v>
      </c>
      <c r="R2022" s="22" t="str">
        <f>_xlfn._xlws.FILTER(辅助信息!D:D,辅助信息!E:E=B2022)</f>
        <v>商投建工达州中医药科技园</v>
      </c>
    </row>
    <row r="2023" hidden="1" spans="2:18">
      <c r="B2023" s="113" t="s">
        <v>167</v>
      </c>
      <c r="C2023" s="63">
        <v>45835</v>
      </c>
      <c r="D2023" s="113" t="str">
        <f>VLOOKUP(B2023,辅助信息!E:K,7,FALSE)</f>
        <v>JWDDCD2025102100473</v>
      </c>
      <c r="E2023" s="113" t="str">
        <f>VLOOKUP(F2023,辅助信息!A:B,2,FALSE)</f>
        <v>盘螺</v>
      </c>
      <c r="F2023" s="113" t="s">
        <v>40</v>
      </c>
      <c r="G2023" s="114">
        <v>5</v>
      </c>
      <c r="H2023" s="127">
        <f>_xlfn.XLOOKUP(C2023&amp;F2023&amp;I2023&amp;J2023,'[1]2025年已发货'!$F:$F&amp;'[1]2025年已发货'!$C:$C&amp;'[1]2025年已发货'!$G:$G&amp;'[1]2025年已发货'!$H:$H,'[1]2025年已发货'!$E:$E,"未发货")</f>
        <v>5</v>
      </c>
      <c r="I2023" s="113" t="str">
        <f>VLOOKUP(B2023,辅助信息!E:I,3,FALSE)</f>
        <v>(五冶建设扩建艺体中学二期工程)四川省成都市双流区光荣路成都艺体中学南200米</v>
      </c>
      <c r="J2023" s="113" t="str">
        <f>VLOOKUP(B2023,辅助信息!E:I,4,FALSE)</f>
        <v>谢序强</v>
      </c>
      <c r="K2023" s="113">
        <f>VLOOKUP(J2023,辅助信息!H:I,2,FALSE)</f>
        <v>13458588232</v>
      </c>
      <c r="L2023" s="115"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84">
        <v>45835</v>
      </c>
      <c r="O2023" s="55">
        <f ca="1" t="shared" ref="O2023:O2042" si="135">IF(OR(M2023="",N2023&lt;&gt;""),"",MAX(M2023-TODAY(),0))</f>
        <v>0</v>
      </c>
      <c r="P2023" s="55">
        <f ca="1" t="shared" ref="P2023:P2042" si="136">IF(M2023="","",IF(N2023&lt;&gt;"",MAX(N2023-M2023,0),IF(TODAY()&gt;M2023,TODAY()-M2023,0)))</f>
        <v>122</v>
      </c>
      <c r="Q2023" s="22" t="str">
        <f>VLOOKUP(B2023,辅助信息!E:M,9,FALSE)</f>
        <v>ZTWM-CDGS-XS-2025-0073-五冶天府-成都怡心湖片区及龙泉驿医院等项目</v>
      </c>
      <c r="R2023" s="22" t="str">
        <f>_xlfn._xlws.FILTER(辅助信息!D:D,辅助信息!E:E=B2023)</f>
        <v>五冶建设扩建艺体中学二期工程</v>
      </c>
    </row>
    <row r="2024" hidden="1" spans="2:18">
      <c r="B2024" s="113" t="s">
        <v>167</v>
      </c>
      <c r="C2024" s="63">
        <v>45835</v>
      </c>
      <c r="D2024" s="113" t="str">
        <f>VLOOKUP(B2024,辅助信息!E:K,7,FALSE)</f>
        <v>JWDDCD2025102100473</v>
      </c>
      <c r="E2024" s="113" t="str">
        <f>VLOOKUP(F2024,辅助信息!A:B,2,FALSE)</f>
        <v>盘螺</v>
      </c>
      <c r="F2024" s="113" t="s">
        <v>41</v>
      </c>
      <c r="G2024" s="114">
        <v>10</v>
      </c>
      <c r="H2024" s="127">
        <f>_xlfn.XLOOKUP(C2024&amp;F2024&amp;I2024&amp;J2024,'[1]2025年已发货'!$F:$F&amp;'[1]2025年已发货'!$C:$C&amp;'[1]2025年已发货'!$G:$G&amp;'[1]2025年已发货'!$H:$H,'[1]2025年已发货'!$E:$E,"未发货")</f>
        <v>10</v>
      </c>
      <c r="I2024" s="113" t="str">
        <f>VLOOKUP(B2024,辅助信息!E:I,3,FALSE)</f>
        <v>(五冶建设扩建艺体中学二期工程)四川省成都市双流区光荣路成都艺体中学南200米</v>
      </c>
      <c r="J2024" s="113" t="str">
        <f>VLOOKUP(B2024,辅助信息!E:I,4,FALSE)</f>
        <v>谢序强</v>
      </c>
      <c r="K2024" s="113">
        <f>VLOOKUP(J2024,辅助信息!H:I,2,FALSE)</f>
        <v>13458588232</v>
      </c>
      <c r="L2024" s="115"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84">
        <v>45835</v>
      </c>
      <c r="O2024" s="55">
        <f ca="1" t="shared" si="135"/>
        <v>0</v>
      </c>
      <c r="P2024" s="55">
        <f ca="1" t="shared" si="136"/>
        <v>122</v>
      </c>
      <c r="Q2024" s="22" t="str">
        <f>VLOOKUP(B2024,辅助信息!E:M,9,FALSE)</f>
        <v>ZTWM-CDGS-XS-2025-0073-五冶天府-成都怡心湖片区及龙泉驿医院等项目</v>
      </c>
      <c r="R2024" s="22" t="str">
        <f>_xlfn._xlws.FILTER(辅助信息!D:D,辅助信息!E:E=B2024)</f>
        <v>五冶建设扩建艺体中学二期工程</v>
      </c>
    </row>
    <row r="2025" hidden="1" spans="2:18">
      <c r="B2025" s="113" t="s">
        <v>167</v>
      </c>
      <c r="C2025" s="63">
        <v>45835</v>
      </c>
      <c r="D2025" s="113" t="str">
        <f>VLOOKUP(B2025,辅助信息!E:K,7,FALSE)</f>
        <v>JWDDCD2025102100473</v>
      </c>
      <c r="E2025" s="113" t="str">
        <f>VLOOKUP(F2025,辅助信息!A:B,2,FALSE)</f>
        <v>螺纹钢</v>
      </c>
      <c r="F2025" s="113" t="s">
        <v>19</v>
      </c>
      <c r="G2025" s="114">
        <v>33</v>
      </c>
      <c r="H2025" s="127">
        <f>_xlfn.XLOOKUP(C2025&amp;F2025&amp;I2025&amp;J2025,'[1]2025年已发货'!$F:$F&amp;'[1]2025年已发货'!$C:$C&amp;'[1]2025年已发货'!$G:$G&amp;'[1]2025年已发货'!$H:$H,'[1]2025年已发货'!$E:$E,"未发货")</f>
        <v>28</v>
      </c>
      <c r="I2025" s="113" t="str">
        <f>VLOOKUP(B2025,辅助信息!E:I,3,FALSE)</f>
        <v>(五冶建设扩建艺体中学二期工程)四川省成都市双流区光荣路成都艺体中学南200米</v>
      </c>
      <c r="J2025" s="113" t="str">
        <f>VLOOKUP(B2025,辅助信息!E:I,4,FALSE)</f>
        <v>谢序强</v>
      </c>
      <c r="K2025" s="113">
        <f>VLOOKUP(J2025,辅助信息!H:I,2,FALSE)</f>
        <v>13458588232</v>
      </c>
      <c r="L2025" s="115"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84">
        <v>45835</v>
      </c>
      <c r="O2025" s="55">
        <f ca="1" t="shared" si="135"/>
        <v>0</v>
      </c>
      <c r="P2025" s="55">
        <f ca="1" t="shared" si="136"/>
        <v>122</v>
      </c>
      <c r="Q2025" s="22" t="str">
        <f>VLOOKUP(B2025,辅助信息!E:M,9,FALSE)</f>
        <v>ZTWM-CDGS-XS-2025-0073-五冶天府-成都怡心湖片区及龙泉驿医院等项目</v>
      </c>
      <c r="R2025" s="22" t="str">
        <f>_xlfn._xlws.FILTER(辅助信息!D:D,辅助信息!E:E=B2025)</f>
        <v>五冶建设扩建艺体中学二期工程</v>
      </c>
    </row>
    <row r="2026" hidden="1" spans="2:18">
      <c r="B2026" s="113" t="s">
        <v>167</v>
      </c>
      <c r="C2026" s="63">
        <v>45835</v>
      </c>
      <c r="D2026" s="113" t="str">
        <f>VLOOKUP(B2026,辅助信息!E:K,7,FALSE)</f>
        <v>JWDDCD2025102100473</v>
      </c>
      <c r="E2026" s="113" t="str">
        <f>VLOOKUP(F2026,辅助信息!A:B,2,FALSE)</f>
        <v>螺纹钢</v>
      </c>
      <c r="F2026" s="113" t="s">
        <v>32</v>
      </c>
      <c r="G2026" s="114">
        <v>24</v>
      </c>
      <c r="H2026" s="127">
        <f>_xlfn.XLOOKUP(C2026&amp;F2026&amp;I2026&amp;J2026,'[1]2025年已发货'!$F:$F&amp;'[1]2025年已发货'!$C:$C&amp;'[1]2025年已发货'!$G:$G&amp;'[1]2025年已发货'!$H:$H,'[1]2025年已发货'!$E:$E,"未发货")</f>
        <v>24</v>
      </c>
      <c r="I2026" s="113" t="str">
        <f>VLOOKUP(B2026,辅助信息!E:I,3,FALSE)</f>
        <v>(五冶建设扩建艺体中学二期工程)四川省成都市双流区光荣路成都艺体中学南200米</v>
      </c>
      <c r="J2026" s="113" t="str">
        <f>VLOOKUP(B2026,辅助信息!E:I,4,FALSE)</f>
        <v>谢序强</v>
      </c>
      <c r="K2026" s="113">
        <f>VLOOKUP(J2026,辅助信息!H:I,2,FALSE)</f>
        <v>13458588232</v>
      </c>
      <c r="L2026" s="115"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84">
        <v>45835</v>
      </c>
      <c r="O2026" s="55">
        <f ca="1" t="shared" si="135"/>
        <v>0</v>
      </c>
      <c r="P2026" s="55">
        <f ca="1" t="shared" si="136"/>
        <v>122</v>
      </c>
      <c r="Q2026" s="22" t="str">
        <f>VLOOKUP(B2026,辅助信息!E:M,9,FALSE)</f>
        <v>ZTWM-CDGS-XS-2025-0073-五冶天府-成都怡心湖片区及龙泉驿医院等项目</v>
      </c>
      <c r="R2026" s="22" t="str">
        <f>_xlfn._xlws.FILTER(辅助信息!D:D,辅助信息!E:E=B2026)</f>
        <v>五冶建设扩建艺体中学二期工程</v>
      </c>
    </row>
    <row r="2027" hidden="1" spans="2:18">
      <c r="B2027" s="113" t="s">
        <v>167</v>
      </c>
      <c r="C2027" s="63">
        <v>45835</v>
      </c>
      <c r="D2027" s="113" t="str">
        <f>VLOOKUP(B2027,辅助信息!E:K,7,FALSE)</f>
        <v>JWDDCD2025102100473</v>
      </c>
      <c r="E2027" s="113" t="str">
        <f>VLOOKUP(F2027,辅助信息!A:B,2,FALSE)</f>
        <v>螺纹钢</v>
      </c>
      <c r="F2027" s="113" t="s">
        <v>30</v>
      </c>
      <c r="G2027" s="114">
        <v>6</v>
      </c>
      <c r="H2027" s="127">
        <f>_xlfn.XLOOKUP(C2027&amp;F2027&amp;I2027&amp;J2027,'[1]2025年已发货'!$F:$F&amp;'[1]2025年已发货'!$C:$C&amp;'[1]2025年已发货'!$G:$G&amp;'[1]2025年已发货'!$H:$H,'[1]2025年已发货'!$E:$E,"未发货")</f>
        <v>6</v>
      </c>
      <c r="I2027" s="113" t="str">
        <f>VLOOKUP(B2027,辅助信息!E:I,3,FALSE)</f>
        <v>(五冶建设扩建艺体中学二期工程)四川省成都市双流区光荣路成都艺体中学南200米</v>
      </c>
      <c r="J2027" s="113" t="str">
        <f>VLOOKUP(B2027,辅助信息!E:I,4,FALSE)</f>
        <v>谢序强</v>
      </c>
      <c r="K2027" s="113">
        <f>VLOOKUP(J2027,辅助信息!H:I,2,FALSE)</f>
        <v>13458588232</v>
      </c>
      <c r="L2027" s="115"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84">
        <v>45835</v>
      </c>
      <c r="O2027" s="55">
        <f ca="1" t="shared" si="135"/>
        <v>0</v>
      </c>
      <c r="P2027" s="55">
        <f ca="1" t="shared" si="136"/>
        <v>122</v>
      </c>
      <c r="Q2027" s="22" t="str">
        <f>VLOOKUP(B2027,辅助信息!E:M,9,FALSE)</f>
        <v>ZTWM-CDGS-XS-2025-0073-五冶天府-成都怡心湖片区及龙泉驿医院等项目</v>
      </c>
      <c r="R2027" s="22" t="str">
        <f>_xlfn._xlws.FILTER(辅助信息!D:D,辅助信息!E:E=B2027)</f>
        <v>五冶建设扩建艺体中学二期工程</v>
      </c>
    </row>
    <row r="2028" hidden="1" spans="2:18">
      <c r="B2028" s="113" t="s">
        <v>167</v>
      </c>
      <c r="C2028" s="63">
        <v>45835</v>
      </c>
      <c r="D2028" s="113" t="str">
        <f>VLOOKUP(B2028,辅助信息!E:K,7,FALSE)</f>
        <v>JWDDCD2025102100473</v>
      </c>
      <c r="E2028" s="113" t="str">
        <f>VLOOKUP(F2028,辅助信息!A:B,2,FALSE)</f>
        <v>螺纹钢</v>
      </c>
      <c r="F2028" s="113" t="s">
        <v>33</v>
      </c>
      <c r="G2028" s="114">
        <v>15</v>
      </c>
      <c r="H2028" s="127">
        <f>_xlfn.XLOOKUP(C2028&amp;F2028&amp;I2028&amp;J2028,'[1]2025年已发货'!$F:$F&amp;'[1]2025年已发货'!$C:$C&amp;'[1]2025年已发货'!$G:$G&amp;'[1]2025年已发货'!$H:$H,'[1]2025年已发货'!$E:$E,"未发货")</f>
        <v>15</v>
      </c>
      <c r="I2028" s="113" t="str">
        <f>VLOOKUP(B2028,辅助信息!E:I,3,FALSE)</f>
        <v>(五冶建设扩建艺体中学二期工程)四川省成都市双流区光荣路成都艺体中学南200米</v>
      </c>
      <c r="J2028" s="113" t="str">
        <f>VLOOKUP(B2028,辅助信息!E:I,4,FALSE)</f>
        <v>谢序强</v>
      </c>
      <c r="K2028" s="113">
        <f>VLOOKUP(J2028,辅助信息!H:I,2,FALSE)</f>
        <v>13458588232</v>
      </c>
      <c r="L2028" s="115"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84">
        <v>45835</v>
      </c>
      <c r="O2028" s="55">
        <f ca="1" t="shared" si="135"/>
        <v>0</v>
      </c>
      <c r="P2028" s="55">
        <f ca="1" t="shared" si="136"/>
        <v>122</v>
      </c>
      <c r="Q2028" s="22" t="str">
        <f>VLOOKUP(B2028,辅助信息!E:M,9,FALSE)</f>
        <v>ZTWM-CDGS-XS-2025-0073-五冶天府-成都怡心湖片区及龙泉驿医院等项目</v>
      </c>
      <c r="R2028" s="22" t="str">
        <f>_xlfn._xlws.FILTER(辅助信息!D:D,辅助信息!E:E=B2028)</f>
        <v>五冶建设扩建艺体中学二期工程</v>
      </c>
    </row>
    <row r="2029" hidden="1" spans="2:18">
      <c r="B2029" s="113" t="s">
        <v>167</v>
      </c>
      <c r="C2029" s="63">
        <v>45835</v>
      </c>
      <c r="D2029" s="113" t="str">
        <f>VLOOKUP(B2029,辅助信息!E:K,7,FALSE)</f>
        <v>JWDDCD2025102100473</v>
      </c>
      <c r="E2029" s="113" t="str">
        <f>VLOOKUP(F2029,辅助信息!A:B,2,FALSE)</f>
        <v>螺纹钢</v>
      </c>
      <c r="F2029" s="113" t="s">
        <v>28</v>
      </c>
      <c r="G2029" s="114">
        <v>15</v>
      </c>
      <c r="H2029" s="127">
        <f>_xlfn.XLOOKUP(C2029&amp;F2029&amp;I2029&amp;J2029,'[1]2025年已发货'!$F:$F&amp;'[1]2025年已发货'!$C:$C&amp;'[1]2025年已发货'!$G:$G&amp;'[1]2025年已发货'!$H:$H,'[1]2025年已发货'!$E:$E,"未发货")</f>
        <v>15</v>
      </c>
      <c r="I2029" s="113" t="str">
        <f>VLOOKUP(B2029,辅助信息!E:I,3,FALSE)</f>
        <v>(五冶建设扩建艺体中学二期工程)四川省成都市双流区光荣路成都艺体中学南200米</v>
      </c>
      <c r="J2029" s="113" t="str">
        <f>VLOOKUP(B2029,辅助信息!E:I,4,FALSE)</f>
        <v>谢序强</v>
      </c>
      <c r="K2029" s="113">
        <f>VLOOKUP(J2029,辅助信息!H:I,2,FALSE)</f>
        <v>13458588232</v>
      </c>
      <c r="L2029" s="115"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84">
        <v>45835</v>
      </c>
      <c r="O2029" s="55">
        <f ca="1" t="shared" si="135"/>
        <v>0</v>
      </c>
      <c r="P2029" s="55">
        <f ca="1" t="shared" si="136"/>
        <v>122</v>
      </c>
      <c r="Q2029" s="22" t="str">
        <f>VLOOKUP(B2029,辅助信息!E:M,9,FALSE)</f>
        <v>ZTWM-CDGS-XS-2025-0073-五冶天府-成都怡心湖片区及龙泉驿医院等项目</v>
      </c>
      <c r="R2029" s="22" t="str">
        <f>_xlfn._xlws.FILTER(辅助信息!D:D,辅助信息!E:E=B2029)</f>
        <v>五冶建设扩建艺体中学二期工程</v>
      </c>
    </row>
    <row r="2030" hidden="1" spans="1:18">
      <c r="A2030" s="64" t="s">
        <v>183</v>
      </c>
      <c r="B2030" s="33" t="s">
        <v>81</v>
      </c>
      <c r="C2030" s="63">
        <v>45835</v>
      </c>
      <c r="D2030" s="113" t="str">
        <f>VLOOKUP(B2030,辅助信息!E:K,7,FALSE)</f>
        <v>JWDDCD2025060900080</v>
      </c>
      <c r="E2030" s="113" t="str">
        <f>VLOOKUP(F2030,辅助信息!A:B,2,FALSE)</f>
        <v>盘螺</v>
      </c>
      <c r="F2030" s="33" t="s">
        <v>40</v>
      </c>
      <c r="G2030" s="29">
        <v>13</v>
      </c>
      <c r="H2030" s="127">
        <f>_xlfn.XLOOKUP(C2030&amp;F2030&amp;I2030&amp;J2030,'[1]2025年已发货'!$F:$F&amp;'[1]2025年已发货'!$C:$C&amp;'[1]2025年已发货'!$G:$G&amp;'[1]2025年已发货'!$H:$H,'[1]2025年已发货'!$E:$E,"未发货")</f>
        <v>13</v>
      </c>
      <c r="I2030" s="113" t="str">
        <f>VLOOKUP(B2030,辅助信息!E:I,3,FALSE)</f>
        <v>（华西简阳西城嘉苑）四川省成都市简阳市简城街道高屋村</v>
      </c>
      <c r="J2030" s="113" t="str">
        <f>VLOOKUP(B2030,辅助信息!E:I,4,FALSE)</f>
        <v>张瀚镭</v>
      </c>
      <c r="K2030" s="113">
        <f>VLOOKUP(J2030,辅助信息!H:I,2,FALSE)</f>
        <v>15884666220</v>
      </c>
      <c r="L2030" s="115" t="str">
        <f>VLOOKUP(B2030,辅助信息!E:J,6,FALSE)</f>
        <v>现场禁止使用氢能源挂车！优先威钢发货,我方卸车,新老国标钢厂不加价可直发，因陕钢多次出现磅差，项目拒绝使用</v>
      </c>
      <c r="M2030" s="84">
        <v>45835</v>
      </c>
      <c r="O2030" s="55">
        <f ca="1" t="shared" si="135"/>
        <v>0</v>
      </c>
      <c r="P2030" s="55">
        <f ca="1" t="shared" si="136"/>
        <v>122</v>
      </c>
      <c r="Q2030" s="22" t="str">
        <f>VLOOKUP(B2030,辅助信息!E:M,9,FALSE)</f>
        <v>ZTWM-CDGS-XS-2024-0030-华西集采-简州大道</v>
      </c>
      <c r="R2030" s="22" t="str">
        <f>_xlfn._xlws.FILTER(辅助信息!D:D,辅助信息!E:E=B2030)</f>
        <v>华西简阳西城嘉苑</v>
      </c>
    </row>
    <row r="2031" hidden="1" spans="1:18">
      <c r="A2031" s="64"/>
      <c r="B2031" s="33" t="s">
        <v>81</v>
      </c>
      <c r="C2031" s="63">
        <v>45835</v>
      </c>
      <c r="D2031" s="113" t="str">
        <f>VLOOKUP(B2031,辅助信息!E:K,7,FALSE)</f>
        <v>JWDDCD2025060900080</v>
      </c>
      <c r="E2031" s="113" t="str">
        <f>VLOOKUP(F2031,辅助信息!A:B,2,FALSE)</f>
        <v>盘螺</v>
      </c>
      <c r="F2031" s="33" t="s">
        <v>41</v>
      </c>
      <c r="G2031" s="29">
        <v>13</v>
      </c>
      <c r="H2031" s="127">
        <f>_xlfn.XLOOKUP(C2031&amp;F2031&amp;I2031&amp;J2031,'[1]2025年已发货'!$F:$F&amp;'[1]2025年已发货'!$C:$C&amp;'[1]2025年已发货'!$G:$G&amp;'[1]2025年已发货'!$H:$H,'[1]2025年已发货'!$E:$E,"未发货")</f>
        <v>14</v>
      </c>
      <c r="I2031" s="113" t="str">
        <f>VLOOKUP(B2031,辅助信息!E:I,3,FALSE)</f>
        <v>（华西简阳西城嘉苑）四川省成都市简阳市简城街道高屋村</v>
      </c>
      <c r="J2031" s="113" t="str">
        <f>VLOOKUP(B2031,辅助信息!E:I,4,FALSE)</f>
        <v>张瀚镭</v>
      </c>
      <c r="K2031" s="113">
        <f>VLOOKUP(J2031,辅助信息!H:I,2,FALSE)</f>
        <v>15884666220</v>
      </c>
      <c r="L2031" s="115" t="str">
        <f>VLOOKUP(B2031,辅助信息!E:J,6,FALSE)</f>
        <v>现场禁止使用氢能源挂车！优先威钢发货,我方卸车,新老国标钢厂不加价可直发，因陕钢多次出现磅差，项目拒绝使用</v>
      </c>
      <c r="M2031" s="84">
        <v>45835</v>
      </c>
      <c r="O2031" s="55">
        <f ca="1" t="shared" si="135"/>
        <v>0</v>
      </c>
      <c r="P2031" s="55">
        <f ca="1" t="shared" si="136"/>
        <v>122</v>
      </c>
      <c r="Q2031" s="22" t="str">
        <f>VLOOKUP(B2031,辅助信息!E:M,9,FALSE)</f>
        <v>ZTWM-CDGS-XS-2024-0030-华西集采-简州大道</v>
      </c>
      <c r="R2031" s="22" t="str">
        <f>_xlfn._xlws.FILTER(辅助信息!D:D,辅助信息!E:E=B2031)</f>
        <v>华西简阳西城嘉苑</v>
      </c>
    </row>
    <row r="2032" hidden="1" spans="1:18">
      <c r="A2032" s="64"/>
      <c r="B2032" s="33" t="s">
        <v>81</v>
      </c>
      <c r="C2032" s="63">
        <v>45835</v>
      </c>
      <c r="D2032" s="113" t="str">
        <f>VLOOKUP(B2032,辅助信息!E:K,7,FALSE)</f>
        <v>JWDDCD2025060900080</v>
      </c>
      <c r="E2032" s="113" t="str">
        <f>VLOOKUP(F2032,辅助信息!A:B,2,FALSE)</f>
        <v>盘螺</v>
      </c>
      <c r="F2032" s="33" t="s">
        <v>26</v>
      </c>
      <c r="G2032" s="29">
        <v>3</v>
      </c>
      <c r="H2032" s="127">
        <f>_xlfn.XLOOKUP(C2032&amp;F2032&amp;I2032&amp;J2032,'[1]2025年已发货'!$F:$F&amp;'[1]2025年已发货'!$C:$C&amp;'[1]2025年已发货'!$G:$G&amp;'[1]2025年已发货'!$H:$H,'[1]2025年已发货'!$E:$E,"未发货")</f>
        <v>3</v>
      </c>
      <c r="I2032" s="113" t="str">
        <f>VLOOKUP(B2032,辅助信息!E:I,3,FALSE)</f>
        <v>（华西简阳西城嘉苑）四川省成都市简阳市简城街道高屋村</v>
      </c>
      <c r="J2032" s="113" t="str">
        <f>VLOOKUP(B2032,辅助信息!E:I,4,FALSE)</f>
        <v>张瀚镭</v>
      </c>
      <c r="K2032" s="113">
        <f>VLOOKUP(J2032,辅助信息!H:I,2,FALSE)</f>
        <v>15884666220</v>
      </c>
      <c r="L2032" s="115" t="str">
        <f>VLOOKUP(B2032,辅助信息!E:J,6,FALSE)</f>
        <v>现场禁止使用氢能源挂车！优先威钢发货,我方卸车,新老国标钢厂不加价可直发，因陕钢多次出现磅差，项目拒绝使用</v>
      </c>
      <c r="M2032" s="84">
        <v>45835</v>
      </c>
      <c r="O2032" s="55">
        <f ca="1" t="shared" si="135"/>
        <v>0</v>
      </c>
      <c r="P2032" s="55">
        <f ca="1" t="shared" si="136"/>
        <v>122</v>
      </c>
      <c r="Q2032" s="22" t="str">
        <f>VLOOKUP(B2032,辅助信息!E:M,9,FALSE)</f>
        <v>ZTWM-CDGS-XS-2024-0030-华西集采-简州大道</v>
      </c>
      <c r="R2032" s="22" t="str">
        <f>_xlfn._xlws.FILTER(辅助信息!D:D,辅助信息!E:E=B2032)</f>
        <v>华西简阳西城嘉苑</v>
      </c>
    </row>
    <row r="2033" hidden="1" spans="1:18">
      <c r="A2033" s="64"/>
      <c r="B2033" s="33" t="s">
        <v>81</v>
      </c>
      <c r="C2033" s="63">
        <v>45835</v>
      </c>
      <c r="D2033" s="113" t="str">
        <f>VLOOKUP(B2033,辅助信息!E:K,7,FALSE)</f>
        <v>JWDDCD2025060900080</v>
      </c>
      <c r="E2033" s="113" t="str">
        <f>VLOOKUP(F2033,辅助信息!A:B,2,FALSE)</f>
        <v>螺纹钢</v>
      </c>
      <c r="F2033" s="33" t="s">
        <v>19</v>
      </c>
      <c r="G2033" s="29">
        <v>6</v>
      </c>
      <c r="H2033" s="127">
        <f>_xlfn.XLOOKUP(C2033&amp;F2033&amp;I2033&amp;J2033,'[1]2025年已发货'!$F:$F&amp;'[1]2025年已发货'!$C:$C&amp;'[1]2025年已发货'!$G:$G&amp;'[1]2025年已发货'!$H:$H,'[1]2025年已发货'!$E:$E,"未发货")</f>
        <v>6</v>
      </c>
      <c r="I2033" s="113" t="str">
        <f>VLOOKUP(B2033,辅助信息!E:I,3,FALSE)</f>
        <v>（华西简阳西城嘉苑）四川省成都市简阳市简城街道高屋村</v>
      </c>
      <c r="J2033" s="113" t="str">
        <f>VLOOKUP(B2033,辅助信息!E:I,4,FALSE)</f>
        <v>张瀚镭</v>
      </c>
      <c r="K2033" s="113">
        <f>VLOOKUP(J2033,辅助信息!H:I,2,FALSE)</f>
        <v>15884666220</v>
      </c>
      <c r="L2033" s="115" t="str">
        <f>VLOOKUP(B2033,辅助信息!E:J,6,FALSE)</f>
        <v>现场禁止使用氢能源挂车！优先威钢发货,我方卸车,新老国标钢厂不加价可直发，因陕钢多次出现磅差，项目拒绝使用</v>
      </c>
      <c r="M2033" s="84">
        <v>45835</v>
      </c>
      <c r="O2033" s="55">
        <f ca="1" t="shared" si="135"/>
        <v>0</v>
      </c>
      <c r="P2033" s="55">
        <f ca="1" t="shared" si="136"/>
        <v>122</v>
      </c>
      <c r="Q2033" s="22" t="str">
        <f>VLOOKUP(B2033,辅助信息!E:M,9,FALSE)</f>
        <v>ZTWM-CDGS-XS-2024-0030-华西集采-简州大道</v>
      </c>
      <c r="R2033" s="22" t="str">
        <f>_xlfn._xlws.FILTER(辅助信息!D:D,辅助信息!E:E=B2033)</f>
        <v>华西简阳西城嘉苑</v>
      </c>
    </row>
    <row r="2034" hidden="1" spans="1:18">
      <c r="A2034" s="64"/>
      <c r="B2034" s="33" t="s">
        <v>81</v>
      </c>
      <c r="C2034" s="63">
        <v>45835</v>
      </c>
      <c r="D2034" s="113" t="str">
        <f>VLOOKUP(B2034,辅助信息!E:K,7,FALSE)</f>
        <v>JWDDCD2025060900080</v>
      </c>
      <c r="E2034" s="113" t="str">
        <f>VLOOKUP(F2034,辅助信息!A:B,2,FALSE)</f>
        <v>螺纹钢</v>
      </c>
      <c r="F2034" s="33" t="s">
        <v>32</v>
      </c>
      <c r="G2034" s="29">
        <v>6</v>
      </c>
      <c r="H2034" s="127">
        <f>_xlfn.XLOOKUP(C2034&amp;F2034&amp;I2034&amp;J2034,'[1]2025年已发货'!$F:$F&amp;'[1]2025年已发货'!$C:$C&amp;'[1]2025年已发货'!$G:$G&amp;'[1]2025年已发货'!$H:$H,'[1]2025年已发货'!$E:$E,"未发货")</f>
        <v>6</v>
      </c>
      <c r="I2034" s="113" t="str">
        <f>VLOOKUP(B2034,辅助信息!E:I,3,FALSE)</f>
        <v>（华西简阳西城嘉苑）四川省成都市简阳市简城街道高屋村</v>
      </c>
      <c r="J2034" s="113" t="str">
        <f>VLOOKUP(B2034,辅助信息!E:I,4,FALSE)</f>
        <v>张瀚镭</v>
      </c>
      <c r="K2034" s="113">
        <f>VLOOKUP(J2034,辅助信息!H:I,2,FALSE)</f>
        <v>15884666220</v>
      </c>
      <c r="L2034" s="115" t="str">
        <f>VLOOKUP(B2034,辅助信息!E:J,6,FALSE)</f>
        <v>现场禁止使用氢能源挂车！优先威钢发货,我方卸车,新老国标钢厂不加价可直发，因陕钢多次出现磅差，项目拒绝使用</v>
      </c>
      <c r="M2034" s="84">
        <v>45835</v>
      </c>
      <c r="O2034" s="55">
        <f ca="1" t="shared" si="135"/>
        <v>0</v>
      </c>
      <c r="P2034" s="55">
        <f ca="1" t="shared" si="136"/>
        <v>122</v>
      </c>
      <c r="Q2034" s="22" t="str">
        <f>VLOOKUP(B2034,辅助信息!E:M,9,FALSE)</f>
        <v>ZTWM-CDGS-XS-2024-0030-华西集采-简州大道</v>
      </c>
      <c r="R2034" s="22" t="str">
        <f>_xlfn._xlws.FILTER(辅助信息!D:D,辅助信息!E:E=B2034)</f>
        <v>华西简阳西城嘉苑</v>
      </c>
    </row>
    <row r="2035" hidden="1" spans="1:18">
      <c r="A2035" s="64"/>
      <c r="B2035" s="33" t="s">
        <v>81</v>
      </c>
      <c r="C2035" s="63">
        <v>45835</v>
      </c>
      <c r="D2035" s="113" t="str">
        <f>VLOOKUP(B2035,辅助信息!E:K,7,FALSE)</f>
        <v>JWDDCD2025060900080</v>
      </c>
      <c r="E2035" s="113" t="str">
        <f>VLOOKUP(F2035,辅助信息!A:B,2,FALSE)</f>
        <v>螺纹钢</v>
      </c>
      <c r="F2035" s="33" t="s">
        <v>30</v>
      </c>
      <c r="G2035" s="29">
        <v>6</v>
      </c>
      <c r="H2035" s="127">
        <f>_xlfn.XLOOKUP(C2035&amp;F2035&amp;I2035&amp;J2035,'[1]2025年已发货'!$F:$F&amp;'[1]2025年已发货'!$C:$C&amp;'[1]2025年已发货'!$G:$G&amp;'[1]2025年已发货'!$H:$H,'[1]2025年已发货'!$E:$E,"未发货")</f>
        <v>6</v>
      </c>
      <c r="I2035" s="113" t="str">
        <f>VLOOKUP(B2035,辅助信息!E:I,3,FALSE)</f>
        <v>（华西简阳西城嘉苑）四川省成都市简阳市简城街道高屋村</v>
      </c>
      <c r="J2035" s="113" t="str">
        <f>VLOOKUP(B2035,辅助信息!E:I,4,FALSE)</f>
        <v>张瀚镭</v>
      </c>
      <c r="K2035" s="113">
        <f>VLOOKUP(J2035,辅助信息!H:I,2,FALSE)</f>
        <v>15884666220</v>
      </c>
      <c r="L2035" s="115" t="str">
        <f>VLOOKUP(B2035,辅助信息!E:J,6,FALSE)</f>
        <v>现场禁止使用氢能源挂车！优先威钢发货,我方卸车,新老国标钢厂不加价可直发，因陕钢多次出现磅差，项目拒绝使用</v>
      </c>
      <c r="M2035" s="84">
        <v>45835</v>
      </c>
      <c r="O2035" s="55">
        <f ca="1" t="shared" si="135"/>
        <v>0</v>
      </c>
      <c r="P2035" s="55">
        <f ca="1" t="shared" si="136"/>
        <v>122</v>
      </c>
      <c r="Q2035" s="22" t="str">
        <f>VLOOKUP(B2035,辅助信息!E:M,9,FALSE)</f>
        <v>ZTWM-CDGS-XS-2024-0030-华西集采-简州大道</v>
      </c>
      <c r="R2035" s="22" t="str">
        <f>_xlfn._xlws.FILTER(辅助信息!D:D,辅助信息!E:E=B2035)</f>
        <v>华西简阳西城嘉苑</v>
      </c>
    </row>
    <row r="2036" hidden="1" spans="1:18">
      <c r="A2036" s="64"/>
      <c r="B2036" s="33" t="s">
        <v>81</v>
      </c>
      <c r="C2036" s="63">
        <v>45835</v>
      </c>
      <c r="D2036" s="113" t="str">
        <f>VLOOKUP(B2036,辅助信息!E:K,7,FALSE)</f>
        <v>JWDDCD2025060900080</v>
      </c>
      <c r="E2036" s="113" t="str">
        <f>VLOOKUP(F2036,辅助信息!A:B,2,FALSE)</f>
        <v>螺纹钢</v>
      </c>
      <c r="F2036" s="33" t="s">
        <v>33</v>
      </c>
      <c r="G2036" s="29">
        <v>3</v>
      </c>
      <c r="H2036" s="127">
        <f>_xlfn.XLOOKUP(C2036&amp;F2036&amp;I2036&amp;J2036,'[1]2025年已发货'!$F:$F&amp;'[1]2025年已发货'!$C:$C&amp;'[1]2025年已发货'!$G:$G&amp;'[1]2025年已发货'!$H:$H,'[1]2025年已发货'!$E:$E,"未发货")</f>
        <v>3</v>
      </c>
      <c r="I2036" s="113" t="str">
        <f>VLOOKUP(B2036,辅助信息!E:I,3,FALSE)</f>
        <v>（华西简阳西城嘉苑）四川省成都市简阳市简城街道高屋村</v>
      </c>
      <c r="J2036" s="113" t="str">
        <f>VLOOKUP(B2036,辅助信息!E:I,4,FALSE)</f>
        <v>张瀚镭</v>
      </c>
      <c r="K2036" s="113">
        <f>VLOOKUP(J2036,辅助信息!H:I,2,FALSE)</f>
        <v>15884666220</v>
      </c>
      <c r="L2036" s="115" t="str">
        <f>VLOOKUP(B2036,辅助信息!E:J,6,FALSE)</f>
        <v>现场禁止使用氢能源挂车！优先威钢发货,我方卸车,新老国标钢厂不加价可直发，因陕钢多次出现磅差，项目拒绝使用</v>
      </c>
      <c r="M2036" s="84">
        <v>45835</v>
      </c>
      <c r="O2036" s="55">
        <f ca="1" t="shared" si="135"/>
        <v>0</v>
      </c>
      <c r="P2036" s="55">
        <f ca="1" t="shared" si="136"/>
        <v>122</v>
      </c>
      <c r="Q2036" s="22" t="str">
        <f>VLOOKUP(B2036,辅助信息!E:M,9,FALSE)</f>
        <v>ZTWM-CDGS-XS-2024-0030-华西集采-简州大道</v>
      </c>
      <c r="R2036" s="22" t="str">
        <f>_xlfn._xlws.FILTER(辅助信息!D:D,辅助信息!E:E=B2036)</f>
        <v>华西简阳西城嘉苑</v>
      </c>
    </row>
    <row r="2037" hidden="1" spans="1:18">
      <c r="A2037" s="64"/>
      <c r="B2037" s="33" t="s">
        <v>81</v>
      </c>
      <c r="C2037" s="63">
        <v>45835</v>
      </c>
      <c r="D2037" s="113" t="str">
        <f>VLOOKUP(B2037,辅助信息!E:K,7,FALSE)</f>
        <v>JWDDCD2025060900080</v>
      </c>
      <c r="E2037" s="113" t="str">
        <f>VLOOKUP(F2037,辅助信息!A:B,2,FALSE)</f>
        <v>螺纹钢</v>
      </c>
      <c r="F2037" s="33" t="s">
        <v>58</v>
      </c>
      <c r="G2037" s="29">
        <v>10</v>
      </c>
      <c r="H2037" s="127">
        <f>_xlfn.XLOOKUP(C2037&amp;F2037&amp;I2037&amp;J2037,'[1]2025年已发货'!$F:$F&amp;'[1]2025年已发货'!$C:$C&amp;'[1]2025年已发货'!$G:$G&amp;'[1]2025年已发货'!$H:$H,'[1]2025年已发货'!$E:$E,"未发货")</f>
        <v>10</v>
      </c>
      <c r="I2037" s="113" t="str">
        <f>VLOOKUP(B2037,辅助信息!E:I,3,FALSE)</f>
        <v>（华西简阳西城嘉苑）四川省成都市简阳市简城街道高屋村</v>
      </c>
      <c r="J2037" s="113" t="str">
        <f>VLOOKUP(B2037,辅助信息!E:I,4,FALSE)</f>
        <v>张瀚镭</v>
      </c>
      <c r="K2037" s="113">
        <f>VLOOKUP(J2037,辅助信息!H:I,2,FALSE)</f>
        <v>15884666220</v>
      </c>
      <c r="L2037" s="115" t="str">
        <f>VLOOKUP(B2037,辅助信息!E:J,6,FALSE)</f>
        <v>现场禁止使用氢能源挂车！优先威钢发货,我方卸车,新老国标钢厂不加价可直发，因陕钢多次出现磅差，项目拒绝使用</v>
      </c>
      <c r="M2037" s="84">
        <v>45835</v>
      </c>
      <c r="O2037" s="55">
        <f ca="1" t="shared" si="135"/>
        <v>0</v>
      </c>
      <c r="P2037" s="55">
        <f ca="1" t="shared" si="136"/>
        <v>122</v>
      </c>
      <c r="Q2037" s="22" t="str">
        <f>VLOOKUP(B2037,辅助信息!E:M,9,FALSE)</f>
        <v>ZTWM-CDGS-XS-2024-0030-华西集采-简州大道</v>
      </c>
      <c r="R2037" s="22" t="str">
        <f>_xlfn._xlws.FILTER(辅助信息!D:D,辅助信息!E:E=B2037)</f>
        <v>华西简阳西城嘉苑</v>
      </c>
    </row>
    <row r="2038" hidden="1" spans="1:18">
      <c r="A2038" s="64"/>
      <c r="B2038" s="33" t="s">
        <v>81</v>
      </c>
      <c r="C2038" s="63">
        <v>45835</v>
      </c>
      <c r="D2038" s="113" t="str">
        <f>VLOOKUP(B2038,辅助信息!E:K,7,FALSE)</f>
        <v>JWDDCD2025060900080</v>
      </c>
      <c r="E2038" s="113" t="str">
        <f>VLOOKUP(F2038,辅助信息!A:B,2,FALSE)</f>
        <v>螺纹钢</v>
      </c>
      <c r="F2038" s="33" t="s">
        <v>46</v>
      </c>
      <c r="G2038" s="29">
        <v>6</v>
      </c>
      <c r="H2038" s="127">
        <f>_xlfn.XLOOKUP(C2038&amp;F2038&amp;I2038&amp;J2038,'[1]2025年已发货'!$F:$F&amp;'[1]2025年已发货'!$C:$C&amp;'[1]2025年已发货'!$G:$G&amp;'[1]2025年已发货'!$H:$H,'[1]2025年已发货'!$E:$E,"未发货")</f>
        <v>6</v>
      </c>
      <c r="I2038" s="113" t="str">
        <f>VLOOKUP(B2038,辅助信息!E:I,3,FALSE)</f>
        <v>（华西简阳西城嘉苑）四川省成都市简阳市简城街道高屋村</v>
      </c>
      <c r="J2038" s="113" t="str">
        <f>VLOOKUP(B2038,辅助信息!E:I,4,FALSE)</f>
        <v>张瀚镭</v>
      </c>
      <c r="K2038" s="113">
        <f>VLOOKUP(J2038,辅助信息!H:I,2,FALSE)</f>
        <v>15884666220</v>
      </c>
      <c r="L2038" s="115" t="str">
        <f>VLOOKUP(B2038,辅助信息!E:J,6,FALSE)</f>
        <v>现场禁止使用氢能源挂车！优先威钢发货,我方卸车,新老国标钢厂不加价可直发，因陕钢多次出现磅差，项目拒绝使用</v>
      </c>
      <c r="M2038" s="84">
        <v>45835</v>
      </c>
      <c r="O2038" s="55">
        <f ca="1" t="shared" si="135"/>
        <v>0</v>
      </c>
      <c r="P2038" s="55">
        <f ca="1" t="shared" si="136"/>
        <v>122</v>
      </c>
      <c r="Q2038" s="22" t="str">
        <f>VLOOKUP(B2038,辅助信息!E:M,9,FALSE)</f>
        <v>ZTWM-CDGS-XS-2024-0030-华西集采-简州大道</v>
      </c>
      <c r="R2038" s="22" t="str">
        <f>_xlfn._xlws.FILTER(辅助信息!D:D,辅助信息!E:E=B2038)</f>
        <v>华西简阳西城嘉苑</v>
      </c>
    </row>
    <row r="2039" hidden="1" spans="1:18">
      <c r="A2039" s="64"/>
      <c r="B2039" s="33" t="s">
        <v>81</v>
      </c>
      <c r="C2039" s="63">
        <v>45835</v>
      </c>
      <c r="D2039" s="113" t="str">
        <f>VLOOKUP(B2039,辅助信息!E:K,7,FALSE)</f>
        <v>JWDDCD2025060900080</v>
      </c>
      <c r="E2039" s="113" t="str">
        <f>VLOOKUP(F2039,辅助信息!A:B,2,FALSE)</f>
        <v>螺纹钢</v>
      </c>
      <c r="F2039" s="33" t="s">
        <v>22</v>
      </c>
      <c r="G2039" s="29">
        <v>40</v>
      </c>
      <c r="H2039" s="127">
        <v>39</v>
      </c>
      <c r="I2039" s="113" t="str">
        <f>VLOOKUP(B2039,辅助信息!E:I,3,FALSE)</f>
        <v>（华西简阳西城嘉苑）四川省成都市简阳市简城街道高屋村</v>
      </c>
      <c r="J2039" s="113" t="str">
        <f>VLOOKUP(B2039,辅助信息!E:I,4,FALSE)</f>
        <v>张瀚镭</v>
      </c>
      <c r="K2039" s="113">
        <f>VLOOKUP(J2039,辅助信息!H:I,2,FALSE)</f>
        <v>15884666220</v>
      </c>
      <c r="L2039" s="115" t="str">
        <f>VLOOKUP(B2039,辅助信息!E:J,6,FALSE)</f>
        <v>现场禁止使用氢能源挂车！优先威钢发货,我方卸车,新老国标钢厂不加价可直发，因陕钢多次出现磅差，项目拒绝使用</v>
      </c>
      <c r="M2039" s="84">
        <v>45835</v>
      </c>
      <c r="O2039" s="55">
        <f ca="1" t="shared" si="135"/>
        <v>0</v>
      </c>
      <c r="P2039" s="55">
        <f ca="1" t="shared" si="136"/>
        <v>122</v>
      </c>
      <c r="Q2039" s="22" t="str">
        <f>VLOOKUP(B2039,辅助信息!E:M,9,FALSE)</f>
        <v>ZTWM-CDGS-XS-2024-0030-华西集采-简州大道</v>
      </c>
      <c r="R2039" s="22" t="str">
        <f>_xlfn._xlws.FILTER(辅助信息!D:D,辅助信息!E:E=B2039)</f>
        <v>华西简阳西城嘉苑</v>
      </c>
    </row>
    <row r="2040" hidden="1" spans="2:18">
      <c r="B2040" s="33" t="s">
        <v>159</v>
      </c>
      <c r="C2040" s="63">
        <v>45835</v>
      </c>
      <c r="D2040" s="113" t="str">
        <f>VLOOKUP(B2040,辅助信息!E:K,7,FALSE)</f>
        <v>JWDDCD2025052800131</v>
      </c>
      <c r="E2040" s="113" t="str">
        <f>VLOOKUP(F2040,辅助信息!A:B,2,FALSE)</f>
        <v>盘螺</v>
      </c>
      <c r="F2040" s="33" t="s">
        <v>40</v>
      </c>
      <c r="G2040" s="29">
        <v>20</v>
      </c>
      <c r="H2040" s="127">
        <f>_xlfn.XLOOKUP(C2040&amp;F2040&amp;I2040&amp;J2040,'[1]2025年已发货'!$F:$F&amp;'[1]2025年已发货'!$C:$C&amp;'[1]2025年已发货'!$G:$G&amp;'[1]2025年已发货'!$H:$H,'[1]2025年已发货'!$E:$E,"未发货")</f>
        <v>20</v>
      </c>
      <c r="I2040" s="113" t="str">
        <f>VLOOKUP(B2040,辅助信息!E:I,3,FALSE)</f>
        <v>（商投建工达州中医药科技园-3工区）达州市通川区达州中医药职业学院犀牛大道北段</v>
      </c>
      <c r="J2040" s="113" t="str">
        <f>VLOOKUP(B2040,辅助信息!E:I,4,FALSE)</f>
        <v>程黄刚</v>
      </c>
      <c r="K2040" s="113">
        <f>VLOOKUP(J2040,辅助信息!H:I,2,FALSE)</f>
        <v>15108211617</v>
      </c>
      <c r="L2040" s="115" t="str">
        <f>VLOOKUP(B2040,辅助信息!E:J,6,FALSE)</f>
        <v>控制炉批号！多了现场不收！,优先安排达钢,提前联系到场规格及数量</v>
      </c>
      <c r="M2040" s="84">
        <v>45835</v>
      </c>
      <c r="O2040" s="55">
        <f ca="1" t="shared" si="135"/>
        <v>0</v>
      </c>
      <c r="P2040" s="55">
        <f ca="1" t="shared" si="136"/>
        <v>122</v>
      </c>
      <c r="Q2040" s="22" t="str">
        <f>VLOOKUP(B2040,辅助信息!E:M,9,FALSE)</f>
        <v>ZTWM-CDGS-XS-2024-0134-商投建工达州中医药科技成果示范园项目</v>
      </c>
      <c r="R2040" s="22" t="str">
        <f>_xlfn._xlws.FILTER(辅助信息!D:D,辅助信息!E:E=B2040)</f>
        <v>商投建工达州中医药科技园</v>
      </c>
    </row>
    <row r="2041" hidden="1" spans="2:18">
      <c r="B2041" s="33" t="s">
        <v>159</v>
      </c>
      <c r="C2041" s="63">
        <v>45835</v>
      </c>
      <c r="D2041" s="113" t="str">
        <f>VLOOKUP(B2041,辅助信息!E:K,7,FALSE)</f>
        <v>JWDDCD2025052800131</v>
      </c>
      <c r="E2041" s="113" t="str">
        <f>VLOOKUP(F2041,辅助信息!A:B,2,FALSE)</f>
        <v>盘螺</v>
      </c>
      <c r="F2041" s="33" t="s">
        <v>41</v>
      </c>
      <c r="G2041" s="29">
        <v>33</v>
      </c>
      <c r="H2041" s="127">
        <f>_xlfn.XLOOKUP(C2041&amp;F2041&amp;I2041&amp;J2041,'[1]2025年已发货'!$F:$F&amp;'[1]2025年已发货'!$C:$C&amp;'[1]2025年已发货'!$G:$G&amp;'[1]2025年已发货'!$H:$H,'[1]2025年已发货'!$E:$E,"未发货")</f>
        <v>33</v>
      </c>
      <c r="I2041" s="113" t="str">
        <f>VLOOKUP(B2041,辅助信息!E:I,3,FALSE)</f>
        <v>（商投建工达州中医药科技园-3工区）达州市通川区达州中医药职业学院犀牛大道北段</v>
      </c>
      <c r="J2041" s="113" t="str">
        <f>VLOOKUP(B2041,辅助信息!E:I,4,FALSE)</f>
        <v>程黄刚</v>
      </c>
      <c r="K2041" s="113">
        <f>VLOOKUP(J2041,辅助信息!H:I,2,FALSE)</f>
        <v>15108211617</v>
      </c>
      <c r="L2041" s="115" t="str">
        <f>VLOOKUP(B2041,辅助信息!E:J,6,FALSE)</f>
        <v>控制炉批号！多了现场不收！,优先安排达钢,提前联系到场规格及数量</v>
      </c>
      <c r="M2041" s="84">
        <v>45835</v>
      </c>
      <c r="O2041" s="55">
        <f ca="1" t="shared" si="135"/>
        <v>0</v>
      </c>
      <c r="P2041" s="55">
        <f ca="1" t="shared" si="136"/>
        <v>122</v>
      </c>
      <c r="Q2041" s="22" t="str">
        <f>VLOOKUP(B2041,辅助信息!E:M,9,FALSE)</f>
        <v>ZTWM-CDGS-XS-2024-0134-商投建工达州中医药科技成果示范园项目</v>
      </c>
      <c r="R2041" s="22" t="str">
        <f>_xlfn._xlws.FILTER(辅助信息!D:D,辅助信息!E:E=B2041)</f>
        <v>商投建工达州中医药科技园</v>
      </c>
    </row>
    <row r="2042" hidden="1" spans="2:18">
      <c r="B2042" s="33" t="s">
        <v>159</v>
      </c>
      <c r="C2042" s="63">
        <v>45835</v>
      </c>
      <c r="D2042" s="113" t="str">
        <f>VLOOKUP(B2042,辅助信息!E:K,7,FALSE)</f>
        <v>JWDDCD2025052800131</v>
      </c>
      <c r="E2042" s="113" t="str">
        <f>VLOOKUP(F2042,辅助信息!A:B,2,FALSE)</f>
        <v>螺纹钢</v>
      </c>
      <c r="F2042" s="33" t="s">
        <v>19</v>
      </c>
      <c r="G2042" s="29">
        <v>46</v>
      </c>
      <c r="H2042" s="127">
        <f>_xlfn.XLOOKUP(C2042&amp;F2042&amp;I2042&amp;J2042,'[1]2025年已发货'!$F:$F&amp;'[1]2025年已发货'!$C:$C&amp;'[1]2025年已发货'!$G:$G&amp;'[1]2025年已发货'!$H:$H,'[1]2025年已发货'!$E:$E,"未发货")</f>
        <v>28</v>
      </c>
      <c r="I2042" s="113" t="str">
        <f>VLOOKUP(B2042,辅助信息!E:I,3,FALSE)</f>
        <v>（商投建工达州中医药科技园-3工区）达州市通川区达州中医药职业学院犀牛大道北段</v>
      </c>
      <c r="J2042" s="113" t="str">
        <f>VLOOKUP(B2042,辅助信息!E:I,4,FALSE)</f>
        <v>程黄刚</v>
      </c>
      <c r="K2042" s="113">
        <f>VLOOKUP(J2042,辅助信息!H:I,2,FALSE)</f>
        <v>15108211617</v>
      </c>
      <c r="L2042" s="115" t="str">
        <f>VLOOKUP(B2042,辅助信息!E:J,6,FALSE)</f>
        <v>控制炉批号！多了现场不收！,优先安排达钢,提前联系到场规格及数量</v>
      </c>
      <c r="M2042" s="84">
        <v>45835</v>
      </c>
      <c r="O2042" s="55">
        <f ca="1" t="shared" si="135"/>
        <v>0</v>
      </c>
      <c r="P2042" s="55">
        <f ca="1" t="shared" si="136"/>
        <v>122</v>
      </c>
      <c r="Q2042" s="22" t="str">
        <f>VLOOKUP(B2042,辅助信息!E:M,9,FALSE)</f>
        <v>ZTWM-CDGS-XS-2024-0134-商投建工达州中医药科技成果示范园项目</v>
      </c>
      <c r="R2042" s="22" t="str">
        <f>_xlfn._xlws.FILTER(辅助信息!D:D,辅助信息!E:E=B2042)</f>
        <v>商投建工达州中医药科技园</v>
      </c>
    </row>
    <row r="2043" hidden="1" spans="2:18">
      <c r="B2043" s="33" t="s">
        <v>176</v>
      </c>
      <c r="C2043" s="63">
        <v>45839</v>
      </c>
      <c r="D2043" s="113" t="str">
        <f>VLOOKUP(B2043,辅助信息!E:K,7,FALSE)</f>
        <v>JWDDCD2025062200016</v>
      </c>
      <c r="E2043" s="113" t="str">
        <f>VLOOKUP(F2043,辅助信息!A:B,2,FALSE)</f>
        <v>高线</v>
      </c>
      <c r="F2043" s="33" t="s">
        <v>57</v>
      </c>
      <c r="G2043" s="29">
        <v>2.5</v>
      </c>
      <c r="H2043" s="127" t="str">
        <f>_xlfn.XLOOKUP(C2043&amp;F2043&amp;I2043&amp;J2043,'[1]2025年已发货'!$F:$F&amp;'[1]2025年已发货'!$C:$C&amp;'[1]2025年已发货'!$G:$G&amp;'[1]2025年已发货'!$H:$H,'[1]2025年已发货'!$E:$E,"未发货")</f>
        <v>未发货</v>
      </c>
      <c r="I2043" s="113" t="str">
        <f>VLOOKUP(B2043,辅助信息!E:I,3,FALSE)</f>
        <v>(武汉电气化局成达万高铁强电项目-渠县)四川省达州市渠县渠北镇雷家湾渠县北站旁</v>
      </c>
      <c r="J2043" s="113" t="str">
        <f>VLOOKUP(B2043,辅助信息!E:I,4,FALSE)</f>
        <v>刘频</v>
      </c>
      <c r="K2043" s="113">
        <f>VLOOKUP(J2043,辅助信息!H:I,2,FALSE)</f>
        <v>18779627939</v>
      </c>
      <c r="L2043" s="115" t="str">
        <f>VLOOKUP(B2043,辅助信息!E:J,6,FALSE)</f>
        <v>锈货不收！！下雨天钢筋没盖篷布不收！！，装货前联系收货人核实到场规格,没提前告知进场规格现场不给予接收</v>
      </c>
      <c r="M2043" s="84">
        <v>45838</v>
      </c>
      <c r="O2043" s="55">
        <f ca="1" t="shared" ref="O2043:O2057" si="137">IF(OR(M2043="",N2043&lt;&gt;""),"",MAX(M2043-TODAY(),0))</f>
        <v>0</v>
      </c>
      <c r="P2043" s="55">
        <f ca="1" t="shared" ref="P2043:P2057" si="138">IF(M2043="","",IF(N2043&lt;&gt;"",MAX(N2043-M2043,0),IF(TODAY()&gt;M2043,TODAY()-M2043,0)))</f>
        <v>119</v>
      </c>
      <c r="Q2043" s="22" t="str">
        <f>VLOOKUP(B2043,辅助信息!E:M,9,FALSE)</f>
        <v>ZTWM-CDGS-XS-2025-0033-中铁武汉电气化局集团有限公司成达万高速铁路强电工程项目</v>
      </c>
      <c r="R2043" s="22" t="str">
        <f>_xlfn._xlws.FILTER(辅助信息!D:D,辅助信息!E:E=B2043)</f>
        <v>武汉电气化局成达万高铁强电项目</v>
      </c>
    </row>
    <row r="2044" hidden="1" spans="2:18">
      <c r="B2044" s="33" t="s">
        <v>176</v>
      </c>
      <c r="C2044" s="63">
        <v>45839</v>
      </c>
      <c r="D2044" s="113" t="str">
        <f>VLOOKUP(B2044,辅助信息!E:K,7,FALSE)</f>
        <v>JWDDCD2025062200016</v>
      </c>
      <c r="E2044" s="113" t="str">
        <f>VLOOKUP(F2044,辅助信息!A:B,2,FALSE)</f>
        <v>盘螺</v>
      </c>
      <c r="F2044" s="33" t="s">
        <v>40</v>
      </c>
      <c r="G2044" s="29">
        <v>5</v>
      </c>
      <c r="H2044" s="127" t="str">
        <f>_xlfn.XLOOKUP(C2044&amp;F2044&amp;I2044&amp;J2044,'[1]2025年已发货'!$F:$F&amp;'[1]2025年已发货'!$C:$C&amp;'[1]2025年已发货'!$G:$G&amp;'[1]2025年已发货'!$H:$H,'[1]2025年已发货'!$E:$E,"未发货")</f>
        <v>未发货</v>
      </c>
      <c r="I2044" s="113" t="str">
        <f>VLOOKUP(B2044,辅助信息!E:I,3,FALSE)</f>
        <v>(武汉电气化局成达万高铁强电项目-渠县)四川省达州市渠县渠北镇雷家湾渠县北站旁</v>
      </c>
      <c r="J2044" s="113" t="str">
        <f>VLOOKUP(B2044,辅助信息!E:I,4,FALSE)</f>
        <v>刘频</v>
      </c>
      <c r="K2044" s="113">
        <f>VLOOKUP(J2044,辅助信息!H:I,2,FALSE)</f>
        <v>18779627939</v>
      </c>
      <c r="L2044" s="115" t="str">
        <f>VLOOKUP(B2044,辅助信息!E:J,6,FALSE)</f>
        <v>锈货不收！！下雨天钢筋没盖篷布不收！！，装货前联系收货人核实到场规格,没提前告知进场规格现场不给予接收</v>
      </c>
      <c r="M2044" s="84">
        <v>45838</v>
      </c>
      <c r="O2044" s="55">
        <f ca="1" t="shared" si="137"/>
        <v>0</v>
      </c>
      <c r="P2044" s="55">
        <f ca="1" t="shared" si="138"/>
        <v>119</v>
      </c>
      <c r="Q2044" s="22" t="str">
        <f>VLOOKUP(B2044,辅助信息!E:M,9,FALSE)</f>
        <v>ZTWM-CDGS-XS-2025-0033-中铁武汉电气化局集团有限公司成达万高速铁路强电工程项目</v>
      </c>
      <c r="R2044" s="22" t="str">
        <f>_xlfn._xlws.FILTER(辅助信息!D:D,辅助信息!E:E=B2044)</f>
        <v>武汉电气化局成达万高铁强电项目</v>
      </c>
    </row>
    <row r="2045" hidden="1" spans="2:18">
      <c r="B2045" s="33" t="s">
        <v>176</v>
      </c>
      <c r="C2045" s="63">
        <v>45839</v>
      </c>
      <c r="D2045" s="113" t="str">
        <f>VLOOKUP(B2045,辅助信息!E:K,7,FALSE)</f>
        <v>JWDDCD2025062200016</v>
      </c>
      <c r="E2045" s="113" t="str">
        <f>VLOOKUP(F2045,辅助信息!A:B,2,FALSE)</f>
        <v>螺纹钢</v>
      </c>
      <c r="F2045" s="33" t="s">
        <v>111</v>
      </c>
      <c r="G2045" s="29">
        <v>5</v>
      </c>
      <c r="H2045" s="127" t="str">
        <f>_xlfn.XLOOKUP(C2045&amp;F2045&amp;I2045&amp;J2045,'[1]2025年已发货'!$F:$F&amp;'[1]2025年已发货'!$C:$C&amp;'[1]2025年已发货'!$G:$G&amp;'[1]2025年已发货'!$H:$H,'[1]2025年已发货'!$E:$E,"未发货")</f>
        <v>未发货</v>
      </c>
      <c r="I2045" s="113" t="str">
        <f>VLOOKUP(B2045,辅助信息!E:I,3,FALSE)</f>
        <v>(武汉电气化局成达万高铁强电项目-渠县)四川省达州市渠县渠北镇雷家湾渠县北站旁</v>
      </c>
      <c r="J2045" s="113" t="str">
        <f>VLOOKUP(B2045,辅助信息!E:I,4,FALSE)</f>
        <v>刘频</v>
      </c>
      <c r="K2045" s="113">
        <f>VLOOKUP(J2045,辅助信息!H:I,2,FALSE)</f>
        <v>18779627939</v>
      </c>
      <c r="L2045" s="115" t="str">
        <f>VLOOKUP(B2045,辅助信息!E:J,6,FALSE)</f>
        <v>锈货不收！！下雨天钢筋没盖篷布不收！！，装货前联系收货人核实到场规格,没提前告知进场规格现场不给予接收</v>
      </c>
      <c r="M2045" s="84">
        <v>45838</v>
      </c>
      <c r="O2045" s="55">
        <f ca="1" t="shared" si="137"/>
        <v>0</v>
      </c>
      <c r="P2045" s="55">
        <f ca="1" t="shared" si="138"/>
        <v>119</v>
      </c>
      <c r="Q2045" s="22" t="str">
        <f>VLOOKUP(B2045,辅助信息!E:M,9,FALSE)</f>
        <v>ZTWM-CDGS-XS-2025-0033-中铁武汉电气化局集团有限公司成达万高速铁路强电工程项目</v>
      </c>
      <c r="R2045" s="22" t="str">
        <f>_xlfn._xlws.FILTER(辅助信息!D:D,辅助信息!E:E=B2045)</f>
        <v>武汉电气化局成达万高铁强电项目</v>
      </c>
    </row>
    <row r="2046" hidden="1" spans="2:18">
      <c r="B2046" s="33" t="s">
        <v>176</v>
      </c>
      <c r="C2046" s="63">
        <v>45839</v>
      </c>
      <c r="D2046" s="113" t="str">
        <f>VLOOKUP(B2046,辅助信息!E:K,7,FALSE)</f>
        <v>JWDDCD2025062200016</v>
      </c>
      <c r="E2046" s="113" t="str">
        <f>VLOOKUP(F2046,辅助信息!A:B,2,FALSE)</f>
        <v>螺纹钢</v>
      </c>
      <c r="F2046" s="33" t="s">
        <v>76</v>
      </c>
      <c r="G2046" s="29">
        <v>20</v>
      </c>
      <c r="H2046" s="127" t="str">
        <f>_xlfn.XLOOKUP(C2046&amp;F2046&amp;I2046&amp;J2046,'[1]2025年已发货'!$F:$F&amp;'[1]2025年已发货'!$C:$C&amp;'[1]2025年已发货'!$G:$G&amp;'[1]2025年已发货'!$H:$H,'[1]2025年已发货'!$E:$E,"未发货")</f>
        <v>未发货</v>
      </c>
      <c r="I2046" s="113" t="str">
        <f>VLOOKUP(B2046,辅助信息!E:I,3,FALSE)</f>
        <v>(武汉电气化局成达万高铁强电项目-渠县)四川省达州市渠县渠北镇雷家湾渠县北站旁</v>
      </c>
      <c r="J2046" s="113" t="str">
        <f>VLOOKUP(B2046,辅助信息!E:I,4,FALSE)</f>
        <v>刘频</v>
      </c>
      <c r="K2046" s="113">
        <f>VLOOKUP(J2046,辅助信息!H:I,2,FALSE)</f>
        <v>18779627939</v>
      </c>
      <c r="L2046" s="115" t="str">
        <f>VLOOKUP(B2046,辅助信息!E:J,6,FALSE)</f>
        <v>锈货不收！！下雨天钢筋没盖篷布不收！！，装货前联系收货人核实到场规格,没提前告知进场规格现场不给予接收</v>
      </c>
      <c r="M2046" s="84">
        <v>45838</v>
      </c>
      <c r="O2046" s="55">
        <f ca="1" t="shared" si="137"/>
        <v>0</v>
      </c>
      <c r="P2046" s="55">
        <f ca="1" t="shared" si="138"/>
        <v>119</v>
      </c>
      <c r="Q2046" s="22" t="str">
        <f>VLOOKUP(B2046,辅助信息!E:M,9,FALSE)</f>
        <v>ZTWM-CDGS-XS-2025-0033-中铁武汉电气化局集团有限公司成达万高速铁路强电工程项目</v>
      </c>
      <c r="R2046" s="22" t="str">
        <f>_xlfn._xlws.FILTER(辅助信息!D:D,辅助信息!E:E=B2046)</f>
        <v>武汉电气化局成达万高铁强电项目</v>
      </c>
    </row>
    <row r="2047" hidden="1" spans="2:18">
      <c r="B2047" s="33" t="s">
        <v>162</v>
      </c>
      <c r="C2047" s="63">
        <v>45836</v>
      </c>
      <c r="D2047" s="113" t="str">
        <f>VLOOKUP(B2047,辅助信息!E:K,7,FALSE)</f>
        <v>JWDD2025071500089</v>
      </c>
      <c r="E2047" s="113" t="str">
        <f>VLOOKUP(F2047,辅助信息!A:B,2,FALSE)</f>
        <v>盘螺</v>
      </c>
      <c r="F2047" s="33" t="s">
        <v>41</v>
      </c>
      <c r="G2047" s="29">
        <v>5</v>
      </c>
      <c r="H2047" s="127" t="str">
        <f>_xlfn.XLOOKUP(C2047&amp;F2047&amp;I2047&amp;J2047,'[1]2025年已发货'!$F:$F&amp;'[1]2025年已发货'!$C:$C&amp;'[1]2025年已发货'!$G:$G&amp;'[1]2025年已发货'!$H:$H,'[1]2025年已发货'!$E:$E,"未发货")</f>
        <v>未发货</v>
      </c>
      <c r="I2047" s="113" t="str">
        <f>VLOOKUP(B2047,辅助信息!E:I,3,FALSE)</f>
        <v>(宜宾兴港三江新区长江工业园保障性租赁住房建设项目-2标)四川省宜宾市翠屏区永善路南段宜宾市三江新区长江工业园区</v>
      </c>
      <c r="J2047" s="113" t="str">
        <f>VLOOKUP(B2047,辅助信息!E:I,4,FALSE)</f>
        <v>赵元虎</v>
      </c>
      <c r="K2047" s="113">
        <f>VLOOKUP(J2047,辅助信息!H:I,2,FALSE)</f>
        <v>13684167136</v>
      </c>
      <c r="L2047" s="115" t="str">
        <f>VLOOKUP(B2047,辅助信息!E:J,6,FALSE)</f>
        <v>现场要求调度统一联系指定收货人，不单独发司机位置。锈货不收，装货前联系收货人核实到场规格,没提前告知进场规格现场不给予接收</v>
      </c>
      <c r="M2047" s="84">
        <v>45838</v>
      </c>
      <c r="O2047" s="55">
        <f ca="1" t="shared" si="137"/>
        <v>0</v>
      </c>
      <c r="P2047" s="55">
        <f ca="1" t="shared" si="138"/>
        <v>119</v>
      </c>
      <c r="Q2047" s="22" t="str">
        <f>VLOOKUP(B2047,辅助信息!E:M,9,FALSE)</f>
        <v>ZTWM-CDYXGS-XS-2025-0014-宜宾兴港建材-三江新区长江工业园片区保障性租赁住房建设项目</v>
      </c>
      <c r="R2047" s="22" t="str">
        <f>_xlfn._xlws.FILTER(辅助信息!D:D,辅助信息!E:E=B2047)</f>
        <v>宜宾兴港三江新区长江工业园建设项目</v>
      </c>
    </row>
    <row r="2048" hidden="1" spans="2:18">
      <c r="B2048" s="33" t="s">
        <v>162</v>
      </c>
      <c r="C2048" s="63">
        <v>45836</v>
      </c>
      <c r="D2048" s="113" t="str">
        <f>VLOOKUP(B2048,辅助信息!E:K,7,FALSE)</f>
        <v>JWDD2025071500089</v>
      </c>
      <c r="E2048" s="113" t="str">
        <f>VLOOKUP(F2048,辅助信息!A:B,2,FALSE)</f>
        <v>盘螺</v>
      </c>
      <c r="F2048" s="33" t="s">
        <v>26</v>
      </c>
      <c r="G2048" s="29">
        <v>35</v>
      </c>
      <c r="H2048" s="127" t="str">
        <f>_xlfn.XLOOKUP(C2048&amp;F2048&amp;I2048&amp;J2048,'[1]2025年已发货'!$F:$F&amp;'[1]2025年已发货'!$C:$C&amp;'[1]2025年已发货'!$G:$G&amp;'[1]2025年已发货'!$H:$H,'[1]2025年已发货'!$E:$E,"未发货")</f>
        <v>未发货</v>
      </c>
      <c r="I2048" s="113" t="str">
        <f>VLOOKUP(B2048,辅助信息!E:I,3,FALSE)</f>
        <v>(宜宾兴港三江新区长江工业园保障性租赁住房建设项目-2标)四川省宜宾市翠屏区永善路南段宜宾市三江新区长江工业园区</v>
      </c>
      <c r="J2048" s="113" t="str">
        <f>VLOOKUP(B2048,辅助信息!E:I,4,FALSE)</f>
        <v>赵元虎</v>
      </c>
      <c r="K2048" s="113">
        <f>VLOOKUP(J2048,辅助信息!H:I,2,FALSE)</f>
        <v>13684167136</v>
      </c>
      <c r="L2048" s="115" t="str">
        <f>VLOOKUP(B2048,辅助信息!E:J,6,FALSE)</f>
        <v>现场要求调度统一联系指定收货人，不单独发司机位置。锈货不收，装货前联系收货人核实到场规格,没提前告知进场规格现场不给予接收</v>
      </c>
      <c r="M2048" s="84">
        <v>45838</v>
      </c>
      <c r="O2048" s="55">
        <f ca="1" t="shared" si="137"/>
        <v>0</v>
      </c>
      <c r="P2048" s="55">
        <f ca="1" t="shared" si="138"/>
        <v>119</v>
      </c>
      <c r="Q2048" s="22" t="str">
        <f>VLOOKUP(B2048,辅助信息!E:M,9,FALSE)</f>
        <v>ZTWM-CDYXGS-XS-2025-0014-宜宾兴港建材-三江新区长江工业园片区保障性租赁住房建设项目</v>
      </c>
      <c r="R2048" s="22" t="str">
        <f>_xlfn._xlws.FILTER(辅助信息!D:D,辅助信息!E:E=B2048)</f>
        <v>宜宾兴港三江新区长江工业园建设项目</v>
      </c>
    </row>
    <row r="2049" hidden="1" spans="2:18">
      <c r="B2049" s="33" t="s">
        <v>162</v>
      </c>
      <c r="C2049" s="63">
        <v>45836</v>
      </c>
      <c r="D2049" s="113" t="str">
        <f>VLOOKUP(B2049,辅助信息!E:K,7,FALSE)</f>
        <v>JWDD2025071500089</v>
      </c>
      <c r="E2049" s="113" t="str">
        <f>VLOOKUP(F2049,辅助信息!A:B,2,FALSE)</f>
        <v>螺纹钢</v>
      </c>
      <c r="F2049" s="33" t="s">
        <v>19</v>
      </c>
      <c r="G2049" s="29">
        <v>3</v>
      </c>
      <c r="H2049" s="127" t="str">
        <f>_xlfn.XLOOKUP(C2049&amp;F2049&amp;I2049&amp;J2049,'[1]2025年已发货'!$F:$F&amp;'[1]2025年已发货'!$C:$C&amp;'[1]2025年已发货'!$G:$G&amp;'[1]2025年已发货'!$H:$H,'[1]2025年已发货'!$E:$E,"未发货")</f>
        <v>未发货</v>
      </c>
      <c r="I2049" s="113" t="str">
        <f>VLOOKUP(B2049,辅助信息!E:I,3,FALSE)</f>
        <v>(宜宾兴港三江新区长江工业园保障性租赁住房建设项目-2标)四川省宜宾市翠屏区永善路南段宜宾市三江新区长江工业园区</v>
      </c>
      <c r="J2049" s="113" t="str">
        <f>VLOOKUP(B2049,辅助信息!E:I,4,FALSE)</f>
        <v>赵元虎</v>
      </c>
      <c r="K2049" s="113">
        <f>VLOOKUP(J2049,辅助信息!H:I,2,FALSE)</f>
        <v>13684167136</v>
      </c>
      <c r="L2049" s="115" t="str">
        <f>VLOOKUP(B2049,辅助信息!E:J,6,FALSE)</f>
        <v>现场要求调度统一联系指定收货人，不单独发司机位置。锈货不收，装货前联系收货人核实到场规格,没提前告知进场规格现场不给予接收</v>
      </c>
      <c r="M2049" s="84">
        <v>45838</v>
      </c>
      <c r="O2049" s="55">
        <f ca="1" t="shared" si="137"/>
        <v>0</v>
      </c>
      <c r="P2049" s="55">
        <f ca="1" t="shared" si="138"/>
        <v>119</v>
      </c>
      <c r="Q2049" s="22" t="str">
        <f>VLOOKUP(B2049,辅助信息!E:M,9,FALSE)</f>
        <v>ZTWM-CDYXGS-XS-2025-0014-宜宾兴港建材-三江新区长江工业园片区保障性租赁住房建设项目</v>
      </c>
      <c r="R2049" s="22" t="str">
        <f>_xlfn._xlws.FILTER(辅助信息!D:D,辅助信息!E:E=B2049)</f>
        <v>宜宾兴港三江新区长江工业园建设项目</v>
      </c>
    </row>
    <row r="2050" hidden="1" spans="2:18">
      <c r="B2050" s="33" t="s">
        <v>162</v>
      </c>
      <c r="C2050" s="63">
        <v>45836</v>
      </c>
      <c r="D2050" s="113" t="str">
        <f>VLOOKUP(B2050,辅助信息!E:K,7,FALSE)</f>
        <v>JWDD2025071500089</v>
      </c>
      <c r="E2050" s="113" t="str">
        <f>VLOOKUP(F2050,辅助信息!A:B,2,FALSE)</f>
        <v>螺纹钢</v>
      </c>
      <c r="F2050" s="33" t="s">
        <v>32</v>
      </c>
      <c r="G2050" s="29">
        <v>3</v>
      </c>
      <c r="H2050" s="127" t="str">
        <f>_xlfn.XLOOKUP(C2050&amp;F2050&amp;I2050&amp;J2050,'[1]2025年已发货'!$F:$F&amp;'[1]2025年已发货'!$C:$C&amp;'[1]2025年已发货'!$G:$G&amp;'[1]2025年已发货'!$H:$H,'[1]2025年已发货'!$E:$E,"未发货")</f>
        <v>未发货</v>
      </c>
      <c r="I2050" s="113" t="str">
        <f>VLOOKUP(B2050,辅助信息!E:I,3,FALSE)</f>
        <v>(宜宾兴港三江新区长江工业园保障性租赁住房建设项目-2标)四川省宜宾市翠屏区永善路南段宜宾市三江新区长江工业园区</v>
      </c>
      <c r="J2050" s="113" t="str">
        <f>VLOOKUP(B2050,辅助信息!E:I,4,FALSE)</f>
        <v>赵元虎</v>
      </c>
      <c r="K2050" s="113">
        <f>VLOOKUP(J2050,辅助信息!H:I,2,FALSE)</f>
        <v>13684167136</v>
      </c>
      <c r="L2050" s="115" t="str">
        <f>VLOOKUP(B2050,辅助信息!E:J,6,FALSE)</f>
        <v>现场要求调度统一联系指定收货人，不单独发司机位置。锈货不收，装货前联系收货人核实到场规格,没提前告知进场规格现场不给予接收</v>
      </c>
      <c r="M2050" s="84">
        <v>45838</v>
      </c>
      <c r="O2050" s="55">
        <f ca="1" t="shared" si="137"/>
        <v>0</v>
      </c>
      <c r="P2050" s="55">
        <f ca="1" t="shared" si="138"/>
        <v>119</v>
      </c>
      <c r="Q2050" s="22" t="str">
        <f>VLOOKUP(B2050,辅助信息!E:M,9,FALSE)</f>
        <v>ZTWM-CDYXGS-XS-2025-0014-宜宾兴港建材-三江新区长江工业园片区保障性租赁住房建设项目</v>
      </c>
      <c r="R2050" s="22" t="str">
        <f>_xlfn._xlws.FILTER(辅助信息!D:D,辅助信息!E:E=B2050)</f>
        <v>宜宾兴港三江新区长江工业园建设项目</v>
      </c>
    </row>
    <row r="2051" hidden="1" spans="2:18">
      <c r="B2051" s="33" t="s">
        <v>162</v>
      </c>
      <c r="C2051" s="63">
        <v>45836</v>
      </c>
      <c r="D2051" s="113" t="str">
        <f>VLOOKUP(B2051,辅助信息!E:K,7,FALSE)</f>
        <v>JWDD2025071500089</v>
      </c>
      <c r="E2051" s="113" t="str">
        <f>VLOOKUP(F2051,辅助信息!A:B,2,FALSE)</f>
        <v>螺纹钢</v>
      </c>
      <c r="F2051" s="33" t="s">
        <v>30</v>
      </c>
      <c r="G2051" s="29">
        <v>60</v>
      </c>
      <c r="H2051" s="127" t="str">
        <f>_xlfn.XLOOKUP(C2051&amp;F2051&amp;I2051&amp;J2051,'[1]2025年已发货'!$F:$F&amp;'[1]2025年已发货'!$C:$C&amp;'[1]2025年已发货'!$G:$G&amp;'[1]2025年已发货'!$H:$H,'[1]2025年已发货'!$E:$E,"未发货")</f>
        <v>未发货</v>
      </c>
      <c r="I2051" s="113" t="str">
        <f>VLOOKUP(B2051,辅助信息!E:I,3,FALSE)</f>
        <v>(宜宾兴港三江新区长江工业园保障性租赁住房建设项目-2标)四川省宜宾市翠屏区永善路南段宜宾市三江新区长江工业园区</v>
      </c>
      <c r="J2051" s="113" t="str">
        <f>VLOOKUP(B2051,辅助信息!E:I,4,FALSE)</f>
        <v>赵元虎</v>
      </c>
      <c r="K2051" s="113">
        <f>VLOOKUP(J2051,辅助信息!H:I,2,FALSE)</f>
        <v>13684167136</v>
      </c>
      <c r="L2051" s="115" t="str">
        <f>VLOOKUP(B2051,辅助信息!E:J,6,FALSE)</f>
        <v>现场要求调度统一联系指定收货人，不单独发司机位置。锈货不收，装货前联系收货人核实到场规格,没提前告知进场规格现场不给予接收</v>
      </c>
      <c r="M2051" s="84">
        <v>45838</v>
      </c>
      <c r="O2051" s="55">
        <f ca="1" t="shared" si="137"/>
        <v>0</v>
      </c>
      <c r="P2051" s="55">
        <f ca="1" t="shared" si="138"/>
        <v>119</v>
      </c>
      <c r="Q2051" s="22" t="str">
        <f>VLOOKUP(B2051,辅助信息!E:M,9,FALSE)</f>
        <v>ZTWM-CDYXGS-XS-2025-0014-宜宾兴港建材-三江新区长江工业园片区保障性租赁住房建设项目</v>
      </c>
      <c r="R2051" s="22" t="str">
        <f>_xlfn._xlws.FILTER(辅助信息!D:D,辅助信息!E:E=B2051)</f>
        <v>宜宾兴港三江新区长江工业园建设项目</v>
      </c>
    </row>
    <row r="2052" hidden="1" spans="2:18">
      <c r="B2052" s="33" t="s">
        <v>184</v>
      </c>
      <c r="C2052" s="63">
        <v>45836</v>
      </c>
      <c r="D2052" s="113" t="str">
        <f>VLOOKUP(B2052,辅助信息!E:K,7,FALSE)</f>
        <v>JWDD2025071500089</v>
      </c>
      <c r="E2052" s="113" t="str">
        <f>VLOOKUP(F2052,辅助信息!A:B,2,FALSE)</f>
        <v>高线</v>
      </c>
      <c r="F2052" s="33" t="s">
        <v>53</v>
      </c>
      <c r="G2052" s="29">
        <v>32</v>
      </c>
      <c r="H2052" s="127" t="str">
        <f>_xlfn.XLOOKUP(C2052&amp;F2052&amp;I2052&amp;J2052,'[1]2025年已发货'!$F:$F&amp;'[1]2025年已发货'!$C:$C&amp;'[1]2025年已发货'!$G:$G&amp;'[1]2025年已发货'!$H:$H,'[1]2025年已发货'!$E:$E,"未发货")</f>
        <v>未发货</v>
      </c>
      <c r="I2052" s="113" t="str">
        <f>VLOOKUP(B2052,辅助信息!E:I,3,FALSE)</f>
        <v>(宜宾兴港三江新区长江工业园保障性租赁住房建设项目-边坡支护)四川省宜宾市翠屏区永善路南段宜宾市三江新区长江工业园区</v>
      </c>
      <c r="J2052" s="113" t="str">
        <f>VLOOKUP(B2052,辅助信息!E:I,4,FALSE)</f>
        <v>赵元虎</v>
      </c>
      <c r="K2052" s="113">
        <f>VLOOKUP(J2052,辅助信息!H:I,2,FALSE)</f>
        <v>13684167136</v>
      </c>
      <c r="L2052" s="115" t="str">
        <f>VLOOKUP(B2052,辅助信息!E:J,6,FALSE)</f>
        <v>现场要求调度统一联系指定收货人，不单独发司机位置。锈货不收，装货前联系收货人核实到场规格,没提前告知进场规格现场不给予接收</v>
      </c>
      <c r="M2052" s="84" t="s">
        <v>185</v>
      </c>
      <c r="O2052" s="55" t="e">
        <f ca="1" t="shared" si="137"/>
        <v>#VALUE!</v>
      </c>
      <c r="P2052" s="55">
        <f ca="1" t="shared" si="138"/>
        <v>0</v>
      </c>
      <c r="Q2052" s="22" t="str">
        <f>VLOOKUP(B2052,辅助信息!E:M,9,FALSE)</f>
        <v>ZTWM-CDYXGS-XS-2025-0014-宜宾兴港建材-三江新区长江工业园片区保障性租赁住房建设项目</v>
      </c>
      <c r="R2052" s="22" t="str">
        <f>_xlfn._xlws.FILTER(辅助信息!D:D,辅助信息!E:E=B2052)</f>
        <v>宜宾兴港三江新区长江工业园建设项目</v>
      </c>
    </row>
    <row r="2053" hidden="1" spans="1:18">
      <c r="A2053" s="112"/>
      <c r="B2053" s="33" t="s">
        <v>147</v>
      </c>
      <c r="C2053" s="63">
        <v>45839</v>
      </c>
      <c r="D2053" s="113" t="str">
        <f>VLOOKUP(B2053,辅助信息!E:K,7,FALSE)</f>
        <v>JWDDCD2025052800131</v>
      </c>
      <c r="E2053" s="113" t="str">
        <f>VLOOKUP(F2053,辅助信息!A:B,2,FALSE)</f>
        <v>高线</v>
      </c>
      <c r="F2053" s="33" t="s">
        <v>57</v>
      </c>
      <c r="G2053" s="29">
        <v>9</v>
      </c>
      <c r="H2053" s="127" t="str">
        <f>_xlfn.XLOOKUP(C2053&amp;F2053&amp;I2053&amp;J2053,'[1]2025年已发货'!$F:$F&amp;'[1]2025年已发货'!$C:$C&amp;'[1]2025年已发货'!$G:$G&amp;'[1]2025年已发货'!$H:$H,'[1]2025年已发货'!$E:$E,"未发货")</f>
        <v>未发货</v>
      </c>
      <c r="I2053" s="113" t="str">
        <f>VLOOKUP(B2053,辅助信息!E:I,3,FALSE)</f>
        <v>（商投建工达州中医药科技园-4工区-11号楼）达州市通川区达州中医药职业学院犀牛大道北段</v>
      </c>
      <c r="J2053" s="113" t="str">
        <f>VLOOKUP(B2053,辅助信息!E:I,4,FALSE)</f>
        <v>张扬</v>
      </c>
      <c r="K2053" s="113">
        <f>VLOOKUP(J2053,辅助信息!H:I,2,FALSE)</f>
        <v>18381904567</v>
      </c>
      <c r="L2053" s="115" t="str">
        <f>VLOOKUP(B2053,辅助信息!E:J,6,FALSE)</f>
        <v>控制炉批号！多了现场不收！,优先安排达钢,提前联系到场规格及数量</v>
      </c>
      <c r="M2053" s="84">
        <v>45838</v>
      </c>
      <c r="O2053" s="55">
        <f ca="1" t="shared" si="137"/>
        <v>0</v>
      </c>
      <c r="P2053" s="55">
        <f ca="1" t="shared" si="138"/>
        <v>119</v>
      </c>
      <c r="Q2053" s="22" t="str">
        <f>VLOOKUP(B2053,辅助信息!E:M,9,FALSE)</f>
        <v>ZTWM-CDGS-XS-2024-0134-商投建工达州中医药科技成果示范园项目</v>
      </c>
      <c r="R2053" s="22" t="str">
        <f>_xlfn._xlws.FILTER(辅助信息!D:D,辅助信息!E:E=B2053)</f>
        <v>商投建工达州中医药科技园</v>
      </c>
    </row>
    <row r="2054" hidden="1" spans="1:18">
      <c r="A2054" s="112"/>
      <c r="B2054" s="33" t="s">
        <v>147</v>
      </c>
      <c r="C2054" s="63">
        <v>45839</v>
      </c>
      <c r="D2054" s="113" t="str">
        <f>VLOOKUP(B2054,辅助信息!E:K,7,FALSE)</f>
        <v>JWDDCD2025052800131</v>
      </c>
      <c r="E2054" s="113" t="str">
        <f>VLOOKUP(F2054,辅助信息!A:B,2,FALSE)</f>
        <v>螺纹钢</v>
      </c>
      <c r="F2054" s="33" t="s">
        <v>21</v>
      </c>
      <c r="G2054" s="29">
        <v>7</v>
      </c>
      <c r="H2054" s="127" t="str">
        <f>_xlfn.XLOOKUP(C2054&amp;F2054&amp;I2054&amp;J2054,'[1]2025年已发货'!$F:$F&amp;'[1]2025年已发货'!$C:$C&amp;'[1]2025年已发货'!$G:$G&amp;'[1]2025年已发货'!$H:$H,'[1]2025年已发货'!$E:$E,"未发货")</f>
        <v>未发货</v>
      </c>
      <c r="I2054" s="113" t="str">
        <f>VLOOKUP(B2054,辅助信息!E:I,3,FALSE)</f>
        <v>（商投建工达州中医药科技园-4工区-11号楼）达州市通川区达州中医药职业学院犀牛大道北段</v>
      </c>
      <c r="J2054" s="113" t="str">
        <f>VLOOKUP(B2054,辅助信息!E:I,4,FALSE)</f>
        <v>张扬</v>
      </c>
      <c r="K2054" s="113">
        <f>VLOOKUP(J2054,辅助信息!H:I,2,FALSE)</f>
        <v>18381904567</v>
      </c>
      <c r="L2054" s="115" t="str">
        <f>VLOOKUP(B2054,辅助信息!E:J,6,FALSE)</f>
        <v>控制炉批号！多了现场不收！,优先安排达钢,提前联系到场规格及数量</v>
      </c>
      <c r="M2054" s="84">
        <v>45838</v>
      </c>
      <c r="O2054" s="55">
        <f ca="1" t="shared" si="137"/>
        <v>0</v>
      </c>
      <c r="P2054" s="55">
        <f ca="1" t="shared" si="138"/>
        <v>119</v>
      </c>
      <c r="Q2054" s="22" t="str">
        <f>VLOOKUP(B2054,辅助信息!E:M,9,FALSE)</f>
        <v>ZTWM-CDGS-XS-2024-0134-商投建工达州中医药科技成果示范园项目</v>
      </c>
      <c r="R2054" s="22" t="str">
        <f>_xlfn._xlws.FILTER(辅助信息!D:D,辅助信息!E:E=B2054)</f>
        <v>商投建工达州中医药科技园</v>
      </c>
    </row>
    <row r="2055" hidden="1" spans="1:18">
      <c r="A2055" s="112"/>
      <c r="B2055" s="33" t="s">
        <v>147</v>
      </c>
      <c r="C2055" s="63">
        <v>45839</v>
      </c>
      <c r="D2055" s="113" t="str">
        <f>VLOOKUP(B2055,辅助信息!E:K,7,FALSE)</f>
        <v>JWDDCD2025052800131</v>
      </c>
      <c r="E2055" s="113" t="str">
        <f>VLOOKUP(F2055,辅助信息!A:B,2,FALSE)</f>
        <v>螺纹钢</v>
      </c>
      <c r="F2055" s="33" t="s">
        <v>46</v>
      </c>
      <c r="G2055" s="29">
        <v>3</v>
      </c>
      <c r="H2055" s="127" t="str">
        <f>_xlfn.XLOOKUP(C2055&amp;F2055&amp;I2055&amp;J2055,'[1]2025年已发货'!$F:$F&amp;'[1]2025年已发货'!$C:$C&amp;'[1]2025年已发货'!$G:$G&amp;'[1]2025年已发货'!$H:$H,'[1]2025年已发货'!$E:$E,"未发货")</f>
        <v>未发货</v>
      </c>
      <c r="I2055" s="113" t="str">
        <f>VLOOKUP(B2055,辅助信息!E:I,3,FALSE)</f>
        <v>（商投建工达州中医药科技园-4工区-11号楼）达州市通川区达州中医药职业学院犀牛大道北段</v>
      </c>
      <c r="J2055" s="113" t="str">
        <f>VLOOKUP(B2055,辅助信息!E:I,4,FALSE)</f>
        <v>张扬</v>
      </c>
      <c r="K2055" s="113">
        <f>VLOOKUP(J2055,辅助信息!H:I,2,FALSE)</f>
        <v>18381904567</v>
      </c>
      <c r="L2055" s="115" t="str">
        <f>VLOOKUP(B2055,辅助信息!E:J,6,FALSE)</f>
        <v>控制炉批号！多了现场不收！,优先安排达钢,提前联系到场规格及数量</v>
      </c>
      <c r="M2055" s="84">
        <v>45838</v>
      </c>
      <c r="O2055" s="55">
        <f ca="1" t="shared" si="137"/>
        <v>0</v>
      </c>
      <c r="P2055" s="55">
        <f ca="1" t="shared" si="138"/>
        <v>119</v>
      </c>
      <c r="Q2055" s="22" t="str">
        <f>VLOOKUP(B2055,辅助信息!E:M,9,FALSE)</f>
        <v>ZTWM-CDGS-XS-2024-0134-商投建工达州中医药科技成果示范园项目</v>
      </c>
      <c r="R2055" s="22" t="str">
        <f>_xlfn._xlws.FILTER(辅助信息!D:D,辅助信息!E:E=B2055)</f>
        <v>商投建工达州中医药科技园</v>
      </c>
    </row>
    <row r="2056" hidden="1" spans="1:18">
      <c r="A2056" s="112"/>
      <c r="B2056" s="33" t="s">
        <v>147</v>
      </c>
      <c r="C2056" s="63">
        <v>45839</v>
      </c>
      <c r="D2056" s="113" t="str">
        <f>VLOOKUP(B2056,辅助信息!E:K,7,FALSE)</f>
        <v>JWDDCD2025052800131</v>
      </c>
      <c r="E2056" s="113" t="str">
        <f>VLOOKUP(F2056,辅助信息!A:B,2,FALSE)</f>
        <v>螺纹钢</v>
      </c>
      <c r="F2056" s="33" t="s">
        <v>22</v>
      </c>
      <c r="G2056" s="29">
        <v>9</v>
      </c>
      <c r="H2056" s="127" t="str">
        <f>_xlfn.XLOOKUP(C2056&amp;F2056&amp;I2056&amp;J2056,'[1]2025年已发货'!$F:$F&amp;'[1]2025年已发货'!$C:$C&amp;'[1]2025年已发货'!$G:$G&amp;'[1]2025年已发货'!$H:$H,'[1]2025年已发货'!$E:$E,"未发货")</f>
        <v>未发货</v>
      </c>
      <c r="I2056" s="113" t="str">
        <f>VLOOKUP(B2056,辅助信息!E:I,3,FALSE)</f>
        <v>（商投建工达州中医药科技园-4工区-11号楼）达州市通川区达州中医药职业学院犀牛大道北段</v>
      </c>
      <c r="J2056" s="113" t="str">
        <f>VLOOKUP(B2056,辅助信息!E:I,4,FALSE)</f>
        <v>张扬</v>
      </c>
      <c r="K2056" s="113">
        <f>VLOOKUP(J2056,辅助信息!H:I,2,FALSE)</f>
        <v>18381904567</v>
      </c>
      <c r="L2056" s="115" t="str">
        <f>VLOOKUP(B2056,辅助信息!E:J,6,FALSE)</f>
        <v>控制炉批号！多了现场不收！,优先安排达钢,提前联系到场规格及数量</v>
      </c>
      <c r="M2056" s="84">
        <v>45838</v>
      </c>
      <c r="O2056" s="55">
        <f ca="1" t="shared" si="137"/>
        <v>0</v>
      </c>
      <c r="P2056" s="55">
        <f ca="1" t="shared" si="138"/>
        <v>119</v>
      </c>
      <c r="Q2056" s="22" t="str">
        <f>VLOOKUP(B2056,辅助信息!E:M,9,FALSE)</f>
        <v>ZTWM-CDGS-XS-2024-0134-商投建工达州中医药科技成果示范园项目</v>
      </c>
      <c r="R2056" s="22" t="str">
        <f>_xlfn._xlws.FILTER(辅助信息!D:D,辅助信息!E:E=B2056)</f>
        <v>商投建工达州中医药科技园</v>
      </c>
    </row>
    <row r="2057" hidden="1" spans="1:18">
      <c r="A2057" s="112"/>
      <c r="B2057" s="33" t="s">
        <v>147</v>
      </c>
      <c r="C2057" s="63">
        <v>45839</v>
      </c>
      <c r="D2057" s="113" t="str">
        <f>VLOOKUP(B2057,辅助信息!E:K,7,FALSE)</f>
        <v>JWDDCD2025052800131</v>
      </c>
      <c r="E2057" s="113" t="str">
        <f>VLOOKUP(F2057,辅助信息!A:B,2,FALSE)</f>
        <v>螺纹钢</v>
      </c>
      <c r="F2057" s="33" t="s">
        <v>45</v>
      </c>
      <c r="G2057" s="29">
        <v>6</v>
      </c>
      <c r="H2057" s="127" t="str">
        <f>_xlfn.XLOOKUP(C2057&amp;F2057&amp;I2057&amp;J2057,'[1]2025年已发货'!$F:$F&amp;'[1]2025年已发货'!$C:$C&amp;'[1]2025年已发货'!$G:$G&amp;'[1]2025年已发货'!$H:$H,'[1]2025年已发货'!$E:$E,"未发货")</f>
        <v>未发货</v>
      </c>
      <c r="I2057" s="113" t="str">
        <f>VLOOKUP(B2057,辅助信息!E:I,3,FALSE)</f>
        <v>（商投建工达州中医药科技园-4工区-11号楼）达州市通川区达州中医药职业学院犀牛大道北段</v>
      </c>
      <c r="J2057" s="113" t="str">
        <f>VLOOKUP(B2057,辅助信息!E:I,4,FALSE)</f>
        <v>张扬</v>
      </c>
      <c r="K2057" s="113">
        <f>VLOOKUP(J2057,辅助信息!H:I,2,FALSE)</f>
        <v>18381904567</v>
      </c>
      <c r="L2057" s="115" t="str">
        <f>VLOOKUP(B2057,辅助信息!E:J,6,FALSE)</f>
        <v>控制炉批号！多了现场不收！,优先安排达钢,提前联系到场规格及数量</v>
      </c>
      <c r="M2057" s="84">
        <v>45838</v>
      </c>
      <c r="O2057" s="55">
        <f ca="1" t="shared" si="137"/>
        <v>0</v>
      </c>
      <c r="P2057" s="55">
        <f ca="1" t="shared" si="138"/>
        <v>119</v>
      </c>
      <c r="Q2057" s="22" t="str">
        <f>VLOOKUP(B2057,辅助信息!E:M,9,FALSE)</f>
        <v>ZTWM-CDGS-XS-2024-0134-商投建工达州中医药科技成果示范园项目</v>
      </c>
      <c r="R2057" s="22" t="str">
        <f>_xlfn._xlws.FILTER(辅助信息!D:D,辅助信息!E:E=B2057)</f>
        <v>商投建工达州中医药科技园</v>
      </c>
    </row>
    <row r="2058" hidden="1" spans="2:18">
      <c r="B2058" s="33" t="s">
        <v>106</v>
      </c>
      <c r="C2058" s="63">
        <v>45839</v>
      </c>
      <c r="D2058" s="113" t="str">
        <f>VLOOKUP(B2058,辅助信息!E:K,7,FALSE)</f>
        <v>JWDDCD2024101600133</v>
      </c>
      <c r="E2058" s="113" t="str">
        <f>VLOOKUP(F2058,辅助信息!A:B,2,FALSE)</f>
        <v>盘螺</v>
      </c>
      <c r="F2058" s="33" t="s">
        <v>49</v>
      </c>
      <c r="G2058" s="29">
        <v>5</v>
      </c>
      <c r="H2058" s="127">
        <f>_xlfn.XLOOKUP(C2058&amp;F2058&amp;I2058&amp;J2058,'[1]2025年已发货'!$F:$F&amp;'[1]2025年已发货'!$C:$C&amp;'[1]2025年已发货'!$G:$G&amp;'[1]2025年已发货'!$H:$H,'[1]2025年已发货'!$E:$E,"未发货")</f>
        <v>5</v>
      </c>
      <c r="I2058" s="113" t="str">
        <f>VLOOKUP(B2058,辅助信息!E:I,3,FALSE)</f>
        <v>（五冶钢构宜宾高县月江镇建设项目）  四川省宜宾市高县月江镇刚记超市斜对面(还阳组团沪碳二期项目)</v>
      </c>
      <c r="J2058" s="113" t="str">
        <f>VLOOKUP(B2058,辅助信息!E:I,4,FALSE)</f>
        <v>张朝亮</v>
      </c>
      <c r="K2058" s="113">
        <f>VLOOKUP(J2058,辅助信息!H:I,2,FALSE)</f>
        <v>15228205853</v>
      </c>
      <c r="L2058" s="115" t="str">
        <f>VLOOKUP(B2058,辅助信息!E:J,6,FALSE)</f>
        <v>提前联系到场规格</v>
      </c>
      <c r="M2058" s="84">
        <v>45838</v>
      </c>
      <c r="O2058" s="55">
        <f ca="1" t="shared" ref="O2058:O2067" si="139">IF(OR(M2058="",N2058&lt;&gt;""),"",MAX(M2058-TODAY(),0))</f>
        <v>0</v>
      </c>
      <c r="P2058" s="55">
        <f ca="1" t="shared" ref="P2058:P2067" si="140">IF(M2058="","",IF(N2058&lt;&gt;"",MAX(N2058-M2058,0),IF(TODAY()&gt;M2058,TODAY()-M2058,0)))</f>
        <v>119</v>
      </c>
      <c r="Q2058" s="22" t="str">
        <f>VLOOKUP(B2058,辅助信息!E:M,9,FALSE)</f>
        <v>ZTWM-CDGS-XS-2024-0169-中冶西部钢构-宜宾市南溪区幸福路东路,高县月江镇建设项目</v>
      </c>
      <c r="R2058" s="22" t="str">
        <f>_xlfn._xlws.FILTER(辅助信息!D:D,辅助信息!E:E=B2058)</f>
        <v>五冶钢构-宜宾市南溪区高县月江镇建设项目</v>
      </c>
    </row>
    <row r="2059" hidden="1" spans="2:18">
      <c r="B2059" s="33" t="s">
        <v>106</v>
      </c>
      <c r="C2059" s="63">
        <v>45839</v>
      </c>
      <c r="D2059" s="113" t="str">
        <f>VLOOKUP(B2059,辅助信息!E:K,7,FALSE)</f>
        <v>JWDDCD2024101600133</v>
      </c>
      <c r="E2059" s="113" t="str">
        <f>VLOOKUP(F2059,辅助信息!A:B,2,FALSE)</f>
        <v>盘螺</v>
      </c>
      <c r="F2059" s="33" t="s">
        <v>40</v>
      </c>
      <c r="G2059" s="29">
        <v>20</v>
      </c>
      <c r="H2059" s="127">
        <f>_xlfn.XLOOKUP(C2059&amp;F2059&amp;I2059&amp;J2059,'[1]2025年已发货'!$F:$F&amp;'[1]2025年已发货'!$C:$C&amp;'[1]2025年已发货'!$G:$G&amp;'[1]2025年已发货'!$H:$H,'[1]2025年已发货'!$E:$E,"未发货")</f>
        <v>20</v>
      </c>
      <c r="I2059" s="113" t="str">
        <f>VLOOKUP(B2059,辅助信息!E:I,3,FALSE)</f>
        <v>（五冶钢构宜宾高县月江镇建设项目）  四川省宜宾市高县月江镇刚记超市斜对面(还阳组团沪碳二期项目)</v>
      </c>
      <c r="J2059" s="113" t="str">
        <f>VLOOKUP(B2059,辅助信息!E:I,4,FALSE)</f>
        <v>张朝亮</v>
      </c>
      <c r="K2059" s="113">
        <f>VLOOKUP(J2059,辅助信息!H:I,2,FALSE)</f>
        <v>15228205853</v>
      </c>
      <c r="L2059" s="115" t="str">
        <f>VLOOKUP(B2059,辅助信息!E:J,6,FALSE)</f>
        <v>提前联系到场规格</v>
      </c>
      <c r="M2059" s="84">
        <v>45838</v>
      </c>
      <c r="O2059" s="55">
        <f ca="1" t="shared" si="139"/>
        <v>0</v>
      </c>
      <c r="P2059" s="55">
        <f ca="1" t="shared" si="140"/>
        <v>119</v>
      </c>
      <c r="Q2059" s="22" t="str">
        <f>VLOOKUP(B2059,辅助信息!E:M,9,FALSE)</f>
        <v>ZTWM-CDGS-XS-2024-0169-中冶西部钢构-宜宾市南溪区幸福路东路,高县月江镇建设项目</v>
      </c>
      <c r="R2059" s="22" t="str">
        <f>_xlfn._xlws.FILTER(辅助信息!D:D,辅助信息!E:E=B2059)</f>
        <v>五冶钢构-宜宾市南溪区高县月江镇建设项目</v>
      </c>
    </row>
    <row r="2060" hidden="1" spans="2:18">
      <c r="B2060" s="33" t="s">
        <v>106</v>
      </c>
      <c r="C2060" s="63">
        <v>45839</v>
      </c>
      <c r="D2060" s="113" t="str">
        <f>VLOOKUP(B2060,辅助信息!E:K,7,FALSE)</f>
        <v>JWDDCD2024101600133</v>
      </c>
      <c r="E2060" s="113" t="str">
        <f>VLOOKUP(F2060,辅助信息!A:B,2,FALSE)</f>
        <v>盘螺</v>
      </c>
      <c r="F2060" s="33" t="s">
        <v>41</v>
      </c>
      <c r="G2060" s="29">
        <v>10</v>
      </c>
      <c r="H2060" s="127">
        <f>_xlfn.XLOOKUP(C2060&amp;F2060&amp;I2060&amp;J2060,'[1]2025年已发货'!$F:$F&amp;'[1]2025年已发货'!$C:$C&amp;'[1]2025年已发货'!$G:$G&amp;'[1]2025年已发货'!$H:$H,'[1]2025年已发货'!$E:$E,"未发货")</f>
        <v>10</v>
      </c>
      <c r="I2060" s="113" t="str">
        <f>VLOOKUP(B2060,辅助信息!E:I,3,FALSE)</f>
        <v>（五冶钢构宜宾高县月江镇建设项目）  四川省宜宾市高县月江镇刚记超市斜对面(还阳组团沪碳二期项目)</v>
      </c>
      <c r="J2060" s="113" t="str">
        <f>VLOOKUP(B2060,辅助信息!E:I,4,FALSE)</f>
        <v>张朝亮</v>
      </c>
      <c r="K2060" s="113">
        <f>VLOOKUP(J2060,辅助信息!H:I,2,FALSE)</f>
        <v>15228205853</v>
      </c>
      <c r="L2060" s="115" t="str">
        <f>VLOOKUP(B2060,辅助信息!E:J,6,FALSE)</f>
        <v>提前联系到场规格</v>
      </c>
      <c r="M2060" s="84">
        <v>45838</v>
      </c>
      <c r="O2060" s="55">
        <f ca="1" t="shared" si="139"/>
        <v>0</v>
      </c>
      <c r="P2060" s="55">
        <f ca="1" t="shared" si="140"/>
        <v>119</v>
      </c>
      <c r="Q2060" s="22" t="str">
        <f>VLOOKUP(B2060,辅助信息!E:M,9,FALSE)</f>
        <v>ZTWM-CDGS-XS-2024-0169-中冶西部钢构-宜宾市南溪区幸福路东路,高县月江镇建设项目</v>
      </c>
      <c r="R2060" s="22" t="str">
        <f>_xlfn._xlws.FILTER(辅助信息!D:D,辅助信息!E:E=B2060)</f>
        <v>五冶钢构-宜宾市南溪区高县月江镇建设项目</v>
      </c>
    </row>
    <row r="2061" hidden="1" spans="2:18">
      <c r="B2061" s="33" t="s">
        <v>106</v>
      </c>
      <c r="C2061" s="63">
        <v>45839</v>
      </c>
      <c r="D2061" s="113" t="str">
        <f>VLOOKUP(B2061,辅助信息!E:K,7,FALSE)</f>
        <v>JWDDCD2024101600133</v>
      </c>
      <c r="E2061" s="113" t="str">
        <f>VLOOKUP(F2061,辅助信息!A:B,2,FALSE)</f>
        <v>螺纹钢</v>
      </c>
      <c r="F2061" s="33" t="s">
        <v>27</v>
      </c>
      <c r="G2061" s="29">
        <v>27</v>
      </c>
      <c r="H2061" s="127">
        <f>_xlfn.XLOOKUP(C2061&amp;F2061&amp;I2061&amp;J2061,'[1]2025年已发货'!$F:$F&amp;'[1]2025年已发货'!$C:$C&amp;'[1]2025年已发货'!$G:$G&amp;'[1]2025年已发货'!$H:$H,'[1]2025年已发货'!$E:$E,"未发货")</f>
        <v>27</v>
      </c>
      <c r="I2061" s="113" t="str">
        <f>VLOOKUP(B2061,辅助信息!E:I,3,FALSE)</f>
        <v>（五冶钢构宜宾高县月江镇建设项目）  四川省宜宾市高县月江镇刚记超市斜对面(还阳组团沪碳二期项目)</v>
      </c>
      <c r="J2061" s="113" t="str">
        <f>VLOOKUP(B2061,辅助信息!E:I,4,FALSE)</f>
        <v>张朝亮</v>
      </c>
      <c r="K2061" s="113">
        <f>VLOOKUP(J2061,辅助信息!H:I,2,FALSE)</f>
        <v>15228205853</v>
      </c>
      <c r="L2061" s="115" t="str">
        <f>VLOOKUP(B2061,辅助信息!E:J,6,FALSE)</f>
        <v>提前联系到场规格</v>
      </c>
      <c r="M2061" s="84">
        <v>45838</v>
      </c>
      <c r="O2061" s="55">
        <f ca="1" t="shared" si="139"/>
        <v>0</v>
      </c>
      <c r="P2061" s="55">
        <f ca="1" t="shared" si="140"/>
        <v>119</v>
      </c>
      <c r="Q2061" s="22" t="str">
        <f>VLOOKUP(B2061,辅助信息!E:M,9,FALSE)</f>
        <v>ZTWM-CDGS-XS-2024-0169-中冶西部钢构-宜宾市南溪区幸福路东路,高县月江镇建设项目</v>
      </c>
      <c r="R2061" s="22" t="str">
        <f>_xlfn._xlws.FILTER(辅助信息!D:D,辅助信息!E:E=B2061)</f>
        <v>五冶钢构-宜宾市南溪区高县月江镇建设项目</v>
      </c>
    </row>
    <row r="2062" hidden="1" spans="2:18">
      <c r="B2062" s="33" t="s">
        <v>106</v>
      </c>
      <c r="C2062" s="63">
        <v>45839</v>
      </c>
      <c r="D2062" s="113" t="str">
        <f>VLOOKUP(B2062,辅助信息!E:K,7,FALSE)</f>
        <v>JWDDCD2024101600133</v>
      </c>
      <c r="E2062" s="113" t="str">
        <f>VLOOKUP(F2062,辅助信息!A:B,2,FALSE)</f>
        <v>螺纹钢</v>
      </c>
      <c r="F2062" s="33" t="s">
        <v>19</v>
      </c>
      <c r="G2062" s="29">
        <v>33</v>
      </c>
      <c r="H2062" s="127">
        <f>_xlfn.XLOOKUP(C2062&amp;F2062&amp;I2062&amp;J2062,'[1]2025年已发货'!$F:$F&amp;'[1]2025年已发货'!$C:$C&amp;'[1]2025年已发货'!$G:$G&amp;'[1]2025年已发货'!$H:$H,'[1]2025年已发货'!$E:$E,"未发货")</f>
        <v>33</v>
      </c>
      <c r="I2062" s="113" t="str">
        <f>VLOOKUP(B2062,辅助信息!E:I,3,FALSE)</f>
        <v>（五冶钢构宜宾高县月江镇建设项目）  四川省宜宾市高县月江镇刚记超市斜对面(还阳组团沪碳二期项目)</v>
      </c>
      <c r="J2062" s="113" t="str">
        <f>VLOOKUP(B2062,辅助信息!E:I,4,FALSE)</f>
        <v>张朝亮</v>
      </c>
      <c r="K2062" s="113">
        <f>VLOOKUP(J2062,辅助信息!H:I,2,FALSE)</f>
        <v>15228205853</v>
      </c>
      <c r="L2062" s="115" t="str">
        <f>VLOOKUP(B2062,辅助信息!E:J,6,FALSE)</f>
        <v>提前联系到场规格</v>
      </c>
      <c r="M2062" s="84">
        <v>45838</v>
      </c>
      <c r="O2062" s="55">
        <f ca="1" t="shared" si="139"/>
        <v>0</v>
      </c>
      <c r="P2062" s="55">
        <f ca="1" t="shared" si="140"/>
        <v>119</v>
      </c>
      <c r="Q2062" s="22" t="str">
        <f>VLOOKUP(B2062,辅助信息!E:M,9,FALSE)</f>
        <v>ZTWM-CDGS-XS-2024-0169-中冶西部钢构-宜宾市南溪区幸福路东路,高县月江镇建设项目</v>
      </c>
      <c r="R2062" s="22" t="str">
        <f>_xlfn._xlws.FILTER(辅助信息!D:D,辅助信息!E:E=B2062)</f>
        <v>五冶钢构-宜宾市南溪区高县月江镇建设项目</v>
      </c>
    </row>
    <row r="2063" hidden="1" spans="2:18">
      <c r="B2063" s="33" t="s">
        <v>106</v>
      </c>
      <c r="C2063" s="63">
        <v>45839</v>
      </c>
      <c r="D2063" s="113" t="str">
        <f>VLOOKUP(B2063,辅助信息!E:K,7,FALSE)</f>
        <v>JWDDCD2024101600133</v>
      </c>
      <c r="E2063" s="113" t="str">
        <f>VLOOKUP(F2063,辅助信息!A:B,2,FALSE)</f>
        <v>螺纹钢</v>
      </c>
      <c r="F2063" s="33" t="s">
        <v>32</v>
      </c>
      <c r="G2063" s="29">
        <v>6</v>
      </c>
      <c r="H2063" s="127">
        <f>_xlfn.XLOOKUP(C2063&amp;F2063&amp;I2063&amp;J2063,'[1]2025年已发货'!$F:$F&amp;'[1]2025年已发货'!$C:$C&amp;'[1]2025年已发货'!$G:$G&amp;'[1]2025年已发货'!$H:$H,'[1]2025年已发货'!$E:$E,"未发货")</f>
        <v>6</v>
      </c>
      <c r="I2063" s="113" t="str">
        <f>VLOOKUP(B2063,辅助信息!E:I,3,FALSE)</f>
        <v>（五冶钢构宜宾高县月江镇建设项目）  四川省宜宾市高县月江镇刚记超市斜对面(还阳组团沪碳二期项目)</v>
      </c>
      <c r="J2063" s="113" t="str">
        <f>VLOOKUP(B2063,辅助信息!E:I,4,FALSE)</f>
        <v>张朝亮</v>
      </c>
      <c r="K2063" s="113">
        <f>VLOOKUP(J2063,辅助信息!H:I,2,FALSE)</f>
        <v>15228205853</v>
      </c>
      <c r="L2063" s="115" t="str">
        <f>VLOOKUP(B2063,辅助信息!E:J,6,FALSE)</f>
        <v>提前联系到场规格</v>
      </c>
      <c r="M2063" s="84">
        <v>45838</v>
      </c>
      <c r="O2063" s="55">
        <f ca="1" t="shared" si="139"/>
        <v>0</v>
      </c>
      <c r="P2063" s="55">
        <f ca="1" t="shared" si="140"/>
        <v>119</v>
      </c>
      <c r="Q2063" s="22" t="str">
        <f>VLOOKUP(B2063,辅助信息!E:M,9,FALSE)</f>
        <v>ZTWM-CDGS-XS-2024-0169-中冶西部钢构-宜宾市南溪区幸福路东路,高县月江镇建设项目</v>
      </c>
      <c r="R2063" s="22" t="str">
        <f>_xlfn._xlws.FILTER(辅助信息!D:D,辅助信息!E:E=B2063)</f>
        <v>五冶钢构-宜宾市南溪区高县月江镇建设项目</v>
      </c>
    </row>
    <row r="2064" hidden="1" spans="2:18">
      <c r="B2064" s="33" t="s">
        <v>106</v>
      </c>
      <c r="C2064" s="63">
        <v>45839</v>
      </c>
      <c r="D2064" s="113" t="str">
        <f>VLOOKUP(B2064,辅助信息!E:K,7,FALSE)</f>
        <v>JWDDCD2024101600133</v>
      </c>
      <c r="E2064" s="113" t="str">
        <f>VLOOKUP(F2064,辅助信息!A:B,2,FALSE)</f>
        <v>螺纹钢</v>
      </c>
      <c r="F2064" s="33" t="s">
        <v>30</v>
      </c>
      <c r="G2064" s="29">
        <v>3</v>
      </c>
      <c r="H2064" s="127">
        <f>_xlfn.XLOOKUP(C2064&amp;F2064&amp;I2064&amp;J2064,'[1]2025年已发货'!$F:$F&amp;'[1]2025年已发货'!$C:$C&amp;'[1]2025年已发货'!$G:$G&amp;'[1]2025年已发货'!$H:$H,'[1]2025年已发货'!$E:$E,"未发货")</f>
        <v>3</v>
      </c>
      <c r="I2064" s="113" t="str">
        <f>VLOOKUP(B2064,辅助信息!E:I,3,FALSE)</f>
        <v>（五冶钢构宜宾高县月江镇建设项目）  四川省宜宾市高县月江镇刚记超市斜对面(还阳组团沪碳二期项目)</v>
      </c>
      <c r="J2064" s="113" t="str">
        <f>VLOOKUP(B2064,辅助信息!E:I,4,FALSE)</f>
        <v>张朝亮</v>
      </c>
      <c r="K2064" s="113">
        <f>VLOOKUP(J2064,辅助信息!H:I,2,FALSE)</f>
        <v>15228205853</v>
      </c>
      <c r="L2064" s="115" t="str">
        <f>VLOOKUP(B2064,辅助信息!E:J,6,FALSE)</f>
        <v>提前联系到场规格</v>
      </c>
      <c r="M2064" s="84">
        <v>45838</v>
      </c>
      <c r="O2064" s="55">
        <f ca="1" t="shared" si="139"/>
        <v>0</v>
      </c>
      <c r="P2064" s="55">
        <f ca="1" t="shared" si="140"/>
        <v>119</v>
      </c>
      <c r="Q2064" s="22" t="str">
        <f>VLOOKUP(B2064,辅助信息!E:M,9,FALSE)</f>
        <v>ZTWM-CDGS-XS-2024-0169-中冶西部钢构-宜宾市南溪区幸福路东路,高县月江镇建设项目</v>
      </c>
      <c r="R2064" s="22" t="str">
        <f>_xlfn._xlws.FILTER(辅助信息!D:D,辅助信息!E:E=B2064)</f>
        <v>五冶钢构-宜宾市南溪区高县月江镇建设项目</v>
      </c>
    </row>
    <row r="2065" hidden="1" spans="2:18">
      <c r="B2065" s="33" t="s">
        <v>106</v>
      </c>
      <c r="C2065" s="63">
        <v>45839</v>
      </c>
      <c r="D2065" s="113" t="str">
        <f>VLOOKUP(B2065,辅助信息!E:K,7,FALSE)</f>
        <v>JWDDCD2024101600133</v>
      </c>
      <c r="E2065" s="113" t="str">
        <f>VLOOKUP(F2065,辅助信息!A:B,2,FALSE)</f>
        <v>螺纹钢</v>
      </c>
      <c r="F2065" s="33" t="s">
        <v>33</v>
      </c>
      <c r="G2065" s="29">
        <v>9</v>
      </c>
      <c r="H2065" s="127">
        <f>_xlfn.XLOOKUP(C2065&amp;F2065&amp;I2065&amp;J2065,'[1]2025年已发货'!$F:$F&amp;'[1]2025年已发货'!$C:$C&amp;'[1]2025年已发货'!$G:$G&amp;'[1]2025年已发货'!$H:$H,'[1]2025年已发货'!$E:$E,"未发货")</f>
        <v>9</v>
      </c>
      <c r="I2065" s="113" t="str">
        <f>VLOOKUP(B2065,辅助信息!E:I,3,FALSE)</f>
        <v>（五冶钢构宜宾高县月江镇建设项目）  四川省宜宾市高县月江镇刚记超市斜对面(还阳组团沪碳二期项目)</v>
      </c>
      <c r="J2065" s="113" t="str">
        <f>VLOOKUP(B2065,辅助信息!E:I,4,FALSE)</f>
        <v>张朝亮</v>
      </c>
      <c r="K2065" s="113">
        <f>VLOOKUP(J2065,辅助信息!H:I,2,FALSE)</f>
        <v>15228205853</v>
      </c>
      <c r="L2065" s="115" t="str">
        <f>VLOOKUP(B2065,辅助信息!E:J,6,FALSE)</f>
        <v>提前联系到场规格</v>
      </c>
      <c r="M2065" s="84">
        <v>45838</v>
      </c>
      <c r="O2065" s="55">
        <f ca="1" t="shared" si="139"/>
        <v>0</v>
      </c>
      <c r="P2065" s="55">
        <f ca="1" t="shared" si="140"/>
        <v>119</v>
      </c>
      <c r="Q2065" s="22" t="str">
        <f>VLOOKUP(B2065,辅助信息!E:M,9,FALSE)</f>
        <v>ZTWM-CDGS-XS-2024-0169-中冶西部钢构-宜宾市南溪区幸福路东路,高县月江镇建设项目</v>
      </c>
      <c r="R2065" s="22" t="str">
        <f>_xlfn._xlws.FILTER(辅助信息!D:D,辅助信息!E:E=B2065)</f>
        <v>五冶钢构-宜宾市南溪区高县月江镇建设项目</v>
      </c>
    </row>
    <row r="2066" hidden="1" spans="2:18">
      <c r="B2066" s="33" t="s">
        <v>106</v>
      </c>
      <c r="C2066" s="63">
        <v>45839</v>
      </c>
      <c r="D2066" s="113" t="str">
        <f>VLOOKUP(B2066,辅助信息!E:K,7,FALSE)</f>
        <v>JWDDCD2024101600133</v>
      </c>
      <c r="E2066" s="113" t="str">
        <f>VLOOKUP(F2066,辅助信息!A:B,2,FALSE)</f>
        <v>螺纹钢</v>
      </c>
      <c r="F2066" s="33" t="s">
        <v>28</v>
      </c>
      <c r="G2066" s="29">
        <v>27</v>
      </c>
      <c r="H2066" s="127">
        <f>_xlfn.XLOOKUP(C2066&amp;F2066&amp;I2066&amp;J2066,'[1]2025年已发货'!$F:$F&amp;'[1]2025年已发货'!$C:$C&amp;'[1]2025年已发货'!$G:$G&amp;'[1]2025年已发货'!$H:$H,'[1]2025年已发货'!$E:$E,"未发货")</f>
        <v>27</v>
      </c>
      <c r="I2066" s="113" t="str">
        <f>VLOOKUP(B2066,辅助信息!E:I,3,FALSE)</f>
        <v>（五冶钢构宜宾高县月江镇建设项目）  四川省宜宾市高县月江镇刚记超市斜对面(还阳组团沪碳二期项目)</v>
      </c>
      <c r="J2066" s="113" t="str">
        <f>VLOOKUP(B2066,辅助信息!E:I,4,FALSE)</f>
        <v>张朝亮</v>
      </c>
      <c r="K2066" s="113">
        <f>VLOOKUP(J2066,辅助信息!H:I,2,FALSE)</f>
        <v>15228205853</v>
      </c>
      <c r="L2066" s="115" t="str">
        <f>VLOOKUP(B2066,辅助信息!E:J,6,FALSE)</f>
        <v>提前联系到场规格</v>
      </c>
      <c r="M2066" s="84">
        <v>45838</v>
      </c>
      <c r="O2066" s="55">
        <f ca="1" t="shared" si="139"/>
        <v>0</v>
      </c>
      <c r="P2066" s="55">
        <f ca="1" t="shared" si="140"/>
        <v>119</v>
      </c>
      <c r="Q2066" s="22" t="str">
        <f>VLOOKUP(B2066,辅助信息!E:M,9,FALSE)</f>
        <v>ZTWM-CDGS-XS-2024-0169-中冶西部钢构-宜宾市南溪区幸福路东路,高县月江镇建设项目</v>
      </c>
      <c r="R2066" s="22" t="str">
        <f>_xlfn._xlws.FILTER(辅助信息!D:D,辅助信息!E:E=B2066)</f>
        <v>五冶钢构-宜宾市南溪区高县月江镇建设项目</v>
      </c>
    </row>
    <row r="2067" hidden="1" spans="2:18">
      <c r="B2067" s="33" t="s">
        <v>106</v>
      </c>
      <c r="C2067" s="63">
        <v>45839</v>
      </c>
      <c r="D2067" s="113" t="str">
        <f>VLOOKUP(B2067,辅助信息!E:K,7,FALSE)</f>
        <v>JWDDCD2024101600133</v>
      </c>
      <c r="E2067" s="113" t="str">
        <f>VLOOKUP(F2067,辅助信息!A:B,2,FALSE)</f>
        <v>螺纹钢</v>
      </c>
      <c r="F2067" s="33" t="s">
        <v>18</v>
      </c>
      <c r="G2067" s="29">
        <v>36</v>
      </c>
      <c r="H2067" s="127">
        <f>_xlfn.XLOOKUP(C2067&amp;F2067&amp;I2067&amp;J2067,'[1]2025年已发货'!$F:$F&amp;'[1]2025年已发货'!$C:$C&amp;'[1]2025年已发货'!$G:$G&amp;'[1]2025年已发货'!$H:$H,'[1]2025年已发货'!$E:$E,"未发货")</f>
        <v>36</v>
      </c>
      <c r="I2067" s="113" t="str">
        <f>VLOOKUP(B2067,辅助信息!E:I,3,FALSE)</f>
        <v>（五冶钢构宜宾高县月江镇建设项目）  四川省宜宾市高县月江镇刚记超市斜对面(还阳组团沪碳二期项目)</v>
      </c>
      <c r="J2067" s="113" t="str">
        <f>VLOOKUP(B2067,辅助信息!E:I,4,FALSE)</f>
        <v>张朝亮</v>
      </c>
      <c r="K2067" s="113">
        <f>VLOOKUP(J2067,辅助信息!H:I,2,FALSE)</f>
        <v>15228205853</v>
      </c>
      <c r="L2067" s="115" t="str">
        <f>VLOOKUP(B2067,辅助信息!E:J,6,FALSE)</f>
        <v>提前联系到场规格</v>
      </c>
      <c r="M2067" s="84">
        <v>45838</v>
      </c>
      <c r="O2067" s="55">
        <f ca="1" t="shared" ref="O2067:O2112" si="141">IF(OR(M2067="",N2067&lt;&gt;""),"",MAX(M2067-TODAY(),0))</f>
        <v>0</v>
      </c>
      <c r="P2067" s="55">
        <f ca="1" t="shared" ref="P2067:P2112" si="142">IF(M2067="","",IF(N2067&lt;&gt;"",MAX(N2067-M2067,0),IF(TODAY()&gt;M2067,TODAY()-M2067,0)))</f>
        <v>119</v>
      </c>
      <c r="Q2067" s="22" t="str">
        <f>VLOOKUP(B2067,辅助信息!E:M,9,FALSE)</f>
        <v>ZTWM-CDGS-XS-2024-0169-中冶西部钢构-宜宾市南溪区幸福路东路,高县月江镇建设项目</v>
      </c>
      <c r="R2067" s="22" t="str">
        <f>_xlfn._xlws.FILTER(辅助信息!D:D,辅助信息!E:E=B2067)</f>
        <v>五冶钢构-宜宾市南溪区高县月江镇建设项目</v>
      </c>
    </row>
    <row r="2068" hidden="1" spans="2:18">
      <c r="B2068" s="33" t="s">
        <v>186</v>
      </c>
      <c r="C2068" s="63">
        <v>45839</v>
      </c>
      <c r="D2068" s="113" t="str">
        <f>VLOOKUP(B2068,辅助信息!E:K,7,FALSE)</f>
        <v>JWDDCD2025072900123</v>
      </c>
      <c r="E2068" s="113" t="str">
        <f>VLOOKUP(F2068,辅助信息!A:B,2,FALSE)</f>
        <v>盘螺</v>
      </c>
      <c r="F2068" s="33" t="s">
        <v>49</v>
      </c>
      <c r="G2068" s="29">
        <v>2.5</v>
      </c>
      <c r="H2068" s="127">
        <f>_xlfn.XLOOKUP(C2068&amp;F2068&amp;I2068&amp;J2068,'[1]2025年已发货'!$F:$F&amp;'[1]2025年已发货'!$C:$C&amp;'[1]2025年已发货'!$G:$G&amp;'[1]2025年已发货'!$H:$H,'[1]2025年已发货'!$E:$E,"未发货")</f>
        <v>2.5</v>
      </c>
      <c r="I2068" s="113" t="str">
        <f>VLOOKUP(B2068,辅助信息!E:I,3,FALSE)</f>
        <v>(乐山市校地共建产教融合基地建设项目二标段)四川省乐山市市中区苏稽镇</v>
      </c>
      <c r="J2068" s="113" t="str">
        <f>VLOOKUP(B2068,辅助信息!E:I,4,FALSE)</f>
        <v>彭江涛</v>
      </c>
      <c r="K2068" s="113">
        <f>VLOOKUP(J2068,辅助信息!H:I,2,FALSE)</f>
        <v>13990276572</v>
      </c>
      <c r="L2068" s="115" t="str">
        <f>VLOOKUP(B2068,辅助信息!E:J,6,FALSE)</f>
        <v>联系实际收货人（彭江涛13990276572）现场要求炉批号控制2个以下，超2个不给予签收。提前联系到场规格及数量</v>
      </c>
      <c r="M2068" s="84">
        <v>45838</v>
      </c>
      <c r="O2068" s="55">
        <f ca="1" t="shared" si="141"/>
        <v>0</v>
      </c>
      <c r="P2068" s="55">
        <f ca="1" t="shared" si="142"/>
        <v>119</v>
      </c>
      <c r="Q2068" s="22" t="str">
        <f>VLOOKUP(B2068,辅助信息!E:M,9,FALSE)</f>
        <v>ZTWM-CDGS-XS-2025-0126-四川机司-乐山市校地共建产教融合基地配套设施项目施工二标段钢筋采购合同</v>
      </c>
      <c r="R2068" s="22" t="str">
        <f>_xlfn._xlws.FILTER(辅助信息!D:D,辅助信息!E:E=B2068)</f>
        <v>乐山市校地共建产教融合基地建设项目二标段</v>
      </c>
    </row>
    <row r="2069" hidden="1" spans="2:18">
      <c r="B2069" s="33" t="s">
        <v>186</v>
      </c>
      <c r="C2069" s="63">
        <v>45839</v>
      </c>
      <c r="D2069" s="113" t="str">
        <f>VLOOKUP(B2069,辅助信息!E:K,7,FALSE)</f>
        <v>JWDDCD2025072900123</v>
      </c>
      <c r="E2069" s="113" t="str">
        <f>VLOOKUP(F2069,辅助信息!A:B,2,FALSE)</f>
        <v>盘螺</v>
      </c>
      <c r="F2069" s="33" t="s">
        <v>40</v>
      </c>
      <c r="G2069" s="29">
        <v>12.5</v>
      </c>
      <c r="H2069" s="127">
        <f>_xlfn.XLOOKUP(C2069&amp;F2069&amp;I2069&amp;J2069,'[1]2025年已发货'!$F:$F&amp;'[1]2025年已发货'!$C:$C&amp;'[1]2025年已发货'!$G:$G&amp;'[1]2025年已发货'!$H:$H,'[1]2025年已发货'!$E:$E,"未发货")</f>
        <v>12.5</v>
      </c>
      <c r="I2069" s="113" t="str">
        <f>VLOOKUP(B2069,辅助信息!E:I,3,FALSE)</f>
        <v>(乐山市校地共建产教融合基地建设项目二标段)四川省乐山市市中区苏稽镇</v>
      </c>
      <c r="J2069" s="113" t="str">
        <f>VLOOKUP(B2069,辅助信息!E:I,4,FALSE)</f>
        <v>彭江涛</v>
      </c>
      <c r="K2069" s="113">
        <f>VLOOKUP(J2069,辅助信息!H:I,2,FALSE)</f>
        <v>13990276572</v>
      </c>
      <c r="L2069" s="115" t="str">
        <f>VLOOKUP(B2069,辅助信息!E:J,6,FALSE)</f>
        <v>联系实际收货人（彭江涛13990276572）现场要求炉批号控制2个以下，超2个不给予签收。提前联系到场规格及数量</v>
      </c>
      <c r="M2069" s="84">
        <v>45838</v>
      </c>
      <c r="O2069" s="55">
        <f ca="1" t="shared" si="141"/>
        <v>0</v>
      </c>
      <c r="P2069" s="55">
        <f ca="1" t="shared" si="142"/>
        <v>119</v>
      </c>
      <c r="Q2069" s="22" t="str">
        <f>VLOOKUP(B2069,辅助信息!E:M,9,FALSE)</f>
        <v>ZTWM-CDGS-XS-2025-0126-四川机司-乐山市校地共建产教融合基地配套设施项目施工二标段钢筋采购合同</v>
      </c>
      <c r="R2069" s="22" t="str">
        <f>_xlfn._xlws.FILTER(辅助信息!D:D,辅助信息!E:E=B2069)</f>
        <v>乐山市校地共建产教融合基地建设项目二标段</v>
      </c>
    </row>
    <row r="2070" hidden="1" spans="2:18">
      <c r="B2070" s="33" t="s">
        <v>186</v>
      </c>
      <c r="C2070" s="63">
        <v>45839</v>
      </c>
      <c r="D2070" s="113" t="str">
        <f>VLOOKUP(B2070,辅助信息!E:K,7,FALSE)</f>
        <v>JWDDCD2025072900123</v>
      </c>
      <c r="E2070" s="113" t="str">
        <f>VLOOKUP(F2070,辅助信息!A:B,2,FALSE)</f>
        <v>盘螺</v>
      </c>
      <c r="F2070" s="33" t="s">
        <v>41</v>
      </c>
      <c r="G2070" s="29">
        <v>15</v>
      </c>
      <c r="H2070" s="127">
        <f>_xlfn.XLOOKUP(C2070&amp;F2070&amp;I2070&amp;J2070,'[1]2025年已发货'!$F:$F&amp;'[1]2025年已发货'!$C:$C&amp;'[1]2025年已发货'!$G:$G&amp;'[1]2025年已发货'!$H:$H,'[1]2025年已发货'!$E:$E,"未发货")</f>
        <v>15</v>
      </c>
      <c r="I2070" s="113" t="str">
        <f>VLOOKUP(B2070,辅助信息!E:I,3,FALSE)</f>
        <v>(乐山市校地共建产教融合基地建设项目二标段)四川省乐山市市中区苏稽镇</v>
      </c>
      <c r="J2070" s="113" t="str">
        <f>VLOOKUP(B2070,辅助信息!E:I,4,FALSE)</f>
        <v>彭江涛</v>
      </c>
      <c r="K2070" s="113">
        <f>VLOOKUP(J2070,辅助信息!H:I,2,FALSE)</f>
        <v>13990276572</v>
      </c>
      <c r="L2070" s="115" t="str">
        <f>VLOOKUP(B2070,辅助信息!E:J,6,FALSE)</f>
        <v>联系实际收货人（彭江涛13990276572）现场要求炉批号控制2个以下，超2个不给予签收。提前联系到场规格及数量</v>
      </c>
      <c r="M2070" s="84">
        <v>45838</v>
      </c>
      <c r="O2070" s="55">
        <f ca="1" t="shared" si="141"/>
        <v>0</v>
      </c>
      <c r="P2070" s="55">
        <f ca="1" t="shared" si="142"/>
        <v>119</v>
      </c>
      <c r="Q2070" s="22" t="str">
        <f>VLOOKUP(B2070,辅助信息!E:M,9,FALSE)</f>
        <v>ZTWM-CDGS-XS-2025-0126-四川机司-乐山市校地共建产教融合基地配套设施项目施工二标段钢筋采购合同</v>
      </c>
      <c r="R2070" s="22" t="str">
        <f>_xlfn._xlws.FILTER(辅助信息!D:D,辅助信息!E:E=B2070)</f>
        <v>乐山市校地共建产教融合基地建设项目二标段</v>
      </c>
    </row>
    <row r="2071" hidden="1" spans="2:18">
      <c r="B2071" s="33" t="s">
        <v>186</v>
      </c>
      <c r="C2071" s="63">
        <v>45839</v>
      </c>
      <c r="D2071" s="113" t="str">
        <f>VLOOKUP(B2071,辅助信息!E:K,7,FALSE)</f>
        <v>JWDDCD2025072900123</v>
      </c>
      <c r="E2071" s="113" t="str">
        <f>VLOOKUP(F2071,辅助信息!A:B,2,FALSE)</f>
        <v>螺纹钢</v>
      </c>
      <c r="F2071" s="33" t="s">
        <v>66</v>
      </c>
      <c r="G2071" s="29">
        <v>12</v>
      </c>
      <c r="H2071" s="127" t="str">
        <f>_xlfn.XLOOKUP(C2071&amp;F2071&amp;I2071&amp;J2071,'[1]2025年已发货'!$F:$F&amp;'[1]2025年已发货'!$C:$C&amp;'[1]2025年已发货'!$G:$G&amp;'[1]2025年已发货'!$H:$H,'[1]2025年已发货'!$E:$E,"未发货")</f>
        <v>未发货</v>
      </c>
      <c r="I2071" s="113" t="str">
        <f>VLOOKUP(B2071,辅助信息!E:I,3,FALSE)</f>
        <v>(乐山市校地共建产教融合基地建设项目二标段)四川省乐山市市中区苏稽镇</v>
      </c>
      <c r="J2071" s="113" t="str">
        <f>VLOOKUP(B2071,辅助信息!E:I,4,FALSE)</f>
        <v>彭江涛</v>
      </c>
      <c r="K2071" s="113">
        <f>VLOOKUP(J2071,辅助信息!H:I,2,FALSE)</f>
        <v>13990276572</v>
      </c>
      <c r="L2071" s="115" t="str">
        <f>VLOOKUP(B2071,辅助信息!E:J,6,FALSE)</f>
        <v>联系实际收货人（彭江涛13990276572）现场要求炉批号控制2个以下，超2个不给予签收。提前联系到场规格及数量</v>
      </c>
      <c r="M2071" s="84">
        <v>45838</v>
      </c>
      <c r="O2071" s="55">
        <f ca="1" t="shared" si="141"/>
        <v>0</v>
      </c>
      <c r="P2071" s="55">
        <f ca="1" t="shared" si="142"/>
        <v>119</v>
      </c>
      <c r="Q2071" s="22" t="str">
        <f>VLOOKUP(B2071,辅助信息!E:M,9,FALSE)</f>
        <v>ZTWM-CDGS-XS-2025-0126-四川机司-乐山市校地共建产教融合基地配套设施项目施工二标段钢筋采购合同</v>
      </c>
      <c r="R2071" s="22" t="str">
        <f>_xlfn._xlws.FILTER(辅助信息!D:D,辅助信息!E:E=B2071)</f>
        <v>乐山市校地共建产教融合基地建设项目二标段</v>
      </c>
    </row>
    <row r="2072" hidden="1" spans="2:18">
      <c r="B2072" s="33" t="s">
        <v>186</v>
      </c>
      <c r="C2072" s="63">
        <v>45839</v>
      </c>
      <c r="D2072" s="113" t="str">
        <f>VLOOKUP(B2072,辅助信息!E:K,7,FALSE)</f>
        <v>JWDDCD2025072900123</v>
      </c>
      <c r="E2072" s="113" t="str">
        <f>VLOOKUP(F2072,辅助信息!A:B,2,FALSE)</f>
        <v>螺纹钢</v>
      </c>
      <c r="F2072" s="33" t="s">
        <v>82</v>
      </c>
      <c r="G2072" s="29">
        <v>3</v>
      </c>
      <c r="H2072" s="127">
        <f>_xlfn.XLOOKUP(C2072&amp;F2072&amp;I2072&amp;J2072,'[1]2025年已发货'!$F:$F&amp;'[1]2025年已发货'!$C:$C&amp;'[1]2025年已发货'!$G:$G&amp;'[1]2025年已发货'!$H:$H,'[1]2025年已发货'!$E:$E,"未发货")</f>
        <v>3</v>
      </c>
      <c r="I2072" s="113" t="str">
        <f>VLOOKUP(B2072,辅助信息!E:I,3,FALSE)</f>
        <v>(乐山市校地共建产教融合基地建设项目二标段)四川省乐山市市中区苏稽镇</v>
      </c>
      <c r="J2072" s="113" t="str">
        <f>VLOOKUP(B2072,辅助信息!E:I,4,FALSE)</f>
        <v>彭江涛</v>
      </c>
      <c r="K2072" s="113">
        <f>VLOOKUP(J2072,辅助信息!H:I,2,FALSE)</f>
        <v>13990276572</v>
      </c>
      <c r="L2072" s="115" t="str">
        <f>VLOOKUP(B2072,辅助信息!E:J,6,FALSE)</f>
        <v>联系实际收货人（彭江涛13990276572）现场要求炉批号控制2个以下，超2个不给予签收。提前联系到场规格及数量</v>
      </c>
      <c r="M2072" s="84">
        <v>45838</v>
      </c>
      <c r="O2072" s="55">
        <f ca="1" t="shared" si="141"/>
        <v>0</v>
      </c>
      <c r="P2072" s="55">
        <f ca="1" t="shared" si="142"/>
        <v>119</v>
      </c>
      <c r="Q2072" s="22" t="str">
        <f>VLOOKUP(B2072,辅助信息!E:M,9,FALSE)</f>
        <v>ZTWM-CDGS-XS-2025-0126-四川机司-乐山市校地共建产教融合基地配套设施项目施工二标段钢筋采购合同</v>
      </c>
      <c r="R2072" s="22" t="str">
        <f>_xlfn._xlws.FILTER(辅助信息!D:D,辅助信息!E:E=B2072)</f>
        <v>乐山市校地共建产教融合基地建设项目二标段</v>
      </c>
    </row>
    <row r="2073" hidden="1" spans="2:18">
      <c r="B2073" s="33" t="s">
        <v>186</v>
      </c>
      <c r="C2073" s="63">
        <v>45839</v>
      </c>
      <c r="D2073" s="113" t="str">
        <f>VLOOKUP(B2073,辅助信息!E:K,7,FALSE)</f>
        <v>JWDDCD2025072900123</v>
      </c>
      <c r="E2073" s="113" t="str">
        <f>VLOOKUP(F2073,辅助信息!A:B,2,FALSE)</f>
        <v>螺纹钢</v>
      </c>
      <c r="F2073" s="33" t="s">
        <v>45</v>
      </c>
      <c r="G2073" s="29">
        <v>3</v>
      </c>
      <c r="H2073" s="127" t="str">
        <f>_xlfn.XLOOKUP(C2073&amp;F2073&amp;I2073&amp;J2073,'[1]2025年已发货'!$F:$F&amp;'[1]2025年已发货'!$C:$C&amp;'[1]2025年已发货'!$G:$G&amp;'[1]2025年已发货'!$H:$H,'[1]2025年已发货'!$E:$E,"未发货")</f>
        <v>未发货</v>
      </c>
      <c r="I2073" s="113" t="str">
        <f>VLOOKUP(B2073,辅助信息!E:I,3,FALSE)</f>
        <v>(乐山市校地共建产教融合基地建设项目二标段)四川省乐山市市中区苏稽镇</v>
      </c>
      <c r="J2073" s="113" t="str">
        <f>VLOOKUP(B2073,辅助信息!E:I,4,FALSE)</f>
        <v>彭江涛</v>
      </c>
      <c r="K2073" s="113">
        <f>VLOOKUP(J2073,辅助信息!H:I,2,FALSE)</f>
        <v>13990276572</v>
      </c>
      <c r="L2073" s="115" t="str">
        <f>VLOOKUP(B2073,辅助信息!E:J,6,FALSE)</f>
        <v>联系实际收货人（彭江涛13990276572）现场要求炉批号控制2个以下，超2个不给予签收。提前联系到场规格及数量</v>
      </c>
      <c r="M2073" s="84">
        <v>45838</v>
      </c>
      <c r="O2073" s="55">
        <f ca="1" t="shared" si="141"/>
        <v>0</v>
      </c>
      <c r="P2073" s="55">
        <f ca="1" t="shared" si="142"/>
        <v>119</v>
      </c>
      <c r="Q2073" s="22" t="str">
        <f>VLOOKUP(B2073,辅助信息!E:M,9,FALSE)</f>
        <v>ZTWM-CDGS-XS-2025-0126-四川机司-乐山市校地共建产教融合基地配套设施项目施工二标段钢筋采购合同</v>
      </c>
      <c r="R2073" s="22" t="str">
        <f>_xlfn._xlws.FILTER(辅助信息!D:D,辅助信息!E:E=B2073)</f>
        <v>乐山市校地共建产教融合基地建设项目二标段</v>
      </c>
    </row>
    <row r="2074" hidden="1" spans="2:18">
      <c r="B2074" s="33" t="s">
        <v>186</v>
      </c>
      <c r="C2074" s="63">
        <v>45839</v>
      </c>
      <c r="D2074" s="113" t="str">
        <f>VLOOKUP(B2074,辅助信息!E:K,7,FALSE)</f>
        <v>JWDDCD2025072900123</v>
      </c>
      <c r="E2074" s="113" t="str">
        <f>VLOOKUP(F2074,辅助信息!A:B,2,FALSE)</f>
        <v>螺纹钢</v>
      </c>
      <c r="F2074" s="33" t="s">
        <v>21</v>
      </c>
      <c r="G2074" s="29">
        <v>3</v>
      </c>
      <c r="H2074" s="127" t="str">
        <f>_xlfn.XLOOKUP(C2074&amp;F2074&amp;I2074&amp;J2074,'[1]2025年已发货'!$F:$F&amp;'[1]2025年已发货'!$C:$C&amp;'[1]2025年已发货'!$G:$G&amp;'[1]2025年已发货'!$H:$H,'[1]2025年已发货'!$E:$E,"未发货")</f>
        <v>未发货</v>
      </c>
      <c r="I2074" s="113" t="str">
        <f>VLOOKUP(B2074,辅助信息!E:I,3,FALSE)</f>
        <v>(乐山市校地共建产教融合基地建设项目二标段)四川省乐山市市中区苏稽镇</v>
      </c>
      <c r="J2074" s="113" t="str">
        <f>VLOOKUP(B2074,辅助信息!E:I,4,FALSE)</f>
        <v>彭江涛</v>
      </c>
      <c r="K2074" s="113">
        <f>VLOOKUP(J2074,辅助信息!H:I,2,FALSE)</f>
        <v>13990276572</v>
      </c>
      <c r="L2074" s="115" t="str">
        <f>VLOOKUP(B2074,辅助信息!E:J,6,FALSE)</f>
        <v>联系实际收货人（彭江涛13990276572）现场要求炉批号控制2个以下，超2个不给予签收。提前联系到场规格及数量</v>
      </c>
      <c r="M2074" s="84">
        <v>45838</v>
      </c>
      <c r="O2074" s="55">
        <f ca="1" t="shared" si="141"/>
        <v>0</v>
      </c>
      <c r="P2074" s="55">
        <f ca="1" t="shared" si="142"/>
        <v>119</v>
      </c>
      <c r="Q2074" s="22" t="str">
        <f>VLOOKUP(B2074,辅助信息!E:M,9,FALSE)</f>
        <v>ZTWM-CDGS-XS-2025-0126-四川机司-乐山市校地共建产教融合基地配套设施项目施工二标段钢筋采购合同</v>
      </c>
      <c r="R2074" s="22" t="str">
        <f>_xlfn._xlws.FILTER(辅助信息!D:D,辅助信息!E:E=B2074)</f>
        <v>乐山市校地共建产教融合基地建设项目二标段</v>
      </c>
    </row>
    <row r="2075" hidden="1" spans="2:18">
      <c r="B2075" s="33" t="s">
        <v>186</v>
      </c>
      <c r="C2075" s="63">
        <v>45839</v>
      </c>
      <c r="D2075" s="113" t="str">
        <f>VLOOKUP(B2075,辅助信息!E:K,7,FALSE)</f>
        <v>JWDDCD2025072900123</v>
      </c>
      <c r="E2075" s="113" t="str">
        <f>VLOOKUP(F2075,辅助信息!A:B,2,FALSE)</f>
        <v>螺纹钢</v>
      </c>
      <c r="F2075" s="33" t="s">
        <v>58</v>
      </c>
      <c r="G2075" s="29">
        <v>3</v>
      </c>
      <c r="H2075" s="127" t="str">
        <f>_xlfn.XLOOKUP(C2075&amp;F2075&amp;I2075&amp;J2075,'[1]2025年已发货'!$F:$F&amp;'[1]2025年已发货'!$C:$C&amp;'[1]2025年已发货'!$G:$G&amp;'[1]2025年已发货'!$H:$H,'[1]2025年已发货'!$E:$E,"未发货")</f>
        <v>未发货</v>
      </c>
      <c r="I2075" s="113" t="str">
        <f>VLOOKUP(B2075,辅助信息!E:I,3,FALSE)</f>
        <v>(乐山市校地共建产教融合基地建设项目二标段)四川省乐山市市中区苏稽镇</v>
      </c>
      <c r="J2075" s="113" t="str">
        <f>VLOOKUP(B2075,辅助信息!E:I,4,FALSE)</f>
        <v>彭江涛</v>
      </c>
      <c r="K2075" s="113">
        <f>VLOOKUP(J2075,辅助信息!H:I,2,FALSE)</f>
        <v>13990276572</v>
      </c>
      <c r="L2075" s="115" t="str">
        <f>VLOOKUP(B2075,辅助信息!E:J,6,FALSE)</f>
        <v>联系实际收货人（彭江涛13990276572）现场要求炉批号控制2个以下，超2个不给予签收。提前联系到场规格及数量</v>
      </c>
      <c r="M2075" s="84">
        <v>45838</v>
      </c>
      <c r="O2075" s="55">
        <f ca="1" t="shared" si="141"/>
        <v>0</v>
      </c>
      <c r="P2075" s="55">
        <f ca="1" t="shared" si="142"/>
        <v>119</v>
      </c>
      <c r="Q2075" s="22" t="str">
        <f>VLOOKUP(B2075,辅助信息!E:M,9,FALSE)</f>
        <v>ZTWM-CDGS-XS-2025-0126-四川机司-乐山市校地共建产教融合基地配套设施项目施工二标段钢筋采购合同</v>
      </c>
      <c r="R2075" s="22" t="str">
        <f>_xlfn._xlws.FILTER(辅助信息!D:D,辅助信息!E:E=B2075)</f>
        <v>乐山市校地共建产教融合基地建设项目二标段</v>
      </c>
    </row>
    <row r="2076" hidden="1" spans="2:18">
      <c r="B2076" s="33" t="s">
        <v>186</v>
      </c>
      <c r="C2076" s="63">
        <v>45839</v>
      </c>
      <c r="D2076" s="113" t="str">
        <f>VLOOKUP(B2076,辅助信息!E:K,7,FALSE)</f>
        <v>JWDDCD2025072900123</v>
      </c>
      <c r="E2076" s="113" t="str">
        <f>VLOOKUP(F2076,辅助信息!A:B,2,FALSE)</f>
        <v>螺纹钢</v>
      </c>
      <c r="F2076" s="33" t="s">
        <v>46</v>
      </c>
      <c r="G2076" s="29">
        <v>3</v>
      </c>
      <c r="H2076" s="127" t="str">
        <f>_xlfn.XLOOKUP(C2076&amp;F2076&amp;I2076&amp;J2076,'[1]2025年已发货'!$F:$F&amp;'[1]2025年已发货'!$C:$C&amp;'[1]2025年已发货'!$G:$G&amp;'[1]2025年已发货'!$H:$H,'[1]2025年已发货'!$E:$E,"未发货")</f>
        <v>未发货</v>
      </c>
      <c r="I2076" s="113" t="str">
        <f>VLOOKUP(B2076,辅助信息!E:I,3,FALSE)</f>
        <v>(乐山市校地共建产教融合基地建设项目二标段)四川省乐山市市中区苏稽镇</v>
      </c>
      <c r="J2076" s="113" t="str">
        <f>VLOOKUP(B2076,辅助信息!E:I,4,FALSE)</f>
        <v>彭江涛</v>
      </c>
      <c r="K2076" s="113">
        <f>VLOOKUP(J2076,辅助信息!H:I,2,FALSE)</f>
        <v>13990276572</v>
      </c>
      <c r="L2076" s="115" t="str">
        <f>VLOOKUP(B2076,辅助信息!E:J,6,FALSE)</f>
        <v>联系实际收货人（彭江涛13990276572）现场要求炉批号控制2个以下，超2个不给予签收。提前联系到场规格及数量</v>
      </c>
      <c r="M2076" s="84">
        <v>45838</v>
      </c>
      <c r="O2076" s="55">
        <f ca="1" t="shared" si="141"/>
        <v>0</v>
      </c>
      <c r="P2076" s="55">
        <f ca="1" t="shared" si="142"/>
        <v>119</v>
      </c>
      <c r="Q2076" s="22" t="str">
        <f>VLOOKUP(B2076,辅助信息!E:M,9,FALSE)</f>
        <v>ZTWM-CDGS-XS-2025-0126-四川机司-乐山市校地共建产教融合基地配套设施项目施工二标段钢筋采购合同</v>
      </c>
      <c r="R2076" s="22" t="str">
        <f>_xlfn._xlws.FILTER(辅助信息!D:D,辅助信息!E:E=B2076)</f>
        <v>乐山市校地共建产教融合基地建设项目二标段</v>
      </c>
    </row>
    <row r="2077" hidden="1" spans="2:18">
      <c r="B2077" s="33" t="s">
        <v>186</v>
      </c>
      <c r="C2077" s="63">
        <v>45839</v>
      </c>
      <c r="D2077" s="113" t="str">
        <f>VLOOKUP(B2077,辅助信息!E:K,7,FALSE)</f>
        <v>JWDDCD2025072900123</v>
      </c>
      <c r="E2077" s="113" t="str">
        <f>VLOOKUP(F2077,辅助信息!A:B,2,FALSE)</f>
        <v>螺纹钢</v>
      </c>
      <c r="F2077" s="33" t="s">
        <v>22</v>
      </c>
      <c r="G2077" s="29">
        <v>27</v>
      </c>
      <c r="H2077" s="127" t="str">
        <f>_xlfn.XLOOKUP(C2077&amp;F2077&amp;I2077&amp;J2077,'[1]2025年已发货'!$F:$F&amp;'[1]2025年已发货'!$C:$C&amp;'[1]2025年已发货'!$G:$G&amp;'[1]2025年已发货'!$H:$H,'[1]2025年已发货'!$E:$E,"未发货")</f>
        <v>未发货</v>
      </c>
      <c r="I2077" s="113" t="str">
        <f>VLOOKUP(B2077,辅助信息!E:I,3,FALSE)</f>
        <v>(乐山市校地共建产教融合基地建设项目二标段)四川省乐山市市中区苏稽镇</v>
      </c>
      <c r="J2077" s="113" t="str">
        <f>VLOOKUP(B2077,辅助信息!E:I,4,FALSE)</f>
        <v>彭江涛</v>
      </c>
      <c r="K2077" s="113">
        <f>VLOOKUP(J2077,辅助信息!H:I,2,FALSE)</f>
        <v>13990276572</v>
      </c>
      <c r="L2077" s="115" t="str">
        <f>VLOOKUP(B2077,辅助信息!E:J,6,FALSE)</f>
        <v>联系实际收货人（彭江涛13990276572）现场要求炉批号控制2个以下，超2个不给予签收。提前联系到场规格及数量</v>
      </c>
      <c r="M2077" s="84">
        <v>45838</v>
      </c>
      <c r="O2077" s="55">
        <f ca="1" t="shared" si="141"/>
        <v>0</v>
      </c>
      <c r="P2077" s="55">
        <f ca="1" t="shared" si="142"/>
        <v>119</v>
      </c>
      <c r="Q2077" s="22" t="str">
        <f>VLOOKUP(B2077,辅助信息!E:M,9,FALSE)</f>
        <v>ZTWM-CDGS-XS-2025-0126-四川机司-乐山市校地共建产教融合基地配套设施项目施工二标段钢筋采购合同</v>
      </c>
      <c r="R2077" s="22" t="str">
        <f>_xlfn._xlws.FILTER(辅助信息!D:D,辅助信息!E:E=B2077)</f>
        <v>乐山市校地共建产教融合基地建设项目二标段</v>
      </c>
    </row>
    <row r="2078" hidden="1" spans="2:18">
      <c r="B2078" s="33" t="s">
        <v>186</v>
      </c>
      <c r="C2078" s="63">
        <v>45839</v>
      </c>
      <c r="D2078" s="113" t="str">
        <f>VLOOKUP(B2078,辅助信息!E:K,7,FALSE)</f>
        <v>JWDDCD2025072900123</v>
      </c>
      <c r="E2078" s="113" t="str">
        <f>VLOOKUP(F2078,辅助信息!A:B,2,FALSE)</f>
        <v>螺纹钢</v>
      </c>
      <c r="F2078" s="33" t="s">
        <v>181</v>
      </c>
      <c r="G2078" s="29">
        <v>3</v>
      </c>
      <c r="H2078" s="127" t="str">
        <f>_xlfn.XLOOKUP(C2078&amp;F2078&amp;I2078&amp;J2078,'[1]2025年已发货'!$F:$F&amp;'[1]2025年已发货'!$C:$C&amp;'[1]2025年已发货'!$G:$G&amp;'[1]2025年已发货'!$H:$H,'[1]2025年已发货'!$E:$E,"未发货")</f>
        <v>未发货</v>
      </c>
      <c r="I2078" s="113" t="str">
        <f>VLOOKUP(B2078,辅助信息!E:I,3,FALSE)</f>
        <v>(乐山市校地共建产教融合基地建设项目二标段)四川省乐山市市中区苏稽镇</v>
      </c>
      <c r="J2078" s="113" t="str">
        <f>VLOOKUP(B2078,辅助信息!E:I,4,FALSE)</f>
        <v>彭江涛</v>
      </c>
      <c r="K2078" s="113">
        <f>VLOOKUP(J2078,辅助信息!H:I,2,FALSE)</f>
        <v>13990276572</v>
      </c>
      <c r="L2078" s="115" t="str">
        <f>VLOOKUP(B2078,辅助信息!E:J,6,FALSE)</f>
        <v>联系实际收货人（彭江涛13990276572）现场要求炉批号控制2个以下，超2个不给予签收。提前联系到场规格及数量</v>
      </c>
      <c r="M2078" s="84">
        <v>45838</v>
      </c>
      <c r="O2078" s="55">
        <f ca="1" t="shared" si="141"/>
        <v>0</v>
      </c>
      <c r="P2078" s="55">
        <f ca="1" t="shared" si="142"/>
        <v>119</v>
      </c>
      <c r="Q2078" s="22" t="str">
        <f>VLOOKUP(B2078,辅助信息!E:M,9,FALSE)</f>
        <v>ZTWM-CDGS-XS-2025-0126-四川机司-乐山市校地共建产教融合基地配套设施项目施工二标段钢筋采购合同</v>
      </c>
      <c r="R2078" s="22" t="str">
        <f>_xlfn._xlws.FILTER(辅助信息!D:D,辅助信息!E:E=B2078)</f>
        <v>乐山市校地共建产教融合基地建设项目二标段</v>
      </c>
    </row>
    <row r="2079" hidden="1" spans="2:18">
      <c r="B2079" s="33" t="s">
        <v>186</v>
      </c>
      <c r="C2079" s="63">
        <v>45839</v>
      </c>
      <c r="D2079" s="113" t="str">
        <f>VLOOKUP(B2079,辅助信息!E:K,7,FALSE)</f>
        <v>JWDDCD2025072900123</v>
      </c>
      <c r="E2079" s="113" t="str">
        <f>VLOOKUP(F2079,辅助信息!A:B,2,FALSE)</f>
        <v>螺纹钢</v>
      </c>
      <c r="F2079" s="33" t="s">
        <v>182</v>
      </c>
      <c r="G2079" s="29">
        <v>3</v>
      </c>
      <c r="H2079" s="127" t="str">
        <f>_xlfn.XLOOKUP(C2079&amp;F2079&amp;I2079&amp;J2079,'[1]2025年已发货'!$F:$F&amp;'[1]2025年已发货'!$C:$C&amp;'[1]2025年已发货'!$G:$G&amp;'[1]2025年已发货'!$H:$H,'[1]2025年已发货'!$E:$E,"未发货")</f>
        <v>未发货</v>
      </c>
      <c r="I2079" s="113" t="str">
        <f>VLOOKUP(B2079,辅助信息!E:I,3,FALSE)</f>
        <v>(乐山市校地共建产教融合基地建设项目二标段)四川省乐山市市中区苏稽镇</v>
      </c>
      <c r="J2079" s="113" t="str">
        <f>VLOOKUP(B2079,辅助信息!E:I,4,FALSE)</f>
        <v>彭江涛</v>
      </c>
      <c r="K2079" s="113">
        <f>VLOOKUP(J2079,辅助信息!H:I,2,FALSE)</f>
        <v>13990276572</v>
      </c>
      <c r="L2079" s="115" t="str">
        <f>VLOOKUP(B2079,辅助信息!E:J,6,FALSE)</f>
        <v>联系实际收货人（彭江涛13990276572）现场要求炉批号控制2个以下，超2个不给予签收。提前联系到场规格及数量</v>
      </c>
      <c r="M2079" s="84">
        <v>45838</v>
      </c>
      <c r="O2079" s="55">
        <f ca="1" t="shared" si="141"/>
        <v>0</v>
      </c>
      <c r="P2079" s="55">
        <f ca="1" t="shared" si="142"/>
        <v>119</v>
      </c>
      <c r="Q2079" s="22" t="str">
        <f>VLOOKUP(B2079,辅助信息!E:M,9,FALSE)</f>
        <v>ZTWM-CDGS-XS-2025-0126-四川机司-乐山市校地共建产教融合基地配套设施项目施工二标段钢筋采购合同</v>
      </c>
      <c r="R2079" s="22" t="str">
        <f>_xlfn._xlws.FILTER(辅助信息!D:D,辅助信息!E:E=B2079)</f>
        <v>乐山市校地共建产教融合基地建设项目二标段</v>
      </c>
    </row>
    <row r="2080" hidden="1" spans="2:18">
      <c r="B2080" s="33" t="s">
        <v>31</v>
      </c>
      <c r="C2080" s="63">
        <v>45839</v>
      </c>
      <c r="D2080" s="113" t="str">
        <f>VLOOKUP(B2080,辅助信息!E:K,7,FALSE)</f>
        <v>JWDDCD2024121000136</v>
      </c>
      <c r="E2080" s="113" t="str">
        <f>VLOOKUP(F2080,辅助信息!A:B,2,FALSE)</f>
        <v>高线</v>
      </c>
      <c r="F2080" s="33" t="s">
        <v>53</v>
      </c>
      <c r="G2080" s="29">
        <v>2.5</v>
      </c>
      <c r="H2080" s="127">
        <f>_xlfn.XLOOKUP(C2080&amp;F2080&amp;I2080&amp;J2080,'[1]2025年已发货'!$F:$F&amp;'[1]2025年已发货'!$C:$C&amp;'[1]2025年已发货'!$G:$G&amp;'[1]2025年已发货'!$H:$H,'[1]2025年已发货'!$E:$E,"未发货")</f>
        <v>2.5</v>
      </c>
      <c r="I2080" s="113" t="str">
        <f>VLOOKUP(B2080,辅助信息!E:I,3,FALSE)</f>
        <v>（四川商建-射洪城乡一体化项目）遂宁市射洪市忠新幼儿园北侧约220米新溪小区</v>
      </c>
      <c r="J2080" s="113" t="str">
        <f>VLOOKUP(B2080,辅助信息!E:I,4,FALSE)</f>
        <v>柏子刚</v>
      </c>
      <c r="K2080" s="113">
        <f>VLOOKUP(J2080,辅助信息!H:I,2,FALSE)</f>
        <v>15692885305</v>
      </c>
      <c r="L2080" s="115" t="str">
        <f>VLOOKUP(B2080,辅助信息!E:J,6,FALSE)</f>
        <v>提前联系到场规格及数量</v>
      </c>
      <c r="M2080" s="84">
        <v>45838</v>
      </c>
      <c r="O2080" s="55">
        <f ca="1" t="shared" si="141"/>
        <v>0</v>
      </c>
      <c r="P2080" s="55">
        <f ca="1" t="shared" si="142"/>
        <v>119</v>
      </c>
      <c r="Q2080" s="22" t="str">
        <f>VLOOKUP(B2080,辅助信息!E:M,9,FALSE)</f>
        <v>ZTWM-CDGS-XS-2024-0179-四川商投-射洪城乡一体化建设项目</v>
      </c>
      <c r="R2080" s="22" t="str">
        <f>_xlfn._xlws.FILTER(辅助信息!D:D,辅助信息!E:E=B2080)</f>
        <v>四川商建
射洪城乡一体化项目</v>
      </c>
    </row>
    <row r="2081" hidden="1" spans="2:18">
      <c r="B2081" s="33" t="s">
        <v>31</v>
      </c>
      <c r="C2081" s="63">
        <v>45839</v>
      </c>
      <c r="D2081" s="113" t="str">
        <f>VLOOKUP(B2081,辅助信息!E:K,7,FALSE)</f>
        <v>JWDDCD2024121000136</v>
      </c>
      <c r="E2081" s="113" t="str">
        <f>VLOOKUP(F2081,辅助信息!A:B,2,FALSE)</f>
        <v>螺纹钢</v>
      </c>
      <c r="F2081" s="33" t="s">
        <v>66</v>
      </c>
      <c r="G2081" s="29">
        <v>3</v>
      </c>
      <c r="H2081" s="127">
        <f>_xlfn.XLOOKUP(C2081&amp;F2081&amp;I2081&amp;J2081,'[1]2025年已发货'!$F:$F&amp;'[1]2025年已发货'!$C:$C&amp;'[1]2025年已发货'!$G:$G&amp;'[1]2025年已发货'!$H:$H,'[1]2025年已发货'!$E:$E,"未发货")</f>
        <v>3</v>
      </c>
      <c r="I2081" s="113" t="str">
        <f>VLOOKUP(B2081,辅助信息!E:I,3,FALSE)</f>
        <v>（四川商建-射洪城乡一体化项目）遂宁市射洪市忠新幼儿园北侧约220米新溪小区</v>
      </c>
      <c r="J2081" s="113" t="str">
        <f>VLOOKUP(B2081,辅助信息!E:I,4,FALSE)</f>
        <v>柏子刚</v>
      </c>
      <c r="K2081" s="113">
        <f>VLOOKUP(J2081,辅助信息!H:I,2,FALSE)</f>
        <v>15692885305</v>
      </c>
      <c r="L2081" s="115" t="str">
        <f>VLOOKUP(B2081,辅助信息!E:J,6,FALSE)</f>
        <v>提前联系到场规格及数量</v>
      </c>
      <c r="M2081" s="84">
        <v>45838</v>
      </c>
      <c r="O2081" s="55">
        <f ca="1" t="shared" si="141"/>
        <v>0</v>
      </c>
      <c r="P2081" s="55">
        <f ca="1" t="shared" si="142"/>
        <v>119</v>
      </c>
      <c r="Q2081" s="22" t="str">
        <f>VLOOKUP(B2081,辅助信息!E:M,9,FALSE)</f>
        <v>ZTWM-CDGS-XS-2024-0179-四川商投-射洪城乡一体化建设项目</v>
      </c>
      <c r="R2081" s="22" t="str">
        <f>_xlfn._xlws.FILTER(辅助信息!D:D,辅助信息!E:E=B2081)</f>
        <v>四川商建
射洪城乡一体化项目</v>
      </c>
    </row>
    <row r="2082" hidden="1" spans="2:18">
      <c r="B2082" s="33" t="s">
        <v>31</v>
      </c>
      <c r="C2082" s="63">
        <v>45839</v>
      </c>
      <c r="D2082" s="113" t="str">
        <f>VLOOKUP(B2082,辅助信息!E:K,7,FALSE)</f>
        <v>JWDDCD2024121000136</v>
      </c>
      <c r="E2082" s="113" t="str">
        <f>VLOOKUP(F2082,辅助信息!A:B,2,FALSE)</f>
        <v>螺纹钢</v>
      </c>
      <c r="F2082" s="33" t="s">
        <v>45</v>
      </c>
      <c r="G2082" s="29">
        <v>3</v>
      </c>
      <c r="H2082" s="127">
        <f>_xlfn.XLOOKUP(C2082&amp;F2082&amp;I2082&amp;J2082,'[1]2025年已发货'!$F:$F&amp;'[1]2025年已发货'!$C:$C&amp;'[1]2025年已发货'!$G:$G&amp;'[1]2025年已发货'!$H:$H,'[1]2025年已发货'!$E:$E,"未发货")</f>
        <v>3</v>
      </c>
      <c r="I2082" s="113" t="str">
        <f>VLOOKUP(B2082,辅助信息!E:I,3,FALSE)</f>
        <v>（四川商建-射洪城乡一体化项目）遂宁市射洪市忠新幼儿园北侧约220米新溪小区</v>
      </c>
      <c r="J2082" s="113" t="str">
        <f>VLOOKUP(B2082,辅助信息!E:I,4,FALSE)</f>
        <v>柏子刚</v>
      </c>
      <c r="K2082" s="113">
        <f>VLOOKUP(J2082,辅助信息!H:I,2,FALSE)</f>
        <v>15692885305</v>
      </c>
      <c r="L2082" s="115" t="str">
        <f>VLOOKUP(B2082,辅助信息!E:J,6,FALSE)</f>
        <v>提前联系到场规格及数量</v>
      </c>
      <c r="M2082" s="84">
        <v>45838</v>
      </c>
      <c r="O2082" s="55">
        <f ca="1" t="shared" si="141"/>
        <v>0</v>
      </c>
      <c r="P2082" s="55">
        <f ca="1" t="shared" si="142"/>
        <v>119</v>
      </c>
      <c r="Q2082" s="22" t="str">
        <f>VLOOKUP(B2082,辅助信息!E:M,9,FALSE)</f>
        <v>ZTWM-CDGS-XS-2024-0179-四川商投-射洪城乡一体化建设项目</v>
      </c>
      <c r="R2082" s="22" t="str">
        <f>_xlfn._xlws.FILTER(辅助信息!D:D,辅助信息!E:E=B2082)</f>
        <v>四川商建
射洪城乡一体化项目</v>
      </c>
    </row>
    <row r="2083" hidden="1" spans="2:18">
      <c r="B2083" s="33" t="s">
        <v>31</v>
      </c>
      <c r="C2083" s="63">
        <v>45839</v>
      </c>
      <c r="D2083" s="113" t="str">
        <f>VLOOKUP(B2083,辅助信息!E:K,7,FALSE)</f>
        <v>JWDDCD2024121000136</v>
      </c>
      <c r="E2083" s="113" t="str">
        <f>VLOOKUP(F2083,辅助信息!A:B,2,FALSE)</f>
        <v>螺纹钢</v>
      </c>
      <c r="F2083" s="33" t="s">
        <v>21</v>
      </c>
      <c r="G2083" s="29">
        <v>3</v>
      </c>
      <c r="H2083" s="127">
        <f>_xlfn.XLOOKUP(C2083&amp;F2083&amp;I2083&amp;J2083,'[1]2025年已发货'!$F:$F&amp;'[1]2025年已发货'!$C:$C&amp;'[1]2025年已发货'!$G:$G&amp;'[1]2025年已发货'!$H:$H,'[1]2025年已发货'!$E:$E,"未发货")</f>
        <v>3</v>
      </c>
      <c r="I2083" s="113" t="str">
        <f>VLOOKUP(B2083,辅助信息!E:I,3,FALSE)</f>
        <v>（四川商建-射洪城乡一体化项目）遂宁市射洪市忠新幼儿园北侧约220米新溪小区</v>
      </c>
      <c r="J2083" s="113" t="str">
        <f>VLOOKUP(B2083,辅助信息!E:I,4,FALSE)</f>
        <v>柏子刚</v>
      </c>
      <c r="K2083" s="113">
        <f>VLOOKUP(J2083,辅助信息!H:I,2,FALSE)</f>
        <v>15692885305</v>
      </c>
      <c r="L2083" s="115" t="str">
        <f>VLOOKUP(B2083,辅助信息!E:J,6,FALSE)</f>
        <v>提前联系到场规格及数量</v>
      </c>
      <c r="M2083" s="84">
        <v>45838</v>
      </c>
      <c r="O2083" s="55">
        <f ca="1" t="shared" si="141"/>
        <v>0</v>
      </c>
      <c r="P2083" s="55">
        <f ca="1" t="shared" si="142"/>
        <v>119</v>
      </c>
      <c r="Q2083" s="22" t="str">
        <f>VLOOKUP(B2083,辅助信息!E:M,9,FALSE)</f>
        <v>ZTWM-CDGS-XS-2024-0179-四川商投-射洪城乡一体化建设项目</v>
      </c>
      <c r="R2083" s="22" t="str">
        <f>_xlfn._xlws.FILTER(辅助信息!D:D,辅助信息!E:E=B2083)</f>
        <v>四川商建
射洪城乡一体化项目</v>
      </c>
    </row>
    <row r="2084" hidden="1" spans="2:18">
      <c r="B2084" s="33" t="s">
        <v>31</v>
      </c>
      <c r="C2084" s="63">
        <v>45839</v>
      </c>
      <c r="D2084" s="113" t="str">
        <f>VLOOKUP(B2084,辅助信息!E:K,7,FALSE)</f>
        <v>JWDDCD2024121000136</v>
      </c>
      <c r="E2084" s="113" t="str">
        <f>VLOOKUP(F2084,辅助信息!A:B,2,FALSE)</f>
        <v>螺纹钢</v>
      </c>
      <c r="F2084" s="33" t="s">
        <v>58</v>
      </c>
      <c r="G2084" s="29">
        <v>6</v>
      </c>
      <c r="H2084" s="127">
        <f>_xlfn.XLOOKUP(C2084&amp;F2084&amp;I2084&amp;J2084,'[1]2025年已发货'!$F:$F&amp;'[1]2025年已发货'!$C:$C&amp;'[1]2025年已发货'!$G:$G&amp;'[1]2025年已发货'!$H:$H,'[1]2025年已发货'!$E:$E,"未发货")</f>
        <v>6</v>
      </c>
      <c r="I2084" s="113" t="str">
        <f>VLOOKUP(B2084,辅助信息!E:I,3,FALSE)</f>
        <v>（四川商建-射洪城乡一体化项目）遂宁市射洪市忠新幼儿园北侧约220米新溪小区</v>
      </c>
      <c r="J2084" s="113" t="str">
        <f>VLOOKUP(B2084,辅助信息!E:I,4,FALSE)</f>
        <v>柏子刚</v>
      </c>
      <c r="K2084" s="113">
        <f>VLOOKUP(J2084,辅助信息!H:I,2,FALSE)</f>
        <v>15692885305</v>
      </c>
      <c r="L2084" s="115" t="str">
        <f>VLOOKUP(B2084,辅助信息!E:J,6,FALSE)</f>
        <v>提前联系到场规格及数量</v>
      </c>
      <c r="M2084" s="84">
        <v>45838</v>
      </c>
      <c r="O2084" s="55">
        <f ca="1" t="shared" si="141"/>
        <v>0</v>
      </c>
      <c r="P2084" s="55">
        <f ca="1" t="shared" si="142"/>
        <v>119</v>
      </c>
      <c r="Q2084" s="22" t="str">
        <f>VLOOKUP(B2084,辅助信息!E:M,9,FALSE)</f>
        <v>ZTWM-CDGS-XS-2024-0179-四川商投-射洪城乡一体化建设项目</v>
      </c>
      <c r="R2084" s="22" t="str">
        <f>_xlfn._xlws.FILTER(辅助信息!D:D,辅助信息!E:E=B2084)</f>
        <v>四川商建
射洪城乡一体化项目</v>
      </c>
    </row>
    <row r="2085" hidden="1" spans="2:18">
      <c r="B2085" s="33" t="s">
        <v>31</v>
      </c>
      <c r="C2085" s="63">
        <v>45839</v>
      </c>
      <c r="D2085" s="113" t="str">
        <f>VLOOKUP(B2085,辅助信息!E:K,7,FALSE)</f>
        <v>JWDDCD2024121000136</v>
      </c>
      <c r="E2085" s="113" t="str">
        <f>VLOOKUP(F2085,辅助信息!A:B,2,FALSE)</f>
        <v>螺纹钢</v>
      </c>
      <c r="F2085" s="33" t="s">
        <v>46</v>
      </c>
      <c r="G2085" s="29">
        <v>12</v>
      </c>
      <c r="H2085" s="127">
        <f>_xlfn.XLOOKUP(C2085&amp;F2085&amp;I2085&amp;J2085,'[1]2025年已发货'!$F:$F&amp;'[1]2025年已发货'!$C:$C&amp;'[1]2025年已发货'!$G:$G&amp;'[1]2025年已发货'!$H:$H,'[1]2025年已发货'!$E:$E,"未发货")</f>
        <v>12</v>
      </c>
      <c r="I2085" s="113" t="str">
        <f>VLOOKUP(B2085,辅助信息!E:I,3,FALSE)</f>
        <v>（四川商建-射洪城乡一体化项目）遂宁市射洪市忠新幼儿园北侧约220米新溪小区</v>
      </c>
      <c r="J2085" s="113" t="str">
        <f>VLOOKUP(B2085,辅助信息!E:I,4,FALSE)</f>
        <v>柏子刚</v>
      </c>
      <c r="K2085" s="113">
        <f>VLOOKUP(J2085,辅助信息!H:I,2,FALSE)</f>
        <v>15692885305</v>
      </c>
      <c r="L2085" s="115" t="str">
        <f>VLOOKUP(B2085,辅助信息!E:J,6,FALSE)</f>
        <v>提前联系到场规格及数量</v>
      </c>
      <c r="M2085" s="84">
        <v>45838</v>
      </c>
      <c r="O2085" s="55">
        <f ca="1" t="shared" si="141"/>
        <v>0</v>
      </c>
      <c r="P2085" s="55">
        <f ca="1" t="shared" si="142"/>
        <v>119</v>
      </c>
      <c r="Q2085" s="22" t="str">
        <f>VLOOKUP(B2085,辅助信息!E:M,9,FALSE)</f>
        <v>ZTWM-CDGS-XS-2024-0179-四川商投-射洪城乡一体化建设项目</v>
      </c>
      <c r="R2085" s="22" t="str">
        <f>_xlfn._xlws.FILTER(辅助信息!D:D,辅助信息!E:E=B2085)</f>
        <v>四川商建
射洪城乡一体化项目</v>
      </c>
    </row>
    <row r="2086" hidden="1" spans="2:18">
      <c r="B2086" s="33" t="s">
        <v>31</v>
      </c>
      <c r="C2086" s="63">
        <v>45839</v>
      </c>
      <c r="D2086" s="113" t="str">
        <f>VLOOKUP(B2086,辅助信息!E:K,7,FALSE)</f>
        <v>JWDDCD2024121000136</v>
      </c>
      <c r="E2086" s="113" t="str">
        <f>VLOOKUP(F2086,辅助信息!A:B,2,FALSE)</f>
        <v>螺纹钢</v>
      </c>
      <c r="F2086" s="33" t="s">
        <v>22</v>
      </c>
      <c r="G2086" s="29">
        <v>40.5</v>
      </c>
      <c r="H2086" s="127">
        <f>_xlfn.XLOOKUP(C2086&amp;F2086&amp;I2086&amp;J2086,'[1]2025年已发货'!$F:$F&amp;'[1]2025年已发货'!$C:$C&amp;'[1]2025年已发货'!$G:$G&amp;'[1]2025年已发货'!$H:$H,'[1]2025年已发货'!$E:$E,"未发货")</f>
        <v>39</v>
      </c>
      <c r="I2086" s="113" t="str">
        <f>VLOOKUP(B2086,辅助信息!E:I,3,FALSE)</f>
        <v>（四川商建-射洪城乡一体化项目）遂宁市射洪市忠新幼儿园北侧约220米新溪小区</v>
      </c>
      <c r="J2086" s="113" t="str">
        <f>VLOOKUP(B2086,辅助信息!E:I,4,FALSE)</f>
        <v>柏子刚</v>
      </c>
      <c r="K2086" s="113">
        <f>VLOOKUP(J2086,辅助信息!H:I,2,FALSE)</f>
        <v>15692885305</v>
      </c>
      <c r="L2086" s="115" t="str">
        <f>VLOOKUP(B2086,辅助信息!E:J,6,FALSE)</f>
        <v>提前联系到场规格及数量</v>
      </c>
      <c r="M2086" s="84">
        <v>45838</v>
      </c>
      <c r="O2086" s="55">
        <f ca="1" t="shared" si="141"/>
        <v>0</v>
      </c>
      <c r="P2086" s="55">
        <f ca="1" t="shared" si="142"/>
        <v>119</v>
      </c>
      <c r="Q2086" s="22" t="str">
        <f>VLOOKUP(B2086,辅助信息!E:M,9,FALSE)</f>
        <v>ZTWM-CDGS-XS-2024-0179-四川商投-射洪城乡一体化建设项目</v>
      </c>
      <c r="R2086" s="22" t="str">
        <f>_xlfn._xlws.FILTER(辅助信息!D:D,辅助信息!E:E=B2086)</f>
        <v>四川商建
射洪城乡一体化项目</v>
      </c>
    </row>
    <row r="2087" hidden="1" spans="2:18">
      <c r="B2087" s="113" t="s">
        <v>176</v>
      </c>
      <c r="C2087" s="63">
        <v>45842</v>
      </c>
      <c r="D2087" s="113" t="str">
        <f>VLOOKUP(B2087,辅助信息!E:K,7,FALSE)</f>
        <v>JWDDCD2025062200016</v>
      </c>
      <c r="E2087" s="113" t="str">
        <f>VLOOKUP(F2087,辅助信息!A:B,2,FALSE)</f>
        <v>高线</v>
      </c>
      <c r="F2087" s="113" t="s">
        <v>57</v>
      </c>
      <c r="G2087" s="114">
        <v>2.5</v>
      </c>
      <c r="H2087" s="127" t="str">
        <f>_xlfn.XLOOKUP(C2087&amp;F2087&amp;I2087&amp;J2087,'[1]2025年已发货'!$F:$F&amp;'[1]2025年已发货'!$C:$C&amp;'[1]2025年已发货'!$G:$G&amp;'[1]2025年已发货'!$H:$H,'[1]2025年已发货'!$E:$E,"未发货")</f>
        <v>未发货</v>
      </c>
      <c r="I2087" s="113" t="str">
        <f>VLOOKUP(B2087,辅助信息!E:I,3,FALSE)</f>
        <v>(武汉电气化局成达万高铁强电项目-渠县)四川省达州市渠县渠北镇雷家湾渠县北站旁</v>
      </c>
      <c r="J2087" s="113" t="str">
        <f>VLOOKUP(B2087,辅助信息!E:I,4,FALSE)</f>
        <v>刘频</v>
      </c>
      <c r="K2087" s="113">
        <f>VLOOKUP(J2087,辅助信息!H:I,2,FALSE)</f>
        <v>18779627939</v>
      </c>
      <c r="L2087" s="115" t="str">
        <f>VLOOKUP(B2087,辅助信息!E:J,6,FALSE)</f>
        <v>锈货不收！！下雨天钢筋没盖篷布不收！！，装货前联系收货人核实到场规格,没提前告知进场规格现场不给予接收</v>
      </c>
      <c r="M2087" s="84">
        <v>45841</v>
      </c>
      <c r="O2087" s="55">
        <f ca="1" t="shared" si="141"/>
        <v>0</v>
      </c>
      <c r="P2087" s="55">
        <f ca="1" t="shared" si="142"/>
        <v>116</v>
      </c>
      <c r="Q2087" s="22" t="str">
        <f>VLOOKUP(B2087,辅助信息!E:M,9,FALSE)</f>
        <v>ZTWM-CDGS-XS-2025-0033-中铁武汉电气化局集团有限公司成达万高速铁路强电工程项目</v>
      </c>
      <c r="R2087" s="22" t="str">
        <f>_xlfn._xlws.FILTER(辅助信息!D:D,辅助信息!E:E=B2087)</f>
        <v>武汉电气化局成达万高铁强电项目</v>
      </c>
    </row>
    <row r="2088" hidden="1" spans="2:18">
      <c r="B2088" s="113" t="s">
        <v>176</v>
      </c>
      <c r="C2088" s="63">
        <v>45842</v>
      </c>
      <c r="D2088" s="113" t="str">
        <f>VLOOKUP(B2088,辅助信息!E:K,7,FALSE)</f>
        <v>JWDDCD2025062200016</v>
      </c>
      <c r="E2088" s="113" t="str">
        <f>VLOOKUP(F2088,辅助信息!A:B,2,FALSE)</f>
        <v>盘螺</v>
      </c>
      <c r="F2088" s="113" t="s">
        <v>40</v>
      </c>
      <c r="G2088" s="114">
        <v>5</v>
      </c>
      <c r="H2088" s="127" t="str">
        <f>_xlfn.XLOOKUP(C2088&amp;F2088&amp;I2088&amp;J2088,'[1]2025年已发货'!$F:$F&amp;'[1]2025年已发货'!$C:$C&amp;'[1]2025年已发货'!$G:$G&amp;'[1]2025年已发货'!$H:$H,'[1]2025年已发货'!$E:$E,"未发货")</f>
        <v>未发货</v>
      </c>
      <c r="I2088" s="113" t="str">
        <f>VLOOKUP(B2088,辅助信息!E:I,3,FALSE)</f>
        <v>(武汉电气化局成达万高铁强电项目-渠县)四川省达州市渠县渠北镇雷家湾渠县北站旁</v>
      </c>
      <c r="J2088" s="113" t="str">
        <f>VLOOKUP(B2088,辅助信息!E:I,4,FALSE)</f>
        <v>刘频</v>
      </c>
      <c r="K2088" s="113">
        <f>VLOOKUP(J2088,辅助信息!H:I,2,FALSE)</f>
        <v>18779627939</v>
      </c>
      <c r="L2088" s="115" t="str">
        <f>VLOOKUP(B2088,辅助信息!E:J,6,FALSE)</f>
        <v>锈货不收！！下雨天钢筋没盖篷布不收！！，装货前联系收货人核实到场规格,没提前告知进场规格现场不给予接收</v>
      </c>
      <c r="M2088" s="84">
        <v>45841</v>
      </c>
      <c r="O2088" s="55">
        <f ca="1" t="shared" si="141"/>
        <v>0</v>
      </c>
      <c r="P2088" s="55">
        <f ca="1" t="shared" si="142"/>
        <v>116</v>
      </c>
      <c r="Q2088" s="22" t="str">
        <f>VLOOKUP(B2088,辅助信息!E:M,9,FALSE)</f>
        <v>ZTWM-CDGS-XS-2025-0033-中铁武汉电气化局集团有限公司成达万高速铁路强电工程项目</v>
      </c>
      <c r="R2088" s="22" t="str">
        <f>_xlfn._xlws.FILTER(辅助信息!D:D,辅助信息!E:E=B2088)</f>
        <v>武汉电气化局成达万高铁强电项目</v>
      </c>
    </row>
    <row r="2089" hidden="1" spans="2:18">
      <c r="B2089" s="113" t="s">
        <v>176</v>
      </c>
      <c r="C2089" s="63">
        <v>45842</v>
      </c>
      <c r="D2089" s="113" t="str">
        <f>VLOOKUP(B2089,辅助信息!E:K,7,FALSE)</f>
        <v>JWDDCD2025062200016</v>
      </c>
      <c r="E2089" s="113" t="str">
        <f>VLOOKUP(F2089,辅助信息!A:B,2,FALSE)</f>
        <v>螺纹钢</v>
      </c>
      <c r="F2089" s="113" t="s">
        <v>111</v>
      </c>
      <c r="G2089" s="114">
        <v>5</v>
      </c>
      <c r="H2089" s="127" t="str">
        <f>_xlfn.XLOOKUP(C2089&amp;F2089&amp;I2089&amp;J2089,'[1]2025年已发货'!$F:$F&amp;'[1]2025年已发货'!$C:$C&amp;'[1]2025年已发货'!$G:$G&amp;'[1]2025年已发货'!$H:$H,'[1]2025年已发货'!$E:$E,"未发货")</f>
        <v>未发货</v>
      </c>
      <c r="I2089" s="113" t="str">
        <f>VLOOKUP(B2089,辅助信息!E:I,3,FALSE)</f>
        <v>(武汉电气化局成达万高铁强电项目-渠县)四川省达州市渠县渠北镇雷家湾渠县北站旁</v>
      </c>
      <c r="J2089" s="113" t="str">
        <f>VLOOKUP(B2089,辅助信息!E:I,4,FALSE)</f>
        <v>刘频</v>
      </c>
      <c r="K2089" s="113">
        <f>VLOOKUP(J2089,辅助信息!H:I,2,FALSE)</f>
        <v>18779627939</v>
      </c>
      <c r="L2089" s="115" t="str">
        <f>VLOOKUP(B2089,辅助信息!E:J,6,FALSE)</f>
        <v>锈货不收！！下雨天钢筋没盖篷布不收！！，装货前联系收货人核实到场规格,没提前告知进场规格现场不给予接收</v>
      </c>
      <c r="M2089" s="84">
        <v>45841</v>
      </c>
      <c r="O2089" s="55">
        <f ca="1" t="shared" si="141"/>
        <v>0</v>
      </c>
      <c r="P2089" s="55">
        <f ca="1" t="shared" si="142"/>
        <v>116</v>
      </c>
      <c r="Q2089" s="22" t="str">
        <f>VLOOKUP(B2089,辅助信息!E:M,9,FALSE)</f>
        <v>ZTWM-CDGS-XS-2025-0033-中铁武汉电气化局集团有限公司成达万高速铁路强电工程项目</v>
      </c>
      <c r="R2089" s="22" t="str">
        <f>_xlfn._xlws.FILTER(辅助信息!D:D,辅助信息!E:E=B2089)</f>
        <v>武汉电气化局成达万高铁强电项目</v>
      </c>
    </row>
    <row r="2090" hidden="1" spans="2:18">
      <c r="B2090" s="113" t="s">
        <v>176</v>
      </c>
      <c r="C2090" s="63">
        <v>45842</v>
      </c>
      <c r="D2090" s="113" t="str">
        <f>VLOOKUP(B2090,辅助信息!E:K,7,FALSE)</f>
        <v>JWDDCD2025062200016</v>
      </c>
      <c r="E2090" s="113" t="str">
        <f>VLOOKUP(F2090,辅助信息!A:B,2,FALSE)</f>
        <v>螺纹钢</v>
      </c>
      <c r="F2090" s="113" t="s">
        <v>76</v>
      </c>
      <c r="G2090" s="114">
        <v>20</v>
      </c>
      <c r="H2090" s="127" t="str">
        <f>_xlfn.XLOOKUP(C2090&amp;F2090&amp;I2090&amp;J2090,'[1]2025年已发货'!$F:$F&amp;'[1]2025年已发货'!$C:$C&amp;'[1]2025年已发货'!$G:$G&amp;'[1]2025年已发货'!$H:$H,'[1]2025年已发货'!$E:$E,"未发货")</f>
        <v>未发货</v>
      </c>
      <c r="I2090" s="113" t="str">
        <f>VLOOKUP(B2090,辅助信息!E:I,3,FALSE)</f>
        <v>(武汉电气化局成达万高铁强电项目-渠县)四川省达州市渠县渠北镇雷家湾渠县北站旁</v>
      </c>
      <c r="J2090" s="113" t="str">
        <f>VLOOKUP(B2090,辅助信息!E:I,4,FALSE)</f>
        <v>刘频</v>
      </c>
      <c r="K2090" s="113">
        <f>VLOOKUP(J2090,辅助信息!H:I,2,FALSE)</f>
        <v>18779627939</v>
      </c>
      <c r="L2090" s="115" t="str">
        <f>VLOOKUP(B2090,辅助信息!E:J,6,FALSE)</f>
        <v>锈货不收！！下雨天钢筋没盖篷布不收！！，装货前联系收货人核实到场规格,没提前告知进场规格现场不给予接收</v>
      </c>
      <c r="M2090" s="84">
        <v>45841</v>
      </c>
      <c r="O2090" s="55">
        <f ca="1" t="shared" si="141"/>
        <v>0</v>
      </c>
      <c r="P2090" s="55">
        <f ca="1" t="shared" si="142"/>
        <v>116</v>
      </c>
      <c r="Q2090" s="22" t="str">
        <f>VLOOKUP(B2090,辅助信息!E:M,9,FALSE)</f>
        <v>ZTWM-CDGS-XS-2025-0033-中铁武汉电气化局集团有限公司成达万高速铁路强电工程项目</v>
      </c>
      <c r="R2090" s="22" t="str">
        <f>_xlfn._xlws.FILTER(辅助信息!D:D,辅助信息!E:E=B2090)</f>
        <v>武汉电气化局成达万高铁强电项目</v>
      </c>
    </row>
    <row r="2091" hidden="1" spans="2:18">
      <c r="B2091" s="33" t="s">
        <v>147</v>
      </c>
      <c r="C2091" s="63">
        <v>45842</v>
      </c>
      <c r="D2091" s="113" t="str">
        <f>VLOOKUP(B2091,辅助信息!E:K,7,FALSE)</f>
        <v>JWDDCD2025052800131</v>
      </c>
      <c r="E2091" s="113" t="str">
        <f>VLOOKUP(F2091,辅助信息!A:B,2,FALSE)</f>
        <v>螺纹钢</v>
      </c>
      <c r="F2091" s="33" t="s">
        <v>21</v>
      </c>
      <c r="G2091" s="29">
        <v>6</v>
      </c>
      <c r="H2091" s="127" t="str">
        <f>_xlfn.XLOOKUP(C2091&amp;F2091&amp;I2091&amp;J2091,'[1]2025年已发货'!$F:$F&amp;'[1]2025年已发货'!$C:$C&amp;'[1]2025年已发货'!$G:$G&amp;'[1]2025年已发货'!$H:$H,'[1]2025年已发货'!$E:$E,"未发货")</f>
        <v>未发货</v>
      </c>
      <c r="I2091" s="113" t="str">
        <f>VLOOKUP(B2091,辅助信息!E:I,3,FALSE)</f>
        <v>（商投建工达州中医药科技园-4工区-11号楼）达州市通川区达州中医药职业学院犀牛大道北段</v>
      </c>
      <c r="J2091" s="113" t="str">
        <f>VLOOKUP(B2091,辅助信息!E:I,4,FALSE)</f>
        <v>张扬</v>
      </c>
      <c r="K2091" s="113">
        <f>VLOOKUP(J2091,辅助信息!H:I,2,FALSE)</f>
        <v>18381904567</v>
      </c>
      <c r="L2091" s="115" t="str">
        <f>VLOOKUP(B2091,辅助信息!E:J,6,FALSE)</f>
        <v>控制炉批号！多了现场不收！,优先安排达钢,提前联系到场规格及数量</v>
      </c>
      <c r="M2091" s="84">
        <v>45842</v>
      </c>
      <c r="O2091" s="55">
        <f ca="1" t="shared" si="141"/>
        <v>0</v>
      </c>
      <c r="P2091" s="55">
        <f ca="1" t="shared" si="142"/>
        <v>115</v>
      </c>
      <c r="Q2091" s="22" t="str">
        <f>VLOOKUP(B2091,辅助信息!E:M,9,FALSE)</f>
        <v>ZTWM-CDGS-XS-2024-0134-商投建工达州中医药科技成果示范园项目</v>
      </c>
      <c r="R2091" s="22" t="str">
        <f>_xlfn._xlws.FILTER(辅助信息!D:D,辅助信息!E:E=B2091)</f>
        <v>商投建工达州中医药科技园</v>
      </c>
    </row>
    <row r="2092" hidden="1" spans="2:18">
      <c r="B2092" s="33" t="s">
        <v>147</v>
      </c>
      <c r="C2092" s="63">
        <v>45842</v>
      </c>
      <c r="D2092" s="113" t="str">
        <f>VLOOKUP(B2092,辅助信息!E:K,7,FALSE)</f>
        <v>JWDDCD2025052800131</v>
      </c>
      <c r="E2092" s="113" t="str">
        <f>VLOOKUP(F2092,辅助信息!A:B,2,FALSE)</f>
        <v>螺纹钢</v>
      </c>
      <c r="F2092" s="33" t="s">
        <v>58</v>
      </c>
      <c r="G2092" s="29">
        <v>6</v>
      </c>
      <c r="H2092" s="127" t="str">
        <f>_xlfn.XLOOKUP(C2092&amp;F2092&amp;I2092&amp;J2092,'[1]2025年已发货'!$F:$F&amp;'[1]2025年已发货'!$C:$C&amp;'[1]2025年已发货'!$G:$G&amp;'[1]2025年已发货'!$H:$H,'[1]2025年已发货'!$E:$E,"未发货")</f>
        <v>未发货</v>
      </c>
      <c r="I2092" s="113" t="str">
        <f>VLOOKUP(B2092,辅助信息!E:I,3,FALSE)</f>
        <v>（商投建工达州中医药科技园-4工区-11号楼）达州市通川区达州中医药职业学院犀牛大道北段</v>
      </c>
      <c r="J2092" s="113" t="str">
        <f>VLOOKUP(B2092,辅助信息!E:I,4,FALSE)</f>
        <v>张扬</v>
      </c>
      <c r="K2092" s="113">
        <f>VLOOKUP(J2092,辅助信息!H:I,2,FALSE)</f>
        <v>18381904567</v>
      </c>
      <c r="L2092" s="115" t="str">
        <f>VLOOKUP(B2092,辅助信息!E:J,6,FALSE)</f>
        <v>控制炉批号！多了现场不收！,优先安排达钢,提前联系到场规格及数量</v>
      </c>
      <c r="M2092" s="84">
        <v>45842</v>
      </c>
      <c r="O2092" s="55">
        <f ca="1" t="shared" si="141"/>
        <v>0</v>
      </c>
      <c r="P2092" s="55">
        <f ca="1" t="shared" si="142"/>
        <v>115</v>
      </c>
      <c r="Q2092" s="22" t="str">
        <f>VLOOKUP(B2092,辅助信息!E:M,9,FALSE)</f>
        <v>ZTWM-CDGS-XS-2024-0134-商投建工达州中医药科技成果示范园项目</v>
      </c>
      <c r="R2092" s="22" t="str">
        <f>_xlfn._xlws.FILTER(辅助信息!D:D,辅助信息!E:E=B2092)</f>
        <v>商投建工达州中医药科技园</v>
      </c>
    </row>
    <row r="2093" hidden="1" spans="2:18">
      <c r="B2093" s="33" t="s">
        <v>147</v>
      </c>
      <c r="C2093" s="63">
        <v>45842</v>
      </c>
      <c r="D2093" s="113" t="str">
        <f>VLOOKUP(B2093,辅助信息!E:K,7,FALSE)</f>
        <v>JWDDCD2025052800131</v>
      </c>
      <c r="E2093" s="113" t="str">
        <f>VLOOKUP(F2093,辅助信息!A:B,2,FALSE)</f>
        <v>螺纹钢</v>
      </c>
      <c r="F2093" s="33" t="s">
        <v>46</v>
      </c>
      <c r="G2093" s="29">
        <v>15</v>
      </c>
      <c r="H2093" s="127" t="str">
        <f>_xlfn.XLOOKUP(C2093&amp;F2093&amp;I2093&amp;J2093,'[1]2025年已发货'!$F:$F&amp;'[1]2025年已发货'!$C:$C&amp;'[1]2025年已发货'!$G:$G&amp;'[1]2025年已发货'!$H:$H,'[1]2025年已发货'!$E:$E,"未发货")</f>
        <v>未发货</v>
      </c>
      <c r="I2093" s="113" t="str">
        <f>VLOOKUP(B2093,辅助信息!E:I,3,FALSE)</f>
        <v>（商投建工达州中医药科技园-4工区-11号楼）达州市通川区达州中医药职业学院犀牛大道北段</v>
      </c>
      <c r="J2093" s="113" t="str">
        <f>VLOOKUP(B2093,辅助信息!E:I,4,FALSE)</f>
        <v>张扬</v>
      </c>
      <c r="K2093" s="113">
        <f>VLOOKUP(J2093,辅助信息!H:I,2,FALSE)</f>
        <v>18381904567</v>
      </c>
      <c r="L2093" s="115" t="str">
        <f>VLOOKUP(B2093,辅助信息!E:J,6,FALSE)</f>
        <v>控制炉批号！多了现场不收！,优先安排达钢,提前联系到场规格及数量</v>
      </c>
      <c r="M2093" s="84">
        <v>45842</v>
      </c>
      <c r="O2093" s="55">
        <f ca="1" t="shared" si="141"/>
        <v>0</v>
      </c>
      <c r="P2093" s="55">
        <f ca="1" t="shared" si="142"/>
        <v>115</v>
      </c>
      <c r="Q2093" s="22" t="str">
        <f>VLOOKUP(B2093,辅助信息!E:M,9,FALSE)</f>
        <v>ZTWM-CDGS-XS-2024-0134-商投建工达州中医药科技成果示范园项目</v>
      </c>
      <c r="R2093" s="22" t="str">
        <f>_xlfn._xlws.FILTER(辅助信息!D:D,辅助信息!E:E=B2093)</f>
        <v>商投建工达州中医药科技园</v>
      </c>
    </row>
    <row r="2094" hidden="1" spans="2:18">
      <c r="B2094" s="33" t="s">
        <v>147</v>
      </c>
      <c r="C2094" s="63">
        <v>45842</v>
      </c>
      <c r="D2094" s="113" t="str">
        <f>VLOOKUP(B2094,辅助信息!E:K,7,FALSE)</f>
        <v>JWDDCD2025052800131</v>
      </c>
      <c r="E2094" s="113" t="str">
        <f>VLOOKUP(F2094,辅助信息!A:B,2,FALSE)</f>
        <v>螺纹钢</v>
      </c>
      <c r="F2094" s="33" t="s">
        <v>22</v>
      </c>
      <c r="G2094" s="29">
        <v>9</v>
      </c>
      <c r="H2094" s="127" t="str">
        <f>_xlfn.XLOOKUP(C2094&amp;F2094&amp;I2094&amp;J2094,'[1]2025年已发货'!$F:$F&amp;'[1]2025年已发货'!$C:$C&amp;'[1]2025年已发货'!$G:$G&amp;'[1]2025年已发货'!$H:$H,'[1]2025年已发货'!$E:$E,"未发货")</f>
        <v>未发货</v>
      </c>
      <c r="I2094" s="113" t="str">
        <f>VLOOKUP(B2094,辅助信息!E:I,3,FALSE)</f>
        <v>（商投建工达州中医药科技园-4工区-11号楼）达州市通川区达州中医药职业学院犀牛大道北段</v>
      </c>
      <c r="J2094" s="113" t="str">
        <f>VLOOKUP(B2094,辅助信息!E:I,4,FALSE)</f>
        <v>张扬</v>
      </c>
      <c r="K2094" s="113">
        <f>VLOOKUP(J2094,辅助信息!H:I,2,FALSE)</f>
        <v>18381904567</v>
      </c>
      <c r="L2094" s="115" t="str">
        <f>VLOOKUP(B2094,辅助信息!E:J,6,FALSE)</f>
        <v>控制炉批号！多了现场不收！,优先安排达钢,提前联系到场规格及数量</v>
      </c>
      <c r="M2094" s="84">
        <v>45842</v>
      </c>
      <c r="O2094" s="55">
        <f ca="1" t="shared" si="141"/>
        <v>0</v>
      </c>
      <c r="P2094" s="55">
        <f ca="1" t="shared" si="142"/>
        <v>115</v>
      </c>
      <c r="Q2094" s="22" t="str">
        <f>VLOOKUP(B2094,辅助信息!E:M,9,FALSE)</f>
        <v>ZTWM-CDGS-XS-2024-0134-商投建工达州中医药科技成果示范园项目</v>
      </c>
      <c r="R2094" s="22" t="str">
        <f>_xlfn._xlws.FILTER(辅助信息!D:D,辅助信息!E:E=B2094)</f>
        <v>商投建工达州中医药科技园</v>
      </c>
    </row>
    <row r="2095" hidden="1" spans="2:18">
      <c r="B2095" s="33" t="s">
        <v>81</v>
      </c>
      <c r="C2095" s="63">
        <v>45842</v>
      </c>
      <c r="D2095" s="113" t="str">
        <f>VLOOKUP(B2095,辅助信息!E:K,7,FALSE)</f>
        <v>JWDDCD2025060900080</v>
      </c>
      <c r="E2095" s="113" t="str">
        <f>VLOOKUP(F2095,辅助信息!A:B,2,FALSE)</f>
        <v>盘螺</v>
      </c>
      <c r="F2095" s="33" t="s">
        <v>49</v>
      </c>
      <c r="G2095" s="29">
        <v>5</v>
      </c>
      <c r="H2095" s="127">
        <f>_xlfn.XLOOKUP(C2095&amp;F2095&amp;I2095&amp;J2095,'[1]2025年已发货'!$F:$F&amp;'[1]2025年已发货'!$C:$C&amp;'[1]2025年已发货'!$G:$G&amp;'[1]2025年已发货'!$H:$H,'[1]2025年已发货'!$E:$E,"未发货")</f>
        <v>5</v>
      </c>
      <c r="I2095" s="113" t="str">
        <f>VLOOKUP(B2095,辅助信息!E:I,3,FALSE)</f>
        <v>（华西简阳西城嘉苑）四川省成都市简阳市简城街道高屋村</v>
      </c>
      <c r="J2095" s="113" t="str">
        <f>VLOOKUP(B2095,辅助信息!E:I,4,FALSE)</f>
        <v>张瀚镭</v>
      </c>
      <c r="K2095" s="113">
        <f>VLOOKUP(J2095,辅助信息!H:I,2,FALSE)</f>
        <v>15884666220</v>
      </c>
      <c r="L2095" s="115" t="str">
        <f>VLOOKUP(B2095,辅助信息!E:J,6,FALSE)</f>
        <v>现场禁止使用氢能源挂车！优先威钢发货,我方卸车,新老国标钢厂不加价可直发，因陕钢多次出现磅差，项目拒绝使用</v>
      </c>
      <c r="M2095" s="84">
        <v>45845</v>
      </c>
      <c r="O2095" s="55">
        <f ca="1" t="shared" ref="O2095:O2120" si="143">IF(OR(M2095="",N2095&lt;&gt;""),"",MAX(M2095-TODAY(),0))</f>
        <v>0</v>
      </c>
      <c r="P2095" s="55">
        <f ca="1" t="shared" ref="P2095:P2120" si="144">IF(M2095="","",IF(N2095&lt;&gt;"",MAX(N2095-M2095,0),IF(TODAY()&gt;M2095,TODAY()-M2095,0)))</f>
        <v>112</v>
      </c>
      <c r="Q2095" s="22" t="str">
        <f>VLOOKUP(B2095,辅助信息!E:M,9,FALSE)</f>
        <v>ZTWM-CDGS-XS-2024-0030-华西集采-简州大道</v>
      </c>
      <c r="R2095" s="22" t="str">
        <f>_xlfn._xlws.FILTER(辅助信息!D:D,辅助信息!E:E=B2095)</f>
        <v>华西简阳西城嘉苑</v>
      </c>
    </row>
    <row r="2096" hidden="1" spans="2:18">
      <c r="B2096" s="33" t="s">
        <v>81</v>
      </c>
      <c r="C2096" s="63">
        <v>45842</v>
      </c>
      <c r="D2096" s="113" t="str">
        <f>VLOOKUP(B2096,辅助信息!E:K,7,FALSE)</f>
        <v>JWDDCD2025060900080</v>
      </c>
      <c r="E2096" s="113" t="str">
        <f>VLOOKUP(F2096,辅助信息!A:B,2,FALSE)</f>
        <v>盘螺</v>
      </c>
      <c r="F2096" s="33" t="s">
        <v>40</v>
      </c>
      <c r="G2096" s="29">
        <v>46</v>
      </c>
      <c r="H2096" s="127">
        <f>_xlfn.XLOOKUP(C2096&amp;F2096&amp;I2096&amp;J2096,'[1]2025年已发货'!$F:$F&amp;'[1]2025年已发货'!$C:$C&amp;'[1]2025年已发货'!$G:$G&amp;'[1]2025年已发货'!$H:$H,'[1]2025年已发货'!$E:$E,"未发货")</f>
        <v>30</v>
      </c>
      <c r="I2096" s="113" t="str">
        <f>VLOOKUP(B2096,辅助信息!E:I,3,FALSE)</f>
        <v>（华西简阳西城嘉苑）四川省成都市简阳市简城街道高屋村</v>
      </c>
      <c r="J2096" s="113" t="str">
        <f>VLOOKUP(B2096,辅助信息!E:I,4,FALSE)</f>
        <v>张瀚镭</v>
      </c>
      <c r="K2096" s="113">
        <f>VLOOKUP(J2096,辅助信息!H:I,2,FALSE)</f>
        <v>15884666220</v>
      </c>
      <c r="L2096" s="115" t="str">
        <f>VLOOKUP(B2096,辅助信息!E:J,6,FALSE)</f>
        <v>现场禁止使用氢能源挂车！优先威钢发货,我方卸车,新老国标钢厂不加价可直发，因陕钢多次出现磅差，项目拒绝使用</v>
      </c>
      <c r="M2096" s="84">
        <v>45845</v>
      </c>
      <c r="O2096" s="55">
        <f ca="1" t="shared" si="143"/>
        <v>0</v>
      </c>
      <c r="P2096" s="55">
        <f ca="1" t="shared" si="144"/>
        <v>112</v>
      </c>
      <c r="Q2096" s="22" t="str">
        <f>VLOOKUP(B2096,辅助信息!E:M,9,FALSE)</f>
        <v>ZTWM-CDGS-XS-2024-0030-华西集采-简州大道</v>
      </c>
      <c r="R2096" s="22" t="str">
        <f>_xlfn._xlws.FILTER(辅助信息!D:D,辅助信息!E:E=B2096)</f>
        <v>华西简阳西城嘉苑</v>
      </c>
    </row>
    <row r="2097" hidden="1" spans="2:18">
      <c r="B2097" s="33" t="s">
        <v>81</v>
      </c>
      <c r="C2097" s="63">
        <v>45842</v>
      </c>
      <c r="D2097" s="113" t="str">
        <f>VLOOKUP(B2097,辅助信息!E:K,7,FALSE)</f>
        <v>JWDDCD2025060900080</v>
      </c>
      <c r="E2097" s="113" t="str">
        <f>VLOOKUP(F2097,辅助信息!A:B,2,FALSE)</f>
        <v>盘螺</v>
      </c>
      <c r="F2097" s="33" t="s">
        <v>26</v>
      </c>
      <c r="G2097" s="29">
        <v>15</v>
      </c>
      <c r="H2097" s="127" t="str">
        <f>_xlfn.XLOOKUP(C2097&amp;F2097&amp;I2097&amp;J2097,'[1]2025年已发货'!$F:$F&amp;'[1]2025年已发货'!$C:$C&amp;'[1]2025年已发货'!$G:$G&amp;'[1]2025年已发货'!$H:$H,'[1]2025年已发货'!$E:$E,"未发货")</f>
        <v>未发货</v>
      </c>
      <c r="I2097" s="113" t="str">
        <f>VLOOKUP(B2097,辅助信息!E:I,3,FALSE)</f>
        <v>（华西简阳西城嘉苑）四川省成都市简阳市简城街道高屋村</v>
      </c>
      <c r="J2097" s="113" t="str">
        <f>VLOOKUP(B2097,辅助信息!E:I,4,FALSE)</f>
        <v>张瀚镭</v>
      </c>
      <c r="K2097" s="113">
        <f>VLOOKUP(J2097,辅助信息!H:I,2,FALSE)</f>
        <v>15884666220</v>
      </c>
      <c r="L2097" s="115" t="str">
        <f>VLOOKUP(B2097,辅助信息!E:J,6,FALSE)</f>
        <v>现场禁止使用氢能源挂车！优先威钢发货,我方卸车,新老国标钢厂不加价可直发，因陕钢多次出现磅差，项目拒绝使用</v>
      </c>
      <c r="M2097" s="84">
        <v>45845</v>
      </c>
      <c r="O2097" s="55">
        <f ca="1" t="shared" si="143"/>
        <v>0</v>
      </c>
      <c r="P2097" s="55">
        <f ca="1" t="shared" si="144"/>
        <v>112</v>
      </c>
      <c r="Q2097" s="22" t="str">
        <f>VLOOKUP(B2097,辅助信息!E:M,9,FALSE)</f>
        <v>ZTWM-CDGS-XS-2024-0030-华西集采-简州大道</v>
      </c>
      <c r="R2097" s="22" t="str">
        <f>_xlfn._xlws.FILTER(辅助信息!D:D,辅助信息!E:E=B2097)</f>
        <v>华西简阳西城嘉苑</v>
      </c>
    </row>
    <row r="2098" hidden="1" spans="2:18">
      <c r="B2098" s="33" t="s">
        <v>81</v>
      </c>
      <c r="C2098" s="63">
        <v>45842</v>
      </c>
      <c r="D2098" s="113" t="str">
        <f>VLOOKUP(B2098,辅助信息!E:K,7,FALSE)</f>
        <v>JWDDCD2025060900080</v>
      </c>
      <c r="E2098" s="113" t="str">
        <f>VLOOKUP(F2098,辅助信息!A:B,2,FALSE)</f>
        <v>螺纹钢</v>
      </c>
      <c r="F2098" s="33" t="s">
        <v>19</v>
      </c>
      <c r="G2098" s="29">
        <v>5.5</v>
      </c>
      <c r="H2098" s="127">
        <f>_xlfn.XLOOKUP(C2098&amp;F2098&amp;I2098&amp;J2098,'[1]2025年已发货'!$F:$F&amp;'[1]2025年已发货'!$C:$C&amp;'[1]2025年已发货'!$G:$G&amp;'[1]2025年已发货'!$H:$H,'[1]2025年已发货'!$E:$E,"未发货")</f>
        <v>5.5</v>
      </c>
      <c r="I2098" s="113" t="str">
        <f>VLOOKUP(B2098,辅助信息!E:I,3,FALSE)</f>
        <v>（华西简阳西城嘉苑）四川省成都市简阳市简城街道高屋村</v>
      </c>
      <c r="J2098" s="113" t="str">
        <f>VLOOKUP(B2098,辅助信息!E:I,4,FALSE)</f>
        <v>张瀚镭</v>
      </c>
      <c r="K2098" s="113">
        <f>VLOOKUP(J2098,辅助信息!H:I,2,FALSE)</f>
        <v>15884666220</v>
      </c>
      <c r="L2098" s="115" t="str">
        <f>VLOOKUP(B2098,辅助信息!E:J,6,FALSE)</f>
        <v>现场禁止使用氢能源挂车！优先威钢发货,我方卸车,新老国标钢厂不加价可直发，因陕钢多次出现磅差，项目拒绝使用</v>
      </c>
      <c r="M2098" s="84">
        <v>45845</v>
      </c>
      <c r="O2098" s="55">
        <f ca="1" t="shared" si="143"/>
        <v>0</v>
      </c>
      <c r="P2098" s="55">
        <f ca="1" t="shared" si="144"/>
        <v>112</v>
      </c>
      <c r="Q2098" s="22" t="str">
        <f>VLOOKUP(B2098,辅助信息!E:M,9,FALSE)</f>
        <v>ZTWM-CDGS-XS-2024-0030-华西集采-简州大道</v>
      </c>
      <c r="R2098" s="22" t="str">
        <f>_xlfn._xlws.FILTER(辅助信息!D:D,辅助信息!E:E=B2098)</f>
        <v>华西简阳西城嘉苑</v>
      </c>
    </row>
    <row r="2099" hidden="1" spans="2:18">
      <c r="B2099" s="33" t="s">
        <v>81</v>
      </c>
      <c r="C2099" s="63">
        <v>45842</v>
      </c>
      <c r="D2099" s="113" t="str">
        <f>VLOOKUP(B2099,辅助信息!E:K,7,FALSE)</f>
        <v>JWDDCD2025060900080</v>
      </c>
      <c r="E2099" s="113" t="str">
        <f>VLOOKUP(F2099,辅助信息!A:B,2,FALSE)</f>
        <v>螺纹钢</v>
      </c>
      <c r="F2099" s="33" t="s">
        <v>32</v>
      </c>
      <c r="G2099" s="29">
        <v>7</v>
      </c>
      <c r="H2099" s="127">
        <f>_xlfn.XLOOKUP(C2099&amp;F2099&amp;I2099&amp;J2099,'[1]2025年已发货'!$F:$F&amp;'[1]2025年已发货'!$C:$C&amp;'[1]2025年已发货'!$G:$G&amp;'[1]2025年已发货'!$H:$H,'[1]2025年已发货'!$E:$E,"未发货")</f>
        <v>7</v>
      </c>
      <c r="I2099" s="113" t="str">
        <f>VLOOKUP(B2099,辅助信息!E:I,3,FALSE)</f>
        <v>（华西简阳西城嘉苑）四川省成都市简阳市简城街道高屋村</v>
      </c>
      <c r="J2099" s="113" t="str">
        <f>VLOOKUP(B2099,辅助信息!E:I,4,FALSE)</f>
        <v>张瀚镭</v>
      </c>
      <c r="K2099" s="113">
        <f>VLOOKUP(J2099,辅助信息!H:I,2,FALSE)</f>
        <v>15884666220</v>
      </c>
      <c r="L2099" s="115" t="str">
        <f>VLOOKUP(B2099,辅助信息!E:J,6,FALSE)</f>
        <v>现场禁止使用氢能源挂车！优先威钢发货,我方卸车,新老国标钢厂不加价可直发，因陕钢多次出现磅差，项目拒绝使用</v>
      </c>
      <c r="M2099" s="84">
        <v>45845</v>
      </c>
      <c r="O2099" s="55">
        <f ca="1" t="shared" si="143"/>
        <v>0</v>
      </c>
      <c r="P2099" s="55">
        <f ca="1" t="shared" si="144"/>
        <v>112</v>
      </c>
      <c r="Q2099" s="22" t="str">
        <f>VLOOKUP(B2099,辅助信息!E:M,9,FALSE)</f>
        <v>ZTWM-CDGS-XS-2024-0030-华西集采-简州大道</v>
      </c>
      <c r="R2099" s="22" t="str">
        <f>_xlfn._xlws.FILTER(辅助信息!D:D,辅助信息!E:E=B2099)</f>
        <v>华西简阳西城嘉苑</v>
      </c>
    </row>
    <row r="2100" hidden="1" spans="2:18">
      <c r="B2100" s="33" t="s">
        <v>81</v>
      </c>
      <c r="C2100" s="63">
        <v>45842</v>
      </c>
      <c r="D2100" s="113" t="str">
        <f>VLOOKUP(B2100,辅助信息!E:K,7,FALSE)</f>
        <v>JWDDCD2025060900080</v>
      </c>
      <c r="E2100" s="113" t="str">
        <f>VLOOKUP(F2100,辅助信息!A:B,2,FALSE)</f>
        <v>螺纹钢</v>
      </c>
      <c r="F2100" s="33" t="s">
        <v>30</v>
      </c>
      <c r="G2100" s="29">
        <v>5.5</v>
      </c>
      <c r="H2100" s="127" t="str">
        <f>_xlfn.XLOOKUP(C2100&amp;F2100&amp;I2100&amp;J2100,'[1]2025年已发货'!$F:$F&amp;'[1]2025年已发货'!$C:$C&amp;'[1]2025年已发货'!$G:$G&amp;'[1]2025年已发货'!$H:$H,'[1]2025年已发货'!$E:$E,"未发货")</f>
        <v>未发货</v>
      </c>
      <c r="I2100" s="113" t="str">
        <f>VLOOKUP(B2100,辅助信息!E:I,3,FALSE)</f>
        <v>（华西简阳西城嘉苑）四川省成都市简阳市简城街道高屋村</v>
      </c>
      <c r="J2100" s="113" t="str">
        <f>VLOOKUP(B2100,辅助信息!E:I,4,FALSE)</f>
        <v>张瀚镭</v>
      </c>
      <c r="K2100" s="113">
        <f>VLOOKUP(J2100,辅助信息!H:I,2,FALSE)</f>
        <v>15884666220</v>
      </c>
      <c r="L2100" s="115" t="str">
        <f>VLOOKUP(B2100,辅助信息!E:J,6,FALSE)</f>
        <v>现场禁止使用氢能源挂车！优先威钢发货,我方卸车,新老国标钢厂不加价可直发，因陕钢多次出现磅差，项目拒绝使用</v>
      </c>
      <c r="M2100" s="84">
        <v>45845</v>
      </c>
      <c r="O2100" s="55">
        <f ca="1" t="shared" si="143"/>
        <v>0</v>
      </c>
      <c r="P2100" s="55">
        <f ca="1" t="shared" si="144"/>
        <v>112</v>
      </c>
      <c r="Q2100" s="22" t="str">
        <f>VLOOKUP(B2100,辅助信息!E:M,9,FALSE)</f>
        <v>ZTWM-CDGS-XS-2024-0030-华西集采-简州大道</v>
      </c>
      <c r="R2100" s="22" t="str">
        <f>_xlfn._xlws.FILTER(辅助信息!D:D,辅助信息!E:E=B2100)</f>
        <v>华西简阳西城嘉苑</v>
      </c>
    </row>
    <row r="2101" hidden="1" spans="2:18">
      <c r="B2101" s="33" t="s">
        <v>81</v>
      </c>
      <c r="C2101" s="63">
        <v>45842</v>
      </c>
      <c r="D2101" s="113" t="str">
        <f>VLOOKUP(B2101,辅助信息!E:K,7,FALSE)</f>
        <v>JWDDCD2025060900080</v>
      </c>
      <c r="E2101" s="113" t="str">
        <f>VLOOKUP(F2101,辅助信息!A:B,2,FALSE)</f>
        <v>螺纹钢</v>
      </c>
      <c r="F2101" s="33" t="s">
        <v>33</v>
      </c>
      <c r="G2101" s="29">
        <v>15</v>
      </c>
      <c r="H2101" s="127">
        <f>_xlfn.XLOOKUP(C2101&amp;F2101&amp;I2101&amp;J2101,'[1]2025年已发货'!$F:$F&amp;'[1]2025年已发货'!$C:$C&amp;'[1]2025年已发货'!$G:$G&amp;'[1]2025年已发货'!$H:$H,'[1]2025年已发货'!$E:$E,"未发货")</f>
        <v>15</v>
      </c>
      <c r="I2101" s="113" t="str">
        <f>VLOOKUP(B2101,辅助信息!E:I,3,FALSE)</f>
        <v>（华西简阳西城嘉苑）四川省成都市简阳市简城街道高屋村</v>
      </c>
      <c r="J2101" s="113" t="str">
        <f>VLOOKUP(B2101,辅助信息!E:I,4,FALSE)</f>
        <v>张瀚镭</v>
      </c>
      <c r="K2101" s="113">
        <f>VLOOKUP(J2101,辅助信息!H:I,2,FALSE)</f>
        <v>15884666220</v>
      </c>
      <c r="L2101" s="115" t="str">
        <f>VLOOKUP(B2101,辅助信息!E:J,6,FALSE)</f>
        <v>现场禁止使用氢能源挂车！优先威钢发货,我方卸车,新老国标钢厂不加价可直发，因陕钢多次出现磅差，项目拒绝使用</v>
      </c>
      <c r="M2101" s="84">
        <v>45845</v>
      </c>
      <c r="O2101" s="55">
        <f ca="1" t="shared" si="143"/>
        <v>0</v>
      </c>
      <c r="P2101" s="55">
        <f ca="1" t="shared" si="144"/>
        <v>112</v>
      </c>
      <c r="Q2101" s="22" t="str">
        <f>VLOOKUP(B2101,辅助信息!E:M,9,FALSE)</f>
        <v>ZTWM-CDGS-XS-2024-0030-华西集采-简州大道</v>
      </c>
      <c r="R2101" s="22" t="str">
        <f>_xlfn._xlws.FILTER(辅助信息!D:D,辅助信息!E:E=B2101)</f>
        <v>华西简阳西城嘉苑</v>
      </c>
    </row>
    <row r="2102" hidden="1" spans="2:18">
      <c r="B2102" s="33" t="s">
        <v>81</v>
      </c>
      <c r="C2102" s="63">
        <v>45842</v>
      </c>
      <c r="D2102" s="113" t="str">
        <f>VLOOKUP(B2102,辅助信息!E:K,7,FALSE)</f>
        <v>JWDDCD2025060900080</v>
      </c>
      <c r="E2102" s="113" t="str">
        <f>VLOOKUP(F2102,辅助信息!A:B,2,FALSE)</f>
        <v>螺纹钢</v>
      </c>
      <c r="F2102" s="33" t="s">
        <v>18</v>
      </c>
      <c r="G2102" s="29">
        <v>7.5</v>
      </c>
      <c r="H2102" s="127">
        <f>_xlfn.XLOOKUP(C2102&amp;F2102&amp;I2102&amp;J2102,'[1]2025年已发货'!$F:$F&amp;'[1]2025年已发货'!$C:$C&amp;'[1]2025年已发货'!$G:$G&amp;'[1]2025年已发货'!$H:$H,'[1]2025年已发货'!$E:$E,"未发货")</f>
        <v>7.5</v>
      </c>
      <c r="I2102" s="113" t="str">
        <f>VLOOKUP(B2102,辅助信息!E:I,3,FALSE)</f>
        <v>（华西简阳西城嘉苑）四川省成都市简阳市简城街道高屋村</v>
      </c>
      <c r="J2102" s="113" t="str">
        <f>VLOOKUP(B2102,辅助信息!E:I,4,FALSE)</f>
        <v>张瀚镭</v>
      </c>
      <c r="K2102" s="113">
        <f>VLOOKUP(J2102,辅助信息!H:I,2,FALSE)</f>
        <v>15884666220</v>
      </c>
      <c r="L2102" s="115" t="str">
        <f>VLOOKUP(B2102,辅助信息!E:J,6,FALSE)</f>
        <v>现场禁止使用氢能源挂车！优先威钢发货,我方卸车,新老国标钢厂不加价可直发，因陕钢多次出现磅差，项目拒绝使用</v>
      </c>
      <c r="M2102" s="84">
        <v>45845</v>
      </c>
      <c r="O2102" s="55">
        <f ca="1" t="shared" si="143"/>
        <v>0</v>
      </c>
      <c r="P2102" s="55">
        <f ca="1" t="shared" si="144"/>
        <v>112</v>
      </c>
      <c r="Q2102" s="22" t="str">
        <f>VLOOKUP(B2102,辅助信息!E:M,9,FALSE)</f>
        <v>ZTWM-CDGS-XS-2024-0030-华西集采-简州大道</v>
      </c>
      <c r="R2102" s="22" t="str">
        <f>_xlfn._xlws.FILTER(辅助信息!D:D,辅助信息!E:E=B2102)</f>
        <v>华西简阳西城嘉苑</v>
      </c>
    </row>
    <row r="2103" hidden="1" spans="2:18">
      <c r="B2103" s="33" t="s">
        <v>187</v>
      </c>
      <c r="C2103" s="63">
        <v>45842</v>
      </c>
      <c r="D2103" s="113" t="str">
        <f>VLOOKUP(B2103,辅助信息!E:K,7,FALSE)</f>
        <v>JWDDCD2025072900121</v>
      </c>
      <c r="E2103" s="113" t="str">
        <f>VLOOKUP(F2103,辅助信息!A:B,2,FALSE)</f>
        <v>盘螺</v>
      </c>
      <c r="F2103" s="33" t="s">
        <v>40</v>
      </c>
      <c r="G2103" s="29">
        <v>3</v>
      </c>
      <c r="H2103" s="127" t="str">
        <f>_xlfn.XLOOKUP(C2103&amp;F2103&amp;I2103&amp;J2103,'[1]2025年已发货'!$F:$F&amp;'[1]2025年已发货'!$C:$C&amp;'[1]2025年已发货'!$G:$G&amp;'[1]2025年已发货'!$H:$H,'[1]2025年已发货'!$E:$E,"未发货")</f>
        <v>未发货</v>
      </c>
      <c r="I2103" s="113" t="str">
        <f>VLOOKUP(B2103,辅助信息!E:I,3,FALSE)</f>
        <v>(乐山市校地共建产教融合基地建设项目一标段)四川省乐山市市中区苏稽镇周山嘴</v>
      </c>
      <c r="J2103" s="113" t="str">
        <f>VLOOKUP(B2103,辅助信息!E:I,4,FALSE)</f>
        <v>范增云</v>
      </c>
      <c r="K2103" s="113">
        <f>VLOOKUP(J2103,辅助信息!H:I,2,FALSE)</f>
        <v>13668153241</v>
      </c>
      <c r="L2103" s="115" t="str">
        <f>VLOOKUP(B2103,辅助信息!E:J,6,FALSE)</f>
        <v>联系实际收货人（范增云13668153241）现场要求炉批号控制2个以下，超2个不给予签收。提前联系到场规格及数量</v>
      </c>
      <c r="M2103" s="84">
        <v>45843</v>
      </c>
      <c r="O2103" s="55">
        <f ca="1" t="shared" si="143"/>
        <v>0</v>
      </c>
      <c r="P2103" s="55">
        <f ca="1" t="shared" si="144"/>
        <v>114</v>
      </c>
      <c r="Q2103" s="22" t="str">
        <f>VLOOKUP(B2103,辅助信息!E:M,9,FALSE)</f>
        <v>ZTWM-CDGS-XS-2025-0125-四川机司-乐山市校地共建产教融合基地配套设施项目施工一标段钢筋采购合同</v>
      </c>
      <c r="R2103" s="22" t="str">
        <f>_xlfn._xlws.FILTER(辅助信息!D:D,辅助信息!E:E=B2103)</f>
        <v>乐山市校地共建产教融合基地建设项目一标段</v>
      </c>
    </row>
    <row r="2104" hidden="1" spans="2:18">
      <c r="B2104" s="33" t="s">
        <v>187</v>
      </c>
      <c r="C2104" s="63">
        <v>45842</v>
      </c>
      <c r="D2104" s="113" t="str">
        <f>VLOOKUP(B2104,辅助信息!E:K,7,FALSE)</f>
        <v>JWDDCD2025072900121</v>
      </c>
      <c r="E2104" s="113" t="str">
        <f>VLOOKUP(F2104,辅助信息!A:B,2,FALSE)</f>
        <v>螺纹钢</v>
      </c>
      <c r="F2104" s="33" t="s">
        <v>32</v>
      </c>
      <c r="G2104" s="29">
        <v>5</v>
      </c>
      <c r="H2104" s="127" t="str">
        <f>_xlfn.XLOOKUP(C2104&amp;F2104&amp;I2104&amp;J2104,'[1]2025年已发货'!$F:$F&amp;'[1]2025年已发货'!$C:$C&amp;'[1]2025年已发货'!$G:$G&amp;'[1]2025年已发货'!$H:$H,'[1]2025年已发货'!$E:$E,"未发货")</f>
        <v>未发货</v>
      </c>
      <c r="I2104" s="113" t="str">
        <f>VLOOKUP(B2104,辅助信息!E:I,3,FALSE)</f>
        <v>(乐山市校地共建产教融合基地建设项目一标段)四川省乐山市市中区苏稽镇周山嘴</v>
      </c>
      <c r="J2104" s="113" t="str">
        <f>VLOOKUP(B2104,辅助信息!E:I,4,FALSE)</f>
        <v>范增云</v>
      </c>
      <c r="K2104" s="113">
        <f>VLOOKUP(J2104,辅助信息!H:I,2,FALSE)</f>
        <v>13668153241</v>
      </c>
      <c r="L2104" s="115" t="str">
        <f>VLOOKUP(B2104,辅助信息!E:J,6,FALSE)</f>
        <v>联系实际收货人（范增云13668153241）现场要求炉批号控制2个以下，超2个不给予签收。提前联系到场规格及数量</v>
      </c>
      <c r="M2104" s="84">
        <v>45843</v>
      </c>
      <c r="O2104" s="55">
        <f ca="1" t="shared" si="143"/>
        <v>0</v>
      </c>
      <c r="P2104" s="55">
        <f ca="1" t="shared" si="144"/>
        <v>114</v>
      </c>
      <c r="Q2104" s="22" t="str">
        <f>VLOOKUP(B2104,辅助信息!E:M,9,FALSE)</f>
        <v>ZTWM-CDGS-XS-2025-0125-四川机司-乐山市校地共建产教融合基地配套设施项目施工一标段钢筋采购合同</v>
      </c>
      <c r="R2104" s="22" t="str">
        <f>_xlfn._xlws.FILTER(辅助信息!D:D,辅助信息!E:E=B2104)</f>
        <v>乐山市校地共建产教融合基地建设项目一标段</v>
      </c>
    </row>
    <row r="2105" hidden="1" spans="2:18">
      <c r="B2105" s="33" t="s">
        <v>187</v>
      </c>
      <c r="C2105" s="63">
        <v>45842</v>
      </c>
      <c r="D2105" s="113" t="str">
        <f>VLOOKUP(B2105,辅助信息!E:K,7,FALSE)</f>
        <v>JWDDCD2025072900121</v>
      </c>
      <c r="E2105" s="113" t="str">
        <f>VLOOKUP(F2105,辅助信息!A:B,2,FALSE)</f>
        <v>螺纹钢</v>
      </c>
      <c r="F2105" s="33" t="s">
        <v>30</v>
      </c>
      <c r="G2105" s="29">
        <v>3</v>
      </c>
      <c r="H2105" s="127" t="str">
        <f>_xlfn.XLOOKUP(C2105&amp;F2105&amp;I2105&amp;J2105,'[1]2025年已发货'!$F:$F&amp;'[1]2025年已发货'!$C:$C&amp;'[1]2025年已发货'!$G:$G&amp;'[1]2025年已发货'!$H:$H,'[1]2025年已发货'!$E:$E,"未发货")</f>
        <v>未发货</v>
      </c>
      <c r="I2105" s="113" t="str">
        <f>VLOOKUP(B2105,辅助信息!E:I,3,FALSE)</f>
        <v>(乐山市校地共建产教融合基地建设项目一标段)四川省乐山市市中区苏稽镇周山嘴</v>
      </c>
      <c r="J2105" s="113" t="str">
        <f>VLOOKUP(B2105,辅助信息!E:I,4,FALSE)</f>
        <v>范增云</v>
      </c>
      <c r="K2105" s="113">
        <f>VLOOKUP(J2105,辅助信息!H:I,2,FALSE)</f>
        <v>13668153241</v>
      </c>
      <c r="L2105" s="115" t="str">
        <f>VLOOKUP(B2105,辅助信息!E:J,6,FALSE)</f>
        <v>联系实际收货人（范增云13668153241）现场要求炉批号控制2个以下，超2个不给予签收。提前联系到场规格及数量</v>
      </c>
      <c r="M2105" s="84">
        <v>45843</v>
      </c>
      <c r="O2105" s="55">
        <f ca="1" t="shared" si="143"/>
        <v>0</v>
      </c>
      <c r="P2105" s="55">
        <f ca="1" t="shared" si="144"/>
        <v>114</v>
      </c>
      <c r="Q2105" s="22" t="str">
        <f>VLOOKUP(B2105,辅助信息!E:M,9,FALSE)</f>
        <v>ZTWM-CDGS-XS-2025-0125-四川机司-乐山市校地共建产教融合基地配套设施项目施工一标段钢筋采购合同</v>
      </c>
      <c r="R2105" s="22" t="str">
        <f>_xlfn._xlws.FILTER(辅助信息!D:D,辅助信息!E:E=B2105)</f>
        <v>乐山市校地共建产教融合基地建设项目一标段</v>
      </c>
    </row>
    <row r="2106" hidden="1" spans="2:18">
      <c r="B2106" s="33" t="s">
        <v>187</v>
      </c>
      <c r="C2106" s="63">
        <v>45842</v>
      </c>
      <c r="D2106" s="113" t="str">
        <f>VLOOKUP(B2106,辅助信息!E:K,7,FALSE)</f>
        <v>JWDDCD2025072900121</v>
      </c>
      <c r="E2106" s="113" t="str">
        <f>VLOOKUP(F2106,辅助信息!A:B,2,FALSE)</f>
        <v>螺纹钢</v>
      </c>
      <c r="F2106" s="33" t="s">
        <v>33</v>
      </c>
      <c r="G2106" s="29">
        <v>3</v>
      </c>
      <c r="H2106" s="127" t="str">
        <f>_xlfn.XLOOKUP(C2106&amp;F2106&amp;I2106&amp;J2106,'[1]2025年已发货'!$F:$F&amp;'[1]2025年已发货'!$C:$C&amp;'[1]2025年已发货'!$G:$G&amp;'[1]2025年已发货'!$H:$H,'[1]2025年已发货'!$E:$E,"未发货")</f>
        <v>未发货</v>
      </c>
      <c r="I2106" s="113" t="str">
        <f>VLOOKUP(B2106,辅助信息!E:I,3,FALSE)</f>
        <v>(乐山市校地共建产教融合基地建设项目一标段)四川省乐山市市中区苏稽镇周山嘴</v>
      </c>
      <c r="J2106" s="113" t="str">
        <f>VLOOKUP(B2106,辅助信息!E:I,4,FALSE)</f>
        <v>范增云</v>
      </c>
      <c r="K2106" s="113">
        <f>VLOOKUP(J2106,辅助信息!H:I,2,FALSE)</f>
        <v>13668153241</v>
      </c>
      <c r="L2106" s="115" t="str">
        <f>VLOOKUP(B2106,辅助信息!E:J,6,FALSE)</f>
        <v>联系实际收货人（范增云13668153241）现场要求炉批号控制2个以下，超2个不给予签收。提前联系到场规格及数量</v>
      </c>
      <c r="M2106" s="84">
        <v>45843</v>
      </c>
      <c r="O2106" s="55">
        <f ca="1" t="shared" si="143"/>
        <v>0</v>
      </c>
      <c r="P2106" s="55">
        <f ca="1" t="shared" si="144"/>
        <v>114</v>
      </c>
      <c r="Q2106" s="22" t="str">
        <f>VLOOKUP(B2106,辅助信息!E:M,9,FALSE)</f>
        <v>ZTWM-CDGS-XS-2025-0125-四川机司-乐山市校地共建产教融合基地配套设施项目施工一标段钢筋采购合同</v>
      </c>
      <c r="R2106" s="22" t="str">
        <f>_xlfn._xlws.FILTER(辅助信息!D:D,辅助信息!E:E=B2106)</f>
        <v>乐山市校地共建产教融合基地建设项目一标段</v>
      </c>
    </row>
    <row r="2107" hidden="1" spans="2:18">
      <c r="B2107" s="33" t="s">
        <v>187</v>
      </c>
      <c r="C2107" s="63">
        <v>45842</v>
      </c>
      <c r="D2107" s="113" t="str">
        <f>VLOOKUP(B2107,辅助信息!E:K,7,FALSE)</f>
        <v>JWDDCD2025072900121</v>
      </c>
      <c r="E2107" s="113" t="str">
        <f>VLOOKUP(F2107,辅助信息!A:B,2,FALSE)</f>
        <v>螺纹钢</v>
      </c>
      <c r="F2107" s="33" t="s">
        <v>28</v>
      </c>
      <c r="G2107" s="29">
        <v>3</v>
      </c>
      <c r="H2107" s="127" t="str">
        <f>_xlfn.XLOOKUP(C2107&amp;F2107&amp;I2107&amp;J2107,'[1]2025年已发货'!$F:$F&amp;'[1]2025年已发货'!$C:$C&amp;'[1]2025年已发货'!$G:$G&amp;'[1]2025年已发货'!$H:$H,'[1]2025年已发货'!$E:$E,"未发货")</f>
        <v>未发货</v>
      </c>
      <c r="I2107" s="113" t="str">
        <f>VLOOKUP(B2107,辅助信息!E:I,3,FALSE)</f>
        <v>(乐山市校地共建产教融合基地建设项目一标段)四川省乐山市市中区苏稽镇周山嘴</v>
      </c>
      <c r="J2107" s="113" t="str">
        <f>VLOOKUP(B2107,辅助信息!E:I,4,FALSE)</f>
        <v>范增云</v>
      </c>
      <c r="K2107" s="113">
        <f>VLOOKUP(J2107,辅助信息!H:I,2,FALSE)</f>
        <v>13668153241</v>
      </c>
      <c r="L2107" s="115" t="str">
        <f>VLOOKUP(B2107,辅助信息!E:J,6,FALSE)</f>
        <v>联系实际收货人（范增云13668153241）现场要求炉批号控制2个以下，超2个不给予签收。提前联系到场规格及数量</v>
      </c>
      <c r="M2107" s="84">
        <v>45843</v>
      </c>
      <c r="O2107" s="55">
        <f ca="1" t="shared" si="143"/>
        <v>0</v>
      </c>
      <c r="P2107" s="55">
        <f ca="1" t="shared" si="144"/>
        <v>114</v>
      </c>
      <c r="Q2107" s="22" t="str">
        <f>VLOOKUP(B2107,辅助信息!E:M,9,FALSE)</f>
        <v>ZTWM-CDGS-XS-2025-0125-四川机司-乐山市校地共建产教融合基地配套设施项目施工一标段钢筋采购合同</v>
      </c>
      <c r="R2107" s="22" t="str">
        <f>_xlfn._xlws.FILTER(辅助信息!D:D,辅助信息!E:E=B2107)</f>
        <v>乐山市校地共建产教融合基地建设项目一标段</v>
      </c>
    </row>
    <row r="2108" hidden="1" spans="2:18">
      <c r="B2108" s="33" t="s">
        <v>187</v>
      </c>
      <c r="C2108" s="63">
        <v>45842</v>
      </c>
      <c r="D2108" s="113" t="str">
        <f>VLOOKUP(B2108,辅助信息!E:K,7,FALSE)</f>
        <v>JWDDCD2025072900121</v>
      </c>
      <c r="E2108" s="113" t="str">
        <f>VLOOKUP(F2108,辅助信息!A:B,2,FALSE)</f>
        <v>螺纹钢</v>
      </c>
      <c r="F2108" s="33" t="s">
        <v>18</v>
      </c>
      <c r="G2108" s="29">
        <v>18</v>
      </c>
      <c r="H2108" s="127" t="str">
        <f>_xlfn.XLOOKUP(C2108&amp;F2108&amp;I2108&amp;J2108,'[1]2025年已发货'!$F:$F&amp;'[1]2025年已发货'!$C:$C&amp;'[1]2025年已发货'!$G:$G&amp;'[1]2025年已发货'!$H:$H,'[1]2025年已发货'!$E:$E,"未发货")</f>
        <v>未发货</v>
      </c>
      <c r="I2108" s="113" t="str">
        <f>VLOOKUP(B2108,辅助信息!E:I,3,FALSE)</f>
        <v>(乐山市校地共建产教融合基地建设项目一标段)四川省乐山市市中区苏稽镇周山嘴</v>
      </c>
      <c r="J2108" s="113" t="str">
        <f>VLOOKUP(B2108,辅助信息!E:I,4,FALSE)</f>
        <v>范增云</v>
      </c>
      <c r="K2108" s="113">
        <f>VLOOKUP(J2108,辅助信息!H:I,2,FALSE)</f>
        <v>13668153241</v>
      </c>
      <c r="L2108" s="115" t="str">
        <f>VLOOKUP(B2108,辅助信息!E:J,6,FALSE)</f>
        <v>联系实际收货人（范增云13668153241）现场要求炉批号控制2个以下，超2个不给予签收。提前联系到场规格及数量</v>
      </c>
      <c r="M2108" s="84">
        <v>45843</v>
      </c>
      <c r="O2108" s="55">
        <f ca="1" t="shared" si="143"/>
        <v>0</v>
      </c>
      <c r="P2108" s="55">
        <f ca="1" t="shared" si="144"/>
        <v>114</v>
      </c>
      <c r="Q2108" s="22" t="str">
        <f>VLOOKUP(B2108,辅助信息!E:M,9,FALSE)</f>
        <v>ZTWM-CDGS-XS-2025-0125-四川机司-乐山市校地共建产教融合基地配套设施项目施工一标段钢筋采购合同</v>
      </c>
      <c r="R2108" s="22" t="str">
        <f>_xlfn._xlws.FILTER(辅助信息!D:D,辅助信息!E:E=B2108)</f>
        <v>乐山市校地共建产教融合基地建设项目一标段</v>
      </c>
    </row>
    <row r="2109" hidden="1" spans="2:18">
      <c r="B2109" s="113" t="s">
        <v>176</v>
      </c>
      <c r="C2109" s="63">
        <v>45845</v>
      </c>
      <c r="D2109" s="113" t="str">
        <f>VLOOKUP(B2109,辅助信息!E:K,7,FALSE)</f>
        <v>JWDDCD2025062200016</v>
      </c>
      <c r="E2109" s="113" t="str">
        <f>VLOOKUP(F2109,辅助信息!A:B,2,FALSE)</f>
        <v>高线</v>
      </c>
      <c r="F2109" s="113" t="s">
        <v>57</v>
      </c>
      <c r="G2109" s="114">
        <v>5</v>
      </c>
      <c r="H2109" s="127" t="str">
        <f>_xlfn.XLOOKUP(C2109&amp;F2109&amp;I2109&amp;J2109,'[1]2025年已发货'!$F:$F&amp;'[1]2025年已发货'!$C:$C&amp;'[1]2025年已发货'!$G:$G&amp;'[1]2025年已发货'!$H:$H,'[1]2025年已发货'!$E:$E,"未发货")</f>
        <v>未发货</v>
      </c>
      <c r="I2109" s="113" t="str">
        <f>VLOOKUP(B2109,辅助信息!E:I,3,FALSE)</f>
        <v>(武汉电气化局成达万高铁强电项目-渠县)四川省达州市渠县渠北镇雷家湾渠县北站旁</v>
      </c>
      <c r="J2109" s="113" t="str">
        <f>VLOOKUP(B2109,辅助信息!E:I,4,FALSE)</f>
        <v>刘频</v>
      </c>
      <c r="K2109" s="113">
        <f>VLOOKUP(J2109,辅助信息!H:I,2,FALSE)</f>
        <v>18779627939</v>
      </c>
      <c r="L2109" s="115" t="str">
        <f>VLOOKUP(B2109,辅助信息!E:J,6,FALSE)</f>
        <v>锈货不收！！下雨天钢筋没盖篷布不收！！，装货前联系收货人核实到场规格,没提前告知进场规格现场不给予接收</v>
      </c>
      <c r="M2109" s="84">
        <v>45845</v>
      </c>
      <c r="O2109" s="55">
        <f ca="1" t="shared" si="143"/>
        <v>0</v>
      </c>
      <c r="P2109" s="55">
        <f ca="1" t="shared" si="144"/>
        <v>112</v>
      </c>
      <c r="Q2109" s="22" t="str">
        <f>VLOOKUP(B2109,辅助信息!E:M,9,FALSE)</f>
        <v>ZTWM-CDGS-XS-2025-0033-中铁武汉电气化局集团有限公司成达万高速铁路强电工程项目</v>
      </c>
      <c r="R2109" s="22" t="str">
        <f>_xlfn._xlws.FILTER(辅助信息!D:D,辅助信息!E:E=B2109)</f>
        <v>武汉电气化局成达万高铁强电项目</v>
      </c>
    </row>
    <row r="2110" hidden="1" spans="2:18">
      <c r="B2110" s="113" t="s">
        <v>176</v>
      </c>
      <c r="C2110" s="63">
        <v>45845</v>
      </c>
      <c r="D2110" s="113" t="str">
        <f>VLOOKUP(B2110,辅助信息!E:K,7,FALSE)</f>
        <v>JWDDCD2025062200016</v>
      </c>
      <c r="E2110" s="113" t="str">
        <f>VLOOKUP(F2110,辅助信息!A:B,2,FALSE)</f>
        <v>盘螺</v>
      </c>
      <c r="F2110" s="113" t="s">
        <v>40</v>
      </c>
      <c r="G2110" s="114">
        <v>35</v>
      </c>
      <c r="H2110" s="127">
        <f>_xlfn.XLOOKUP(C2110&amp;F2110&amp;I2110&amp;J2110,'[1]2025年已发货'!$F:$F&amp;'[1]2025年已发货'!$C:$C&amp;'[1]2025年已发货'!$G:$G&amp;'[1]2025年已发货'!$H:$H,'[1]2025年已发货'!$E:$E,"未发货")</f>
        <v>36</v>
      </c>
      <c r="I2110" s="113" t="str">
        <f>VLOOKUP(B2110,辅助信息!E:I,3,FALSE)</f>
        <v>(武汉电气化局成达万高铁强电项目-渠县)四川省达州市渠县渠北镇雷家湾渠县北站旁</v>
      </c>
      <c r="J2110" s="113" t="str">
        <f>VLOOKUP(B2110,辅助信息!E:I,4,FALSE)</f>
        <v>刘频</v>
      </c>
      <c r="K2110" s="113">
        <f>VLOOKUP(J2110,辅助信息!H:I,2,FALSE)</f>
        <v>18779627939</v>
      </c>
      <c r="L2110" s="115" t="str">
        <f>VLOOKUP(B2110,辅助信息!E:J,6,FALSE)</f>
        <v>锈货不收！！下雨天钢筋没盖篷布不收！！，装货前联系收货人核实到场规格,没提前告知进场规格现场不给予接收</v>
      </c>
      <c r="M2110" s="84">
        <v>45845</v>
      </c>
      <c r="O2110" s="55">
        <f ca="1" t="shared" si="143"/>
        <v>0</v>
      </c>
      <c r="P2110" s="55">
        <f ca="1" t="shared" si="144"/>
        <v>112</v>
      </c>
      <c r="Q2110" s="22" t="str">
        <f>VLOOKUP(B2110,辅助信息!E:M,9,FALSE)</f>
        <v>ZTWM-CDGS-XS-2025-0033-中铁武汉电气化局集团有限公司成达万高速铁路强电工程项目</v>
      </c>
      <c r="R2110" s="22" t="str">
        <f>_xlfn._xlws.FILTER(辅助信息!D:D,辅助信息!E:E=B2110)</f>
        <v>武汉电气化局成达万高铁强电项目</v>
      </c>
    </row>
    <row r="2111" hidden="1" spans="2:18">
      <c r="B2111" s="113" t="s">
        <v>176</v>
      </c>
      <c r="C2111" s="63">
        <v>45845</v>
      </c>
      <c r="D2111" s="113" t="str">
        <f>VLOOKUP(B2111,辅助信息!E:K,7,FALSE)</f>
        <v>JWDDCD2025062200016</v>
      </c>
      <c r="E2111" s="113" t="str">
        <f>VLOOKUP(F2111,辅助信息!A:B,2,FALSE)</f>
        <v>盘螺</v>
      </c>
      <c r="F2111" s="113" t="s">
        <v>41</v>
      </c>
      <c r="G2111" s="114">
        <v>30</v>
      </c>
      <c r="H2111" s="127">
        <f>_xlfn.XLOOKUP(C2111&amp;F2111&amp;I2111&amp;J2111,'[1]2025年已发货'!$F:$F&amp;'[1]2025年已发货'!$C:$C&amp;'[1]2025年已发货'!$G:$G&amp;'[1]2025年已发货'!$H:$H,'[1]2025年已发货'!$E:$E,"未发货")</f>
        <v>30</v>
      </c>
      <c r="I2111" s="113" t="str">
        <f>VLOOKUP(B2111,辅助信息!E:I,3,FALSE)</f>
        <v>(武汉电气化局成达万高铁强电项目-渠县)四川省达州市渠县渠北镇雷家湾渠县北站旁</v>
      </c>
      <c r="J2111" s="113" t="str">
        <f>VLOOKUP(B2111,辅助信息!E:I,4,FALSE)</f>
        <v>刘频</v>
      </c>
      <c r="K2111" s="113">
        <f>VLOOKUP(J2111,辅助信息!H:I,2,FALSE)</f>
        <v>18779627939</v>
      </c>
      <c r="L2111" s="115" t="str">
        <f>VLOOKUP(B2111,辅助信息!E:J,6,FALSE)</f>
        <v>锈货不收！！下雨天钢筋没盖篷布不收！！，装货前联系收货人核实到场规格,没提前告知进场规格现场不给予接收</v>
      </c>
      <c r="M2111" s="84">
        <v>45845</v>
      </c>
      <c r="O2111" s="55">
        <f ca="1" t="shared" si="143"/>
        <v>0</v>
      </c>
      <c r="P2111" s="55">
        <f ca="1" t="shared" si="144"/>
        <v>112</v>
      </c>
      <c r="Q2111" s="22" t="str">
        <f>VLOOKUP(B2111,辅助信息!E:M,9,FALSE)</f>
        <v>ZTWM-CDGS-XS-2025-0033-中铁武汉电气化局集团有限公司成达万高速铁路强电工程项目</v>
      </c>
      <c r="R2111" s="22" t="str">
        <f>_xlfn._xlws.FILTER(辅助信息!D:D,辅助信息!E:E=B2111)</f>
        <v>武汉电气化局成达万高铁强电项目</v>
      </c>
    </row>
    <row r="2112" hidden="1" spans="2:18">
      <c r="B2112" s="113" t="s">
        <v>176</v>
      </c>
      <c r="C2112" s="63">
        <v>45845</v>
      </c>
      <c r="D2112" s="113" t="str">
        <f>VLOOKUP(B2112,辅助信息!E:K,7,FALSE)</f>
        <v>JWDDCD2025062200016</v>
      </c>
      <c r="E2112" s="113" t="str">
        <f>VLOOKUP(F2112,辅助信息!A:B,2,FALSE)</f>
        <v>螺纹钢</v>
      </c>
      <c r="F2112" s="113" t="s">
        <v>27</v>
      </c>
      <c r="G2112" s="114">
        <v>47</v>
      </c>
      <c r="H2112" s="127">
        <f>_xlfn.XLOOKUP(C2112&amp;F2112&amp;I2112&amp;J2112,'[1]2025年已发货'!$F:$F&amp;'[1]2025年已发货'!$C:$C&amp;'[1]2025年已发货'!$G:$G&amp;'[1]2025年已发货'!$H:$H,'[1]2025年已发货'!$E:$E,"未发货")</f>
        <v>24</v>
      </c>
      <c r="I2112" s="113" t="str">
        <f>VLOOKUP(B2112,辅助信息!E:I,3,FALSE)</f>
        <v>(武汉电气化局成达万高铁强电项目-渠县)四川省达州市渠县渠北镇雷家湾渠县北站旁</v>
      </c>
      <c r="J2112" s="113" t="str">
        <f>VLOOKUP(B2112,辅助信息!E:I,4,FALSE)</f>
        <v>刘频</v>
      </c>
      <c r="K2112" s="113">
        <f>VLOOKUP(J2112,辅助信息!H:I,2,FALSE)</f>
        <v>18779627939</v>
      </c>
      <c r="L2112" s="115" t="str">
        <f>VLOOKUP(B2112,辅助信息!E:J,6,FALSE)</f>
        <v>锈货不收！！下雨天钢筋没盖篷布不收！！，装货前联系收货人核实到场规格,没提前告知进场规格现场不给予接收</v>
      </c>
      <c r="M2112" s="84">
        <v>45845</v>
      </c>
      <c r="O2112" s="55">
        <f ca="1" t="shared" si="143"/>
        <v>0</v>
      </c>
      <c r="P2112" s="55">
        <f ca="1" t="shared" si="144"/>
        <v>112</v>
      </c>
      <c r="Q2112" s="22" t="str">
        <f>VLOOKUP(B2112,辅助信息!E:M,9,FALSE)</f>
        <v>ZTWM-CDGS-XS-2025-0033-中铁武汉电气化局集团有限公司成达万高速铁路强电工程项目</v>
      </c>
      <c r="R2112" s="22" t="str">
        <f>_xlfn._xlws.FILTER(辅助信息!D:D,辅助信息!E:E=B2112)</f>
        <v>武汉电气化局成达万高铁强电项目</v>
      </c>
    </row>
    <row r="2113" hidden="1" spans="2:18">
      <c r="B2113" s="113" t="s">
        <v>176</v>
      </c>
      <c r="C2113" s="63">
        <v>45845</v>
      </c>
      <c r="D2113" s="113" t="str">
        <f>VLOOKUP(B2113,辅助信息!E:K,7,FALSE)</f>
        <v>JWDDCD2025062200016</v>
      </c>
      <c r="E2113" s="113" t="str">
        <f>VLOOKUP(F2113,辅助信息!A:B,2,FALSE)</f>
        <v>螺纹钢</v>
      </c>
      <c r="F2113" s="113" t="s">
        <v>19</v>
      </c>
      <c r="G2113" s="114">
        <v>25</v>
      </c>
      <c r="H2113" s="127">
        <f>_xlfn.XLOOKUP(C2113&amp;F2113&amp;I2113&amp;J2113,'[1]2025年已发货'!$F:$F&amp;'[1]2025年已发货'!$C:$C&amp;'[1]2025年已发货'!$G:$G&amp;'[1]2025年已发货'!$H:$H,'[1]2025年已发货'!$E:$E,"未发货")</f>
        <v>24</v>
      </c>
      <c r="I2113" s="113" t="str">
        <f>VLOOKUP(B2113,辅助信息!E:I,3,FALSE)</f>
        <v>(武汉电气化局成达万高铁强电项目-渠县)四川省达州市渠县渠北镇雷家湾渠县北站旁</v>
      </c>
      <c r="J2113" s="113" t="str">
        <f>VLOOKUP(B2113,辅助信息!E:I,4,FALSE)</f>
        <v>刘频</v>
      </c>
      <c r="K2113" s="113">
        <f>VLOOKUP(J2113,辅助信息!H:I,2,FALSE)</f>
        <v>18779627939</v>
      </c>
      <c r="L2113" s="115" t="str">
        <f>VLOOKUP(B2113,辅助信息!E:J,6,FALSE)</f>
        <v>锈货不收！！下雨天钢筋没盖篷布不收！！，装货前联系收货人核实到场规格,没提前告知进场规格现场不给予接收</v>
      </c>
      <c r="M2113" s="84">
        <v>45845</v>
      </c>
      <c r="O2113" s="55">
        <f ca="1" t="shared" si="143"/>
        <v>0</v>
      </c>
      <c r="P2113" s="55">
        <f ca="1" t="shared" si="144"/>
        <v>112</v>
      </c>
      <c r="Q2113" s="22" t="str">
        <f>VLOOKUP(B2113,辅助信息!E:M,9,FALSE)</f>
        <v>ZTWM-CDGS-XS-2025-0033-中铁武汉电气化局集团有限公司成达万高速铁路强电工程项目</v>
      </c>
      <c r="R2113" s="22" t="str">
        <f>_xlfn._xlws.FILTER(辅助信息!D:D,辅助信息!E:E=B2113)</f>
        <v>武汉电气化局成达万高铁强电项目</v>
      </c>
    </row>
    <row r="2114" hidden="1" spans="2:18">
      <c r="B2114" s="113" t="s">
        <v>176</v>
      </c>
      <c r="C2114" s="63">
        <v>45845</v>
      </c>
      <c r="D2114" s="113" t="str">
        <f>VLOOKUP(B2114,辅助信息!E:K,7,FALSE)</f>
        <v>JWDDCD2025062200016</v>
      </c>
      <c r="E2114" s="113" t="str">
        <f>VLOOKUP(F2114,辅助信息!A:B,2,FALSE)</f>
        <v>螺纹钢</v>
      </c>
      <c r="F2114" s="113" t="s">
        <v>32</v>
      </c>
      <c r="G2114" s="114">
        <v>6</v>
      </c>
      <c r="H2114" s="127">
        <f>_xlfn.XLOOKUP(C2114&amp;F2114&amp;I2114&amp;J2114,'[1]2025年已发货'!$F:$F&amp;'[1]2025年已发货'!$C:$C&amp;'[1]2025年已发货'!$G:$G&amp;'[1]2025年已发货'!$H:$H,'[1]2025年已发货'!$E:$E,"未发货")</f>
        <v>6</v>
      </c>
      <c r="I2114" s="113" t="str">
        <f>VLOOKUP(B2114,辅助信息!E:I,3,FALSE)</f>
        <v>(武汉电气化局成达万高铁强电项目-渠县)四川省达州市渠县渠北镇雷家湾渠县北站旁</v>
      </c>
      <c r="J2114" s="113" t="str">
        <f>VLOOKUP(B2114,辅助信息!E:I,4,FALSE)</f>
        <v>刘频</v>
      </c>
      <c r="K2114" s="113">
        <f>VLOOKUP(J2114,辅助信息!H:I,2,FALSE)</f>
        <v>18779627939</v>
      </c>
      <c r="L2114" s="115" t="str">
        <f>VLOOKUP(B2114,辅助信息!E:J,6,FALSE)</f>
        <v>锈货不收！！下雨天钢筋没盖篷布不收！！，装货前联系收货人核实到场规格,没提前告知进场规格现场不给予接收</v>
      </c>
      <c r="M2114" s="84">
        <v>45845</v>
      </c>
      <c r="O2114" s="55">
        <f ca="1" t="shared" si="143"/>
        <v>0</v>
      </c>
      <c r="P2114" s="55">
        <f ca="1" t="shared" si="144"/>
        <v>112</v>
      </c>
      <c r="Q2114" s="22" t="str">
        <f>VLOOKUP(B2114,辅助信息!E:M,9,FALSE)</f>
        <v>ZTWM-CDGS-XS-2025-0033-中铁武汉电气化局集团有限公司成达万高速铁路强电工程项目</v>
      </c>
      <c r="R2114" s="22" t="str">
        <f>_xlfn._xlws.FILTER(辅助信息!D:D,辅助信息!E:E=B2114)</f>
        <v>武汉电气化局成达万高铁强电项目</v>
      </c>
    </row>
    <row r="2115" hidden="1" spans="2:18">
      <c r="B2115" s="113" t="s">
        <v>176</v>
      </c>
      <c r="C2115" s="63">
        <v>45845</v>
      </c>
      <c r="D2115" s="113" t="str">
        <f>VLOOKUP(B2115,辅助信息!E:K,7,FALSE)</f>
        <v>JWDDCD2025062200016</v>
      </c>
      <c r="E2115" s="113" t="str">
        <f>VLOOKUP(F2115,辅助信息!A:B,2,FALSE)</f>
        <v>螺纹钢</v>
      </c>
      <c r="F2115" s="113" t="s">
        <v>30</v>
      </c>
      <c r="G2115" s="114">
        <v>38</v>
      </c>
      <c r="H2115" s="127">
        <f>_xlfn.XLOOKUP(C2115&amp;F2115&amp;I2115&amp;J2115,'[1]2025年已发货'!$F:$F&amp;'[1]2025年已发货'!$C:$C&amp;'[1]2025年已发货'!$G:$G&amp;'[1]2025年已发货'!$H:$H,'[1]2025年已发货'!$E:$E,"未发货")</f>
        <v>36</v>
      </c>
      <c r="I2115" s="113" t="str">
        <f>VLOOKUP(B2115,辅助信息!E:I,3,FALSE)</f>
        <v>(武汉电气化局成达万高铁强电项目-渠县)四川省达州市渠县渠北镇雷家湾渠县北站旁</v>
      </c>
      <c r="J2115" s="113" t="str">
        <f>VLOOKUP(B2115,辅助信息!E:I,4,FALSE)</f>
        <v>刘频</v>
      </c>
      <c r="K2115" s="113">
        <f>VLOOKUP(J2115,辅助信息!H:I,2,FALSE)</f>
        <v>18779627939</v>
      </c>
      <c r="L2115" s="115" t="str">
        <f>VLOOKUP(B2115,辅助信息!E:J,6,FALSE)</f>
        <v>锈货不收！！下雨天钢筋没盖篷布不收！！，装货前联系收货人核实到场规格,没提前告知进场规格现场不给予接收</v>
      </c>
      <c r="M2115" s="84">
        <v>45845</v>
      </c>
      <c r="O2115" s="55">
        <f ca="1" t="shared" si="143"/>
        <v>0</v>
      </c>
      <c r="P2115" s="55">
        <f ca="1" t="shared" si="144"/>
        <v>112</v>
      </c>
      <c r="Q2115" s="22" t="str">
        <f>VLOOKUP(B2115,辅助信息!E:M,9,FALSE)</f>
        <v>ZTWM-CDGS-XS-2025-0033-中铁武汉电气化局集团有限公司成达万高速铁路强电工程项目</v>
      </c>
      <c r="R2115" s="22" t="str">
        <f>_xlfn._xlws.FILTER(辅助信息!D:D,辅助信息!E:E=B2115)</f>
        <v>武汉电气化局成达万高铁强电项目</v>
      </c>
    </row>
    <row r="2116" hidden="1" spans="2:18">
      <c r="B2116" s="113" t="s">
        <v>176</v>
      </c>
      <c r="C2116" s="63">
        <v>45845</v>
      </c>
      <c r="D2116" s="113" t="str">
        <f>VLOOKUP(B2116,辅助信息!E:K,7,FALSE)</f>
        <v>JWDDCD2025062200016</v>
      </c>
      <c r="E2116" s="113" t="str">
        <f>VLOOKUP(F2116,辅助信息!A:B,2,FALSE)</f>
        <v>螺纹钢</v>
      </c>
      <c r="F2116" s="113" t="s">
        <v>33</v>
      </c>
      <c r="G2116" s="114">
        <v>34</v>
      </c>
      <c r="H2116" s="127">
        <f>_xlfn.XLOOKUP(C2116&amp;F2116&amp;I2116&amp;J2116,'[1]2025年已发货'!$F:$F&amp;'[1]2025年已发货'!$C:$C&amp;'[1]2025年已发货'!$G:$G&amp;'[1]2025年已发货'!$H:$H,'[1]2025年已发货'!$E:$E,"未发货")</f>
        <v>33</v>
      </c>
      <c r="I2116" s="113" t="str">
        <f>VLOOKUP(B2116,辅助信息!E:I,3,FALSE)</f>
        <v>(武汉电气化局成达万高铁强电项目-渠县)四川省达州市渠县渠北镇雷家湾渠县北站旁</v>
      </c>
      <c r="J2116" s="113" t="str">
        <f>VLOOKUP(B2116,辅助信息!E:I,4,FALSE)</f>
        <v>刘频</v>
      </c>
      <c r="K2116" s="113">
        <f>VLOOKUP(J2116,辅助信息!H:I,2,FALSE)</f>
        <v>18779627939</v>
      </c>
      <c r="L2116" s="115" t="str">
        <f>VLOOKUP(B2116,辅助信息!E:J,6,FALSE)</f>
        <v>锈货不收！！下雨天钢筋没盖篷布不收！！，装货前联系收货人核实到场规格,没提前告知进场规格现场不给予接收</v>
      </c>
      <c r="M2116" s="84">
        <v>45845</v>
      </c>
      <c r="O2116" s="55">
        <f ca="1" t="shared" si="143"/>
        <v>0</v>
      </c>
      <c r="P2116" s="55">
        <f ca="1" t="shared" si="144"/>
        <v>112</v>
      </c>
      <c r="Q2116" s="22" t="str">
        <f>VLOOKUP(B2116,辅助信息!E:M,9,FALSE)</f>
        <v>ZTWM-CDGS-XS-2025-0033-中铁武汉电气化局集团有限公司成达万高速铁路强电工程项目</v>
      </c>
      <c r="R2116" s="22" t="str">
        <f>_xlfn._xlws.FILTER(辅助信息!D:D,辅助信息!E:E=B2116)</f>
        <v>武汉电气化局成达万高铁强电项目</v>
      </c>
    </row>
    <row r="2117" hidden="1" spans="2:18">
      <c r="B2117" s="113" t="s">
        <v>176</v>
      </c>
      <c r="C2117" s="63">
        <v>45845</v>
      </c>
      <c r="D2117" s="113" t="str">
        <f>VLOOKUP(B2117,辅助信息!E:K,7,FALSE)</f>
        <v>JWDDCD2025062200016</v>
      </c>
      <c r="E2117" s="113" t="str">
        <f>VLOOKUP(F2117,辅助信息!A:B,2,FALSE)</f>
        <v>螺纹钢</v>
      </c>
      <c r="F2117" s="113" t="s">
        <v>28</v>
      </c>
      <c r="G2117" s="114">
        <v>7</v>
      </c>
      <c r="H2117" s="127">
        <f>_xlfn.XLOOKUP(C2117&amp;F2117&amp;I2117&amp;J2117,'[1]2025年已发货'!$F:$F&amp;'[1]2025年已发货'!$C:$C&amp;'[1]2025年已发货'!$G:$G&amp;'[1]2025年已发货'!$H:$H,'[1]2025年已发货'!$E:$E,"未发货")</f>
        <v>3</v>
      </c>
      <c r="I2117" s="113" t="str">
        <f>VLOOKUP(B2117,辅助信息!E:I,3,FALSE)</f>
        <v>(武汉电气化局成达万高铁强电项目-渠县)四川省达州市渠县渠北镇雷家湾渠县北站旁</v>
      </c>
      <c r="J2117" s="113" t="str">
        <f>VLOOKUP(B2117,辅助信息!E:I,4,FALSE)</f>
        <v>刘频</v>
      </c>
      <c r="K2117" s="113">
        <f>VLOOKUP(J2117,辅助信息!H:I,2,FALSE)</f>
        <v>18779627939</v>
      </c>
      <c r="L2117" s="115" t="str">
        <f>VLOOKUP(B2117,辅助信息!E:J,6,FALSE)</f>
        <v>锈货不收！！下雨天钢筋没盖篷布不收！！，装货前联系收货人核实到场规格,没提前告知进场规格现场不给予接收</v>
      </c>
      <c r="M2117" s="84">
        <v>45845</v>
      </c>
      <c r="O2117" s="55">
        <f ca="1" t="shared" si="143"/>
        <v>0</v>
      </c>
      <c r="P2117" s="55">
        <f ca="1" t="shared" si="144"/>
        <v>112</v>
      </c>
      <c r="Q2117" s="22" t="str">
        <f>VLOOKUP(B2117,辅助信息!E:M,9,FALSE)</f>
        <v>ZTWM-CDGS-XS-2025-0033-中铁武汉电气化局集团有限公司成达万高速铁路强电工程项目</v>
      </c>
      <c r="R2117" s="22" t="str">
        <f>_xlfn._xlws.FILTER(辅助信息!D:D,辅助信息!E:E=B2117)</f>
        <v>武汉电气化局成达万高铁强电项目</v>
      </c>
    </row>
    <row r="2118" hidden="1" spans="2:18">
      <c r="B2118" s="113" t="s">
        <v>176</v>
      </c>
      <c r="C2118" s="63">
        <v>45845</v>
      </c>
      <c r="D2118" s="113" t="str">
        <f>VLOOKUP(B2118,辅助信息!E:K,7,FALSE)</f>
        <v>JWDDCD2025062200016</v>
      </c>
      <c r="E2118" s="113" t="str">
        <f>VLOOKUP(F2118,辅助信息!A:B,2,FALSE)</f>
        <v>螺纹钢</v>
      </c>
      <c r="F2118" s="113" t="s">
        <v>18</v>
      </c>
      <c r="G2118" s="114">
        <v>38</v>
      </c>
      <c r="H2118" s="127" t="str">
        <f>_xlfn.XLOOKUP(C2118&amp;F2118&amp;I2118&amp;J2118,'[1]2025年已发货'!$F:$F&amp;'[1]2025年已发货'!$C:$C&amp;'[1]2025年已发货'!$G:$G&amp;'[1]2025年已发货'!$H:$H,'[1]2025年已发货'!$E:$E,"未发货")</f>
        <v>未发货</v>
      </c>
      <c r="I2118" s="113" t="str">
        <f>VLOOKUP(B2118,辅助信息!E:I,3,FALSE)</f>
        <v>(武汉电气化局成达万高铁强电项目-渠县)四川省达州市渠县渠北镇雷家湾渠县北站旁</v>
      </c>
      <c r="J2118" s="113" t="str">
        <f>VLOOKUP(B2118,辅助信息!E:I,4,FALSE)</f>
        <v>刘频</v>
      </c>
      <c r="K2118" s="113">
        <f>VLOOKUP(J2118,辅助信息!H:I,2,FALSE)</f>
        <v>18779627939</v>
      </c>
      <c r="L2118" s="115" t="str">
        <f>VLOOKUP(B2118,辅助信息!E:J,6,FALSE)</f>
        <v>锈货不收！！下雨天钢筋没盖篷布不收！！，装货前联系收货人核实到场规格,没提前告知进场规格现场不给予接收</v>
      </c>
      <c r="M2118" s="84">
        <v>45845</v>
      </c>
      <c r="O2118" s="55">
        <f ca="1" t="shared" si="143"/>
        <v>0</v>
      </c>
      <c r="P2118" s="55">
        <f ca="1" t="shared" si="144"/>
        <v>112</v>
      </c>
      <c r="Q2118" s="22" t="str">
        <f>VLOOKUP(B2118,辅助信息!E:M,9,FALSE)</f>
        <v>ZTWM-CDGS-XS-2025-0033-中铁武汉电气化局集团有限公司成达万高速铁路强电工程项目</v>
      </c>
      <c r="R2118" s="22" t="str">
        <f>_xlfn._xlws.FILTER(辅助信息!D:D,辅助信息!E:E=B2118)</f>
        <v>武汉电气化局成达万高铁强电项目</v>
      </c>
    </row>
    <row r="2119" hidden="1" spans="2:18">
      <c r="B2119" s="113" t="s">
        <v>176</v>
      </c>
      <c r="C2119" s="63">
        <v>45845</v>
      </c>
      <c r="D2119" s="113" t="str">
        <f>VLOOKUP(B2119,辅助信息!E:K,7,FALSE)</f>
        <v>JWDDCD2025062200016</v>
      </c>
      <c r="E2119" s="113" t="str">
        <f>VLOOKUP(F2119,辅助信息!A:B,2,FALSE)</f>
        <v>螺纹钢</v>
      </c>
      <c r="F2119" s="113" t="s">
        <v>111</v>
      </c>
      <c r="G2119" s="114">
        <v>5</v>
      </c>
      <c r="H2119" s="127">
        <f>_xlfn.XLOOKUP(C2119&amp;F2119&amp;I2119&amp;J2119,'[1]2025年已发货'!$F:$F&amp;'[1]2025年已发货'!$C:$C&amp;'[1]2025年已发货'!$G:$G&amp;'[1]2025年已发货'!$H:$H,'[1]2025年已发货'!$E:$E,"未发货")</f>
        <v>6</v>
      </c>
      <c r="I2119" s="113" t="str">
        <f>VLOOKUP(B2119,辅助信息!E:I,3,FALSE)</f>
        <v>(武汉电气化局成达万高铁强电项目-渠县)四川省达州市渠县渠北镇雷家湾渠县北站旁</v>
      </c>
      <c r="J2119" s="113" t="str">
        <f>VLOOKUP(B2119,辅助信息!E:I,4,FALSE)</f>
        <v>刘频</v>
      </c>
      <c r="K2119" s="113">
        <f>VLOOKUP(J2119,辅助信息!H:I,2,FALSE)</f>
        <v>18779627939</v>
      </c>
      <c r="L2119" s="115" t="str">
        <f>VLOOKUP(B2119,辅助信息!E:J,6,FALSE)</f>
        <v>锈货不收！！下雨天钢筋没盖篷布不收！！，装货前联系收货人核实到场规格,没提前告知进场规格现场不给予接收</v>
      </c>
      <c r="M2119" s="84">
        <v>45845</v>
      </c>
      <c r="O2119" s="55">
        <f ca="1" t="shared" si="143"/>
        <v>0</v>
      </c>
      <c r="P2119" s="55">
        <f ca="1" t="shared" si="144"/>
        <v>112</v>
      </c>
      <c r="Q2119" s="22" t="str">
        <f>VLOOKUP(B2119,辅助信息!E:M,9,FALSE)</f>
        <v>ZTWM-CDGS-XS-2025-0033-中铁武汉电气化局集团有限公司成达万高速铁路强电工程项目</v>
      </c>
      <c r="R2119" s="22" t="str">
        <f>_xlfn._xlws.FILTER(辅助信息!D:D,辅助信息!E:E=B2119)</f>
        <v>武汉电气化局成达万高铁强电项目</v>
      </c>
    </row>
    <row r="2120" hidden="1" spans="2:18">
      <c r="B2120" s="113" t="s">
        <v>176</v>
      </c>
      <c r="C2120" s="63">
        <v>45845</v>
      </c>
      <c r="D2120" s="113" t="str">
        <f>VLOOKUP(B2120,辅助信息!E:K,7,FALSE)</f>
        <v>JWDDCD2025062200016</v>
      </c>
      <c r="E2120" s="113" t="str">
        <f>VLOOKUP(F2120,辅助信息!A:B,2,FALSE)</f>
        <v>螺纹钢</v>
      </c>
      <c r="F2120" s="113" t="s">
        <v>76</v>
      </c>
      <c r="G2120" s="114">
        <v>20</v>
      </c>
      <c r="H2120" s="127">
        <f>_xlfn.XLOOKUP(C2120&amp;F2120&amp;I2120&amp;J2120,'[1]2025年已发货'!$F:$F&amp;'[1]2025年已发货'!$C:$C&amp;'[1]2025年已发货'!$G:$G&amp;'[1]2025年已发货'!$H:$H,'[1]2025年已发货'!$E:$E,"未发货")</f>
        <v>18</v>
      </c>
      <c r="I2120" s="113" t="str">
        <f>VLOOKUP(B2120,辅助信息!E:I,3,FALSE)</f>
        <v>(武汉电气化局成达万高铁强电项目-渠县)四川省达州市渠县渠北镇雷家湾渠县北站旁</v>
      </c>
      <c r="J2120" s="113" t="str">
        <f>VLOOKUP(B2120,辅助信息!E:I,4,FALSE)</f>
        <v>刘频</v>
      </c>
      <c r="K2120" s="113">
        <f>VLOOKUP(J2120,辅助信息!H:I,2,FALSE)</f>
        <v>18779627939</v>
      </c>
      <c r="L2120" s="115" t="str">
        <f>VLOOKUP(B2120,辅助信息!E:J,6,FALSE)</f>
        <v>锈货不收！！下雨天钢筋没盖篷布不收！！，装货前联系收货人核实到场规格,没提前告知进场规格现场不给予接收</v>
      </c>
      <c r="M2120" s="84">
        <v>45845</v>
      </c>
      <c r="O2120" s="55">
        <f ca="1" t="shared" si="143"/>
        <v>0</v>
      </c>
      <c r="P2120" s="55">
        <f ca="1" t="shared" si="144"/>
        <v>112</v>
      </c>
      <c r="Q2120" s="22" t="str">
        <f>VLOOKUP(B2120,辅助信息!E:M,9,FALSE)</f>
        <v>ZTWM-CDGS-XS-2025-0033-中铁武汉电气化局集团有限公司成达万高速铁路强电工程项目</v>
      </c>
      <c r="R2120" s="22" t="str">
        <f>_xlfn._xlws.FILTER(辅助信息!D:D,辅助信息!E:E=B2120)</f>
        <v>武汉电气化局成达万高铁强电项目</v>
      </c>
    </row>
    <row r="2121" hidden="1" spans="2:18">
      <c r="B2121" s="113" t="s">
        <v>188</v>
      </c>
      <c r="C2121" s="63">
        <v>45845</v>
      </c>
      <c r="D2121" s="113" t="str">
        <f>VLOOKUP(B2121,辅助信息!E:K,7,FALSE)</f>
        <v>JWDDCD2025062200016</v>
      </c>
      <c r="E2121" s="113" t="str">
        <f>VLOOKUP(F2121,辅助信息!A:B,2,FALSE)</f>
        <v>盘螺</v>
      </c>
      <c r="F2121" s="113" t="s">
        <v>40</v>
      </c>
      <c r="G2121" s="114">
        <v>2.5</v>
      </c>
      <c r="H2121" s="127">
        <f>_xlfn.XLOOKUP(C2121&amp;F2121&amp;I2121&amp;J2121,'[1]2025年已发货'!$F:$F&amp;'[1]2025年已发货'!$C:$C&amp;'[1]2025年已发货'!$G:$G&amp;'[1]2025年已发货'!$H:$H,'[1]2025年已发货'!$E:$E,"未发货")</f>
        <v>2.5</v>
      </c>
      <c r="I2121" s="113" t="str">
        <f>VLOOKUP(B2121,辅助信息!E:I,3,FALSE)</f>
        <v>(武汉电气化局成达万高铁强电项目-达州主城区)四川省达州市达川区斌郎街道四川省达州市达川区洞洞湾256米</v>
      </c>
      <c r="J2121" s="113" t="str">
        <f>VLOOKUP(B2121,辅助信息!E:I,4,FALSE)</f>
        <v>余凡</v>
      </c>
      <c r="K2121" s="113">
        <f>VLOOKUP(J2121,辅助信息!H:I,2,FALSE)</f>
        <v>18228076992</v>
      </c>
      <c r="L2121" s="115" t="str">
        <f>VLOOKUP(B2121,辅助信息!E:J,6,FALSE)</f>
        <v>锈货不收！！下雨天钢筋没盖篷布不收！！，装货前联系收货人核实到场规格,没提前告知进场规格现场不给予接收</v>
      </c>
      <c r="M2121" s="84">
        <v>45845</v>
      </c>
      <c r="O2121" s="55">
        <f ca="1" t="shared" ref="O2121:O2142" si="145">IF(OR(M2121="",N2121&lt;&gt;""),"",MAX(M2121-TODAY(),0))</f>
        <v>0</v>
      </c>
      <c r="P2121" s="55">
        <f ca="1" t="shared" ref="P2121:P2142" si="146">IF(M2121="","",IF(N2121&lt;&gt;"",MAX(N2121-M2121,0),IF(TODAY()&gt;M2121,TODAY()-M2121,0)))</f>
        <v>112</v>
      </c>
      <c r="Q2121" s="22" t="str">
        <f>VLOOKUP(B2121,辅助信息!E:M,9,FALSE)</f>
        <v>ZTWM-CDGS-XS-2025-0033-中铁武汉电气化局集团有限公司成达万高速铁路强电工程项目</v>
      </c>
      <c r="R2121" s="22" t="str">
        <f>_xlfn._xlws.FILTER(辅助信息!D:D,辅助信息!E:E=B2121)</f>
        <v>武汉电气化局成达万高铁强电项目</v>
      </c>
    </row>
    <row r="2122" hidden="1" spans="2:18">
      <c r="B2122" s="113" t="s">
        <v>188</v>
      </c>
      <c r="C2122" s="63">
        <v>45845</v>
      </c>
      <c r="D2122" s="113" t="str">
        <f>VLOOKUP(B2122,辅助信息!E:K,7,FALSE)</f>
        <v>JWDDCD2025062200016</v>
      </c>
      <c r="E2122" s="113" t="str">
        <f>VLOOKUP(F2122,辅助信息!A:B,2,FALSE)</f>
        <v>盘螺</v>
      </c>
      <c r="F2122" s="113" t="s">
        <v>41</v>
      </c>
      <c r="G2122" s="114">
        <v>2.5</v>
      </c>
      <c r="H2122" s="127">
        <f>_xlfn.XLOOKUP(C2122&amp;F2122&amp;I2122&amp;J2122,'[1]2025年已发货'!$F:$F&amp;'[1]2025年已发货'!$C:$C&amp;'[1]2025年已发货'!$G:$G&amp;'[1]2025年已发货'!$H:$H,'[1]2025年已发货'!$E:$E,"未发货")</f>
        <v>2.5</v>
      </c>
      <c r="I2122" s="113" t="str">
        <f>VLOOKUP(B2122,辅助信息!E:I,3,FALSE)</f>
        <v>(武汉电气化局成达万高铁强电项目-达州主城区)四川省达州市达川区斌郎街道四川省达州市达川区洞洞湾256米</v>
      </c>
      <c r="J2122" s="113" t="str">
        <f>VLOOKUP(B2122,辅助信息!E:I,4,FALSE)</f>
        <v>余凡</v>
      </c>
      <c r="K2122" s="113">
        <f>VLOOKUP(J2122,辅助信息!H:I,2,FALSE)</f>
        <v>18228076992</v>
      </c>
      <c r="L2122" s="115" t="str">
        <f>VLOOKUP(B2122,辅助信息!E:J,6,FALSE)</f>
        <v>锈货不收！！下雨天钢筋没盖篷布不收！！，装货前联系收货人核实到场规格,没提前告知进场规格现场不给予接收</v>
      </c>
      <c r="M2122" s="84">
        <v>45845</v>
      </c>
      <c r="O2122" s="55">
        <f ca="1" t="shared" si="145"/>
        <v>0</v>
      </c>
      <c r="P2122" s="55">
        <f ca="1" t="shared" si="146"/>
        <v>112</v>
      </c>
      <c r="Q2122" s="22" t="str">
        <f>VLOOKUP(B2122,辅助信息!E:M,9,FALSE)</f>
        <v>ZTWM-CDGS-XS-2025-0033-中铁武汉电气化局集团有限公司成达万高速铁路强电工程项目</v>
      </c>
      <c r="R2122" s="22" t="str">
        <f>_xlfn._xlws.FILTER(辅助信息!D:D,辅助信息!E:E=B2122)</f>
        <v>武汉电气化局成达万高铁强电项目</v>
      </c>
    </row>
    <row r="2123" hidden="1" spans="2:18">
      <c r="B2123" s="113" t="s">
        <v>188</v>
      </c>
      <c r="C2123" s="63">
        <v>45845</v>
      </c>
      <c r="D2123" s="113" t="str">
        <f>VLOOKUP(B2123,辅助信息!E:K,7,FALSE)</f>
        <v>JWDDCD2025062200016</v>
      </c>
      <c r="E2123" s="113" t="str">
        <f>VLOOKUP(F2123,辅助信息!A:B,2,FALSE)</f>
        <v>螺纹钢</v>
      </c>
      <c r="F2123" s="113" t="s">
        <v>27</v>
      </c>
      <c r="G2123" s="114">
        <v>9</v>
      </c>
      <c r="H2123" s="127">
        <f>_xlfn.XLOOKUP(C2123&amp;F2123&amp;I2123&amp;J2123,'[1]2025年已发货'!$F:$F&amp;'[1]2025年已发货'!$C:$C&amp;'[1]2025年已发货'!$G:$G&amp;'[1]2025年已发货'!$H:$H,'[1]2025年已发货'!$E:$E,"未发货")</f>
        <v>9</v>
      </c>
      <c r="I2123" s="113" t="str">
        <f>VLOOKUP(B2123,辅助信息!E:I,3,FALSE)</f>
        <v>(武汉电气化局成达万高铁强电项目-达州主城区)四川省达州市达川区斌郎街道四川省达州市达川区洞洞湾256米</v>
      </c>
      <c r="J2123" s="113" t="str">
        <f>VLOOKUP(B2123,辅助信息!E:I,4,FALSE)</f>
        <v>余凡</v>
      </c>
      <c r="K2123" s="113">
        <f>VLOOKUP(J2123,辅助信息!H:I,2,FALSE)</f>
        <v>18228076992</v>
      </c>
      <c r="L2123" s="115" t="str">
        <f>VLOOKUP(B2123,辅助信息!E:J,6,FALSE)</f>
        <v>锈货不收！！下雨天钢筋没盖篷布不收！！，装货前联系收货人核实到场规格,没提前告知进场规格现场不给予接收</v>
      </c>
      <c r="M2123" s="84">
        <v>45845</v>
      </c>
      <c r="O2123" s="55">
        <f ca="1" t="shared" si="145"/>
        <v>0</v>
      </c>
      <c r="P2123" s="55">
        <f ca="1" t="shared" si="146"/>
        <v>112</v>
      </c>
      <c r="Q2123" s="22" t="str">
        <f>VLOOKUP(B2123,辅助信息!E:M,9,FALSE)</f>
        <v>ZTWM-CDGS-XS-2025-0033-中铁武汉电气化局集团有限公司成达万高速铁路强电工程项目</v>
      </c>
      <c r="R2123" s="22" t="str">
        <f>_xlfn._xlws.FILTER(辅助信息!D:D,辅助信息!E:E=B2123)</f>
        <v>武汉电气化局成达万高铁强电项目</v>
      </c>
    </row>
    <row r="2124" hidden="1" spans="2:18">
      <c r="B2124" s="113" t="s">
        <v>188</v>
      </c>
      <c r="C2124" s="63">
        <v>45845</v>
      </c>
      <c r="D2124" s="113" t="str">
        <f>VLOOKUP(B2124,辅助信息!E:K,7,FALSE)</f>
        <v>JWDDCD2025062200016</v>
      </c>
      <c r="E2124" s="113" t="str">
        <f>VLOOKUP(F2124,辅助信息!A:B,2,FALSE)</f>
        <v>螺纹钢</v>
      </c>
      <c r="F2124" s="113" t="s">
        <v>19</v>
      </c>
      <c r="G2124" s="114">
        <v>15</v>
      </c>
      <c r="H2124" s="127">
        <f>_xlfn.XLOOKUP(C2124&amp;F2124&amp;I2124&amp;J2124,'[1]2025年已发货'!$F:$F&amp;'[1]2025年已发货'!$C:$C&amp;'[1]2025年已发货'!$G:$G&amp;'[1]2025年已发货'!$H:$H,'[1]2025年已发货'!$E:$E,"未发货")</f>
        <v>15</v>
      </c>
      <c r="I2124" s="113" t="str">
        <f>VLOOKUP(B2124,辅助信息!E:I,3,FALSE)</f>
        <v>(武汉电气化局成达万高铁强电项目-达州主城区)四川省达州市达川区斌郎街道四川省达州市达川区洞洞湾256米</v>
      </c>
      <c r="J2124" s="113" t="str">
        <f>VLOOKUP(B2124,辅助信息!E:I,4,FALSE)</f>
        <v>余凡</v>
      </c>
      <c r="K2124" s="113">
        <f>VLOOKUP(J2124,辅助信息!H:I,2,FALSE)</f>
        <v>18228076992</v>
      </c>
      <c r="L2124" s="115" t="str">
        <f>VLOOKUP(B2124,辅助信息!E:J,6,FALSE)</f>
        <v>锈货不收！！下雨天钢筋没盖篷布不收！！，装货前联系收货人核实到场规格,没提前告知进场规格现场不给予接收</v>
      </c>
      <c r="M2124" s="84">
        <v>45845</v>
      </c>
      <c r="O2124" s="55">
        <f ca="1" t="shared" si="145"/>
        <v>0</v>
      </c>
      <c r="P2124" s="55">
        <f ca="1" t="shared" si="146"/>
        <v>112</v>
      </c>
      <c r="Q2124" s="22" t="str">
        <f>VLOOKUP(B2124,辅助信息!E:M,9,FALSE)</f>
        <v>ZTWM-CDGS-XS-2025-0033-中铁武汉电气化局集团有限公司成达万高速铁路强电工程项目</v>
      </c>
      <c r="R2124" s="22" t="str">
        <f>_xlfn._xlws.FILTER(辅助信息!D:D,辅助信息!E:E=B2124)</f>
        <v>武汉电气化局成达万高铁强电项目</v>
      </c>
    </row>
    <row r="2125" hidden="1" spans="2:18">
      <c r="B2125" s="113" t="s">
        <v>188</v>
      </c>
      <c r="C2125" s="63">
        <v>45845</v>
      </c>
      <c r="D2125" s="113" t="str">
        <f>VLOOKUP(B2125,辅助信息!E:K,7,FALSE)</f>
        <v>JWDDCD2025062200016</v>
      </c>
      <c r="E2125" s="113" t="str">
        <f>VLOOKUP(F2125,辅助信息!A:B,2,FALSE)</f>
        <v>螺纹钢</v>
      </c>
      <c r="F2125" s="113" t="s">
        <v>32</v>
      </c>
      <c r="G2125" s="114">
        <v>15</v>
      </c>
      <c r="H2125" s="127">
        <f>_xlfn.XLOOKUP(C2125&amp;F2125&amp;I2125&amp;J2125,'[1]2025年已发货'!$F:$F&amp;'[1]2025年已发货'!$C:$C&amp;'[1]2025年已发货'!$G:$G&amp;'[1]2025年已发货'!$H:$H,'[1]2025年已发货'!$E:$E,"未发货")</f>
        <v>15</v>
      </c>
      <c r="I2125" s="113" t="str">
        <f>VLOOKUP(B2125,辅助信息!E:I,3,FALSE)</f>
        <v>(武汉电气化局成达万高铁强电项目-达州主城区)四川省达州市达川区斌郎街道四川省达州市达川区洞洞湾256米</v>
      </c>
      <c r="J2125" s="113" t="str">
        <f>VLOOKUP(B2125,辅助信息!E:I,4,FALSE)</f>
        <v>余凡</v>
      </c>
      <c r="K2125" s="113">
        <f>VLOOKUP(J2125,辅助信息!H:I,2,FALSE)</f>
        <v>18228076992</v>
      </c>
      <c r="L2125" s="115" t="str">
        <f>VLOOKUP(B2125,辅助信息!E:J,6,FALSE)</f>
        <v>锈货不收！！下雨天钢筋没盖篷布不收！！，装货前联系收货人核实到场规格,没提前告知进场规格现场不给予接收</v>
      </c>
      <c r="M2125" s="84">
        <v>45845</v>
      </c>
      <c r="O2125" s="55">
        <f ca="1" t="shared" si="145"/>
        <v>0</v>
      </c>
      <c r="P2125" s="55">
        <f ca="1" t="shared" si="146"/>
        <v>112</v>
      </c>
      <c r="Q2125" s="22" t="str">
        <f>VLOOKUP(B2125,辅助信息!E:M,9,FALSE)</f>
        <v>ZTWM-CDGS-XS-2025-0033-中铁武汉电气化局集团有限公司成达万高速铁路强电工程项目</v>
      </c>
      <c r="R2125" s="22" t="str">
        <f>_xlfn._xlws.FILTER(辅助信息!D:D,辅助信息!E:E=B2125)</f>
        <v>武汉电气化局成达万高铁强电项目</v>
      </c>
    </row>
    <row r="2126" hidden="1" spans="2:18">
      <c r="B2126" s="113" t="s">
        <v>188</v>
      </c>
      <c r="C2126" s="63">
        <v>45845</v>
      </c>
      <c r="D2126" s="113" t="str">
        <f>VLOOKUP(B2126,辅助信息!E:K,7,FALSE)</f>
        <v>JWDDCD2025062200016</v>
      </c>
      <c r="E2126" s="113" t="str">
        <f>VLOOKUP(F2126,辅助信息!A:B,2,FALSE)</f>
        <v>螺纹钢</v>
      </c>
      <c r="F2126" s="113" t="s">
        <v>30</v>
      </c>
      <c r="G2126" s="114">
        <v>46</v>
      </c>
      <c r="H2126" s="127">
        <f>_xlfn.XLOOKUP(C2126&amp;F2126&amp;I2126&amp;J2126,'[1]2025年已发货'!$F:$F&amp;'[1]2025年已发货'!$C:$C&amp;'[1]2025年已发货'!$G:$G&amp;'[1]2025年已发货'!$H:$H,'[1]2025年已发货'!$E:$E,"未发货")</f>
        <v>45</v>
      </c>
      <c r="I2126" s="113" t="str">
        <f>VLOOKUP(B2126,辅助信息!E:I,3,FALSE)</f>
        <v>(武汉电气化局成达万高铁强电项目-达州主城区)四川省达州市达川区斌郎街道四川省达州市达川区洞洞湾256米</v>
      </c>
      <c r="J2126" s="113" t="str">
        <f>VLOOKUP(B2126,辅助信息!E:I,4,FALSE)</f>
        <v>余凡</v>
      </c>
      <c r="K2126" s="113">
        <f>VLOOKUP(J2126,辅助信息!H:I,2,FALSE)</f>
        <v>18228076992</v>
      </c>
      <c r="L2126" s="115" t="str">
        <f>VLOOKUP(B2126,辅助信息!E:J,6,FALSE)</f>
        <v>锈货不收！！下雨天钢筋没盖篷布不收！！，装货前联系收货人核实到场规格,没提前告知进场规格现场不给予接收</v>
      </c>
      <c r="M2126" s="84">
        <v>45845</v>
      </c>
      <c r="O2126" s="55">
        <f ca="1" t="shared" si="145"/>
        <v>0</v>
      </c>
      <c r="P2126" s="55">
        <f ca="1" t="shared" si="146"/>
        <v>112</v>
      </c>
      <c r="Q2126" s="22" t="str">
        <f>VLOOKUP(B2126,辅助信息!E:M,9,FALSE)</f>
        <v>ZTWM-CDGS-XS-2025-0033-中铁武汉电气化局集团有限公司成达万高速铁路强电工程项目</v>
      </c>
      <c r="R2126" s="22" t="str">
        <f>_xlfn._xlws.FILTER(辅助信息!D:D,辅助信息!E:E=B2126)</f>
        <v>武汉电气化局成达万高铁强电项目</v>
      </c>
    </row>
    <row r="2127" hidden="1" spans="2:18">
      <c r="B2127" s="113" t="s">
        <v>188</v>
      </c>
      <c r="C2127" s="63">
        <v>45845</v>
      </c>
      <c r="D2127" s="113" t="str">
        <f>VLOOKUP(B2127,辅助信息!E:K,7,FALSE)</f>
        <v>JWDDCD2025062200016</v>
      </c>
      <c r="E2127" s="113" t="str">
        <f>VLOOKUP(F2127,辅助信息!A:B,2,FALSE)</f>
        <v>螺纹钢</v>
      </c>
      <c r="F2127" s="113" t="s">
        <v>33</v>
      </c>
      <c r="G2127" s="114">
        <v>15</v>
      </c>
      <c r="H2127" s="127">
        <f>_xlfn.XLOOKUP(C2127&amp;F2127&amp;I2127&amp;J2127,'[1]2025年已发货'!$F:$F&amp;'[1]2025年已发货'!$C:$C&amp;'[1]2025年已发货'!$G:$G&amp;'[1]2025年已发货'!$H:$H,'[1]2025年已发货'!$E:$E,"未发货")</f>
        <v>15</v>
      </c>
      <c r="I2127" s="113" t="str">
        <f>VLOOKUP(B2127,辅助信息!E:I,3,FALSE)</f>
        <v>(武汉电气化局成达万高铁强电项目-达州主城区)四川省达州市达川区斌郎街道四川省达州市达川区洞洞湾256米</v>
      </c>
      <c r="J2127" s="113" t="str">
        <f>VLOOKUP(B2127,辅助信息!E:I,4,FALSE)</f>
        <v>余凡</v>
      </c>
      <c r="K2127" s="113">
        <f>VLOOKUP(J2127,辅助信息!H:I,2,FALSE)</f>
        <v>18228076992</v>
      </c>
      <c r="L2127" s="115" t="str">
        <f>VLOOKUP(B2127,辅助信息!E:J,6,FALSE)</f>
        <v>锈货不收！！下雨天钢筋没盖篷布不收！！，装货前联系收货人核实到场规格,没提前告知进场规格现场不给予接收</v>
      </c>
      <c r="M2127" s="84">
        <v>45845</v>
      </c>
      <c r="O2127" s="55">
        <f ca="1" t="shared" si="145"/>
        <v>0</v>
      </c>
      <c r="P2127" s="55">
        <f ca="1" t="shared" si="146"/>
        <v>112</v>
      </c>
      <c r="Q2127" s="22" t="str">
        <f>VLOOKUP(B2127,辅助信息!E:M,9,FALSE)</f>
        <v>ZTWM-CDGS-XS-2025-0033-中铁武汉电气化局集团有限公司成达万高速铁路强电工程项目</v>
      </c>
      <c r="R2127" s="22" t="str">
        <f>_xlfn._xlws.FILTER(辅助信息!D:D,辅助信息!E:E=B2127)</f>
        <v>武汉电气化局成达万高铁强电项目</v>
      </c>
    </row>
    <row r="2128" hidden="1" spans="2:18">
      <c r="B2128" s="113" t="s">
        <v>188</v>
      </c>
      <c r="C2128" s="63">
        <v>45845</v>
      </c>
      <c r="D2128" s="113" t="str">
        <f>VLOOKUP(B2128,辅助信息!E:K,7,FALSE)</f>
        <v>JWDDCD2025062200016</v>
      </c>
      <c r="E2128" s="113" t="str">
        <f>VLOOKUP(F2128,辅助信息!A:B,2,FALSE)</f>
        <v>螺纹钢</v>
      </c>
      <c r="F2128" s="113" t="s">
        <v>18</v>
      </c>
      <c r="G2128" s="114">
        <v>6</v>
      </c>
      <c r="H2128" s="127" t="str">
        <f>_xlfn.XLOOKUP(C2128&amp;F2128&amp;I2128&amp;J2128,'[1]2025年已发货'!$F:$F&amp;'[1]2025年已发货'!$C:$C&amp;'[1]2025年已发货'!$G:$G&amp;'[1]2025年已发货'!$H:$H,'[1]2025年已发货'!$E:$E,"未发货")</f>
        <v>未发货</v>
      </c>
      <c r="I2128" s="113" t="str">
        <f>VLOOKUP(B2128,辅助信息!E:I,3,FALSE)</f>
        <v>(武汉电气化局成达万高铁强电项目-达州主城区)四川省达州市达川区斌郎街道四川省达州市达川区洞洞湾256米</v>
      </c>
      <c r="J2128" s="113" t="str">
        <f>VLOOKUP(B2128,辅助信息!E:I,4,FALSE)</f>
        <v>余凡</v>
      </c>
      <c r="K2128" s="113">
        <f>VLOOKUP(J2128,辅助信息!H:I,2,FALSE)</f>
        <v>18228076992</v>
      </c>
      <c r="L2128" s="115" t="str">
        <f>VLOOKUP(B2128,辅助信息!E:J,6,FALSE)</f>
        <v>锈货不收！！下雨天钢筋没盖篷布不收！！，装货前联系收货人核实到场规格,没提前告知进场规格现场不给予接收</v>
      </c>
      <c r="M2128" s="84">
        <v>45845</v>
      </c>
      <c r="O2128" s="55">
        <f ca="1" t="shared" si="145"/>
        <v>0</v>
      </c>
      <c r="P2128" s="55">
        <f ca="1" t="shared" si="146"/>
        <v>112</v>
      </c>
      <c r="Q2128" s="22" t="str">
        <f>VLOOKUP(B2128,辅助信息!E:M,9,FALSE)</f>
        <v>ZTWM-CDGS-XS-2025-0033-中铁武汉电气化局集团有限公司成达万高速铁路强电工程项目</v>
      </c>
      <c r="R2128" s="22" t="str">
        <f>_xlfn._xlws.FILTER(辅助信息!D:D,辅助信息!E:E=B2128)</f>
        <v>武汉电气化局成达万高铁强电项目</v>
      </c>
    </row>
    <row r="2129" hidden="1" spans="2:18">
      <c r="B2129" s="113" t="s">
        <v>147</v>
      </c>
      <c r="C2129" s="63">
        <v>45845</v>
      </c>
      <c r="D2129" s="113" t="str">
        <f>VLOOKUP(B2129,辅助信息!E:K,7,FALSE)</f>
        <v>JWDDCD2025052800131</v>
      </c>
      <c r="E2129" s="113" t="str">
        <f>VLOOKUP(F2129,辅助信息!A:B,2,FALSE)</f>
        <v>螺纹钢</v>
      </c>
      <c r="F2129" s="113" t="s">
        <v>21</v>
      </c>
      <c r="G2129" s="114">
        <v>6</v>
      </c>
      <c r="H2129" s="127" t="str">
        <f>_xlfn.XLOOKUP(C2129&amp;F2129&amp;I2129&amp;J2129,'[1]2025年已发货'!$F:$F&amp;'[1]2025年已发货'!$C:$C&amp;'[1]2025年已发货'!$G:$G&amp;'[1]2025年已发货'!$H:$H,'[1]2025年已发货'!$E:$E,"未发货")</f>
        <v>未发货</v>
      </c>
      <c r="I2129" s="113" t="str">
        <f>VLOOKUP(B2129,辅助信息!E:I,3,FALSE)</f>
        <v>（商投建工达州中医药科技园-4工区-11号楼）达州市通川区达州中医药职业学院犀牛大道北段</v>
      </c>
      <c r="J2129" s="113" t="str">
        <f>VLOOKUP(B2129,辅助信息!E:I,4,FALSE)</f>
        <v>张扬</v>
      </c>
      <c r="K2129" s="113">
        <f>VLOOKUP(J2129,辅助信息!H:I,2,FALSE)</f>
        <v>18381904567</v>
      </c>
      <c r="L2129" s="115" t="str">
        <f>VLOOKUP(B2129,辅助信息!E:J,6,FALSE)</f>
        <v>控制炉批号！多了现场不收！,优先安排达钢,提前联系到场规格及数量</v>
      </c>
      <c r="M2129" s="84">
        <v>45845</v>
      </c>
      <c r="O2129" s="55">
        <f ca="1" t="shared" si="145"/>
        <v>0</v>
      </c>
      <c r="P2129" s="55">
        <f ca="1" t="shared" si="146"/>
        <v>112</v>
      </c>
      <c r="Q2129" s="22" t="str">
        <f>VLOOKUP(B2129,辅助信息!E:M,9,FALSE)</f>
        <v>ZTWM-CDGS-XS-2024-0134-商投建工达州中医药科技成果示范园项目</v>
      </c>
      <c r="R2129" s="22" t="str">
        <f>_xlfn._xlws.FILTER(辅助信息!D:D,辅助信息!E:E=B2129)</f>
        <v>商投建工达州中医药科技园</v>
      </c>
    </row>
    <row r="2130" hidden="1" spans="2:18">
      <c r="B2130" s="113" t="s">
        <v>147</v>
      </c>
      <c r="C2130" s="63">
        <v>45845</v>
      </c>
      <c r="D2130" s="113" t="str">
        <f>VLOOKUP(B2130,辅助信息!E:K,7,FALSE)</f>
        <v>JWDDCD2025052800131</v>
      </c>
      <c r="E2130" s="113" t="str">
        <f>VLOOKUP(F2130,辅助信息!A:B,2,FALSE)</f>
        <v>螺纹钢</v>
      </c>
      <c r="F2130" s="113" t="s">
        <v>58</v>
      </c>
      <c r="G2130" s="114">
        <v>6</v>
      </c>
      <c r="H2130" s="127" t="str">
        <f>_xlfn.XLOOKUP(C2130&amp;F2130&amp;I2130&amp;J2130,'[1]2025年已发货'!$F:$F&amp;'[1]2025年已发货'!$C:$C&amp;'[1]2025年已发货'!$G:$G&amp;'[1]2025年已发货'!$H:$H,'[1]2025年已发货'!$E:$E,"未发货")</f>
        <v>未发货</v>
      </c>
      <c r="I2130" s="113" t="str">
        <f>VLOOKUP(B2130,辅助信息!E:I,3,FALSE)</f>
        <v>（商投建工达州中医药科技园-4工区-11号楼）达州市通川区达州中医药职业学院犀牛大道北段</v>
      </c>
      <c r="J2130" s="113" t="str">
        <f>VLOOKUP(B2130,辅助信息!E:I,4,FALSE)</f>
        <v>张扬</v>
      </c>
      <c r="K2130" s="113">
        <f>VLOOKUP(J2130,辅助信息!H:I,2,FALSE)</f>
        <v>18381904567</v>
      </c>
      <c r="L2130" s="115" t="str">
        <f>VLOOKUP(B2130,辅助信息!E:J,6,FALSE)</f>
        <v>控制炉批号！多了现场不收！,优先安排达钢,提前联系到场规格及数量</v>
      </c>
      <c r="M2130" s="84">
        <v>45845</v>
      </c>
      <c r="O2130" s="55">
        <f ca="1" t="shared" si="145"/>
        <v>0</v>
      </c>
      <c r="P2130" s="55">
        <f ca="1" t="shared" si="146"/>
        <v>112</v>
      </c>
      <c r="Q2130" s="22" t="str">
        <f>VLOOKUP(B2130,辅助信息!E:M,9,FALSE)</f>
        <v>ZTWM-CDGS-XS-2024-0134-商投建工达州中医药科技成果示范园项目</v>
      </c>
      <c r="R2130" s="22" t="str">
        <f>_xlfn._xlws.FILTER(辅助信息!D:D,辅助信息!E:E=B2130)</f>
        <v>商投建工达州中医药科技园</v>
      </c>
    </row>
    <row r="2131" hidden="1" spans="2:18">
      <c r="B2131" s="113" t="s">
        <v>147</v>
      </c>
      <c r="C2131" s="63">
        <v>45845</v>
      </c>
      <c r="D2131" s="113" t="str">
        <f>VLOOKUP(B2131,辅助信息!E:K,7,FALSE)</f>
        <v>JWDDCD2025052800131</v>
      </c>
      <c r="E2131" s="113" t="str">
        <f>VLOOKUP(F2131,辅助信息!A:B,2,FALSE)</f>
        <v>螺纹钢</v>
      </c>
      <c r="F2131" s="113" t="s">
        <v>46</v>
      </c>
      <c r="G2131" s="114">
        <v>15</v>
      </c>
      <c r="H2131" s="127" t="str">
        <f>_xlfn.XLOOKUP(C2131&amp;F2131&amp;I2131&amp;J2131,'[1]2025年已发货'!$F:$F&amp;'[1]2025年已发货'!$C:$C&amp;'[1]2025年已发货'!$G:$G&amp;'[1]2025年已发货'!$H:$H,'[1]2025年已发货'!$E:$E,"未发货")</f>
        <v>未发货</v>
      </c>
      <c r="I2131" s="113" t="str">
        <f>VLOOKUP(B2131,辅助信息!E:I,3,FALSE)</f>
        <v>（商投建工达州中医药科技园-4工区-11号楼）达州市通川区达州中医药职业学院犀牛大道北段</v>
      </c>
      <c r="J2131" s="113" t="str">
        <f>VLOOKUP(B2131,辅助信息!E:I,4,FALSE)</f>
        <v>张扬</v>
      </c>
      <c r="K2131" s="113">
        <f>VLOOKUP(J2131,辅助信息!H:I,2,FALSE)</f>
        <v>18381904567</v>
      </c>
      <c r="L2131" s="115" t="str">
        <f>VLOOKUP(B2131,辅助信息!E:J,6,FALSE)</f>
        <v>控制炉批号！多了现场不收！,优先安排达钢,提前联系到场规格及数量</v>
      </c>
      <c r="M2131" s="84">
        <v>45845</v>
      </c>
      <c r="O2131" s="55">
        <f ca="1" t="shared" si="145"/>
        <v>0</v>
      </c>
      <c r="P2131" s="55">
        <f ca="1" t="shared" si="146"/>
        <v>112</v>
      </c>
      <c r="Q2131" s="22" t="str">
        <f>VLOOKUP(B2131,辅助信息!E:M,9,FALSE)</f>
        <v>ZTWM-CDGS-XS-2024-0134-商投建工达州中医药科技成果示范园项目</v>
      </c>
      <c r="R2131" s="22" t="str">
        <f>_xlfn._xlws.FILTER(辅助信息!D:D,辅助信息!E:E=B2131)</f>
        <v>商投建工达州中医药科技园</v>
      </c>
    </row>
    <row r="2132" hidden="1" spans="2:18">
      <c r="B2132" s="113" t="s">
        <v>147</v>
      </c>
      <c r="C2132" s="63">
        <v>45845</v>
      </c>
      <c r="D2132" s="113" t="str">
        <f>VLOOKUP(B2132,辅助信息!E:K,7,FALSE)</f>
        <v>JWDDCD2025052800131</v>
      </c>
      <c r="E2132" s="113" t="str">
        <f>VLOOKUP(F2132,辅助信息!A:B,2,FALSE)</f>
        <v>螺纹钢</v>
      </c>
      <c r="F2132" s="113" t="s">
        <v>22</v>
      </c>
      <c r="G2132" s="114">
        <v>9</v>
      </c>
      <c r="H2132" s="127" t="str">
        <f>_xlfn.XLOOKUP(C2132&amp;F2132&amp;I2132&amp;J2132,'[1]2025年已发货'!$F:$F&amp;'[1]2025年已发货'!$C:$C&amp;'[1]2025年已发货'!$G:$G&amp;'[1]2025年已发货'!$H:$H,'[1]2025年已发货'!$E:$E,"未发货")</f>
        <v>未发货</v>
      </c>
      <c r="I2132" s="113" t="str">
        <f>VLOOKUP(B2132,辅助信息!E:I,3,FALSE)</f>
        <v>（商投建工达州中医药科技园-4工区-11号楼）达州市通川区达州中医药职业学院犀牛大道北段</v>
      </c>
      <c r="J2132" s="113" t="str">
        <f>VLOOKUP(B2132,辅助信息!E:I,4,FALSE)</f>
        <v>张扬</v>
      </c>
      <c r="K2132" s="113">
        <f>VLOOKUP(J2132,辅助信息!H:I,2,FALSE)</f>
        <v>18381904567</v>
      </c>
      <c r="L2132" s="115" t="str">
        <f>VLOOKUP(B2132,辅助信息!E:J,6,FALSE)</f>
        <v>控制炉批号！多了现场不收！,优先安排达钢,提前联系到场规格及数量</v>
      </c>
      <c r="M2132" s="84">
        <v>45845</v>
      </c>
      <c r="O2132" s="55">
        <f ca="1" t="shared" si="145"/>
        <v>0</v>
      </c>
      <c r="P2132" s="55">
        <f ca="1" t="shared" si="146"/>
        <v>112</v>
      </c>
      <c r="Q2132" s="22" t="str">
        <f>VLOOKUP(B2132,辅助信息!E:M,9,FALSE)</f>
        <v>ZTWM-CDGS-XS-2024-0134-商投建工达州中医药科技成果示范园项目</v>
      </c>
      <c r="R2132" s="22" t="str">
        <f>_xlfn._xlws.FILTER(辅助信息!D:D,辅助信息!E:E=B2132)</f>
        <v>商投建工达州中医药科技园</v>
      </c>
    </row>
    <row r="2133" hidden="1" spans="2:18">
      <c r="B2133" s="113" t="s">
        <v>81</v>
      </c>
      <c r="C2133" s="63">
        <v>45845</v>
      </c>
      <c r="D2133" s="113" t="str">
        <f>VLOOKUP(B2133,辅助信息!E:K,7,FALSE)</f>
        <v>JWDDCD2025060900080</v>
      </c>
      <c r="E2133" s="113" t="str">
        <f>VLOOKUP(F2133,辅助信息!A:B,2,FALSE)</f>
        <v>盘螺</v>
      </c>
      <c r="F2133" s="113" t="s">
        <v>40</v>
      </c>
      <c r="G2133" s="114">
        <v>16</v>
      </c>
      <c r="H2133" s="127">
        <f>_xlfn.XLOOKUP(C2133&amp;F2133&amp;I2133&amp;J2133,'[1]2025年已发货'!$F:$F&amp;'[1]2025年已发货'!$C:$C&amp;'[1]2025年已发货'!$G:$G&amp;'[1]2025年已发货'!$H:$H,'[1]2025年已发货'!$E:$E,"未发货")</f>
        <v>15</v>
      </c>
      <c r="I2133" s="113" t="str">
        <f>VLOOKUP(B2133,辅助信息!E:I,3,FALSE)</f>
        <v>（华西简阳西城嘉苑）四川省成都市简阳市简城街道高屋村</v>
      </c>
      <c r="J2133" s="113" t="str">
        <f>VLOOKUP(B2133,辅助信息!E:I,4,FALSE)</f>
        <v>张瀚镭</v>
      </c>
      <c r="K2133" s="113">
        <f>VLOOKUP(J2133,辅助信息!H:I,2,FALSE)</f>
        <v>15884666220</v>
      </c>
      <c r="L2133" s="115" t="str">
        <f>VLOOKUP(B2133,辅助信息!E:J,6,FALSE)</f>
        <v>现场禁止使用氢能源挂车！优先威钢发货,我方卸车,新老国标钢厂不加价可直发，因陕钢多次出现磅差，项目拒绝使用</v>
      </c>
      <c r="M2133" s="84">
        <v>45845</v>
      </c>
      <c r="O2133" s="55">
        <f ca="1" t="shared" si="145"/>
        <v>0</v>
      </c>
      <c r="P2133" s="55">
        <f ca="1" t="shared" si="146"/>
        <v>112</v>
      </c>
      <c r="Q2133" s="22" t="str">
        <f>VLOOKUP(B2133,辅助信息!E:M,9,FALSE)</f>
        <v>ZTWM-CDGS-XS-2024-0030-华西集采-简州大道</v>
      </c>
      <c r="R2133" s="22" t="str">
        <f>_xlfn._xlws.FILTER(辅助信息!D:D,辅助信息!E:E=B2133)</f>
        <v>华西简阳西城嘉苑</v>
      </c>
    </row>
    <row r="2134" hidden="1" spans="2:18">
      <c r="B2134" s="113" t="s">
        <v>81</v>
      </c>
      <c r="C2134" s="63">
        <v>45845</v>
      </c>
      <c r="D2134" s="113" t="str">
        <f>VLOOKUP(B2134,辅助信息!E:K,7,FALSE)</f>
        <v>JWDDCD2025060900080</v>
      </c>
      <c r="E2134" s="113" t="str">
        <f>VLOOKUP(F2134,辅助信息!A:B,2,FALSE)</f>
        <v>盘螺</v>
      </c>
      <c r="F2134" s="113" t="s">
        <v>26</v>
      </c>
      <c r="G2134" s="114">
        <v>15</v>
      </c>
      <c r="H2134" s="127">
        <f>_xlfn.XLOOKUP(C2134&amp;F2134&amp;I2134&amp;J2134,'[1]2025年已发货'!$F:$F&amp;'[1]2025年已发货'!$C:$C&amp;'[1]2025年已发货'!$G:$G&amp;'[1]2025年已发货'!$H:$H,'[1]2025年已发货'!$E:$E,"未发货")</f>
        <v>15</v>
      </c>
      <c r="I2134" s="113" t="str">
        <f>VLOOKUP(B2134,辅助信息!E:I,3,FALSE)</f>
        <v>（华西简阳西城嘉苑）四川省成都市简阳市简城街道高屋村</v>
      </c>
      <c r="J2134" s="113" t="str">
        <f>VLOOKUP(B2134,辅助信息!E:I,4,FALSE)</f>
        <v>张瀚镭</v>
      </c>
      <c r="K2134" s="113">
        <f>VLOOKUP(J2134,辅助信息!H:I,2,FALSE)</f>
        <v>15884666220</v>
      </c>
      <c r="L2134" s="115" t="str">
        <f>VLOOKUP(B2134,辅助信息!E:J,6,FALSE)</f>
        <v>现场禁止使用氢能源挂车！优先威钢发货,我方卸车,新老国标钢厂不加价可直发，因陕钢多次出现磅差，项目拒绝使用</v>
      </c>
      <c r="M2134" s="84">
        <v>45845</v>
      </c>
      <c r="O2134" s="55">
        <f ca="1" t="shared" si="145"/>
        <v>0</v>
      </c>
      <c r="P2134" s="55">
        <f ca="1" t="shared" si="146"/>
        <v>112</v>
      </c>
      <c r="Q2134" s="22" t="str">
        <f>VLOOKUP(B2134,辅助信息!E:M,9,FALSE)</f>
        <v>ZTWM-CDGS-XS-2024-0030-华西集采-简州大道</v>
      </c>
      <c r="R2134" s="22" t="str">
        <f>_xlfn._xlws.FILTER(辅助信息!D:D,辅助信息!E:E=B2134)</f>
        <v>华西简阳西城嘉苑</v>
      </c>
    </row>
    <row r="2135" hidden="1" spans="2:18">
      <c r="B2135" s="113" t="s">
        <v>81</v>
      </c>
      <c r="C2135" s="63">
        <v>45845</v>
      </c>
      <c r="D2135" s="113" t="str">
        <f>VLOOKUP(B2135,辅助信息!E:K,7,FALSE)</f>
        <v>JWDDCD2025060900080</v>
      </c>
      <c r="E2135" s="113" t="str">
        <f>VLOOKUP(F2135,辅助信息!A:B,2,FALSE)</f>
        <v>螺纹钢</v>
      </c>
      <c r="F2135" s="113" t="s">
        <v>30</v>
      </c>
      <c r="G2135" s="114">
        <v>5.5</v>
      </c>
      <c r="H2135" s="127">
        <f>_xlfn.XLOOKUP(C2135&amp;F2135&amp;I2135&amp;J2135,'[1]2025年已发货'!$F:$F&amp;'[1]2025年已发货'!$C:$C&amp;'[1]2025年已发货'!$G:$G&amp;'[1]2025年已发货'!$H:$H,'[1]2025年已发货'!$E:$E,"未发货")</f>
        <v>6</v>
      </c>
      <c r="I2135" s="113" t="str">
        <f>VLOOKUP(B2135,辅助信息!E:I,3,FALSE)</f>
        <v>（华西简阳西城嘉苑）四川省成都市简阳市简城街道高屋村</v>
      </c>
      <c r="J2135" s="113" t="str">
        <f>VLOOKUP(B2135,辅助信息!E:I,4,FALSE)</f>
        <v>张瀚镭</v>
      </c>
      <c r="K2135" s="113">
        <f>VLOOKUP(J2135,辅助信息!H:I,2,FALSE)</f>
        <v>15884666220</v>
      </c>
      <c r="L2135" s="115" t="str">
        <f>VLOOKUP(B2135,辅助信息!E:J,6,FALSE)</f>
        <v>现场禁止使用氢能源挂车！优先威钢发货,我方卸车,新老国标钢厂不加价可直发，因陕钢多次出现磅差，项目拒绝使用</v>
      </c>
      <c r="M2135" s="84">
        <v>45845</v>
      </c>
      <c r="O2135" s="55">
        <f ca="1" t="shared" si="145"/>
        <v>0</v>
      </c>
      <c r="P2135" s="55">
        <f ca="1" t="shared" si="146"/>
        <v>112</v>
      </c>
      <c r="Q2135" s="22" t="str">
        <f>VLOOKUP(B2135,辅助信息!E:M,9,FALSE)</f>
        <v>ZTWM-CDGS-XS-2024-0030-华西集采-简州大道</v>
      </c>
      <c r="R2135" s="22" t="str">
        <f>_xlfn._xlws.FILTER(辅助信息!D:D,辅助信息!E:E=B2135)</f>
        <v>华西简阳西城嘉苑</v>
      </c>
    </row>
    <row r="2136" hidden="1" spans="2:18">
      <c r="B2136" s="33" t="s">
        <v>159</v>
      </c>
      <c r="C2136" s="63">
        <v>45845</v>
      </c>
      <c r="D2136" s="113" t="str">
        <f>VLOOKUP(B2136,辅助信息!E:K,7,FALSE)</f>
        <v>JWDDCD2025052800131</v>
      </c>
      <c r="E2136" s="113" t="str">
        <f>VLOOKUP(F2136,辅助信息!A:B,2,FALSE)</f>
        <v>螺纹钢</v>
      </c>
      <c r="F2136" s="33" t="s">
        <v>66</v>
      </c>
      <c r="G2136" s="29">
        <v>6</v>
      </c>
      <c r="H2136" s="127" t="str">
        <f>_xlfn.XLOOKUP(C2136&amp;F2136&amp;I2136&amp;J2136,'[1]2025年已发货'!$F:$F&amp;'[1]2025年已发货'!$C:$C&amp;'[1]2025年已发货'!$G:$G&amp;'[1]2025年已发货'!$H:$H,'[1]2025年已发货'!$E:$E,"未发货")</f>
        <v>未发货</v>
      </c>
      <c r="I2136" s="113" t="str">
        <f>VLOOKUP(B2136,辅助信息!E:I,3,FALSE)</f>
        <v>（商投建工达州中医药科技园-3工区）达州市通川区达州中医药职业学院犀牛大道北段</v>
      </c>
      <c r="J2136" s="113" t="str">
        <f>VLOOKUP(B2136,辅助信息!E:I,4,FALSE)</f>
        <v>程黄刚</v>
      </c>
      <c r="K2136" s="113">
        <f>VLOOKUP(J2136,辅助信息!H:I,2,FALSE)</f>
        <v>15108211617</v>
      </c>
      <c r="L2136" s="115" t="str">
        <f>VLOOKUP(B2136,辅助信息!E:J,6,FALSE)</f>
        <v>控制炉批号！多了现场不收！,优先安排达钢,提前联系到场规格及数量</v>
      </c>
      <c r="M2136" s="84">
        <v>45845</v>
      </c>
      <c r="O2136" s="55">
        <f ca="1" t="shared" si="145"/>
        <v>0</v>
      </c>
      <c r="P2136" s="55">
        <f ca="1" t="shared" si="146"/>
        <v>112</v>
      </c>
      <c r="Q2136" s="22" t="str">
        <f>VLOOKUP(B2136,辅助信息!E:M,9,FALSE)</f>
        <v>ZTWM-CDGS-XS-2024-0134-商投建工达州中医药科技成果示范园项目</v>
      </c>
      <c r="R2136" s="22" t="str">
        <f>_xlfn._xlws.FILTER(辅助信息!D:D,辅助信息!E:E=B2136)</f>
        <v>商投建工达州中医药科技园</v>
      </c>
    </row>
    <row r="2137" hidden="1" spans="2:18">
      <c r="B2137" s="33" t="s">
        <v>159</v>
      </c>
      <c r="C2137" s="63">
        <v>45845</v>
      </c>
      <c r="D2137" s="113" t="str">
        <f>VLOOKUP(B2137,辅助信息!E:K,7,FALSE)</f>
        <v>JWDDCD2025052800131</v>
      </c>
      <c r="E2137" s="113" t="str">
        <f>VLOOKUP(F2137,辅助信息!A:B,2,FALSE)</f>
        <v>螺纹钢</v>
      </c>
      <c r="F2137" s="33" t="s">
        <v>45</v>
      </c>
      <c r="G2137" s="29">
        <v>6</v>
      </c>
      <c r="H2137" s="127" t="str">
        <f>_xlfn.XLOOKUP(C2137&amp;F2137&amp;I2137&amp;J2137,'[1]2025年已发货'!$F:$F&amp;'[1]2025年已发货'!$C:$C&amp;'[1]2025年已发货'!$G:$G&amp;'[1]2025年已发货'!$H:$H,'[1]2025年已发货'!$E:$E,"未发货")</f>
        <v>未发货</v>
      </c>
      <c r="I2137" s="113" t="str">
        <f>VLOOKUP(B2137,辅助信息!E:I,3,FALSE)</f>
        <v>（商投建工达州中医药科技园-3工区）达州市通川区达州中医药职业学院犀牛大道北段</v>
      </c>
      <c r="J2137" s="113" t="str">
        <f>VLOOKUP(B2137,辅助信息!E:I,4,FALSE)</f>
        <v>程黄刚</v>
      </c>
      <c r="K2137" s="113">
        <f>VLOOKUP(J2137,辅助信息!H:I,2,FALSE)</f>
        <v>15108211617</v>
      </c>
      <c r="L2137" s="115" t="str">
        <f>VLOOKUP(B2137,辅助信息!E:J,6,FALSE)</f>
        <v>控制炉批号！多了现场不收！,优先安排达钢,提前联系到场规格及数量</v>
      </c>
      <c r="M2137" s="84">
        <v>45845</v>
      </c>
      <c r="O2137" s="55">
        <f ca="1" t="shared" si="145"/>
        <v>0</v>
      </c>
      <c r="P2137" s="55">
        <f ca="1" t="shared" si="146"/>
        <v>112</v>
      </c>
      <c r="Q2137" s="22" t="str">
        <f>VLOOKUP(B2137,辅助信息!E:M,9,FALSE)</f>
        <v>ZTWM-CDGS-XS-2024-0134-商投建工达州中医药科技成果示范园项目</v>
      </c>
      <c r="R2137" s="22" t="str">
        <f>_xlfn._xlws.FILTER(辅助信息!D:D,辅助信息!E:E=B2137)</f>
        <v>商投建工达州中医药科技园</v>
      </c>
    </row>
    <row r="2138" hidden="1" spans="2:18">
      <c r="B2138" s="33" t="s">
        <v>159</v>
      </c>
      <c r="C2138" s="63">
        <v>45845</v>
      </c>
      <c r="D2138" s="113" t="str">
        <f>VLOOKUP(B2138,辅助信息!E:K,7,FALSE)</f>
        <v>JWDDCD2025052800131</v>
      </c>
      <c r="E2138" s="113" t="str">
        <f>VLOOKUP(F2138,辅助信息!A:B,2,FALSE)</f>
        <v>螺纹钢</v>
      </c>
      <c r="F2138" s="33" t="s">
        <v>21</v>
      </c>
      <c r="G2138" s="29">
        <v>6</v>
      </c>
      <c r="H2138" s="127" t="str">
        <f>_xlfn.XLOOKUP(C2138&amp;F2138&amp;I2138&amp;J2138,'[1]2025年已发货'!$F:$F&amp;'[1]2025年已发货'!$C:$C&amp;'[1]2025年已发货'!$G:$G&amp;'[1]2025年已发货'!$H:$H,'[1]2025年已发货'!$E:$E,"未发货")</f>
        <v>未发货</v>
      </c>
      <c r="I2138" s="113" t="str">
        <f>VLOOKUP(B2138,辅助信息!E:I,3,FALSE)</f>
        <v>（商投建工达州中医药科技园-3工区）达州市通川区达州中医药职业学院犀牛大道北段</v>
      </c>
      <c r="J2138" s="113" t="str">
        <f>VLOOKUP(B2138,辅助信息!E:I,4,FALSE)</f>
        <v>程黄刚</v>
      </c>
      <c r="K2138" s="113">
        <f>VLOOKUP(J2138,辅助信息!H:I,2,FALSE)</f>
        <v>15108211617</v>
      </c>
      <c r="L2138" s="115" t="str">
        <f>VLOOKUP(B2138,辅助信息!E:J,6,FALSE)</f>
        <v>控制炉批号！多了现场不收！,优先安排达钢,提前联系到场规格及数量</v>
      </c>
      <c r="M2138" s="84">
        <v>45845</v>
      </c>
      <c r="O2138" s="55">
        <f ca="1" t="shared" si="145"/>
        <v>0</v>
      </c>
      <c r="P2138" s="55">
        <f ca="1" t="shared" si="146"/>
        <v>112</v>
      </c>
      <c r="Q2138" s="22" t="str">
        <f>VLOOKUP(B2138,辅助信息!E:M,9,FALSE)</f>
        <v>ZTWM-CDGS-XS-2024-0134-商投建工达州中医药科技成果示范园项目</v>
      </c>
      <c r="R2138" s="22" t="str">
        <f>_xlfn._xlws.FILTER(辅助信息!D:D,辅助信息!E:E=B2138)</f>
        <v>商投建工达州中医药科技园</v>
      </c>
    </row>
    <row r="2139" hidden="1" spans="2:18">
      <c r="B2139" s="33" t="s">
        <v>159</v>
      </c>
      <c r="C2139" s="63">
        <v>45845</v>
      </c>
      <c r="D2139" s="113" t="str">
        <f>VLOOKUP(B2139,辅助信息!E:K,7,FALSE)</f>
        <v>JWDDCD2025052800131</v>
      </c>
      <c r="E2139" s="113" t="str">
        <f>VLOOKUP(F2139,辅助信息!A:B,2,FALSE)</f>
        <v>螺纹钢</v>
      </c>
      <c r="F2139" s="33" t="s">
        <v>46</v>
      </c>
      <c r="G2139" s="29">
        <v>12</v>
      </c>
      <c r="H2139" s="127" t="str">
        <f>_xlfn.XLOOKUP(C2139&amp;F2139&amp;I2139&amp;J2139,'[1]2025年已发货'!$F:$F&amp;'[1]2025年已发货'!$C:$C&amp;'[1]2025年已发货'!$G:$G&amp;'[1]2025年已发货'!$H:$H,'[1]2025年已发货'!$E:$E,"未发货")</f>
        <v>未发货</v>
      </c>
      <c r="I2139" s="113" t="str">
        <f>VLOOKUP(B2139,辅助信息!E:I,3,FALSE)</f>
        <v>（商投建工达州中医药科技园-3工区）达州市通川区达州中医药职业学院犀牛大道北段</v>
      </c>
      <c r="J2139" s="113" t="str">
        <f>VLOOKUP(B2139,辅助信息!E:I,4,FALSE)</f>
        <v>程黄刚</v>
      </c>
      <c r="K2139" s="113">
        <f>VLOOKUP(J2139,辅助信息!H:I,2,FALSE)</f>
        <v>15108211617</v>
      </c>
      <c r="L2139" s="115" t="str">
        <f>VLOOKUP(B2139,辅助信息!E:J,6,FALSE)</f>
        <v>控制炉批号！多了现场不收！,优先安排达钢,提前联系到场规格及数量</v>
      </c>
      <c r="M2139" s="84">
        <v>45845</v>
      </c>
      <c r="O2139" s="55">
        <f ca="1" t="shared" si="145"/>
        <v>0</v>
      </c>
      <c r="P2139" s="55">
        <f ca="1" t="shared" si="146"/>
        <v>112</v>
      </c>
      <c r="Q2139" s="22" t="str">
        <f>VLOOKUP(B2139,辅助信息!E:M,9,FALSE)</f>
        <v>ZTWM-CDGS-XS-2024-0134-商投建工达州中医药科技成果示范园项目</v>
      </c>
      <c r="R2139" s="22" t="str">
        <f>_xlfn._xlws.FILTER(辅助信息!D:D,辅助信息!E:E=B2139)</f>
        <v>商投建工达州中医药科技园</v>
      </c>
    </row>
    <row r="2140" hidden="1" spans="2:18">
      <c r="B2140" s="33" t="s">
        <v>156</v>
      </c>
      <c r="C2140" s="63">
        <v>45845</v>
      </c>
      <c r="D2140" s="113" t="e">
        <f>VLOOKUP(B2140,辅助信息!E:K,7,FALSE)</f>
        <v>#N/A</v>
      </c>
      <c r="E2140" s="113" t="str">
        <f>VLOOKUP(F2140,辅助信息!A:B,2,FALSE)</f>
        <v>盘螺</v>
      </c>
      <c r="F2140" s="33" t="s">
        <v>40</v>
      </c>
      <c r="G2140" s="29">
        <v>3</v>
      </c>
      <c r="H2140" s="127" t="e">
        <f>_xlfn.XLOOKUP(C2140&amp;F2140&amp;I2140&amp;J2140,'[1]2025年已发货'!$F:$F&amp;'[1]2025年已发货'!$C:$C&amp;'[1]2025年已发货'!$G:$G&amp;'[1]2025年已发货'!$H:$H,'[1]2025年已发货'!$E:$E,"未发货")</f>
        <v>#N/A</v>
      </c>
      <c r="I2140" s="113" t="e">
        <f>VLOOKUP(B2140,辅助信息!E:I,3,FALSE)</f>
        <v>#N/A</v>
      </c>
      <c r="J2140" s="113" t="e">
        <f>VLOOKUP(B2140,辅助信息!E:I,4,FALSE)</f>
        <v>#N/A</v>
      </c>
      <c r="K2140" s="113" t="e">
        <f>VLOOKUP(J2140,辅助信息!H:I,2,FALSE)</f>
        <v>#N/A</v>
      </c>
      <c r="L2140" s="115" t="e">
        <f>VLOOKUP(B2140,辅助信息!E:J,6,FALSE)</f>
        <v>#N/A</v>
      </c>
      <c r="M2140" s="84">
        <v>45845</v>
      </c>
      <c r="O2140" s="55">
        <f ca="1" t="shared" si="145"/>
        <v>0</v>
      </c>
      <c r="P2140" s="55">
        <f ca="1" t="shared" si="146"/>
        <v>112</v>
      </c>
      <c r="Q2140" s="22" t="e">
        <f>VLOOKUP(B2140,辅助信息!E:M,9,FALSE)</f>
        <v>#N/A</v>
      </c>
      <c r="R2140" s="22" vm="1" t="e">
        <f>_xlfn._xlws.FILTER(辅助信息!D:D,辅助信息!E:E=B2140)</f>
        <v>#VALUE!</v>
      </c>
    </row>
    <row r="2141" hidden="1" spans="2:18">
      <c r="B2141" s="33" t="s">
        <v>156</v>
      </c>
      <c r="C2141" s="63">
        <v>45845</v>
      </c>
      <c r="D2141" s="113" t="e">
        <f>VLOOKUP(B2141,辅助信息!E:K,7,FALSE)</f>
        <v>#N/A</v>
      </c>
      <c r="E2141" s="113" t="str">
        <f>VLOOKUP(F2141,辅助信息!A:B,2,FALSE)</f>
        <v>螺纹钢</v>
      </c>
      <c r="F2141" s="33" t="s">
        <v>19</v>
      </c>
      <c r="G2141" s="29">
        <v>16</v>
      </c>
      <c r="H2141" s="127" t="e">
        <f>_xlfn.XLOOKUP(C2141&amp;F2141&amp;I2141&amp;J2141,'[1]2025年已发货'!$F:$F&amp;'[1]2025年已发货'!$C:$C&amp;'[1]2025年已发货'!$G:$G&amp;'[1]2025年已发货'!$H:$H,'[1]2025年已发货'!$E:$E,"未发货")</f>
        <v>#N/A</v>
      </c>
      <c r="I2141" s="113" t="e">
        <f>VLOOKUP(B2141,辅助信息!E:I,3,FALSE)</f>
        <v>#N/A</v>
      </c>
      <c r="J2141" s="113" t="e">
        <f>VLOOKUP(B2141,辅助信息!E:I,4,FALSE)</f>
        <v>#N/A</v>
      </c>
      <c r="K2141" s="113" t="e">
        <f>VLOOKUP(J2141,辅助信息!H:I,2,FALSE)</f>
        <v>#N/A</v>
      </c>
      <c r="L2141" s="115" t="e">
        <f>VLOOKUP(B2141,辅助信息!E:J,6,FALSE)</f>
        <v>#N/A</v>
      </c>
      <c r="M2141" s="84">
        <v>45845</v>
      </c>
      <c r="O2141" s="55">
        <f ca="1" t="shared" si="145"/>
        <v>0</v>
      </c>
      <c r="P2141" s="55">
        <f ca="1" t="shared" si="146"/>
        <v>112</v>
      </c>
      <c r="Q2141" s="22" t="e">
        <f>VLOOKUP(B2141,辅助信息!E:M,9,FALSE)</f>
        <v>#N/A</v>
      </c>
      <c r="R2141" s="22" vm="1" t="e">
        <f>_xlfn._xlws.FILTER(辅助信息!D:D,辅助信息!E:E=B2141)</f>
        <v>#VALUE!</v>
      </c>
    </row>
    <row r="2142" hidden="1" spans="2:18">
      <c r="B2142" s="33" t="s">
        <v>156</v>
      </c>
      <c r="C2142" s="63">
        <v>45845</v>
      </c>
      <c r="D2142" s="113" t="e">
        <f>VLOOKUP(B2142,辅助信息!E:K,7,FALSE)</f>
        <v>#N/A</v>
      </c>
      <c r="E2142" s="113" t="str">
        <f>VLOOKUP(F2142,辅助信息!A:B,2,FALSE)</f>
        <v>螺纹钢</v>
      </c>
      <c r="F2142" s="33" t="s">
        <v>30</v>
      </c>
      <c r="G2142" s="29">
        <v>24</v>
      </c>
      <c r="H2142" s="127" t="e">
        <f>_xlfn.XLOOKUP(C2142&amp;F2142&amp;I2142&amp;J2142,'[1]2025年已发货'!$F:$F&amp;'[1]2025年已发货'!$C:$C&amp;'[1]2025年已发货'!$G:$G&amp;'[1]2025年已发货'!$H:$H,'[1]2025年已发货'!$E:$E,"未发货")</f>
        <v>#N/A</v>
      </c>
      <c r="I2142" s="113" t="e">
        <f>VLOOKUP(B2142,辅助信息!E:I,3,FALSE)</f>
        <v>#N/A</v>
      </c>
      <c r="J2142" s="113" t="e">
        <f>VLOOKUP(B2142,辅助信息!E:I,4,FALSE)</f>
        <v>#N/A</v>
      </c>
      <c r="K2142" s="113" t="e">
        <f>VLOOKUP(J2142,辅助信息!H:I,2,FALSE)</f>
        <v>#N/A</v>
      </c>
      <c r="L2142" s="115" t="e">
        <f>VLOOKUP(B2142,辅助信息!E:J,6,FALSE)</f>
        <v>#N/A</v>
      </c>
      <c r="M2142" s="84">
        <v>45845</v>
      </c>
      <c r="O2142" s="55">
        <f ca="1" t="shared" si="145"/>
        <v>0</v>
      </c>
      <c r="P2142" s="55">
        <f ca="1" t="shared" si="146"/>
        <v>112</v>
      </c>
      <c r="Q2142" s="22" t="e">
        <f>VLOOKUP(B2142,辅助信息!E:M,9,FALSE)</f>
        <v>#N/A</v>
      </c>
      <c r="R2142" s="22" vm="1" t="e">
        <f>_xlfn._xlws.FILTER(辅助信息!D:D,辅助信息!E:E=B2142)</f>
        <v>#VALUE!</v>
      </c>
    </row>
    <row r="2143" hidden="1" spans="1:12">
      <c r="A2143" s="64" t="s">
        <v>189</v>
      </c>
      <c r="B2143" s="33" t="s">
        <v>180</v>
      </c>
      <c r="C2143" s="63">
        <v>45845</v>
      </c>
      <c r="D2143" s="113" t="str">
        <f>VLOOKUP(B2143,辅助信息!E:K,7,FALSE)</f>
        <v>JWDDCD2025052800131</v>
      </c>
      <c r="E2143" s="113" t="str">
        <f>VLOOKUP(F2143,辅助信息!A:B,2,FALSE)</f>
        <v>盘螺</v>
      </c>
      <c r="F2143" s="33" t="s">
        <v>49</v>
      </c>
      <c r="G2143" s="29">
        <v>6</v>
      </c>
      <c r="H2143" s="127" t="str">
        <f>_xlfn.XLOOKUP(C2143&amp;F2143&amp;I2143&amp;J2143,'[1]2025年已发货'!$F:$F&amp;'[1]2025年已发货'!$C:$C&amp;'[1]2025年已发货'!$G:$G&amp;'[1]2025年已发货'!$H:$H,'[1]2025年已发货'!$E:$E,"未发货")</f>
        <v>未发货</v>
      </c>
      <c r="I2143" s="113" t="str">
        <f>VLOOKUP(B2143,辅助信息!E:I,3,FALSE)</f>
        <v>（商投建工达州中医药科技园-4工区-8号楼）达州市通川区达州中医药职业学院犀牛大道北段</v>
      </c>
      <c r="J2143" s="113" t="str">
        <f>VLOOKUP(B2143,辅助信息!E:I,4,FALSE)</f>
        <v>张扬</v>
      </c>
      <c r="K2143" s="113">
        <f>VLOOKUP(J2143,辅助信息!H:I,2,FALSE)</f>
        <v>18381904567</v>
      </c>
      <c r="L2143" s="115" t="str">
        <f>VLOOKUP(B2143,辅助信息!E:J,6,FALSE)</f>
        <v>控制炉批号！多了现场不收！,优先安排达钢,提前联系到场规格及数量</v>
      </c>
    </row>
    <row r="2144" hidden="1" spans="1:12">
      <c r="A2144" s="64"/>
      <c r="B2144" s="33" t="s">
        <v>180</v>
      </c>
      <c r="C2144" s="63">
        <v>45845</v>
      </c>
      <c r="D2144" s="113" t="str">
        <f>VLOOKUP(B2144,辅助信息!E:K,7,FALSE)</f>
        <v>JWDDCD2025052800131</v>
      </c>
      <c r="E2144" s="113" t="str">
        <f>VLOOKUP(F2144,辅助信息!A:B,2,FALSE)</f>
        <v>盘螺</v>
      </c>
      <c r="F2144" s="33" t="s">
        <v>40</v>
      </c>
      <c r="G2144" s="29">
        <v>21</v>
      </c>
      <c r="H2144" s="127" t="str">
        <f>_xlfn.XLOOKUP(C2144&amp;F2144&amp;I2144&amp;J2144,'[1]2025年已发货'!$F:$F&amp;'[1]2025年已发货'!$C:$C&amp;'[1]2025年已发货'!$G:$G&amp;'[1]2025年已发货'!$H:$H,'[1]2025年已发货'!$E:$E,"未发货")</f>
        <v>未发货</v>
      </c>
      <c r="I2144" s="113" t="str">
        <f>VLOOKUP(B2144,辅助信息!E:I,3,FALSE)</f>
        <v>（商投建工达州中医药科技园-4工区-8号楼）达州市通川区达州中医药职业学院犀牛大道北段</v>
      </c>
      <c r="J2144" s="113" t="str">
        <f>VLOOKUP(B2144,辅助信息!E:I,4,FALSE)</f>
        <v>张扬</v>
      </c>
      <c r="K2144" s="113">
        <f>VLOOKUP(J2144,辅助信息!H:I,2,FALSE)</f>
        <v>18381904567</v>
      </c>
      <c r="L2144" s="115" t="str">
        <f>VLOOKUP(B2144,辅助信息!E:J,6,FALSE)</f>
        <v>控制炉批号！多了现场不收！,优先安排达钢,提前联系到场规格及数量</v>
      </c>
    </row>
    <row r="2145" hidden="1" spans="1:12">
      <c r="A2145" s="64"/>
      <c r="B2145" s="33" t="s">
        <v>180</v>
      </c>
      <c r="C2145" s="63">
        <v>45845</v>
      </c>
      <c r="D2145" s="113" t="str">
        <f>VLOOKUP(B2145,辅助信息!E:K,7,FALSE)</f>
        <v>JWDDCD2025052800131</v>
      </c>
      <c r="E2145" s="113" t="str">
        <f>VLOOKUP(F2145,辅助信息!A:B,2,FALSE)</f>
        <v>盘螺</v>
      </c>
      <c r="F2145" s="33" t="s">
        <v>41</v>
      </c>
      <c r="G2145" s="29">
        <v>15</v>
      </c>
      <c r="H2145" s="127" t="str">
        <f>_xlfn.XLOOKUP(C2145&amp;F2145&amp;I2145&amp;J2145,'[1]2025年已发货'!$F:$F&amp;'[1]2025年已发货'!$C:$C&amp;'[1]2025年已发货'!$G:$G&amp;'[1]2025年已发货'!$H:$H,'[1]2025年已发货'!$E:$E,"未发货")</f>
        <v>未发货</v>
      </c>
      <c r="I2145" s="113" t="str">
        <f>VLOOKUP(B2145,辅助信息!E:I,3,FALSE)</f>
        <v>（商投建工达州中医药科技园-4工区-8号楼）达州市通川区达州中医药职业学院犀牛大道北段</v>
      </c>
      <c r="J2145" s="113" t="str">
        <f>VLOOKUP(B2145,辅助信息!E:I,4,FALSE)</f>
        <v>张扬</v>
      </c>
      <c r="K2145" s="113">
        <f>VLOOKUP(J2145,辅助信息!H:I,2,FALSE)</f>
        <v>18381904567</v>
      </c>
      <c r="L2145" s="115" t="str">
        <f>VLOOKUP(B2145,辅助信息!E:J,6,FALSE)</f>
        <v>控制炉批号！多了现场不收！,优先安排达钢,提前联系到场规格及数量</v>
      </c>
    </row>
    <row r="2146" hidden="1" spans="1:12">
      <c r="A2146" s="64"/>
      <c r="B2146" s="33" t="s">
        <v>69</v>
      </c>
      <c r="C2146" s="63">
        <v>45845</v>
      </c>
      <c r="D2146" s="113" t="str">
        <f>VLOOKUP(B2146,辅助信息!E:K,7,FALSE)</f>
        <v>JWDDCD2025052800131</v>
      </c>
      <c r="E2146" s="113" t="str">
        <f>VLOOKUP(F2146,辅助信息!A:B,2,FALSE)</f>
        <v>螺纹钢</v>
      </c>
      <c r="F2146" s="33" t="s">
        <v>19</v>
      </c>
      <c r="G2146" s="29">
        <v>3</v>
      </c>
      <c r="H2146" s="127" t="str">
        <f>_xlfn.XLOOKUP(C2146&amp;F2146&amp;I2146&amp;J2146,'[1]2025年已发货'!$F:$F&amp;'[1]2025年已发货'!$C:$C&amp;'[1]2025年已发货'!$G:$G&amp;'[1]2025年已发货'!$H:$H,'[1]2025年已发货'!$E:$E,"未发货")</f>
        <v>未发货</v>
      </c>
      <c r="I2146" s="113" t="str">
        <f>VLOOKUP(B2146,辅助信息!E:I,3,FALSE)</f>
        <v>（商投建工达州中医药科技园-4工区-2号楼）达州市通川区达州中医药职业学院犀牛大道北段</v>
      </c>
      <c r="J2146" s="113" t="str">
        <f>VLOOKUP(B2146,辅助信息!E:I,4,FALSE)</f>
        <v>张扬</v>
      </c>
      <c r="K2146" s="113">
        <f>VLOOKUP(J2146,辅助信息!H:I,2,FALSE)</f>
        <v>18381904567</v>
      </c>
      <c r="L2146" s="115" t="str">
        <f>VLOOKUP(B2146,辅助信息!E:J,6,FALSE)</f>
        <v>控制炉批号！多了现场不收！,优先安排达钢,提前联系到场规格及数量</v>
      </c>
    </row>
    <row r="2147" hidden="1" spans="2:18">
      <c r="B2147" s="113" t="s">
        <v>176</v>
      </c>
      <c r="C2147" s="63">
        <v>45847</v>
      </c>
      <c r="D2147" s="113" t="str">
        <f>VLOOKUP(B2147,辅助信息!E:K,7,FALSE)</f>
        <v>JWDDCD2025062200016</v>
      </c>
      <c r="E2147" s="113" t="str">
        <f>VLOOKUP(F2147,辅助信息!A:B,2,FALSE)</f>
        <v>高线</v>
      </c>
      <c r="F2147" s="113" t="s">
        <v>57</v>
      </c>
      <c r="G2147" s="114">
        <v>5</v>
      </c>
      <c r="H2147" s="127" t="str">
        <f>_xlfn.XLOOKUP(C2147&amp;F2147&amp;I2147&amp;J2147,'[1]2025年已发货'!$F:$F&amp;'[1]2025年已发货'!$C:$C&amp;'[1]2025年已发货'!$G:$G&amp;'[1]2025年已发货'!$H:$H,'[1]2025年已发货'!$E:$E,"未发货")</f>
        <v>未发货</v>
      </c>
      <c r="I2147" s="113" t="str">
        <f>VLOOKUP(B2147,辅助信息!E:I,3,FALSE)</f>
        <v>(武汉电气化局成达万高铁强电项目-渠县)四川省达州市渠县渠北镇雷家湾渠县北站旁</v>
      </c>
      <c r="J2147" s="113" t="str">
        <f>VLOOKUP(B2147,辅助信息!E:I,4,FALSE)</f>
        <v>刘频</v>
      </c>
      <c r="K2147" s="113">
        <f>VLOOKUP(J2147,辅助信息!H:I,2,FALSE)</f>
        <v>18779627939</v>
      </c>
      <c r="L2147" s="115" t="str">
        <f>VLOOKUP(B2147,辅助信息!E:J,6,FALSE)</f>
        <v>锈货不收！！下雨天钢筋没盖篷布不收！！，装货前联系收货人核实到场规格,没提前告知进场规格现场不给予接收</v>
      </c>
      <c r="M2147" s="84">
        <v>45845</v>
      </c>
      <c r="O2147" s="55">
        <f ca="1" t="shared" ref="O2147:O2210" si="147">IF(OR(M2147="",N2147&lt;&gt;""),"",MAX(M2147-TODAY(),0))</f>
        <v>0</v>
      </c>
      <c r="P2147" s="55">
        <f ca="1" t="shared" ref="P2147:P2210" si="148">IF(M2147="","",IF(N2147&lt;&gt;"",MAX(N2147-M2147,0),IF(TODAY()&gt;M2147,TODAY()-M2147,0)))</f>
        <v>112</v>
      </c>
      <c r="Q2147" s="22" t="str">
        <f>VLOOKUP(B2147,辅助信息!E:M,9,FALSE)</f>
        <v>ZTWM-CDGS-XS-2025-0033-中铁武汉电气化局集团有限公司成达万高速铁路强电工程项目</v>
      </c>
      <c r="R2147" s="22" t="str">
        <f>_xlfn._xlws.FILTER(辅助信息!D:D,辅助信息!E:E=B2147)</f>
        <v>武汉电气化局成达万高铁强电项目</v>
      </c>
    </row>
    <row r="2148" hidden="1" spans="2:18">
      <c r="B2148" s="113" t="s">
        <v>176</v>
      </c>
      <c r="C2148" s="63">
        <v>45847</v>
      </c>
      <c r="D2148" s="113" t="str">
        <f>VLOOKUP(B2148,辅助信息!E:K,7,FALSE)</f>
        <v>JWDDCD2025062200016</v>
      </c>
      <c r="E2148" s="113" t="str">
        <f>VLOOKUP(F2148,辅助信息!A:B,2,FALSE)</f>
        <v>螺纹钢</v>
      </c>
      <c r="F2148" s="113" t="s">
        <v>27</v>
      </c>
      <c r="G2148" s="114">
        <f>47-24</f>
        <v>23</v>
      </c>
      <c r="H2148" s="127" t="str">
        <f>_xlfn.XLOOKUP(C2148&amp;F2148&amp;I2148&amp;J2148,'[1]2025年已发货'!$F:$F&amp;'[1]2025年已发货'!$C:$C&amp;'[1]2025年已发货'!$G:$G&amp;'[1]2025年已发货'!$H:$H,'[1]2025年已发货'!$E:$E,"未发货")</f>
        <v>未发货</v>
      </c>
      <c r="I2148" s="113" t="str">
        <f>VLOOKUP(B2148,辅助信息!E:I,3,FALSE)</f>
        <v>(武汉电气化局成达万高铁强电项目-渠县)四川省达州市渠县渠北镇雷家湾渠县北站旁</v>
      </c>
      <c r="J2148" s="113" t="str">
        <f>VLOOKUP(B2148,辅助信息!E:I,4,FALSE)</f>
        <v>刘频</v>
      </c>
      <c r="K2148" s="113">
        <f>VLOOKUP(J2148,辅助信息!H:I,2,FALSE)</f>
        <v>18779627939</v>
      </c>
      <c r="L2148" s="115" t="str">
        <f>VLOOKUP(B2148,辅助信息!E:J,6,FALSE)</f>
        <v>锈货不收！！下雨天钢筋没盖篷布不收！！，装货前联系收货人核实到场规格,没提前告知进场规格现场不给予接收</v>
      </c>
      <c r="M2148" s="84">
        <v>45845</v>
      </c>
      <c r="O2148" s="55">
        <f ca="1" t="shared" si="147"/>
        <v>0</v>
      </c>
      <c r="P2148" s="55">
        <f ca="1" t="shared" si="148"/>
        <v>112</v>
      </c>
      <c r="Q2148" s="22" t="str">
        <f>VLOOKUP(B2148,辅助信息!E:M,9,FALSE)</f>
        <v>ZTWM-CDGS-XS-2025-0033-中铁武汉电气化局集团有限公司成达万高速铁路强电工程项目</v>
      </c>
      <c r="R2148" s="22" t="str">
        <f>_xlfn._xlws.FILTER(辅助信息!D:D,辅助信息!E:E=B2148)</f>
        <v>武汉电气化局成达万高铁强电项目</v>
      </c>
    </row>
    <row r="2149" hidden="1" spans="2:18">
      <c r="B2149" s="113" t="s">
        <v>176</v>
      </c>
      <c r="C2149" s="63">
        <v>45847</v>
      </c>
      <c r="D2149" s="113" t="str">
        <f>VLOOKUP(B2149,辅助信息!E:K,7,FALSE)</f>
        <v>JWDDCD2025062200016</v>
      </c>
      <c r="E2149" s="113" t="str">
        <f>VLOOKUP(F2149,辅助信息!A:B,2,FALSE)</f>
        <v>螺纹钢</v>
      </c>
      <c r="F2149" s="113" t="s">
        <v>18</v>
      </c>
      <c r="G2149" s="114">
        <v>38</v>
      </c>
      <c r="H2149" s="127" t="str">
        <f>_xlfn.XLOOKUP(C2149&amp;F2149&amp;I2149&amp;J2149,'[1]2025年已发货'!$F:$F&amp;'[1]2025年已发货'!$C:$C&amp;'[1]2025年已发货'!$G:$G&amp;'[1]2025年已发货'!$H:$H,'[1]2025年已发货'!$E:$E,"未发货")</f>
        <v>未发货</v>
      </c>
      <c r="I2149" s="113" t="str">
        <f>VLOOKUP(B2149,辅助信息!E:I,3,FALSE)</f>
        <v>(武汉电气化局成达万高铁强电项目-渠县)四川省达州市渠县渠北镇雷家湾渠县北站旁</v>
      </c>
      <c r="J2149" s="113" t="str">
        <f>VLOOKUP(B2149,辅助信息!E:I,4,FALSE)</f>
        <v>刘频</v>
      </c>
      <c r="K2149" s="113">
        <f>VLOOKUP(J2149,辅助信息!H:I,2,FALSE)</f>
        <v>18779627939</v>
      </c>
      <c r="L2149" s="115" t="str">
        <f>VLOOKUP(B2149,辅助信息!E:J,6,FALSE)</f>
        <v>锈货不收！！下雨天钢筋没盖篷布不收！！，装货前联系收货人核实到场规格,没提前告知进场规格现场不给予接收</v>
      </c>
      <c r="M2149" s="84">
        <v>45845</v>
      </c>
      <c r="O2149" s="55">
        <f ca="1" t="shared" si="147"/>
        <v>0</v>
      </c>
      <c r="P2149" s="55">
        <f ca="1" t="shared" si="148"/>
        <v>112</v>
      </c>
      <c r="Q2149" s="22" t="str">
        <f>VLOOKUP(B2149,辅助信息!E:M,9,FALSE)</f>
        <v>ZTWM-CDGS-XS-2025-0033-中铁武汉电气化局集团有限公司成达万高速铁路强电工程项目</v>
      </c>
      <c r="R2149" s="22" t="str">
        <f>_xlfn._xlws.FILTER(辅助信息!D:D,辅助信息!E:E=B2149)</f>
        <v>武汉电气化局成达万高铁强电项目</v>
      </c>
    </row>
    <row r="2150" hidden="1" spans="2:18">
      <c r="B2150" s="113" t="s">
        <v>188</v>
      </c>
      <c r="C2150" s="63">
        <v>45847</v>
      </c>
      <c r="D2150" s="113" t="str">
        <f>VLOOKUP(B2150,辅助信息!E:K,7,FALSE)</f>
        <v>JWDDCD2025062200016</v>
      </c>
      <c r="E2150" s="113" t="str">
        <f>VLOOKUP(F2150,辅助信息!A:B,2,FALSE)</f>
        <v>螺纹钢</v>
      </c>
      <c r="F2150" s="113" t="s">
        <v>18</v>
      </c>
      <c r="G2150" s="114">
        <v>6</v>
      </c>
      <c r="H2150" s="127" t="str">
        <f>_xlfn.XLOOKUP(C2150&amp;F2150&amp;I2150&amp;J2150,'[1]2025年已发货'!$F:$F&amp;'[1]2025年已发货'!$C:$C&amp;'[1]2025年已发货'!$G:$G&amp;'[1]2025年已发货'!$H:$H,'[1]2025年已发货'!$E:$E,"未发货")</f>
        <v>未发货</v>
      </c>
      <c r="I2150" s="113" t="str">
        <f>VLOOKUP(B2150,辅助信息!E:I,3,FALSE)</f>
        <v>(武汉电气化局成达万高铁强电项目-达州主城区)四川省达州市达川区斌郎街道四川省达州市达川区洞洞湾256米</v>
      </c>
      <c r="J2150" s="113" t="str">
        <f>VLOOKUP(B2150,辅助信息!E:I,4,FALSE)</f>
        <v>余凡</v>
      </c>
      <c r="K2150" s="113">
        <f>VLOOKUP(J2150,辅助信息!H:I,2,FALSE)</f>
        <v>18228076992</v>
      </c>
      <c r="L2150" s="115" t="str">
        <f>VLOOKUP(B2150,辅助信息!E:J,6,FALSE)</f>
        <v>锈货不收！！下雨天钢筋没盖篷布不收！！，装货前联系收货人核实到场规格,没提前告知进场规格现场不给予接收</v>
      </c>
      <c r="M2150" s="84">
        <v>45845</v>
      </c>
      <c r="O2150" s="55">
        <f ca="1" t="shared" si="147"/>
        <v>0</v>
      </c>
      <c r="P2150" s="55">
        <f ca="1" t="shared" si="148"/>
        <v>112</v>
      </c>
      <c r="Q2150" s="22" t="str">
        <f>VLOOKUP(B2150,辅助信息!E:M,9,FALSE)</f>
        <v>ZTWM-CDGS-XS-2025-0033-中铁武汉电气化局集团有限公司成达万高速铁路强电工程项目</v>
      </c>
      <c r="R2150" s="22" t="str">
        <f>_xlfn._xlws.FILTER(辅助信息!D:D,辅助信息!E:E=B2150)</f>
        <v>武汉电气化局成达万高铁强电项目</v>
      </c>
    </row>
    <row r="2151" hidden="1" spans="2:18">
      <c r="B2151" s="113" t="s">
        <v>147</v>
      </c>
      <c r="C2151" s="63">
        <v>45847</v>
      </c>
      <c r="D2151" s="113" t="str">
        <f>VLOOKUP(B2151,辅助信息!E:K,7,FALSE)</f>
        <v>JWDDCD2025052800131</v>
      </c>
      <c r="E2151" s="113" t="str">
        <f>VLOOKUP(F2151,辅助信息!A:B,2,FALSE)</f>
        <v>螺纹钢</v>
      </c>
      <c r="F2151" s="113" t="s">
        <v>21</v>
      </c>
      <c r="G2151" s="114">
        <v>6</v>
      </c>
      <c r="H2151" s="127" t="str">
        <f>_xlfn.XLOOKUP(C2151&amp;F2151&amp;I2151&amp;J2151,'[1]2025年已发货'!$F:$F&amp;'[1]2025年已发货'!$C:$C&amp;'[1]2025年已发货'!$G:$G&amp;'[1]2025年已发货'!$H:$H,'[1]2025年已发货'!$E:$E,"未发货")</f>
        <v>未发货</v>
      </c>
      <c r="I2151" s="113" t="str">
        <f>VLOOKUP(B2151,辅助信息!E:I,3,FALSE)</f>
        <v>（商投建工达州中医药科技园-4工区-11号楼）达州市通川区达州中医药职业学院犀牛大道北段</v>
      </c>
      <c r="J2151" s="113" t="str">
        <f>VLOOKUP(B2151,辅助信息!E:I,4,FALSE)</f>
        <v>张扬</v>
      </c>
      <c r="K2151" s="113">
        <f>VLOOKUP(J2151,辅助信息!H:I,2,FALSE)</f>
        <v>18381904567</v>
      </c>
      <c r="L2151" s="115" t="str">
        <f>VLOOKUP(B2151,辅助信息!E:J,6,FALSE)</f>
        <v>控制炉批号！多了现场不收！,优先安排达钢,提前联系到场规格及数量</v>
      </c>
      <c r="M2151" s="84">
        <v>45845</v>
      </c>
      <c r="O2151" s="55">
        <f ca="1" t="shared" si="147"/>
        <v>0</v>
      </c>
      <c r="P2151" s="55">
        <f ca="1" t="shared" si="148"/>
        <v>112</v>
      </c>
      <c r="Q2151" s="22" t="str">
        <f>VLOOKUP(B2151,辅助信息!E:M,9,FALSE)</f>
        <v>ZTWM-CDGS-XS-2024-0134-商投建工达州中医药科技成果示范园项目</v>
      </c>
      <c r="R2151" s="22" t="str">
        <f>_xlfn._xlws.FILTER(辅助信息!D:D,辅助信息!E:E=B2151)</f>
        <v>商投建工达州中医药科技园</v>
      </c>
    </row>
    <row r="2152" hidden="1" spans="2:18">
      <c r="B2152" s="113" t="s">
        <v>147</v>
      </c>
      <c r="C2152" s="63">
        <v>45847</v>
      </c>
      <c r="D2152" s="113" t="str">
        <f>VLOOKUP(B2152,辅助信息!E:K,7,FALSE)</f>
        <v>JWDDCD2025052800131</v>
      </c>
      <c r="E2152" s="113" t="str">
        <f>VLOOKUP(F2152,辅助信息!A:B,2,FALSE)</f>
        <v>螺纹钢</v>
      </c>
      <c r="F2152" s="113" t="s">
        <v>58</v>
      </c>
      <c r="G2152" s="114">
        <v>6</v>
      </c>
      <c r="H2152" s="127" t="str">
        <f>_xlfn.XLOOKUP(C2152&amp;F2152&amp;I2152&amp;J2152,'[1]2025年已发货'!$F:$F&amp;'[1]2025年已发货'!$C:$C&amp;'[1]2025年已发货'!$G:$G&amp;'[1]2025年已发货'!$H:$H,'[1]2025年已发货'!$E:$E,"未发货")</f>
        <v>未发货</v>
      </c>
      <c r="I2152" s="113" t="str">
        <f>VLOOKUP(B2152,辅助信息!E:I,3,FALSE)</f>
        <v>（商投建工达州中医药科技园-4工区-11号楼）达州市通川区达州中医药职业学院犀牛大道北段</v>
      </c>
      <c r="J2152" s="113" t="str">
        <f>VLOOKUP(B2152,辅助信息!E:I,4,FALSE)</f>
        <v>张扬</v>
      </c>
      <c r="K2152" s="113">
        <f>VLOOKUP(J2152,辅助信息!H:I,2,FALSE)</f>
        <v>18381904567</v>
      </c>
      <c r="L2152" s="115" t="str">
        <f>VLOOKUP(B2152,辅助信息!E:J,6,FALSE)</f>
        <v>控制炉批号！多了现场不收！,优先安排达钢,提前联系到场规格及数量</v>
      </c>
      <c r="M2152" s="84">
        <v>45845</v>
      </c>
      <c r="O2152" s="55">
        <f ca="1" t="shared" si="147"/>
        <v>0</v>
      </c>
      <c r="P2152" s="55">
        <f ca="1" t="shared" si="148"/>
        <v>112</v>
      </c>
      <c r="Q2152" s="22" t="str">
        <f>VLOOKUP(B2152,辅助信息!E:M,9,FALSE)</f>
        <v>ZTWM-CDGS-XS-2024-0134-商投建工达州中医药科技成果示范园项目</v>
      </c>
      <c r="R2152" s="22" t="str">
        <f>_xlfn._xlws.FILTER(辅助信息!D:D,辅助信息!E:E=B2152)</f>
        <v>商投建工达州中医药科技园</v>
      </c>
    </row>
    <row r="2153" hidden="1" spans="2:18">
      <c r="B2153" s="113" t="s">
        <v>147</v>
      </c>
      <c r="C2153" s="63">
        <v>45847</v>
      </c>
      <c r="D2153" s="113" t="str">
        <f>VLOOKUP(B2153,辅助信息!E:K,7,FALSE)</f>
        <v>JWDDCD2025052800131</v>
      </c>
      <c r="E2153" s="113" t="str">
        <f>VLOOKUP(F2153,辅助信息!A:B,2,FALSE)</f>
        <v>螺纹钢</v>
      </c>
      <c r="F2153" s="113" t="s">
        <v>46</v>
      </c>
      <c r="G2153" s="114">
        <v>15</v>
      </c>
      <c r="H2153" s="127" t="str">
        <f>_xlfn.XLOOKUP(C2153&amp;F2153&amp;I2153&amp;J2153,'[1]2025年已发货'!$F:$F&amp;'[1]2025年已发货'!$C:$C&amp;'[1]2025年已发货'!$G:$G&amp;'[1]2025年已发货'!$H:$H,'[1]2025年已发货'!$E:$E,"未发货")</f>
        <v>未发货</v>
      </c>
      <c r="I2153" s="113" t="str">
        <f>VLOOKUP(B2153,辅助信息!E:I,3,FALSE)</f>
        <v>（商投建工达州中医药科技园-4工区-11号楼）达州市通川区达州中医药职业学院犀牛大道北段</v>
      </c>
      <c r="J2153" s="113" t="str">
        <f>VLOOKUP(B2153,辅助信息!E:I,4,FALSE)</f>
        <v>张扬</v>
      </c>
      <c r="K2153" s="113">
        <f>VLOOKUP(J2153,辅助信息!H:I,2,FALSE)</f>
        <v>18381904567</v>
      </c>
      <c r="L2153" s="115" t="str">
        <f>VLOOKUP(B2153,辅助信息!E:J,6,FALSE)</f>
        <v>控制炉批号！多了现场不收！,优先安排达钢,提前联系到场规格及数量</v>
      </c>
      <c r="M2153" s="84">
        <v>45845</v>
      </c>
      <c r="O2153" s="55">
        <f ca="1" t="shared" si="147"/>
        <v>0</v>
      </c>
      <c r="P2153" s="55">
        <f ca="1" t="shared" si="148"/>
        <v>112</v>
      </c>
      <c r="Q2153" s="22" t="str">
        <f>VLOOKUP(B2153,辅助信息!E:M,9,FALSE)</f>
        <v>ZTWM-CDGS-XS-2024-0134-商投建工达州中医药科技成果示范园项目</v>
      </c>
      <c r="R2153" s="22" t="str">
        <f>_xlfn._xlws.FILTER(辅助信息!D:D,辅助信息!E:E=B2153)</f>
        <v>商投建工达州中医药科技园</v>
      </c>
    </row>
    <row r="2154" hidden="1" spans="2:18">
      <c r="B2154" s="113" t="s">
        <v>147</v>
      </c>
      <c r="C2154" s="63">
        <v>45847</v>
      </c>
      <c r="D2154" s="113" t="str">
        <f>VLOOKUP(B2154,辅助信息!E:K,7,FALSE)</f>
        <v>JWDDCD2025052800131</v>
      </c>
      <c r="E2154" s="113" t="str">
        <f>VLOOKUP(F2154,辅助信息!A:B,2,FALSE)</f>
        <v>螺纹钢</v>
      </c>
      <c r="F2154" s="113" t="s">
        <v>22</v>
      </c>
      <c r="G2154" s="114">
        <v>9</v>
      </c>
      <c r="H2154" s="127" t="str">
        <f>_xlfn.XLOOKUP(C2154&amp;F2154&amp;I2154&amp;J2154,'[1]2025年已发货'!$F:$F&amp;'[1]2025年已发货'!$C:$C&amp;'[1]2025年已发货'!$G:$G&amp;'[1]2025年已发货'!$H:$H,'[1]2025年已发货'!$E:$E,"未发货")</f>
        <v>未发货</v>
      </c>
      <c r="I2154" s="113" t="str">
        <f>VLOOKUP(B2154,辅助信息!E:I,3,FALSE)</f>
        <v>（商投建工达州中医药科技园-4工区-11号楼）达州市通川区达州中医药职业学院犀牛大道北段</v>
      </c>
      <c r="J2154" s="113" t="str">
        <f>VLOOKUP(B2154,辅助信息!E:I,4,FALSE)</f>
        <v>张扬</v>
      </c>
      <c r="K2154" s="113">
        <f>VLOOKUP(J2154,辅助信息!H:I,2,FALSE)</f>
        <v>18381904567</v>
      </c>
      <c r="L2154" s="115" t="str">
        <f>VLOOKUP(B2154,辅助信息!E:J,6,FALSE)</f>
        <v>控制炉批号！多了现场不收！,优先安排达钢,提前联系到场规格及数量</v>
      </c>
      <c r="M2154" s="84">
        <v>45845</v>
      </c>
      <c r="O2154" s="55">
        <f ca="1" t="shared" si="147"/>
        <v>0</v>
      </c>
      <c r="P2154" s="55">
        <f ca="1" t="shared" si="148"/>
        <v>112</v>
      </c>
      <c r="Q2154" s="22" t="str">
        <f>VLOOKUP(B2154,辅助信息!E:M,9,FALSE)</f>
        <v>ZTWM-CDGS-XS-2024-0134-商投建工达州中医药科技成果示范园项目</v>
      </c>
      <c r="R2154" s="22" t="str">
        <f>_xlfn._xlws.FILTER(辅助信息!D:D,辅助信息!E:E=B2154)</f>
        <v>商投建工达州中医药科技园</v>
      </c>
    </row>
    <row r="2155" hidden="1" spans="2:18">
      <c r="B2155" s="113" t="s">
        <v>159</v>
      </c>
      <c r="C2155" s="63">
        <v>45847</v>
      </c>
      <c r="D2155" s="113" t="str">
        <f>VLOOKUP(B2155,辅助信息!E:K,7,FALSE)</f>
        <v>JWDDCD2025052800131</v>
      </c>
      <c r="E2155" s="113" t="str">
        <f>VLOOKUP(F2155,辅助信息!A:B,2,FALSE)</f>
        <v>螺纹钢</v>
      </c>
      <c r="F2155" s="113" t="s">
        <v>66</v>
      </c>
      <c r="G2155" s="114">
        <v>6</v>
      </c>
      <c r="H2155" s="127" t="str">
        <f>_xlfn.XLOOKUP(C2155&amp;F2155&amp;I2155&amp;J2155,'[1]2025年已发货'!$F:$F&amp;'[1]2025年已发货'!$C:$C&amp;'[1]2025年已发货'!$G:$G&amp;'[1]2025年已发货'!$H:$H,'[1]2025年已发货'!$E:$E,"未发货")</f>
        <v>未发货</v>
      </c>
      <c r="I2155" s="113" t="str">
        <f>VLOOKUP(B2155,辅助信息!E:I,3,FALSE)</f>
        <v>（商投建工达州中医药科技园-3工区）达州市通川区达州中医药职业学院犀牛大道北段</v>
      </c>
      <c r="J2155" s="113" t="str">
        <f>VLOOKUP(B2155,辅助信息!E:I,4,FALSE)</f>
        <v>程黄刚</v>
      </c>
      <c r="K2155" s="113">
        <f>VLOOKUP(J2155,辅助信息!H:I,2,FALSE)</f>
        <v>15108211617</v>
      </c>
      <c r="L2155" s="115" t="str">
        <f>VLOOKUP(B2155,辅助信息!E:J,6,FALSE)</f>
        <v>控制炉批号！多了现场不收！,优先安排达钢,提前联系到场规格及数量</v>
      </c>
      <c r="M2155" s="84">
        <v>45845</v>
      </c>
      <c r="O2155" s="55">
        <f ca="1" t="shared" si="147"/>
        <v>0</v>
      </c>
      <c r="P2155" s="55">
        <f ca="1" t="shared" si="148"/>
        <v>112</v>
      </c>
      <c r="Q2155" s="22" t="str">
        <f>VLOOKUP(B2155,辅助信息!E:M,9,FALSE)</f>
        <v>ZTWM-CDGS-XS-2024-0134-商投建工达州中医药科技成果示范园项目</v>
      </c>
      <c r="R2155" s="22" t="str">
        <f>_xlfn._xlws.FILTER(辅助信息!D:D,辅助信息!E:E=B2155)</f>
        <v>商投建工达州中医药科技园</v>
      </c>
    </row>
    <row r="2156" hidden="1" spans="2:18">
      <c r="B2156" s="113" t="s">
        <v>159</v>
      </c>
      <c r="C2156" s="63">
        <v>45847</v>
      </c>
      <c r="D2156" s="113" t="str">
        <f>VLOOKUP(B2156,辅助信息!E:K,7,FALSE)</f>
        <v>JWDDCD2025052800131</v>
      </c>
      <c r="E2156" s="113" t="str">
        <f>VLOOKUP(F2156,辅助信息!A:B,2,FALSE)</f>
        <v>螺纹钢</v>
      </c>
      <c r="F2156" s="113" t="s">
        <v>45</v>
      </c>
      <c r="G2156" s="114">
        <v>6</v>
      </c>
      <c r="H2156" s="127" t="str">
        <f>_xlfn.XLOOKUP(C2156&amp;F2156&amp;I2156&amp;J2156,'[1]2025年已发货'!$F:$F&amp;'[1]2025年已发货'!$C:$C&amp;'[1]2025年已发货'!$G:$G&amp;'[1]2025年已发货'!$H:$H,'[1]2025年已发货'!$E:$E,"未发货")</f>
        <v>未发货</v>
      </c>
      <c r="I2156" s="113" t="str">
        <f>VLOOKUP(B2156,辅助信息!E:I,3,FALSE)</f>
        <v>（商投建工达州中医药科技园-3工区）达州市通川区达州中医药职业学院犀牛大道北段</v>
      </c>
      <c r="J2156" s="113" t="str">
        <f>VLOOKUP(B2156,辅助信息!E:I,4,FALSE)</f>
        <v>程黄刚</v>
      </c>
      <c r="K2156" s="113">
        <f>VLOOKUP(J2156,辅助信息!H:I,2,FALSE)</f>
        <v>15108211617</v>
      </c>
      <c r="L2156" s="115" t="str">
        <f>VLOOKUP(B2156,辅助信息!E:J,6,FALSE)</f>
        <v>控制炉批号！多了现场不收！,优先安排达钢,提前联系到场规格及数量</v>
      </c>
      <c r="M2156" s="84">
        <v>45845</v>
      </c>
      <c r="O2156" s="55">
        <f ca="1" t="shared" si="147"/>
        <v>0</v>
      </c>
      <c r="P2156" s="55">
        <f ca="1" t="shared" si="148"/>
        <v>112</v>
      </c>
      <c r="Q2156" s="22" t="str">
        <f>VLOOKUP(B2156,辅助信息!E:M,9,FALSE)</f>
        <v>ZTWM-CDGS-XS-2024-0134-商投建工达州中医药科技成果示范园项目</v>
      </c>
      <c r="R2156" s="22" t="str">
        <f>_xlfn._xlws.FILTER(辅助信息!D:D,辅助信息!E:E=B2156)</f>
        <v>商投建工达州中医药科技园</v>
      </c>
    </row>
    <row r="2157" hidden="1" spans="2:18">
      <c r="B2157" s="113" t="s">
        <v>159</v>
      </c>
      <c r="C2157" s="63">
        <v>45847</v>
      </c>
      <c r="D2157" s="113" t="str">
        <f>VLOOKUP(B2157,辅助信息!E:K,7,FALSE)</f>
        <v>JWDDCD2025052800131</v>
      </c>
      <c r="E2157" s="113" t="str">
        <f>VLOOKUP(F2157,辅助信息!A:B,2,FALSE)</f>
        <v>螺纹钢</v>
      </c>
      <c r="F2157" s="113" t="s">
        <v>21</v>
      </c>
      <c r="G2157" s="114">
        <v>6</v>
      </c>
      <c r="H2157" s="127" t="str">
        <f>_xlfn.XLOOKUP(C2157&amp;F2157&amp;I2157&amp;J2157,'[1]2025年已发货'!$F:$F&amp;'[1]2025年已发货'!$C:$C&amp;'[1]2025年已发货'!$G:$G&amp;'[1]2025年已发货'!$H:$H,'[1]2025年已发货'!$E:$E,"未发货")</f>
        <v>未发货</v>
      </c>
      <c r="I2157" s="113" t="str">
        <f>VLOOKUP(B2157,辅助信息!E:I,3,FALSE)</f>
        <v>（商投建工达州中医药科技园-3工区）达州市通川区达州中医药职业学院犀牛大道北段</v>
      </c>
      <c r="J2157" s="113" t="str">
        <f>VLOOKUP(B2157,辅助信息!E:I,4,FALSE)</f>
        <v>程黄刚</v>
      </c>
      <c r="K2157" s="113">
        <f>VLOOKUP(J2157,辅助信息!H:I,2,FALSE)</f>
        <v>15108211617</v>
      </c>
      <c r="L2157" s="115" t="str">
        <f>VLOOKUP(B2157,辅助信息!E:J,6,FALSE)</f>
        <v>控制炉批号！多了现场不收！,优先安排达钢,提前联系到场规格及数量</v>
      </c>
      <c r="M2157" s="84">
        <v>45845</v>
      </c>
      <c r="O2157" s="55">
        <f ca="1" t="shared" si="147"/>
        <v>0</v>
      </c>
      <c r="P2157" s="55">
        <f ca="1" t="shared" si="148"/>
        <v>112</v>
      </c>
      <c r="Q2157" s="22" t="str">
        <f>VLOOKUP(B2157,辅助信息!E:M,9,FALSE)</f>
        <v>ZTWM-CDGS-XS-2024-0134-商投建工达州中医药科技成果示范园项目</v>
      </c>
      <c r="R2157" s="22" t="str">
        <f>_xlfn._xlws.FILTER(辅助信息!D:D,辅助信息!E:E=B2157)</f>
        <v>商投建工达州中医药科技园</v>
      </c>
    </row>
    <row r="2158" hidden="1" spans="2:18">
      <c r="B2158" s="113" t="s">
        <v>159</v>
      </c>
      <c r="C2158" s="63">
        <v>45847</v>
      </c>
      <c r="D2158" s="113" t="str">
        <f>VLOOKUP(B2158,辅助信息!E:K,7,FALSE)</f>
        <v>JWDDCD2025052800131</v>
      </c>
      <c r="E2158" s="113" t="str">
        <f>VLOOKUP(F2158,辅助信息!A:B,2,FALSE)</f>
        <v>螺纹钢</v>
      </c>
      <c r="F2158" s="113" t="s">
        <v>46</v>
      </c>
      <c r="G2158" s="114">
        <v>12</v>
      </c>
      <c r="H2158" s="127" t="str">
        <f>_xlfn.XLOOKUP(C2158&amp;F2158&amp;I2158&amp;J2158,'[1]2025年已发货'!$F:$F&amp;'[1]2025年已发货'!$C:$C&amp;'[1]2025年已发货'!$G:$G&amp;'[1]2025年已发货'!$H:$H,'[1]2025年已发货'!$E:$E,"未发货")</f>
        <v>未发货</v>
      </c>
      <c r="I2158" s="113" t="str">
        <f>VLOOKUP(B2158,辅助信息!E:I,3,FALSE)</f>
        <v>（商投建工达州中医药科技园-3工区）达州市通川区达州中医药职业学院犀牛大道北段</v>
      </c>
      <c r="J2158" s="113" t="str">
        <f>VLOOKUP(B2158,辅助信息!E:I,4,FALSE)</f>
        <v>程黄刚</v>
      </c>
      <c r="K2158" s="113">
        <f>VLOOKUP(J2158,辅助信息!H:I,2,FALSE)</f>
        <v>15108211617</v>
      </c>
      <c r="L2158" s="115" t="str">
        <f>VLOOKUP(B2158,辅助信息!E:J,6,FALSE)</f>
        <v>控制炉批号！多了现场不收！,优先安排达钢,提前联系到场规格及数量</v>
      </c>
      <c r="M2158" s="84">
        <v>45845</v>
      </c>
      <c r="O2158" s="55">
        <f ca="1" t="shared" si="147"/>
        <v>0</v>
      </c>
      <c r="P2158" s="55">
        <f ca="1" t="shared" si="148"/>
        <v>112</v>
      </c>
      <c r="Q2158" s="22" t="str">
        <f>VLOOKUP(B2158,辅助信息!E:M,9,FALSE)</f>
        <v>ZTWM-CDGS-XS-2024-0134-商投建工达州中医药科技成果示范园项目</v>
      </c>
      <c r="R2158" s="22" t="str">
        <f>_xlfn._xlws.FILTER(辅助信息!D:D,辅助信息!E:E=B2158)</f>
        <v>商投建工达州中医药科技园</v>
      </c>
    </row>
    <row r="2159" hidden="1" spans="2:18">
      <c r="B2159" s="113" t="s">
        <v>156</v>
      </c>
      <c r="C2159" s="63">
        <v>45847</v>
      </c>
      <c r="D2159" s="113" t="e">
        <f>VLOOKUP(B2159,辅助信息!E:K,7,FALSE)</f>
        <v>#N/A</v>
      </c>
      <c r="E2159" s="113" t="str">
        <f>VLOOKUP(F2159,辅助信息!A:B,2,FALSE)</f>
        <v>盘螺</v>
      </c>
      <c r="F2159" s="113" t="s">
        <v>40</v>
      </c>
      <c r="G2159" s="114">
        <v>3</v>
      </c>
      <c r="H2159" s="127" t="e">
        <f>_xlfn.XLOOKUP(C2159&amp;F2159&amp;I2159&amp;J2159,'[1]2025年已发货'!$F:$F&amp;'[1]2025年已发货'!$C:$C&amp;'[1]2025年已发货'!$G:$G&amp;'[1]2025年已发货'!$H:$H,'[1]2025年已发货'!$E:$E,"未发货")</f>
        <v>#N/A</v>
      </c>
      <c r="I2159" s="113" t="e">
        <f>VLOOKUP(B2159,辅助信息!E:I,3,FALSE)</f>
        <v>#N/A</v>
      </c>
      <c r="J2159" s="113" t="e">
        <f>VLOOKUP(B2159,辅助信息!E:I,4,FALSE)</f>
        <v>#N/A</v>
      </c>
      <c r="K2159" s="113" t="e">
        <f>VLOOKUP(J2159,辅助信息!H:I,2,FALSE)</f>
        <v>#N/A</v>
      </c>
      <c r="L2159" s="115" t="e">
        <f>VLOOKUP(B2159,辅助信息!E:J,6,FALSE)</f>
        <v>#N/A</v>
      </c>
      <c r="M2159" s="84">
        <v>45845</v>
      </c>
      <c r="O2159" s="55">
        <f ca="1" t="shared" si="147"/>
        <v>0</v>
      </c>
      <c r="P2159" s="55">
        <f ca="1" t="shared" si="148"/>
        <v>112</v>
      </c>
      <c r="Q2159" s="22" t="e">
        <f>VLOOKUP(B2159,辅助信息!E:M,9,FALSE)</f>
        <v>#N/A</v>
      </c>
      <c r="R2159" s="22" vm="1" t="e">
        <f>_xlfn._xlws.FILTER(辅助信息!D:D,辅助信息!E:E=B2159)</f>
        <v>#VALUE!</v>
      </c>
    </row>
    <row r="2160" hidden="1" spans="2:18">
      <c r="B2160" s="113" t="s">
        <v>156</v>
      </c>
      <c r="C2160" s="63">
        <v>45847</v>
      </c>
      <c r="D2160" s="113" t="e">
        <f>VLOOKUP(B2160,辅助信息!E:K,7,FALSE)</f>
        <v>#N/A</v>
      </c>
      <c r="E2160" s="113" t="str">
        <f>VLOOKUP(F2160,辅助信息!A:B,2,FALSE)</f>
        <v>螺纹钢</v>
      </c>
      <c r="F2160" s="113" t="s">
        <v>19</v>
      </c>
      <c r="G2160" s="114">
        <v>16</v>
      </c>
      <c r="H2160" s="127" t="e">
        <f>_xlfn.XLOOKUP(C2160&amp;F2160&amp;I2160&amp;J2160,'[1]2025年已发货'!$F:$F&amp;'[1]2025年已发货'!$C:$C&amp;'[1]2025年已发货'!$G:$G&amp;'[1]2025年已发货'!$H:$H,'[1]2025年已发货'!$E:$E,"未发货")</f>
        <v>#N/A</v>
      </c>
      <c r="I2160" s="113" t="e">
        <f>VLOOKUP(B2160,辅助信息!E:I,3,FALSE)</f>
        <v>#N/A</v>
      </c>
      <c r="J2160" s="113" t="e">
        <f>VLOOKUP(B2160,辅助信息!E:I,4,FALSE)</f>
        <v>#N/A</v>
      </c>
      <c r="K2160" s="113" t="e">
        <f>VLOOKUP(J2160,辅助信息!H:I,2,FALSE)</f>
        <v>#N/A</v>
      </c>
      <c r="L2160" s="115" t="e">
        <f>VLOOKUP(B2160,辅助信息!E:J,6,FALSE)</f>
        <v>#N/A</v>
      </c>
      <c r="M2160" s="84">
        <v>45845</v>
      </c>
      <c r="O2160" s="55">
        <f ca="1" t="shared" si="147"/>
        <v>0</v>
      </c>
      <c r="P2160" s="55">
        <f ca="1" t="shared" si="148"/>
        <v>112</v>
      </c>
      <c r="Q2160" s="22" t="e">
        <f>VLOOKUP(B2160,辅助信息!E:M,9,FALSE)</f>
        <v>#N/A</v>
      </c>
      <c r="R2160" s="22" vm="1" t="e">
        <f>_xlfn._xlws.FILTER(辅助信息!D:D,辅助信息!E:E=B2160)</f>
        <v>#VALUE!</v>
      </c>
    </row>
    <row r="2161" hidden="1" spans="2:18">
      <c r="B2161" s="113" t="s">
        <v>156</v>
      </c>
      <c r="C2161" s="63">
        <v>45847</v>
      </c>
      <c r="D2161" s="113" t="e">
        <f>VLOOKUP(B2161,辅助信息!E:K,7,FALSE)</f>
        <v>#N/A</v>
      </c>
      <c r="E2161" s="113" t="str">
        <f>VLOOKUP(F2161,辅助信息!A:B,2,FALSE)</f>
        <v>螺纹钢</v>
      </c>
      <c r="F2161" s="113" t="s">
        <v>30</v>
      </c>
      <c r="G2161" s="114">
        <v>24</v>
      </c>
      <c r="H2161" s="127" t="e">
        <f>_xlfn.XLOOKUP(C2161&amp;F2161&amp;I2161&amp;J2161,'[1]2025年已发货'!$F:$F&amp;'[1]2025年已发货'!$C:$C&amp;'[1]2025年已发货'!$G:$G&amp;'[1]2025年已发货'!$H:$H,'[1]2025年已发货'!$E:$E,"未发货")</f>
        <v>#N/A</v>
      </c>
      <c r="I2161" s="113" t="e">
        <f>VLOOKUP(B2161,辅助信息!E:I,3,FALSE)</f>
        <v>#N/A</v>
      </c>
      <c r="J2161" s="113" t="e">
        <f>VLOOKUP(B2161,辅助信息!E:I,4,FALSE)</f>
        <v>#N/A</v>
      </c>
      <c r="K2161" s="113" t="e">
        <f>VLOOKUP(J2161,辅助信息!H:I,2,FALSE)</f>
        <v>#N/A</v>
      </c>
      <c r="L2161" s="115" t="e">
        <f>VLOOKUP(B2161,辅助信息!E:J,6,FALSE)</f>
        <v>#N/A</v>
      </c>
      <c r="M2161" s="84">
        <v>45845</v>
      </c>
      <c r="O2161" s="55">
        <f ca="1" t="shared" si="147"/>
        <v>0</v>
      </c>
      <c r="P2161" s="55">
        <f ca="1" t="shared" si="148"/>
        <v>112</v>
      </c>
      <c r="Q2161" s="22" t="e">
        <f>VLOOKUP(B2161,辅助信息!E:M,9,FALSE)</f>
        <v>#N/A</v>
      </c>
      <c r="R2161" s="22" vm="1" t="e">
        <f>_xlfn._xlws.FILTER(辅助信息!D:D,辅助信息!E:E=B2161)</f>
        <v>#VALUE!</v>
      </c>
    </row>
    <row r="2162" hidden="1" spans="1:18">
      <c r="A2162" s="121" t="s">
        <v>189</v>
      </c>
      <c r="B2162" s="124" t="s">
        <v>180</v>
      </c>
      <c r="C2162" s="63">
        <v>45847</v>
      </c>
      <c r="D2162" s="113" t="str">
        <f>VLOOKUP(B2162,辅助信息!E:K,7,FALSE)</f>
        <v>JWDDCD2025052800131</v>
      </c>
      <c r="E2162" s="113" t="str">
        <f>VLOOKUP(F2162,辅助信息!A:B,2,FALSE)</f>
        <v>盘螺</v>
      </c>
      <c r="F2162" s="113" t="s">
        <v>49</v>
      </c>
      <c r="G2162" s="114">
        <v>6</v>
      </c>
      <c r="H2162" s="127">
        <f>_xlfn.XLOOKUP(C2162&amp;F2162&amp;I2162&amp;J2162,'[1]2025年已发货'!$F:$F&amp;'[1]2025年已发货'!$C:$C&amp;'[1]2025年已发货'!$G:$G&amp;'[1]2025年已发货'!$H:$H,'[1]2025年已发货'!$E:$E,"未发货")</f>
        <v>6</v>
      </c>
      <c r="I2162" s="113" t="str">
        <f>VLOOKUP(B2162,辅助信息!E:I,3,FALSE)</f>
        <v>（商投建工达州中医药科技园-4工区-8号楼）达州市通川区达州中医药职业学院犀牛大道北段</v>
      </c>
      <c r="J2162" s="113" t="str">
        <f>VLOOKUP(B2162,辅助信息!E:I,4,FALSE)</f>
        <v>张扬</v>
      </c>
      <c r="K2162" s="113">
        <f>VLOOKUP(J2162,辅助信息!H:I,2,FALSE)</f>
        <v>18381904567</v>
      </c>
      <c r="L2162" s="115" t="str">
        <f>VLOOKUP(B2162,辅助信息!E:J,6,FALSE)</f>
        <v>控制炉批号！多了现场不收！,优先安排达钢,提前联系到场规格及数量</v>
      </c>
      <c r="M2162" s="84">
        <v>45845</v>
      </c>
      <c r="O2162" s="55">
        <f ca="1" t="shared" si="147"/>
        <v>0</v>
      </c>
      <c r="P2162" s="55">
        <f ca="1" t="shared" si="148"/>
        <v>112</v>
      </c>
      <c r="Q2162" s="22" t="str">
        <f>VLOOKUP(B2162,辅助信息!E:M,9,FALSE)</f>
        <v>ZTWM-CDGS-XS-2024-0134-商投建工达州中医药科技成果示范园项目</v>
      </c>
      <c r="R2162" s="22" t="str">
        <f>_xlfn._xlws.FILTER(辅助信息!D:D,辅助信息!E:E=B2162)</f>
        <v>商投建工达州中医药科技园</v>
      </c>
    </row>
    <row r="2163" hidden="1" spans="1:18">
      <c r="A2163" s="121"/>
      <c r="B2163" s="124" t="s">
        <v>180</v>
      </c>
      <c r="C2163" s="63">
        <v>45847</v>
      </c>
      <c r="D2163" s="113" t="str">
        <f>VLOOKUP(B2163,辅助信息!E:K,7,FALSE)</f>
        <v>JWDDCD2025052800131</v>
      </c>
      <c r="E2163" s="113" t="str">
        <f>VLOOKUP(F2163,辅助信息!A:B,2,FALSE)</f>
        <v>盘螺</v>
      </c>
      <c r="F2163" s="113" t="s">
        <v>40</v>
      </c>
      <c r="G2163" s="114">
        <v>21</v>
      </c>
      <c r="H2163" s="127">
        <f>_xlfn.XLOOKUP(C2163&amp;F2163&amp;I2163&amp;J2163,'[1]2025年已发货'!$F:$F&amp;'[1]2025年已发货'!$C:$C&amp;'[1]2025年已发货'!$G:$G&amp;'[1]2025年已发货'!$H:$H,'[1]2025年已发货'!$E:$E,"未发货")</f>
        <v>21</v>
      </c>
      <c r="I2163" s="113" t="str">
        <f>VLOOKUP(B2163,辅助信息!E:I,3,FALSE)</f>
        <v>（商投建工达州中医药科技园-4工区-8号楼）达州市通川区达州中医药职业学院犀牛大道北段</v>
      </c>
      <c r="J2163" s="113" t="str">
        <f>VLOOKUP(B2163,辅助信息!E:I,4,FALSE)</f>
        <v>张扬</v>
      </c>
      <c r="K2163" s="113">
        <f>VLOOKUP(J2163,辅助信息!H:I,2,FALSE)</f>
        <v>18381904567</v>
      </c>
      <c r="L2163" s="115" t="str">
        <f>VLOOKUP(B2163,辅助信息!E:J,6,FALSE)</f>
        <v>控制炉批号！多了现场不收！,优先安排达钢,提前联系到场规格及数量</v>
      </c>
      <c r="M2163" s="84">
        <v>45845</v>
      </c>
      <c r="O2163" s="55">
        <f ca="1" t="shared" si="147"/>
        <v>0</v>
      </c>
      <c r="P2163" s="55">
        <f ca="1" t="shared" si="148"/>
        <v>112</v>
      </c>
      <c r="Q2163" s="22" t="str">
        <f>VLOOKUP(B2163,辅助信息!E:M,9,FALSE)</f>
        <v>ZTWM-CDGS-XS-2024-0134-商投建工达州中医药科技成果示范园项目</v>
      </c>
      <c r="R2163" s="22" t="str">
        <f>_xlfn._xlws.FILTER(辅助信息!D:D,辅助信息!E:E=B2163)</f>
        <v>商投建工达州中医药科技园</v>
      </c>
    </row>
    <row r="2164" hidden="1" spans="1:18">
      <c r="A2164" s="121"/>
      <c r="B2164" s="124" t="s">
        <v>180</v>
      </c>
      <c r="C2164" s="63">
        <v>45847</v>
      </c>
      <c r="D2164" s="113" t="str">
        <f>VLOOKUP(B2164,辅助信息!E:K,7,FALSE)</f>
        <v>JWDDCD2025052800131</v>
      </c>
      <c r="E2164" s="113" t="str">
        <f>VLOOKUP(F2164,辅助信息!A:B,2,FALSE)</f>
        <v>盘螺</v>
      </c>
      <c r="F2164" s="113" t="s">
        <v>41</v>
      </c>
      <c r="G2164" s="114">
        <v>15</v>
      </c>
      <c r="H2164" s="127">
        <f>_xlfn.XLOOKUP(C2164&amp;F2164&amp;I2164&amp;J2164,'[1]2025年已发货'!$F:$F&amp;'[1]2025年已发货'!$C:$C&amp;'[1]2025年已发货'!$G:$G&amp;'[1]2025年已发货'!$H:$H,'[1]2025年已发货'!$E:$E,"未发货")</f>
        <v>15</v>
      </c>
      <c r="I2164" s="113" t="str">
        <f>VLOOKUP(B2164,辅助信息!E:I,3,FALSE)</f>
        <v>（商投建工达州中医药科技园-4工区-8号楼）达州市通川区达州中医药职业学院犀牛大道北段</v>
      </c>
      <c r="J2164" s="113" t="str">
        <f>VLOOKUP(B2164,辅助信息!E:I,4,FALSE)</f>
        <v>张扬</v>
      </c>
      <c r="K2164" s="113">
        <f>VLOOKUP(J2164,辅助信息!H:I,2,FALSE)</f>
        <v>18381904567</v>
      </c>
      <c r="L2164" s="115" t="str">
        <f>VLOOKUP(B2164,辅助信息!E:J,6,FALSE)</f>
        <v>控制炉批号！多了现场不收！,优先安排达钢,提前联系到场规格及数量</v>
      </c>
      <c r="M2164" s="84">
        <v>45845</v>
      </c>
      <c r="O2164" s="55">
        <f ca="1" t="shared" si="147"/>
        <v>0</v>
      </c>
      <c r="P2164" s="55">
        <f ca="1" t="shared" si="148"/>
        <v>112</v>
      </c>
      <c r="Q2164" s="22" t="str">
        <f>VLOOKUP(B2164,辅助信息!E:M,9,FALSE)</f>
        <v>ZTWM-CDGS-XS-2024-0134-商投建工达州中医药科技成果示范园项目</v>
      </c>
      <c r="R2164" s="22" t="str">
        <f>_xlfn._xlws.FILTER(辅助信息!D:D,辅助信息!E:E=B2164)</f>
        <v>商投建工达州中医药科技园</v>
      </c>
    </row>
    <row r="2165" hidden="1" spans="1:18">
      <c r="A2165" s="121"/>
      <c r="B2165" s="124" t="s">
        <v>69</v>
      </c>
      <c r="C2165" s="63">
        <v>45847</v>
      </c>
      <c r="D2165" s="113" t="str">
        <f>VLOOKUP(B2165,辅助信息!E:K,7,FALSE)</f>
        <v>JWDDCD2025052800131</v>
      </c>
      <c r="E2165" s="113" t="str">
        <f>VLOOKUP(F2165,辅助信息!A:B,2,FALSE)</f>
        <v>螺纹钢</v>
      </c>
      <c r="F2165" s="113" t="s">
        <v>19</v>
      </c>
      <c r="G2165" s="114">
        <v>3</v>
      </c>
      <c r="H2165" s="127">
        <f>_xlfn.XLOOKUP(C2165&amp;F2165&amp;I2165&amp;J2165,'[1]2025年已发货'!$F:$F&amp;'[1]2025年已发货'!$C:$C&amp;'[1]2025年已发货'!$G:$G&amp;'[1]2025年已发货'!$H:$H,'[1]2025年已发货'!$E:$E,"未发货")</f>
        <v>3</v>
      </c>
      <c r="I2165" s="113" t="str">
        <f>VLOOKUP(B2165,辅助信息!E:I,3,FALSE)</f>
        <v>（商投建工达州中医药科技园-4工区-2号楼）达州市通川区达州中医药职业学院犀牛大道北段</v>
      </c>
      <c r="J2165" s="113" t="str">
        <f>VLOOKUP(B2165,辅助信息!E:I,4,FALSE)</f>
        <v>张扬</v>
      </c>
      <c r="K2165" s="113">
        <f>VLOOKUP(J2165,辅助信息!H:I,2,FALSE)</f>
        <v>18381904567</v>
      </c>
      <c r="L2165" s="115" t="str">
        <f>VLOOKUP(B2165,辅助信息!E:J,6,FALSE)</f>
        <v>控制炉批号！多了现场不收！,优先安排达钢,提前联系到场规格及数量</v>
      </c>
      <c r="M2165" s="84">
        <v>45845</v>
      </c>
      <c r="O2165" s="55">
        <f ca="1" t="shared" si="147"/>
        <v>0</v>
      </c>
      <c r="P2165" s="55">
        <f ca="1" t="shared" si="148"/>
        <v>112</v>
      </c>
      <c r="Q2165" s="22" t="str">
        <f>VLOOKUP(B2165,辅助信息!E:M,9,FALSE)</f>
        <v>ZTWM-CDGS-XS-2024-0134-商投建工达州中医药科技成果示范园项目</v>
      </c>
      <c r="R2165" s="22" t="str">
        <f>_xlfn._xlws.FILTER(辅助信息!D:D,辅助信息!E:E=B2165)</f>
        <v>商投建工达州中医药科技园</v>
      </c>
    </row>
    <row r="2166" hidden="1" spans="2:18">
      <c r="B2166" s="33" t="s">
        <v>81</v>
      </c>
      <c r="C2166" s="63">
        <v>45847</v>
      </c>
      <c r="D2166" s="113" t="str">
        <f>VLOOKUP(B2166,辅助信息!E:K,7,FALSE)</f>
        <v>JWDDCD2025060900080</v>
      </c>
      <c r="E2166" s="113" t="str">
        <f>VLOOKUP(F2166,辅助信息!A:B,2,FALSE)</f>
        <v>螺纹钢</v>
      </c>
      <c r="F2166" s="33" t="s">
        <v>66</v>
      </c>
      <c r="G2166" s="29">
        <v>2.5</v>
      </c>
      <c r="H2166" s="127" t="str">
        <f>_xlfn.XLOOKUP(C2166&amp;F2166&amp;I2166&amp;J2166,'[1]2025年已发货'!$F:$F&amp;'[1]2025年已发货'!$C:$C&amp;'[1]2025年已发货'!$G:$G&amp;'[1]2025年已发货'!$H:$H,'[1]2025年已发货'!$E:$E,"未发货")</f>
        <v>未发货</v>
      </c>
      <c r="I2166" s="113" t="str">
        <f>VLOOKUP(B2166,辅助信息!E:I,3,FALSE)</f>
        <v>（华西简阳西城嘉苑）四川省成都市简阳市简城街道高屋村</v>
      </c>
      <c r="J2166" s="113" t="str">
        <f>VLOOKUP(B2166,辅助信息!E:I,4,FALSE)</f>
        <v>张瀚镭</v>
      </c>
      <c r="K2166" s="113">
        <f>VLOOKUP(J2166,辅助信息!H:I,2,FALSE)</f>
        <v>15884666220</v>
      </c>
      <c r="L2166" s="115" t="str">
        <f>VLOOKUP(B2166,辅助信息!E:J,6,FALSE)</f>
        <v>现场禁止使用氢能源挂车！优先威钢发货,我方卸车,新老国标钢厂不加价可直发，因陕钢多次出现磅差，项目拒绝使用</v>
      </c>
      <c r="M2166" s="84">
        <v>45847</v>
      </c>
      <c r="O2166" s="55">
        <f ca="1" t="shared" si="147"/>
        <v>0</v>
      </c>
      <c r="P2166" s="55">
        <f ca="1" t="shared" si="148"/>
        <v>110</v>
      </c>
      <c r="Q2166" s="22" t="str">
        <f>VLOOKUP(B2166,辅助信息!E:M,9,FALSE)</f>
        <v>ZTWM-CDGS-XS-2024-0030-华西集采-简州大道</v>
      </c>
      <c r="R2166" s="22" t="str">
        <f>_xlfn._xlws.FILTER(辅助信息!D:D,辅助信息!E:E=B2166)</f>
        <v>华西简阳西城嘉苑</v>
      </c>
    </row>
    <row r="2167" hidden="1" spans="2:18">
      <c r="B2167" s="33" t="s">
        <v>186</v>
      </c>
      <c r="C2167" s="63">
        <v>45847</v>
      </c>
      <c r="D2167" s="113" t="str">
        <f>VLOOKUP(B2167,辅助信息!E:K,7,FALSE)</f>
        <v>JWDDCD2025072900123</v>
      </c>
      <c r="E2167" s="113" t="str">
        <f>VLOOKUP(F2167,辅助信息!A:B,2,FALSE)</f>
        <v>螺纹钢</v>
      </c>
      <c r="F2167" s="33" t="s">
        <v>22</v>
      </c>
      <c r="G2167" s="29">
        <v>17</v>
      </c>
      <c r="H2167" s="127" t="str">
        <f>_xlfn.XLOOKUP(C2167&amp;F2167&amp;I2167&amp;J2167,'[1]2025年已发货'!$F:$F&amp;'[1]2025年已发货'!$C:$C&amp;'[1]2025年已发货'!$G:$G&amp;'[1]2025年已发货'!$H:$H,'[1]2025年已发货'!$E:$E,"未发货")</f>
        <v>未发货</v>
      </c>
      <c r="I2167" s="113" t="str">
        <f>VLOOKUP(B2167,辅助信息!E:I,3,FALSE)</f>
        <v>(乐山市校地共建产教融合基地建设项目二标段)四川省乐山市市中区苏稽镇</v>
      </c>
      <c r="J2167" s="113" t="str">
        <f>VLOOKUP(B2167,辅助信息!E:I,4,FALSE)</f>
        <v>彭江涛</v>
      </c>
      <c r="K2167" s="113">
        <f>VLOOKUP(J2167,辅助信息!H:I,2,FALSE)</f>
        <v>13990276572</v>
      </c>
      <c r="L2167" s="115" t="str">
        <f>VLOOKUP(B2167,辅助信息!E:J,6,FALSE)</f>
        <v>联系实际收货人（彭江涛13990276572）现场要求炉批号控制2个以下，超2个不给予签收。提前联系到场规格及数量</v>
      </c>
      <c r="M2167" s="84">
        <v>45847</v>
      </c>
      <c r="O2167" s="55">
        <f ca="1" t="shared" si="147"/>
        <v>0</v>
      </c>
      <c r="P2167" s="55">
        <f ca="1" t="shared" si="148"/>
        <v>110</v>
      </c>
      <c r="Q2167" s="22" t="str">
        <f>VLOOKUP(B2167,辅助信息!E:M,9,FALSE)</f>
        <v>ZTWM-CDGS-XS-2025-0126-四川机司-乐山市校地共建产教融合基地配套设施项目施工二标段钢筋采购合同</v>
      </c>
      <c r="R2167" s="22" t="str">
        <f>_xlfn._xlws.FILTER(辅助信息!D:D,辅助信息!E:E=B2167)</f>
        <v>乐山市校地共建产教融合基地建设项目二标段</v>
      </c>
    </row>
    <row r="2168" hidden="1" spans="2:18">
      <c r="B2168" s="33" t="s">
        <v>92</v>
      </c>
      <c r="C2168" s="63">
        <v>45847</v>
      </c>
      <c r="D2168" s="113" t="str">
        <f>VLOOKUP(B2168,辅助信息!E:K,7,FALSE)</f>
        <v>JWDDCD2025051800046</v>
      </c>
      <c r="E2168" s="113" t="str">
        <f>VLOOKUP(F2168,辅助信息!A:B,2,FALSE)</f>
        <v>螺纹钢</v>
      </c>
      <c r="F2168" s="33" t="s">
        <v>30</v>
      </c>
      <c r="G2168" s="29">
        <v>3</v>
      </c>
      <c r="H2168" s="127">
        <f>_xlfn.XLOOKUP(C2168&amp;F2168&amp;I2168&amp;J2168,'[1]2025年已发货'!$F:$F&amp;'[1]2025年已发货'!$C:$C&amp;'[1]2025年已发货'!$G:$G&amp;'[1]2025年已发货'!$H:$H,'[1]2025年已发货'!$E:$E,"未发货")</f>
        <v>3</v>
      </c>
      <c r="I2168" s="113" t="str">
        <f>VLOOKUP(B2168,辅助信息!E:I,3,FALSE)</f>
        <v>（华西萌海科创农业生态谷）成都市简阳市白金山水库</v>
      </c>
      <c r="J2168" s="113" t="str">
        <f>VLOOKUP(B2168,辅助信息!E:I,4,FALSE)</f>
        <v>石清国</v>
      </c>
      <c r="K2168" s="113">
        <f>VLOOKUP(J2168,辅助信息!H:I,2,FALSE)</f>
        <v>13458642015</v>
      </c>
      <c r="L2168" s="115" t="str">
        <f>VLOOKUP(B2168,辅助信息!E:J,6,FALSE)</f>
        <v>优先威钢,我方卸车,新老国标钢厂不加价可直发</v>
      </c>
      <c r="M2168" s="84">
        <v>45847</v>
      </c>
      <c r="O2168" s="55">
        <f ca="1" t="shared" si="147"/>
        <v>0</v>
      </c>
      <c r="P2168" s="55">
        <f ca="1" t="shared" si="148"/>
        <v>110</v>
      </c>
      <c r="Q2168" s="22" t="str">
        <f>VLOOKUP(B2168,辅助信息!E:M,9,FALSE)</f>
        <v>ZTWM-CDGS-XS-2024-0092-华西-萌海科创农业生态谷</v>
      </c>
      <c r="R2168" s="22" t="str">
        <f>_xlfn._xlws.FILTER(辅助信息!D:D,辅助信息!E:E=B2168)</f>
        <v>华西萌海-科创农业生态谷</v>
      </c>
    </row>
    <row r="2169" hidden="1" spans="2:18">
      <c r="B2169" s="33" t="s">
        <v>92</v>
      </c>
      <c r="C2169" s="63">
        <v>45847</v>
      </c>
      <c r="D2169" s="113" t="str">
        <f>VLOOKUP(B2169,辅助信息!E:K,7,FALSE)</f>
        <v>JWDDCD2025051800046</v>
      </c>
      <c r="E2169" s="113" t="str">
        <f>VLOOKUP(F2169,辅助信息!A:B,2,FALSE)</f>
        <v>螺纹钢</v>
      </c>
      <c r="F2169" s="33" t="s">
        <v>46</v>
      </c>
      <c r="G2169" s="29">
        <v>10</v>
      </c>
      <c r="H2169" s="127">
        <f>_xlfn.XLOOKUP(C2169&amp;F2169&amp;I2169&amp;J2169,'[1]2025年已发货'!$F:$F&amp;'[1]2025年已发货'!$C:$C&amp;'[1]2025年已发货'!$G:$G&amp;'[1]2025年已发货'!$H:$H,'[1]2025年已发货'!$E:$E,"未发货")</f>
        <v>10</v>
      </c>
      <c r="I2169" s="33" t="str">
        <f>VLOOKUP(B2169,辅助信息!E:I,3,FALSE)</f>
        <v>（华西萌海科创农业生态谷）成都市简阳市白金山水库</v>
      </c>
      <c r="J2169" s="33" t="str">
        <f>VLOOKUP(B2169,辅助信息!E:I,4,FALSE)</f>
        <v>石清国</v>
      </c>
      <c r="K2169" s="33">
        <f>VLOOKUP(J2169,辅助信息!H:I,2,FALSE)</f>
        <v>13458642015</v>
      </c>
      <c r="L2169" s="102" t="str">
        <f>VLOOKUP(B2169,辅助信息!E:J,6,FALSE)</f>
        <v>优先威钢,我方卸车,新老国标钢厂不加价可直发</v>
      </c>
      <c r="M2169" s="84">
        <v>45847</v>
      </c>
      <c r="O2169" s="55">
        <f ca="1" t="shared" si="147"/>
        <v>0</v>
      </c>
      <c r="P2169" s="55">
        <f ca="1" t="shared" si="148"/>
        <v>110</v>
      </c>
      <c r="Q2169" s="22" t="str">
        <f>VLOOKUP(B2169,辅助信息!E:M,9,FALSE)</f>
        <v>ZTWM-CDGS-XS-2024-0092-华西-萌海科创农业生态谷</v>
      </c>
      <c r="R2169" s="22" t="str">
        <f>_xlfn._xlws.FILTER(辅助信息!D:D,辅助信息!E:E=B2169)</f>
        <v>华西萌海-科创农业生态谷</v>
      </c>
    </row>
    <row r="2170" hidden="1" spans="2:18">
      <c r="B2170" s="33" t="s">
        <v>92</v>
      </c>
      <c r="C2170" s="63">
        <v>45847</v>
      </c>
      <c r="D2170" s="113" t="str">
        <f>VLOOKUP(B2170,辅助信息!E:K,7,FALSE)</f>
        <v>JWDDCD2025051800046</v>
      </c>
      <c r="E2170" s="113" t="str">
        <f>VLOOKUP(F2170,辅助信息!A:B,2,FALSE)</f>
        <v>螺纹钢</v>
      </c>
      <c r="F2170" s="33" t="s">
        <v>22</v>
      </c>
      <c r="G2170" s="29">
        <v>27</v>
      </c>
      <c r="H2170" s="127">
        <f>_xlfn.XLOOKUP(C2170&amp;F2170&amp;I2170&amp;J2170,'[1]2025年已发货'!$F:$F&amp;'[1]2025年已发货'!$C:$C&amp;'[1]2025年已发货'!$G:$G&amp;'[1]2025年已发货'!$H:$H,'[1]2025年已发货'!$E:$E,"未发货")</f>
        <v>27</v>
      </c>
      <c r="I2170" s="33" t="str">
        <f>VLOOKUP(B2170,辅助信息!E:I,3,FALSE)</f>
        <v>（华西萌海科创农业生态谷）成都市简阳市白金山水库</v>
      </c>
      <c r="J2170" s="33" t="str">
        <f>VLOOKUP(B2170,辅助信息!E:I,4,FALSE)</f>
        <v>石清国</v>
      </c>
      <c r="K2170" s="33">
        <f>VLOOKUP(J2170,辅助信息!H:I,2,FALSE)</f>
        <v>13458642015</v>
      </c>
      <c r="L2170" s="102" t="str">
        <f>VLOOKUP(B2170,辅助信息!E:J,6,FALSE)</f>
        <v>优先威钢,我方卸车,新老国标钢厂不加价可直发</v>
      </c>
      <c r="M2170" s="84">
        <v>45847</v>
      </c>
      <c r="O2170" s="55">
        <f ca="1" t="shared" si="147"/>
        <v>0</v>
      </c>
      <c r="P2170" s="55">
        <f ca="1" t="shared" si="148"/>
        <v>110</v>
      </c>
      <c r="Q2170" s="22" t="str">
        <f>VLOOKUP(B2170,辅助信息!E:M,9,FALSE)</f>
        <v>ZTWM-CDGS-XS-2024-0092-华西-萌海科创农业生态谷</v>
      </c>
      <c r="R2170" s="22" t="str">
        <f>_xlfn._xlws.FILTER(辅助信息!D:D,辅助信息!E:E=B2170)</f>
        <v>华西萌海-科创农业生态谷</v>
      </c>
    </row>
    <row r="2171" hidden="1" spans="2:18">
      <c r="B2171" s="33" t="s">
        <v>167</v>
      </c>
      <c r="C2171" s="63">
        <v>45847</v>
      </c>
      <c r="D2171" s="33" t="str">
        <f>VLOOKUP(B2171,辅助信息!E:K,7,FALSE)</f>
        <v>JWDDCD2025102100473</v>
      </c>
      <c r="E2171" s="33" t="str">
        <f>VLOOKUP(F2171,辅助信息!A:B,2,FALSE)</f>
        <v>螺纹钢</v>
      </c>
      <c r="F2171" s="33" t="s">
        <v>32</v>
      </c>
      <c r="G2171" s="29">
        <v>5</v>
      </c>
      <c r="H2171" s="127">
        <f>_xlfn.XLOOKUP(C2171&amp;F2171&amp;I2171&amp;J2171,'[1]2025年已发货'!$F:$F&amp;'[1]2025年已发货'!$C:$C&amp;'[1]2025年已发货'!$G:$G&amp;'[1]2025年已发货'!$H:$H,'[1]2025年已发货'!$E:$E,"未发货")</f>
        <v>5</v>
      </c>
      <c r="I2171" s="33" t="str">
        <f>VLOOKUP(B2171,辅助信息!E:I,3,FALSE)</f>
        <v>(五冶建设扩建艺体中学二期工程)四川省成都市双流区光荣路成都艺体中学南200米</v>
      </c>
      <c r="J2171" s="33" t="str">
        <f>VLOOKUP(B2171,辅助信息!E:I,4,FALSE)</f>
        <v>谢序强</v>
      </c>
      <c r="K2171" s="33">
        <f>VLOOKUP(J2171,辅助信息!H:I,2,FALSE)</f>
        <v>13458588232</v>
      </c>
      <c r="L2171" s="102"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84">
        <v>45847</v>
      </c>
      <c r="O2171" s="55">
        <f ca="1" t="shared" si="147"/>
        <v>0</v>
      </c>
      <c r="P2171" s="55">
        <f ca="1" t="shared" si="148"/>
        <v>110</v>
      </c>
      <c r="Q2171" s="22" t="str">
        <f>VLOOKUP(B2171,辅助信息!E:M,9,FALSE)</f>
        <v>ZTWM-CDGS-XS-2025-0073-五冶天府-成都怡心湖片区及龙泉驿医院等项目</v>
      </c>
      <c r="R2171" s="22" t="str">
        <f>_xlfn._xlws.FILTER(辅助信息!D:D,辅助信息!E:E=B2171)</f>
        <v>五冶建设扩建艺体中学二期工程</v>
      </c>
    </row>
    <row r="2172" hidden="1" spans="2:18">
      <c r="B2172" s="33" t="s">
        <v>167</v>
      </c>
      <c r="C2172" s="63">
        <v>45847</v>
      </c>
      <c r="D2172" s="33" t="str">
        <f>VLOOKUP(B2172,辅助信息!E:K,7,FALSE)</f>
        <v>JWDDCD2025102100473</v>
      </c>
      <c r="E2172" s="33" t="str">
        <f>VLOOKUP(F2172,辅助信息!A:B,2,FALSE)</f>
        <v>螺纹钢</v>
      </c>
      <c r="F2172" s="33" t="s">
        <v>30</v>
      </c>
      <c r="G2172" s="29">
        <v>25</v>
      </c>
      <c r="H2172" s="127">
        <f>_xlfn.XLOOKUP(C2172&amp;F2172&amp;I2172&amp;J2172,'[1]2025年已发货'!$F:$F&amp;'[1]2025年已发货'!$C:$C&amp;'[1]2025年已发货'!$G:$G&amp;'[1]2025年已发货'!$H:$H,'[1]2025年已发货'!$E:$E,"未发货")</f>
        <v>25</v>
      </c>
      <c r="I2172" s="33" t="str">
        <f>VLOOKUP(B2172,辅助信息!E:I,3,FALSE)</f>
        <v>(五冶建设扩建艺体中学二期工程)四川省成都市双流区光荣路成都艺体中学南200米</v>
      </c>
      <c r="J2172" s="33" t="str">
        <f>VLOOKUP(B2172,辅助信息!E:I,4,FALSE)</f>
        <v>谢序强</v>
      </c>
      <c r="K2172" s="33">
        <f>VLOOKUP(J2172,辅助信息!H:I,2,FALSE)</f>
        <v>13458588232</v>
      </c>
      <c r="L2172" s="102"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84">
        <v>45847</v>
      </c>
      <c r="O2172" s="55">
        <f ca="1" t="shared" si="147"/>
        <v>0</v>
      </c>
      <c r="P2172" s="55">
        <f ca="1" t="shared" si="148"/>
        <v>110</v>
      </c>
      <c r="Q2172" s="22" t="str">
        <f>VLOOKUP(B2172,辅助信息!E:M,9,FALSE)</f>
        <v>ZTWM-CDGS-XS-2025-0073-五冶天府-成都怡心湖片区及龙泉驿医院等项目</v>
      </c>
      <c r="R2172" s="22" t="str">
        <f>_xlfn._xlws.FILTER(辅助信息!D:D,辅助信息!E:E=B2172)</f>
        <v>五冶建设扩建艺体中学二期工程</v>
      </c>
    </row>
    <row r="2173" hidden="1" spans="2:18">
      <c r="B2173" s="33" t="s">
        <v>167</v>
      </c>
      <c r="C2173" s="63">
        <v>45847</v>
      </c>
      <c r="D2173" s="33" t="str">
        <f>VLOOKUP(B2173,辅助信息!E:K,7,FALSE)</f>
        <v>JWDDCD2025102100473</v>
      </c>
      <c r="E2173" s="33" t="str">
        <f>VLOOKUP(F2173,辅助信息!A:B,2,FALSE)</f>
        <v>螺纹钢</v>
      </c>
      <c r="F2173" s="33" t="s">
        <v>33</v>
      </c>
      <c r="G2173" s="29">
        <v>5</v>
      </c>
      <c r="H2173" s="127">
        <f>_xlfn.XLOOKUP(C2173&amp;F2173&amp;I2173&amp;J2173,'[1]2025年已发货'!$F:$F&amp;'[1]2025年已发货'!$C:$C&amp;'[1]2025年已发货'!$G:$G&amp;'[1]2025年已发货'!$H:$H,'[1]2025年已发货'!$E:$E,"未发货")</f>
        <v>5</v>
      </c>
      <c r="I2173" s="33" t="str">
        <f>VLOOKUP(B2173,辅助信息!E:I,3,FALSE)</f>
        <v>(五冶建设扩建艺体中学二期工程)四川省成都市双流区光荣路成都艺体中学南200米</v>
      </c>
      <c r="J2173" s="33" t="str">
        <f>VLOOKUP(B2173,辅助信息!E:I,4,FALSE)</f>
        <v>谢序强</v>
      </c>
      <c r="K2173" s="33">
        <f>VLOOKUP(J2173,辅助信息!H:I,2,FALSE)</f>
        <v>13458588232</v>
      </c>
      <c r="L2173" s="102"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84">
        <v>45847</v>
      </c>
      <c r="O2173" s="55">
        <f ca="1" t="shared" si="147"/>
        <v>0</v>
      </c>
      <c r="P2173" s="55">
        <f ca="1" t="shared" si="148"/>
        <v>110</v>
      </c>
      <c r="Q2173" s="22" t="str">
        <f>VLOOKUP(B2173,辅助信息!E:M,9,FALSE)</f>
        <v>ZTWM-CDGS-XS-2025-0073-五冶天府-成都怡心湖片区及龙泉驿医院等项目</v>
      </c>
      <c r="R2173" s="22" t="str">
        <f>_xlfn._xlws.FILTER(辅助信息!D:D,辅助信息!E:E=B2173)</f>
        <v>五冶建设扩建艺体中学二期工程</v>
      </c>
    </row>
    <row r="2174" hidden="1" spans="2:18">
      <c r="B2174" s="113" t="s">
        <v>147</v>
      </c>
      <c r="C2174" s="63">
        <v>45849</v>
      </c>
      <c r="D2174" s="113" t="str">
        <f>VLOOKUP(B2174,辅助信息!E:K,7,FALSE)</f>
        <v>JWDDCD2025052800131</v>
      </c>
      <c r="E2174" s="113" t="str">
        <f>VLOOKUP(F2174,辅助信息!A:B,2,FALSE)</f>
        <v>螺纹钢</v>
      </c>
      <c r="F2174" s="113" t="s">
        <v>21</v>
      </c>
      <c r="G2174" s="114">
        <v>6</v>
      </c>
      <c r="H2174" s="127" t="str">
        <f>_xlfn.XLOOKUP(C2174&amp;F2174&amp;I2174&amp;J2174,'[1]2025年已发货'!$F:$F&amp;'[1]2025年已发货'!$C:$C&amp;'[1]2025年已发货'!$G:$G&amp;'[1]2025年已发货'!$H:$H,'[1]2025年已发货'!$E:$E,"未发货")</f>
        <v>未发货</v>
      </c>
      <c r="I2174" s="113" t="str">
        <f>VLOOKUP(B2174,辅助信息!E:I,3,FALSE)</f>
        <v>（商投建工达州中医药科技园-4工区-11号楼）达州市通川区达州中医药职业学院犀牛大道北段</v>
      </c>
      <c r="J2174" s="113" t="str">
        <f>VLOOKUP(B2174,辅助信息!E:I,4,FALSE)</f>
        <v>张扬</v>
      </c>
      <c r="K2174" s="113">
        <f>VLOOKUP(J2174,辅助信息!H:I,2,FALSE)</f>
        <v>18381904567</v>
      </c>
      <c r="L2174" s="115" t="str">
        <f>VLOOKUP(B2174,辅助信息!E:J,6,FALSE)</f>
        <v>控制炉批号！多了现场不收！,优先安排达钢,提前联系到场规格及数量</v>
      </c>
      <c r="M2174" s="84">
        <v>45845</v>
      </c>
      <c r="O2174" s="55">
        <f ca="1" t="shared" si="147"/>
        <v>0</v>
      </c>
      <c r="P2174" s="55">
        <f ca="1" t="shared" si="148"/>
        <v>112</v>
      </c>
      <c r="Q2174" s="22" t="str">
        <f>VLOOKUP(B2174,辅助信息!E:M,9,FALSE)</f>
        <v>ZTWM-CDGS-XS-2024-0134-商投建工达州中医药科技成果示范园项目</v>
      </c>
      <c r="R2174" s="22" t="str">
        <f>_xlfn._xlws.FILTER(辅助信息!D:D,辅助信息!E:E=B2174)</f>
        <v>商投建工达州中医药科技园</v>
      </c>
    </row>
    <row r="2175" hidden="1" spans="2:18">
      <c r="B2175" s="113" t="s">
        <v>147</v>
      </c>
      <c r="C2175" s="63">
        <v>45849</v>
      </c>
      <c r="D2175" s="113" t="str">
        <f>VLOOKUP(B2175,辅助信息!E:K,7,FALSE)</f>
        <v>JWDDCD2025052800131</v>
      </c>
      <c r="E2175" s="113" t="str">
        <f>VLOOKUP(F2175,辅助信息!A:B,2,FALSE)</f>
        <v>螺纹钢</v>
      </c>
      <c r="F2175" s="113" t="s">
        <v>58</v>
      </c>
      <c r="G2175" s="114">
        <v>6</v>
      </c>
      <c r="H2175" s="127" t="str">
        <f>_xlfn.XLOOKUP(C2175&amp;F2175&amp;I2175&amp;J2175,'[1]2025年已发货'!$F:$F&amp;'[1]2025年已发货'!$C:$C&amp;'[1]2025年已发货'!$G:$G&amp;'[1]2025年已发货'!$H:$H,'[1]2025年已发货'!$E:$E,"未发货")</f>
        <v>未发货</v>
      </c>
      <c r="I2175" s="113" t="str">
        <f>VLOOKUP(B2175,辅助信息!E:I,3,FALSE)</f>
        <v>（商投建工达州中医药科技园-4工区-11号楼）达州市通川区达州中医药职业学院犀牛大道北段</v>
      </c>
      <c r="J2175" s="113" t="str">
        <f>VLOOKUP(B2175,辅助信息!E:I,4,FALSE)</f>
        <v>张扬</v>
      </c>
      <c r="K2175" s="113">
        <f>VLOOKUP(J2175,辅助信息!H:I,2,FALSE)</f>
        <v>18381904567</v>
      </c>
      <c r="L2175" s="115" t="str">
        <f>VLOOKUP(B2175,辅助信息!E:J,6,FALSE)</f>
        <v>控制炉批号！多了现场不收！,优先安排达钢,提前联系到场规格及数量</v>
      </c>
      <c r="M2175" s="84">
        <v>45845</v>
      </c>
      <c r="O2175" s="55">
        <f ca="1" t="shared" si="147"/>
        <v>0</v>
      </c>
      <c r="P2175" s="55">
        <f ca="1" t="shared" si="148"/>
        <v>112</v>
      </c>
      <c r="Q2175" s="22" t="str">
        <f>VLOOKUP(B2175,辅助信息!E:M,9,FALSE)</f>
        <v>ZTWM-CDGS-XS-2024-0134-商投建工达州中医药科技成果示范园项目</v>
      </c>
      <c r="R2175" s="22" t="str">
        <f>_xlfn._xlws.FILTER(辅助信息!D:D,辅助信息!E:E=B2175)</f>
        <v>商投建工达州中医药科技园</v>
      </c>
    </row>
    <row r="2176" hidden="1" spans="2:18">
      <c r="B2176" s="113" t="s">
        <v>147</v>
      </c>
      <c r="C2176" s="63">
        <v>45849</v>
      </c>
      <c r="D2176" s="113" t="str">
        <f>VLOOKUP(B2176,辅助信息!E:K,7,FALSE)</f>
        <v>JWDDCD2025052800131</v>
      </c>
      <c r="E2176" s="113" t="str">
        <f>VLOOKUP(F2176,辅助信息!A:B,2,FALSE)</f>
        <v>螺纹钢</v>
      </c>
      <c r="F2176" s="113" t="s">
        <v>46</v>
      </c>
      <c r="G2176" s="114">
        <v>15</v>
      </c>
      <c r="H2176" s="127" t="str">
        <f>_xlfn.XLOOKUP(C2176&amp;F2176&amp;I2176&amp;J2176,'[1]2025年已发货'!$F:$F&amp;'[1]2025年已发货'!$C:$C&amp;'[1]2025年已发货'!$G:$G&amp;'[1]2025年已发货'!$H:$H,'[1]2025年已发货'!$E:$E,"未发货")</f>
        <v>未发货</v>
      </c>
      <c r="I2176" s="113" t="str">
        <f>VLOOKUP(B2176,辅助信息!E:I,3,FALSE)</f>
        <v>（商投建工达州中医药科技园-4工区-11号楼）达州市通川区达州中医药职业学院犀牛大道北段</v>
      </c>
      <c r="J2176" s="113" t="str">
        <f>VLOOKUP(B2176,辅助信息!E:I,4,FALSE)</f>
        <v>张扬</v>
      </c>
      <c r="K2176" s="113">
        <f>VLOOKUP(J2176,辅助信息!H:I,2,FALSE)</f>
        <v>18381904567</v>
      </c>
      <c r="L2176" s="115" t="str">
        <f>VLOOKUP(B2176,辅助信息!E:J,6,FALSE)</f>
        <v>控制炉批号！多了现场不收！,优先安排达钢,提前联系到场规格及数量</v>
      </c>
      <c r="M2176" s="84">
        <v>45845</v>
      </c>
      <c r="O2176" s="55">
        <f ca="1" t="shared" si="147"/>
        <v>0</v>
      </c>
      <c r="P2176" s="55">
        <f ca="1" t="shared" si="148"/>
        <v>112</v>
      </c>
      <c r="Q2176" s="22" t="str">
        <f>VLOOKUP(B2176,辅助信息!E:M,9,FALSE)</f>
        <v>ZTWM-CDGS-XS-2024-0134-商投建工达州中医药科技成果示范园项目</v>
      </c>
      <c r="R2176" s="22" t="str">
        <f>_xlfn._xlws.FILTER(辅助信息!D:D,辅助信息!E:E=B2176)</f>
        <v>商投建工达州中医药科技园</v>
      </c>
    </row>
    <row r="2177" hidden="1" spans="2:18">
      <c r="B2177" s="113" t="s">
        <v>147</v>
      </c>
      <c r="C2177" s="63">
        <v>45849</v>
      </c>
      <c r="D2177" s="113" t="str">
        <f>VLOOKUP(B2177,辅助信息!E:K,7,FALSE)</f>
        <v>JWDDCD2025052800131</v>
      </c>
      <c r="E2177" s="113" t="str">
        <f>VLOOKUP(F2177,辅助信息!A:B,2,FALSE)</f>
        <v>螺纹钢</v>
      </c>
      <c r="F2177" s="113" t="s">
        <v>22</v>
      </c>
      <c r="G2177" s="114">
        <v>9</v>
      </c>
      <c r="H2177" s="127" t="str">
        <f>_xlfn.XLOOKUP(C2177&amp;F2177&amp;I2177&amp;J2177,'[1]2025年已发货'!$F:$F&amp;'[1]2025年已发货'!$C:$C&amp;'[1]2025年已发货'!$G:$G&amp;'[1]2025年已发货'!$H:$H,'[1]2025年已发货'!$E:$E,"未发货")</f>
        <v>未发货</v>
      </c>
      <c r="I2177" s="113" t="str">
        <f>VLOOKUP(B2177,辅助信息!E:I,3,FALSE)</f>
        <v>（商投建工达州中医药科技园-4工区-11号楼）达州市通川区达州中医药职业学院犀牛大道北段</v>
      </c>
      <c r="J2177" s="113" t="str">
        <f>VLOOKUP(B2177,辅助信息!E:I,4,FALSE)</f>
        <v>张扬</v>
      </c>
      <c r="K2177" s="113">
        <f>VLOOKUP(J2177,辅助信息!H:I,2,FALSE)</f>
        <v>18381904567</v>
      </c>
      <c r="L2177" s="115" t="str">
        <f>VLOOKUP(B2177,辅助信息!E:J,6,FALSE)</f>
        <v>控制炉批号！多了现场不收！,优先安排达钢,提前联系到场规格及数量</v>
      </c>
      <c r="M2177" s="84">
        <v>45845</v>
      </c>
      <c r="O2177" s="55">
        <f ca="1" t="shared" si="147"/>
        <v>0</v>
      </c>
      <c r="P2177" s="55">
        <f ca="1" t="shared" si="148"/>
        <v>112</v>
      </c>
      <c r="Q2177" s="22" t="str">
        <f>VLOOKUP(B2177,辅助信息!E:M,9,FALSE)</f>
        <v>ZTWM-CDGS-XS-2024-0134-商投建工达州中医药科技成果示范园项目</v>
      </c>
      <c r="R2177" s="22" t="str">
        <f>_xlfn._xlws.FILTER(辅助信息!D:D,辅助信息!E:E=B2177)</f>
        <v>商投建工达州中医药科技园</v>
      </c>
    </row>
    <row r="2178" hidden="1" spans="2:18">
      <c r="B2178" s="113" t="s">
        <v>159</v>
      </c>
      <c r="C2178" s="63">
        <v>45849</v>
      </c>
      <c r="D2178" s="113" t="str">
        <f>VLOOKUP(B2178,辅助信息!E:K,7,FALSE)</f>
        <v>JWDDCD2025052800131</v>
      </c>
      <c r="E2178" s="113" t="str">
        <f>VLOOKUP(F2178,辅助信息!A:B,2,FALSE)</f>
        <v>螺纹钢</v>
      </c>
      <c r="F2178" s="113" t="s">
        <v>66</v>
      </c>
      <c r="G2178" s="114">
        <v>6</v>
      </c>
      <c r="H2178" s="127" t="str">
        <f>_xlfn.XLOOKUP(C2178&amp;F2178&amp;I2178&amp;J2178,'[1]2025年已发货'!$F:$F&amp;'[1]2025年已发货'!$C:$C&amp;'[1]2025年已发货'!$G:$G&amp;'[1]2025年已发货'!$H:$H,'[1]2025年已发货'!$E:$E,"未发货")</f>
        <v>未发货</v>
      </c>
      <c r="I2178" s="113" t="str">
        <f>VLOOKUP(B2178,辅助信息!E:I,3,FALSE)</f>
        <v>（商投建工达州中医药科技园-3工区）达州市通川区达州中医药职业学院犀牛大道北段</v>
      </c>
      <c r="J2178" s="113" t="str">
        <f>VLOOKUP(B2178,辅助信息!E:I,4,FALSE)</f>
        <v>程黄刚</v>
      </c>
      <c r="K2178" s="113">
        <f>VLOOKUP(J2178,辅助信息!H:I,2,FALSE)</f>
        <v>15108211617</v>
      </c>
      <c r="L2178" s="115" t="str">
        <f>VLOOKUP(B2178,辅助信息!E:J,6,FALSE)</f>
        <v>控制炉批号！多了现场不收！,优先安排达钢,提前联系到场规格及数量</v>
      </c>
      <c r="M2178" s="84">
        <v>45845</v>
      </c>
      <c r="O2178" s="55">
        <f ca="1" t="shared" si="147"/>
        <v>0</v>
      </c>
      <c r="P2178" s="55">
        <f ca="1" t="shared" si="148"/>
        <v>112</v>
      </c>
      <c r="Q2178" s="22" t="str">
        <f>VLOOKUP(B2178,辅助信息!E:M,9,FALSE)</f>
        <v>ZTWM-CDGS-XS-2024-0134-商投建工达州中医药科技成果示范园项目</v>
      </c>
      <c r="R2178" s="22" t="str">
        <f>_xlfn._xlws.FILTER(辅助信息!D:D,辅助信息!E:E=B2178)</f>
        <v>商投建工达州中医药科技园</v>
      </c>
    </row>
    <row r="2179" hidden="1" spans="2:18">
      <c r="B2179" s="113" t="s">
        <v>159</v>
      </c>
      <c r="C2179" s="63">
        <v>45849</v>
      </c>
      <c r="D2179" s="113" t="str">
        <f>VLOOKUP(B2179,辅助信息!E:K,7,FALSE)</f>
        <v>JWDDCD2025052800131</v>
      </c>
      <c r="E2179" s="113" t="str">
        <f>VLOOKUP(F2179,辅助信息!A:B,2,FALSE)</f>
        <v>螺纹钢</v>
      </c>
      <c r="F2179" s="113" t="s">
        <v>45</v>
      </c>
      <c r="G2179" s="114">
        <v>6</v>
      </c>
      <c r="H2179" s="127" t="str">
        <f>_xlfn.XLOOKUP(C2179&amp;F2179&amp;I2179&amp;J2179,'[1]2025年已发货'!$F:$F&amp;'[1]2025年已发货'!$C:$C&amp;'[1]2025年已发货'!$G:$G&amp;'[1]2025年已发货'!$H:$H,'[1]2025年已发货'!$E:$E,"未发货")</f>
        <v>未发货</v>
      </c>
      <c r="I2179" s="113" t="str">
        <f>VLOOKUP(B2179,辅助信息!E:I,3,FALSE)</f>
        <v>（商投建工达州中医药科技园-3工区）达州市通川区达州中医药职业学院犀牛大道北段</v>
      </c>
      <c r="J2179" s="113" t="str">
        <f>VLOOKUP(B2179,辅助信息!E:I,4,FALSE)</f>
        <v>程黄刚</v>
      </c>
      <c r="K2179" s="113">
        <f>VLOOKUP(J2179,辅助信息!H:I,2,FALSE)</f>
        <v>15108211617</v>
      </c>
      <c r="L2179" s="115" t="str">
        <f>VLOOKUP(B2179,辅助信息!E:J,6,FALSE)</f>
        <v>控制炉批号！多了现场不收！,优先安排达钢,提前联系到场规格及数量</v>
      </c>
      <c r="M2179" s="84">
        <v>45845</v>
      </c>
      <c r="O2179" s="55">
        <f ca="1" t="shared" si="147"/>
        <v>0</v>
      </c>
      <c r="P2179" s="55">
        <f ca="1" t="shared" si="148"/>
        <v>112</v>
      </c>
      <c r="Q2179" s="22" t="str">
        <f>VLOOKUP(B2179,辅助信息!E:M,9,FALSE)</f>
        <v>ZTWM-CDGS-XS-2024-0134-商投建工达州中医药科技成果示范园项目</v>
      </c>
      <c r="R2179" s="22" t="str">
        <f>_xlfn._xlws.FILTER(辅助信息!D:D,辅助信息!E:E=B2179)</f>
        <v>商投建工达州中医药科技园</v>
      </c>
    </row>
    <row r="2180" hidden="1" spans="2:18">
      <c r="B2180" s="113" t="s">
        <v>159</v>
      </c>
      <c r="C2180" s="63">
        <v>45849</v>
      </c>
      <c r="D2180" s="113" t="str">
        <f>VLOOKUP(B2180,辅助信息!E:K,7,FALSE)</f>
        <v>JWDDCD2025052800131</v>
      </c>
      <c r="E2180" s="113" t="str">
        <f>VLOOKUP(F2180,辅助信息!A:B,2,FALSE)</f>
        <v>螺纹钢</v>
      </c>
      <c r="F2180" s="113" t="s">
        <v>21</v>
      </c>
      <c r="G2180" s="114">
        <v>6</v>
      </c>
      <c r="H2180" s="127" t="str">
        <f>_xlfn.XLOOKUP(C2180&amp;F2180&amp;I2180&amp;J2180,'[1]2025年已发货'!$F:$F&amp;'[1]2025年已发货'!$C:$C&amp;'[1]2025年已发货'!$G:$G&amp;'[1]2025年已发货'!$H:$H,'[1]2025年已发货'!$E:$E,"未发货")</f>
        <v>未发货</v>
      </c>
      <c r="I2180" s="113" t="str">
        <f>VLOOKUP(B2180,辅助信息!E:I,3,FALSE)</f>
        <v>（商投建工达州中医药科技园-3工区）达州市通川区达州中医药职业学院犀牛大道北段</v>
      </c>
      <c r="J2180" s="113" t="str">
        <f>VLOOKUP(B2180,辅助信息!E:I,4,FALSE)</f>
        <v>程黄刚</v>
      </c>
      <c r="K2180" s="113">
        <f>VLOOKUP(J2180,辅助信息!H:I,2,FALSE)</f>
        <v>15108211617</v>
      </c>
      <c r="L2180" s="115" t="str">
        <f>VLOOKUP(B2180,辅助信息!E:J,6,FALSE)</f>
        <v>控制炉批号！多了现场不收！,优先安排达钢,提前联系到场规格及数量</v>
      </c>
      <c r="M2180" s="84">
        <v>45845</v>
      </c>
      <c r="O2180" s="55">
        <f ca="1" t="shared" si="147"/>
        <v>0</v>
      </c>
      <c r="P2180" s="55">
        <f ca="1" t="shared" si="148"/>
        <v>112</v>
      </c>
      <c r="Q2180" s="22" t="str">
        <f>VLOOKUP(B2180,辅助信息!E:M,9,FALSE)</f>
        <v>ZTWM-CDGS-XS-2024-0134-商投建工达州中医药科技成果示范园项目</v>
      </c>
      <c r="R2180" s="22" t="str">
        <f>_xlfn._xlws.FILTER(辅助信息!D:D,辅助信息!E:E=B2180)</f>
        <v>商投建工达州中医药科技园</v>
      </c>
    </row>
    <row r="2181" hidden="1" spans="2:18">
      <c r="B2181" s="113" t="s">
        <v>159</v>
      </c>
      <c r="C2181" s="63">
        <v>45849</v>
      </c>
      <c r="D2181" s="113" t="str">
        <f>VLOOKUP(B2181,辅助信息!E:K,7,FALSE)</f>
        <v>JWDDCD2025052800131</v>
      </c>
      <c r="E2181" s="113" t="str">
        <f>VLOOKUP(F2181,辅助信息!A:B,2,FALSE)</f>
        <v>螺纹钢</v>
      </c>
      <c r="F2181" s="113" t="s">
        <v>46</v>
      </c>
      <c r="G2181" s="114">
        <v>12</v>
      </c>
      <c r="H2181" s="127" t="str">
        <f>_xlfn.XLOOKUP(C2181&amp;F2181&amp;I2181&amp;J2181,'[1]2025年已发货'!$F:$F&amp;'[1]2025年已发货'!$C:$C&amp;'[1]2025年已发货'!$G:$G&amp;'[1]2025年已发货'!$H:$H,'[1]2025年已发货'!$E:$E,"未发货")</f>
        <v>未发货</v>
      </c>
      <c r="I2181" s="113" t="str">
        <f>VLOOKUP(B2181,辅助信息!E:I,3,FALSE)</f>
        <v>（商投建工达州中医药科技园-3工区）达州市通川区达州中医药职业学院犀牛大道北段</v>
      </c>
      <c r="J2181" s="113" t="str">
        <f>VLOOKUP(B2181,辅助信息!E:I,4,FALSE)</f>
        <v>程黄刚</v>
      </c>
      <c r="K2181" s="113">
        <f>VLOOKUP(J2181,辅助信息!H:I,2,FALSE)</f>
        <v>15108211617</v>
      </c>
      <c r="L2181" s="115" t="str">
        <f>VLOOKUP(B2181,辅助信息!E:J,6,FALSE)</f>
        <v>控制炉批号！多了现场不收！,优先安排达钢,提前联系到场规格及数量</v>
      </c>
      <c r="M2181" s="84">
        <v>45845</v>
      </c>
      <c r="O2181" s="55">
        <f ca="1" t="shared" si="147"/>
        <v>0</v>
      </c>
      <c r="P2181" s="55">
        <f ca="1" t="shared" si="148"/>
        <v>112</v>
      </c>
      <c r="Q2181" s="22" t="str">
        <f>VLOOKUP(B2181,辅助信息!E:M,9,FALSE)</f>
        <v>ZTWM-CDGS-XS-2024-0134-商投建工达州中医药科技成果示范园项目</v>
      </c>
      <c r="R2181" s="22" t="str">
        <f>_xlfn._xlws.FILTER(辅助信息!D:D,辅助信息!E:E=B2181)</f>
        <v>商投建工达州中医药科技园</v>
      </c>
    </row>
    <row r="2182" hidden="1" spans="2:18">
      <c r="B2182" s="113" t="s">
        <v>81</v>
      </c>
      <c r="C2182" s="63">
        <v>45849</v>
      </c>
      <c r="D2182" s="113" t="str">
        <f>VLOOKUP(B2182,辅助信息!E:K,7,FALSE)</f>
        <v>JWDDCD2025060900080</v>
      </c>
      <c r="E2182" s="113" t="str">
        <f>VLOOKUP(F2182,辅助信息!A:B,2,FALSE)</f>
        <v>螺纹钢</v>
      </c>
      <c r="F2182" s="113" t="s">
        <v>66</v>
      </c>
      <c r="G2182" s="114">
        <v>2.5</v>
      </c>
      <c r="H2182" s="127" t="str">
        <f>_xlfn.XLOOKUP(C2182&amp;F2182&amp;I2182&amp;J2182,'[1]2025年已发货'!$F:$F&amp;'[1]2025年已发货'!$C:$C&amp;'[1]2025年已发货'!$G:$G&amp;'[1]2025年已发货'!$H:$H,'[1]2025年已发货'!$E:$E,"未发货")</f>
        <v>未发货</v>
      </c>
      <c r="I2182" s="113" t="str">
        <f>VLOOKUP(B2182,辅助信息!E:I,3,FALSE)</f>
        <v>（华西简阳西城嘉苑）四川省成都市简阳市简城街道高屋村</v>
      </c>
      <c r="J2182" s="113" t="str">
        <f>VLOOKUP(B2182,辅助信息!E:I,4,FALSE)</f>
        <v>张瀚镭</v>
      </c>
      <c r="K2182" s="113">
        <f>VLOOKUP(J2182,辅助信息!H:I,2,FALSE)</f>
        <v>15884666220</v>
      </c>
      <c r="L2182" s="115" t="str">
        <f>VLOOKUP(B2182,辅助信息!E:J,6,FALSE)</f>
        <v>现场禁止使用氢能源挂车！优先威钢发货,我方卸车,新老国标钢厂不加价可直发，因陕钢多次出现磅差，项目拒绝使用</v>
      </c>
      <c r="M2182" s="84">
        <v>45847</v>
      </c>
      <c r="O2182" s="55">
        <f ca="1" t="shared" si="147"/>
        <v>0</v>
      </c>
      <c r="P2182" s="55">
        <f ca="1" t="shared" si="148"/>
        <v>110</v>
      </c>
      <c r="Q2182" s="22" t="str">
        <f>VLOOKUP(B2182,辅助信息!E:M,9,FALSE)</f>
        <v>ZTWM-CDGS-XS-2024-0030-华西集采-简州大道</v>
      </c>
      <c r="R2182" s="22" t="str">
        <f>_xlfn._xlws.FILTER(辅助信息!D:D,辅助信息!E:E=B2182)</f>
        <v>华西简阳西城嘉苑</v>
      </c>
    </row>
    <row r="2183" hidden="1" spans="2:18">
      <c r="B2183" s="113" t="s">
        <v>186</v>
      </c>
      <c r="C2183" s="63">
        <v>45849</v>
      </c>
      <c r="D2183" s="113" t="str">
        <f>VLOOKUP(B2183,辅助信息!E:K,7,FALSE)</f>
        <v>JWDDCD2025072900123</v>
      </c>
      <c r="E2183" s="113" t="str">
        <f>VLOOKUP(F2183,辅助信息!A:B,2,FALSE)</f>
        <v>螺纹钢</v>
      </c>
      <c r="F2183" s="113" t="s">
        <v>22</v>
      </c>
      <c r="G2183" s="114">
        <v>17</v>
      </c>
      <c r="H2183" s="127" t="str">
        <f>_xlfn.XLOOKUP(C2183&amp;F2183&amp;I2183&amp;J2183,'[1]2025年已发货'!$F:$F&amp;'[1]2025年已发货'!$C:$C&amp;'[1]2025年已发货'!$G:$G&amp;'[1]2025年已发货'!$H:$H,'[1]2025年已发货'!$E:$E,"未发货")</f>
        <v>未发货</v>
      </c>
      <c r="I2183" s="113" t="str">
        <f>VLOOKUP(B2183,辅助信息!E:I,3,FALSE)</f>
        <v>(乐山市校地共建产教融合基地建设项目二标段)四川省乐山市市中区苏稽镇</v>
      </c>
      <c r="J2183" s="113" t="str">
        <f>VLOOKUP(B2183,辅助信息!E:I,4,FALSE)</f>
        <v>彭江涛</v>
      </c>
      <c r="K2183" s="113">
        <f>VLOOKUP(J2183,辅助信息!H:I,2,FALSE)</f>
        <v>13990276572</v>
      </c>
      <c r="L2183" s="115" t="str">
        <f>VLOOKUP(B2183,辅助信息!E:J,6,FALSE)</f>
        <v>联系实际收货人（彭江涛13990276572）现场要求炉批号控制2个以下，超2个不给予签收。提前联系到场规格及数量</v>
      </c>
      <c r="M2183" s="84">
        <v>45847</v>
      </c>
      <c r="O2183" s="55">
        <f ca="1" t="shared" si="147"/>
        <v>0</v>
      </c>
      <c r="P2183" s="55">
        <f ca="1" t="shared" si="148"/>
        <v>110</v>
      </c>
      <c r="Q2183" s="22" t="str">
        <f>VLOOKUP(B2183,辅助信息!E:M,9,FALSE)</f>
        <v>ZTWM-CDGS-XS-2025-0126-四川机司-乐山市校地共建产教融合基地配套设施项目施工二标段钢筋采购合同</v>
      </c>
      <c r="R2183" s="22" t="str">
        <f>_xlfn._xlws.FILTER(辅助信息!D:D,辅助信息!E:E=B2183)</f>
        <v>乐山市校地共建产教融合基地建设项目二标段</v>
      </c>
    </row>
    <row r="2184" hidden="1" spans="2:18">
      <c r="B2184" s="33" t="s">
        <v>47</v>
      </c>
      <c r="C2184" s="63">
        <v>45849</v>
      </c>
      <c r="D2184" s="33" t="str">
        <f>VLOOKUP(B2184,辅助信息!E:K,7,FALSE)</f>
        <v>JWDDCD2025052800131</v>
      </c>
      <c r="E2184" s="33" t="str">
        <f>VLOOKUP(F2184,辅助信息!A:B,2,FALSE)</f>
        <v>盘螺</v>
      </c>
      <c r="F2184" s="33" t="s">
        <v>49</v>
      </c>
      <c r="G2184" s="29">
        <v>6</v>
      </c>
      <c r="H2184" s="127">
        <f>_xlfn.XLOOKUP(C2184&amp;F2184&amp;I2184&amp;J2184,'[1]2025年已发货'!$F:$F&amp;'[1]2025年已发货'!$C:$C&amp;'[1]2025年已发货'!$G:$G&amp;'[1]2025年已发货'!$H:$H,'[1]2025年已发货'!$E:$E,"未发货")</f>
        <v>6</v>
      </c>
      <c r="I2184" s="33" t="str">
        <f>VLOOKUP(B2184,辅助信息!E:I,3,FALSE)</f>
        <v>（商投建工达州中医药科技园-1工区）达州市通川区达州中医药职业学院犀牛大道北段</v>
      </c>
      <c r="J2184" s="33" t="str">
        <f>VLOOKUP(B2184,辅助信息!E:I,4,FALSE)</f>
        <v>程黄刚</v>
      </c>
      <c r="K2184" s="33">
        <f>VLOOKUP(J2184,辅助信息!H:I,2,FALSE)</f>
        <v>15108211617</v>
      </c>
      <c r="L2184" s="102" t="str">
        <f>VLOOKUP(B2184,辅助信息!E:J,6,FALSE)</f>
        <v>控制炉批号！多了现场不收！,优先安排达钢,提前联系到场规格及数量</v>
      </c>
      <c r="M2184" s="84">
        <v>45849</v>
      </c>
      <c r="O2184" s="55">
        <f ca="1" t="shared" si="147"/>
        <v>0</v>
      </c>
      <c r="P2184" s="55">
        <f ca="1" t="shared" si="148"/>
        <v>108</v>
      </c>
      <c r="Q2184" s="22" t="str">
        <f>VLOOKUP(B2184,辅助信息!E:M,9,FALSE)</f>
        <v>ZTWM-CDGS-XS-2024-0134-商投建工达州中医药科技成果示范园项目</v>
      </c>
      <c r="R2184" s="22" t="str">
        <f>_xlfn._xlws.FILTER(辅助信息!D:D,辅助信息!E:E=B2184)</f>
        <v>商投建工达州中医药科技园</v>
      </c>
    </row>
    <row r="2185" hidden="1" spans="2:18">
      <c r="B2185" s="33" t="s">
        <v>47</v>
      </c>
      <c r="C2185" s="63">
        <v>45849</v>
      </c>
      <c r="D2185" s="33" t="str">
        <f>VLOOKUP(B2185,辅助信息!E:K,7,FALSE)</f>
        <v>JWDDCD2025052800131</v>
      </c>
      <c r="E2185" s="33" t="str">
        <f>VLOOKUP(F2185,辅助信息!A:B,2,FALSE)</f>
        <v>盘螺</v>
      </c>
      <c r="F2185" s="33" t="s">
        <v>40</v>
      </c>
      <c r="G2185" s="29">
        <v>15</v>
      </c>
      <c r="H2185" s="127">
        <f>_xlfn.XLOOKUP(C2185&amp;F2185&amp;I2185&amp;J2185,'[1]2025年已发货'!$F:$F&amp;'[1]2025年已发货'!$C:$C&amp;'[1]2025年已发货'!$G:$G&amp;'[1]2025年已发货'!$H:$H,'[1]2025年已发货'!$E:$E,"未发货")</f>
        <v>15</v>
      </c>
      <c r="I2185" s="33" t="str">
        <f>VLOOKUP(B2185,辅助信息!E:I,3,FALSE)</f>
        <v>（商投建工达州中医药科技园-1工区）达州市通川区达州中医药职业学院犀牛大道北段</v>
      </c>
      <c r="J2185" s="33" t="str">
        <f>VLOOKUP(B2185,辅助信息!E:I,4,FALSE)</f>
        <v>程黄刚</v>
      </c>
      <c r="K2185" s="33">
        <f>VLOOKUP(J2185,辅助信息!H:I,2,FALSE)</f>
        <v>15108211617</v>
      </c>
      <c r="L2185" s="102" t="str">
        <f>VLOOKUP(B2185,辅助信息!E:J,6,FALSE)</f>
        <v>控制炉批号！多了现场不收！,优先安排达钢,提前联系到场规格及数量</v>
      </c>
      <c r="M2185" s="84">
        <v>45849</v>
      </c>
      <c r="O2185" s="55">
        <f ca="1" t="shared" si="147"/>
        <v>0</v>
      </c>
      <c r="P2185" s="55">
        <f ca="1" t="shared" si="148"/>
        <v>108</v>
      </c>
      <c r="Q2185" s="22" t="str">
        <f>VLOOKUP(B2185,辅助信息!E:M,9,FALSE)</f>
        <v>ZTWM-CDGS-XS-2024-0134-商投建工达州中医药科技成果示范园项目</v>
      </c>
      <c r="R2185" s="22" t="str">
        <f>_xlfn._xlws.FILTER(辅助信息!D:D,辅助信息!E:E=B2185)</f>
        <v>商投建工达州中医药科技园</v>
      </c>
    </row>
    <row r="2186" hidden="1" spans="2:18">
      <c r="B2186" s="33" t="s">
        <v>47</v>
      </c>
      <c r="C2186" s="63">
        <v>45849</v>
      </c>
      <c r="D2186" s="33" t="str">
        <f>VLOOKUP(B2186,辅助信息!E:K,7,FALSE)</f>
        <v>JWDDCD2025052800131</v>
      </c>
      <c r="E2186" s="33" t="str">
        <f>VLOOKUP(F2186,辅助信息!A:B,2,FALSE)</f>
        <v>盘螺</v>
      </c>
      <c r="F2186" s="33" t="s">
        <v>41</v>
      </c>
      <c r="G2186" s="29">
        <v>24</v>
      </c>
      <c r="H2186" s="127">
        <f>_xlfn.XLOOKUP(C2186&amp;F2186&amp;I2186&amp;J2186,'[1]2025年已发货'!$F:$F&amp;'[1]2025年已发货'!$C:$C&amp;'[1]2025年已发货'!$G:$G&amp;'[1]2025年已发货'!$H:$H,'[1]2025年已发货'!$E:$E,"未发货")</f>
        <v>24</v>
      </c>
      <c r="I2186" s="33" t="str">
        <f>VLOOKUP(B2186,辅助信息!E:I,3,FALSE)</f>
        <v>（商投建工达州中医药科技园-1工区）达州市通川区达州中医药职业学院犀牛大道北段</v>
      </c>
      <c r="J2186" s="33" t="str">
        <f>VLOOKUP(B2186,辅助信息!E:I,4,FALSE)</f>
        <v>程黄刚</v>
      </c>
      <c r="K2186" s="33">
        <f>VLOOKUP(J2186,辅助信息!H:I,2,FALSE)</f>
        <v>15108211617</v>
      </c>
      <c r="L2186" s="102" t="str">
        <f>VLOOKUP(B2186,辅助信息!E:J,6,FALSE)</f>
        <v>控制炉批号！多了现场不收！,优先安排达钢,提前联系到场规格及数量</v>
      </c>
      <c r="M2186" s="84">
        <v>45849</v>
      </c>
      <c r="O2186" s="55">
        <f ca="1" t="shared" si="147"/>
        <v>0</v>
      </c>
      <c r="P2186" s="55">
        <f ca="1" t="shared" si="148"/>
        <v>108</v>
      </c>
      <c r="Q2186" s="22" t="str">
        <f>VLOOKUP(B2186,辅助信息!E:M,9,FALSE)</f>
        <v>ZTWM-CDGS-XS-2024-0134-商投建工达州中医药科技成果示范园项目</v>
      </c>
      <c r="R2186" s="22" t="str">
        <f>_xlfn._xlws.FILTER(辅助信息!D:D,辅助信息!E:E=B2186)</f>
        <v>商投建工达州中医药科技园</v>
      </c>
    </row>
    <row r="2187" hidden="1" spans="2:18">
      <c r="B2187" s="33" t="s">
        <v>47</v>
      </c>
      <c r="C2187" s="63">
        <v>45849</v>
      </c>
      <c r="D2187" s="33" t="str">
        <f>VLOOKUP(B2187,辅助信息!E:K,7,FALSE)</f>
        <v>JWDDCD2025052800131</v>
      </c>
      <c r="E2187" s="33" t="str">
        <f>VLOOKUP(F2187,辅助信息!A:B,2,FALSE)</f>
        <v>螺纹钢</v>
      </c>
      <c r="F2187" s="33" t="s">
        <v>27</v>
      </c>
      <c r="G2187" s="29">
        <v>9</v>
      </c>
      <c r="H2187" s="127">
        <f>_xlfn.XLOOKUP(C2187&amp;F2187&amp;I2187&amp;J2187,'[1]2025年已发货'!$F:$F&amp;'[1]2025年已发货'!$C:$C&amp;'[1]2025年已发货'!$G:$G&amp;'[1]2025年已发货'!$H:$H,'[1]2025年已发货'!$E:$E,"未发货")</f>
        <v>9</v>
      </c>
      <c r="I2187" s="33" t="str">
        <f>VLOOKUP(B2187,辅助信息!E:I,3,FALSE)</f>
        <v>（商投建工达州中医药科技园-1工区）达州市通川区达州中医药职业学院犀牛大道北段</v>
      </c>
      <c r="J2187" s="33" t="str">
        <f>VLOOKUP(B2187,辅助信息!E:I,4,FALSE)</f>
        <v>程黄刚</v>
      </c>
      <c r="K2187" s="33">
        <f>VLOOKUP(J2187,辅助信息!H:I,2,FALSE)</f>
        <v>15108211617</v>
      </c>
      <c r="L2187" s="102" t="str">
        <f>VLOOKUP(B2187,辅助信息!E:J,6,FALSE)</f>
        <v>控制炉批号！多了现场不收！,优先安排达钢,提前联系到场规格及数量</v>
      </c>
      <c r="M2187" s="84">
        <v>45849</v>
      </c>
      <c r="O2187" s="55">
        <f ca="1" t="shared" si="147"/>
        <v>0</v>
      </c>
      <c r="P2187" s="55">
        <f ca="1" t="shared" si="148"/>
        <v>108</v>
      </c>
      <c r="Q2187" s="22" t="str">
        <f>VLOOKUP(B2187,辅助信息!E:M,9,FALSE)</f>
        <v>ZTWM-CDGS-XS-2024-0134-商投建工达州中医药科技成果示范园项目</v>
      </c>
      <c r="R2187" s="22" t="str">
        <f>_xlfn._xlws.FILTER(辅助信息!D:D,辅助信息!E:E=B2187)</f>
        <v>商投建工达州中医药科技园</v>
      </c>
    </row>
    <row r="2188" hidden="1" spans="1:18">
      <c r="A2188" s="75" t="s">
        <v>190</v>
      </c>
      <c r="B2188" s="33" t="s">
        <v>31</v>
      </c>
      <c r="C2188" s="63">
        <v>45849</v>
      </c>
      <c r="D2188" s="33" t="str">
        <f>VLOOKUP(B2188,辅助信息!E:K,7,FALSE)</f>
        <v>JWDDCD2024121000136</v>
      </c>
      <c r="E2188" s="33" t="str">
        <f>VLOOKUP(F2188,辅助信息!A:B,2,FALSE)</f>
        <v>螺纹钢</v>
      </c>
      <c r="F2188" s="33" t="s">
        <v>22</v>
      </c>
      <c r="G2188" s="29">
        <v>35</v>
      </c>
      <c r="H2188" s="127">
        <f>_xlfn.XLOOKUP(C2188&amp;F2188&amp;I2188&amp;J2188,'[1]2025年已发货'!$F:$F&amp;'[1]2025年已发货'!$C:$C&amp;'[1]2025年已发货'!$G:$G&amp;'[1]2025年已发货'!$H:$H,'[1]2025年已发货'!$E:$E,"未发货")</f>
        <v>35</v>
      </c>
      <c r="I2188" s="33" t="str">
        <f>VLOOKUP(B2188,辅助信息!E:I,3,FALSE)</f>
        <v>（四川商建-射洪城乡一体化项目）遂宁市射洪市忠新幼儿园北侧约220米新溪小区</v>
      </c>
      <c r="J2188" s="33" t="str">
        <f>VLOOKUP(B2188,辅助信息!E:I,4,FALSE)</f>
        <v>柏子刚</v>
      </c>
      <c r="K2188" s="33">
        <f>VLOOKUP(J2188,辅助信息!H:I,2,FALSE)</f>
        <v>15692885305</v>
      </c>
      <c r="L2188" s="102" t="str">
        <f>VLOOKUP(B2188,辅助信息!E:J,6,FALSE)</f>
        <v>提前联系到场规格及数量</v>
      </c>
      <c r="M2188" s="84">
        <v>45849</v>
      </c>
      <c r="O2188" s="55">
        <f ca="1" t="shared" si="147"/>
        <v>0</v>
      </c>
      <c r="P2188" s="55">
        <f ca="1" t="shared" si="148"/>
        <v>108</v>
      </c>
      <c r="Q2188" s="22" t="str">
        <f>VLOOKUP(B2188,辅助信息!E:M,9,FALSE)</f>
        <v>ZTWM-CDGS-XS-2024-0179-四川商投-射洪城乡一体化建设项目</v>
      </c>
      <c r="R2188" s="22" t="str">
        <f>_xlfn._xlws.FILTER(辅助信息!D:D,辅助信息!E:E=B2188)</f>
        <v>四川商建
射洪城乡一体化项目</v>
      </c>
    </row>
    <row r="2189" hidden="1" spans="2:18">
      <c r="B2189" s="33" t="s">
        <v>171</v>
      </c>
      <c r="C2189" s="63">
        <v>45849</v>
      </c>
      <c r="D2189" s="33" t="str">
        <f>VLOOKUP(B2189,辅助信息!E:K,7,FALSE)</f>
        <v>JWDDCD2024101600133</v>
      </c>
      <c r="E2189" s="33" t="str">
        <f>VLOOKUP(F2189,辅助信息!A:B,2,FALSE)</f>
        <v>盘螺</v>
      </c>
      <c r="F2189" s="33" t="s">
        <v>40</v>
      </c>
      <c r="G2189" s="29">
        <v>20</v>
      </c>
      <c r="H2189" s="127">
        <f>_xlfn.XLOOKUP(C2189&amp;F2189&amp;I2189&amp;J2189,'[1]2025年已发货'!$F:$F&amp;'[1]2025年已发货'!$C:$C&amp;'[1]2025年已发货'!$G:$G&amp;'[1]2025年已发货'!$H:$H,'[1]2025年已发货'!$E:$E,"未发货")</f>
        <v>20</v>
      </c>
      <c r="I2189" s="33" t="str">
        <f>VLOOKUP(B2189,辅助信息!E:I,3,FALSE)</f>
        <v>(五冶钢构宜宾南溪区项目土建4标)四川省宜宾市高县高县庆符镇鹅卵新农村高县广久大道(庆符厂房项目)</v>
      </c>
      <c r="J2189" s="33" t="str">
        <f>VLOOKUP(B2189,辅助信息!E:I,4,FALSE)</f>
        <v>张朝亮</v>
      </c>
      <c r="K2189" s="33">
        <f>VLOOKUP(J2189,辅助信息!H:I,2,FALSE)</f>
        <v>15228205853</v>
      </c>
      <c r="L2189" s="102" t="str">
        <f>VLOOKUP(B2189,辅助信息!E:J,6,FALSE)</f>
        <v>提前联系到场规格</v>
      </c>
      <c r="M2189" s="84">
        <v>45849</v>
      </c>
      <c r="O2189" s="55">
        <f ca="1" t="shared" si="147"/>
        <v>0</v>
      </c>
      <c r="P2189" s="55">
        <f ca="1" t="shared" si="148"/>
        <v>108</v>
      </c>
      <c r="Q2189" s="22" t="str">
        <f>VLOOKUP(B2189,辅助信息!E:M,9,FALSE)</f>
        <v>ZTWM-CDGS-XS-2024-0169-中冶西部钢构-宜宾市南溪区幸福路东路,高县月江镇建设项目</v>
      </c>
      <c r="R2189" s="22" t="str">
        <f>_xlfn._xlws.FILTER(辅助信息!D:D,辅助信息!E:E=B2189)</f>
        <v>五冶钢构-宜宾市南溪区高县月江镇建设项目</v>
      </c>
    </row>
    <row r="2190" hidden="1" spans="2:18">
      <c r="B2190" s="33" t="s">
        <v>171</v>
      </c>
      <c r="C2190" s="63">
        <v>45849</v>
      </c>
      <c r="D2190" s="33" t="str">
        <f>VLOOKUP(B2190,辅助信息!E:K,7,FALSE)</f>
        <v>JWDDCD2024101600133</v>
      </c>
      <c r="E2190" s="33" t="str">
        <f>VLOOKUP(F2190,辅助信息!A:B,2,FALSE)</f>
        <v>盘螺</v>
      </c>
      <c r="F2190" s="33" t="s">
        <v>41</v>
      </c>
      <c r="G2190" s="29">
        <v>11</v>
      </c>
      <c r="H2190" s="127">
        <f>_xlfn.XLOOKUP(C2190&amp;F2190&amp;I2190&amp;J2190,'[1]2025年已发货'!$F:$F&amp;'[1]2025年已发货'!$C:$C&amp;'[1]2025年已发货'!$G:$G&amp;'[1]2025年已发货'!$H:$H,'[1]2025年已发货'!$E:$E,"未发货")</f>
        <v>11</v>
      </c>
      <c r="I2190" s="33" t="str">
        <f>VLOOKUP(B2190,辅助信息!E:I,3,FALSE)</f>
        <v>(五冶钢构宜宾南溪区项目土建4标)四川省宜宾市高县高县庆符镇鹅卵新农村高县广久大道(庆符厂房项目)</v>
      </c>
      <c r="J2190" s="33" t="str">
        <f>VLOOKUP(B2190,辅助信息!E:I,4,FALSE)</f>
        <v>张朝亮</v>
      </c>
      <c r="K2190" s="33">
        <f>VLOOKUP(J2190,辅助信息!H:I,2,FALSE)</f>
        <v>15228205853</v>
      </c>
      <c r="L2190" s="102" t="str">
        <f>VLOOKUP(B2190,辅助信息!E:J,6,FALSE)</f>
        <v>提前联系到场规格</v>
      </c>
      <c r="M2190" s="84">
        <v>45849</v>
      </c>
      <c r="O2190" s="55">
        <f ca="1" t="shared" si="147"/>
        <v>0</v>
      </c>
      <c r="P2190" s="55">
        <f ca="1" t="shared" si="148"/>
        <v>108</v>
      </c>
      <c r="Q2190" s="22" t="str">
        <f>VLOOKUP(B2190,辅助信息!E:M,9,FALSE)</f>
        <v>ZTWM-CDGS-XS-2024-0169-中冶西部钢构-宜宾市南溪区幸福路东路,高县月江镇建设项目</v>
      </c>
      <c r="R2190" s="22" t="str">
        <f>_xlfn._xlws.FILTER(辅助信息!D:D,辅助信息!E:E=B2190)</f>
        <v>五冶钢构-宜宾市南溪区高县月江镇建设项目</v>
      </c>
    </row>
    <row r="2191" hidden="1" spans="2:18">
      <c r="B2191" s="33" t="s">
        <v>171</v>
      </c>
      <c r="C2191" s="63">
        <v>45849</v>
      </c>
      <c r="D2191" s="33" t="str">
        <f>VLOOKUP(B2191,辅助信息!E:K,7,FALSE)</f>
        <v>JWDDCD2024101600133</v>
      </c>
      <c r="E2191" s="33" t="str">
        <f>VLOOKUP(F2191,辅助信息!A:B,2,FALSE)</f>
        <v>螺纹钢</v>
      </c>
      <c r="F2191" s="33" t="s">
        <v>18</v>
      </c>
      <c r="G2191" s="29">
        <v>3</v>
      </c>
      <c r="H2191" s="127">
        <f>_xlfn.XLOOKUP(C2191&amp;F2191&amp;I2191&amp;J2191,'[1]2025年已发货'!$F:$F&amp;'[1]2025年已发货'!$C:$C&amp;'[1]2025年已发货'!$G:$G&amp;'[1]2025年已发货'!$H:$H,'[1]2025年已发货'!$E:$E,"未发货")</f>
        <v>3</v>
      </c>
      <c r="I2191" s="33" t="str">
        <f>VLOOKUP(B2191,辅助信息!E:I,3,FALSE)</f>
        <v>(五冶钢构宜宾南溪区项目土建4标)四川省宜宾市高县高县庆符镇鹅卵新农村高县广久大道(庆符厂房项目)</v>
      </c>
      <c r="J2191" s="33" t="str">
        <f>VLOOKUP(B2191,辅助信息!E:I,4,FALSE)</f>
        <v>张朝亮</v>
      </c>
      <c r="K2191" s="33">
        <f>VLOOKUP(J2191,辅助信息!H:I,2,FALSE)</f>
        <v>15228205853</v>
      </c>
      <c r="L2191" s="102" t="str">
        <f>VLOOKUP(B2191,辅助信息!E:J,6,FALSE)</f>
        <v>提前联系到场规格</v>
      </c>
      <c r="M2191" s="84">
        <v>45849</v>
      </c>
      <c r="O2191" s="55">
        <f ca="1" t="shared" si="147"/>
        <v>0</v>
      </c>
      <c r="P2191" s="55">
        <f ca="1" t="shared" si="148"/>
        <v>108</v>
      </c>
      <c r="Q2191" s="22" t="str">
        <f>VLOOKUP(B2191,辅助信息!E:M,9,FALSE)</f>
        <v>ZTWM-CDGS-XS-2024-0169-中冶西部钢构-宜宾市南溪区幸福路东路,高县月江镇建设项目</v>
      </c>
      <c r="R2191" s="22" t="str">
        <f>_xlfn._xlws.FILTER(辅助信息!D:D,辅助信息!E:E=B2191)</f>
        <v>五冶钢构-宜宾市南溪区高县月江镇建设项目</v>
      </c>
    </row>
    <row r="2192" hidden="1" spans="2:18">
      <c r="B2192" s="113" t="s">
        <v>147</v>
      </c>
      <c r="C2192" s="63">
        <v>45850</v>
      </c>
      <c r="D2192" s="113" t="str">
        <f>VLOOKUP(B2192,辅助信息!E:K,7,FALSE)</f>
        <v>JWDDCD2025052800131</v>
      </c>
      <c r="E2192" s="113" t="str">
        <f>VLOOKUP(F2192,辅助信息!A:B,2,FALSE)</f>
        <v>螺纹钢</v>
      </c>
      <c r="F2192" s="113" t="s">
        <v>21</v>
      </c>
      <c r="G2192" s="114">
        <v>6</v>
      </c>
      <c r="H2192" s="127" t="str">
        <f>_xlfn.XLOOKUP(C2192&amp;F2192&amp;I2192&amp;J2192,'[1]2025年已发货'!$F:$F&amp;'[1]2025年已发货'!$C:$C&amp;'[1]2025年已发货'!$G:$G&amp;'[1]2025年已发货'!$H:$H,'[1]2025年已发货'!$E:$E,"未发货")</f>
        <v>未发货</v>
      </c>
      <c r="I2192" s="113" t="str">
        <f>VLOOKUP(B2192,辅助信息!E:I,3,FALSE)</f>
        <v>（商投建工达州中医药科技园-4工区-11号楼）达州市通川区达州中医药职业学院犀牛大道北段</v>
      </c>
      <c r="J2192" s="113" t="str">
        <f>VLOOKUP(B2192,辅助信息!E:I,4,FALSE)</f>
        <v>张扬</v>
      </c>
      <c r="K2192" s="113">
        <f>VLOOKUP(J2192,辅助信息!H:I,2,FALSE)</f>
        <v>18381904567</v>
      </c>
      <c r="L2192" s="115" t="str">
        <f>VLOOKUP(B2192,辅助信息!E:J,6,FALSE)</f>
        <v>控制炉批号！多了现场不收！,优先安排达钢,提前联系到场规格及数量</v>
      </c>
      <c r="M2192" s="84">
        <v>45845</v>
      </c>
      <c r="O2192" s="55">
        <f ca="1" t="shared" si="147"/>
        <v>0</v>
      </c>
      <c r="P2192" s="55">
        <f ca="1" t="shared" si="148"/>
        <v>112</v>
      </c>
      <c r="Q2192" s="22" t="str">
        <f>VLOOKUP(B2192,辅助信息!E:M,9,FALSE)</f>
        <v>ZTWM-CDGS-XS-2024-0134-商投建工达州中医药科技成果示范园项目</v>
      </c>
      <c r="R2192" s="22" t="str">
        <f>_xlfn._xlws.FILTER(辅助信息!D:D,辅助信息!E:E=B2192)</f>
        <v>商投建工达州中医药科技园</v>
      </c>
    </row>
    <row r="2193" hidden="1" spans="2:18">
      <c r="B2193" s="113" t="s">
        <v>147</v>
      </c>
      <c r="C2193" s="63">
        <v>45850</v>
      </c>
      <c r="D2193" s="113" t="str">
        <f>VLOOKUP(B2193,辅助信息!E:K,7,FALSE)</f>
        <v>JWDDCD2025052800131</v>
      </c>
      <c r="E2193" s="113" t="str">
        <f>VLOOKUP(F2193,辅助信息!A:B,2,FALSE)</f>
        <v>螺纹钢</v>
      </c>
      <c r="F2193" s="113" t="s">
        <v>58</v>
      </c>
      <c r="G2193" s="114">
        <v>6</v>
      </c>
      <c r="H2193" s="127" t="str">
        <f>_xlfn.XLOOKUP(C2193&amp;F2193&amp;I2193&amp;J2193,'[1]2025年已发货'!$F:$F&amp;'[1]2025年已发货'!$C:$C&amp;'[1]2025年已发货'!$G:$G&amp;'[1]2025年已发货'!$H:$H,'[1]2025年已发货'!$E:$E,"未发货")</f>
        <v>未发货</v>
      </c>
      <c r="I2193" s="113" t="str">
        <f>VLOOKUP(B2193,辅助信息!E:I,3,FALSE)</f>
        <v>（商投建工达州中医药科技园-4工区-11号楼）达州市通川区达州中医药职业学院犀牛大道北段</v>
      </c>
      <c r="J2193" s="113" t="str">
        <f>VLOOKUP(B2193,辅助信息!E:I,4,FALSE)</f>
        <v>张扬</v>
      </c>
      <c r="K2193" s="113">
        <f>VLOOKUP(J2193,辅助信息!H:I,2,FALSE)</f>
        <v>18381904567</v>
      </c>
      <c r="L2193" s="115" t="str">
        <f>VLOOKUP(B2193,辅助信息!E:J,6,FALSE)</f>
        <v>控制炉批号！多了现场不收！,优先安排达钢,提前联系到场规格及数量</v>
      </c>
      <c r="M2193" s="84">
        <v>45845</v>
      </c>
      <c r="O2193" s="55">
        <f ca="1" t="shared" si="147"/>
        <v>0</v>
      </c>
      <c r="P2193" s="55">
        <f ca="1" t="shared" si="148"/>
        <v>112</v>
      </c>
      <c r="Q2193" s="22" t="str">
        <f>VLOOKUP(B2193,辅助信息!E:M,9,FALSE)</f>
        <v>ZTWM-CDGS-XS-2024-0134-商投建工达州中医药科技成果示范园项目</v>
      </c>
      <c r="R2193" s="22" t="str">
        <f>_xlfn._xlws.FILTER(辅助信息!D:D,辅助信息!E:E=B2193)</f>
        <v>商投建工达州中医药科技园</v>
      </c>
    </row>
    <row r="2194" hidden="1" spans="2:18">
      <c r="B2194" s="113" t="s">
        <v>147</v>
      </c>
      <c r="C2194" s="63">
        <v>45850</v>
      </c>
      <c r="D2194" s="113" t="str">
        <f>VLOOKUP(B2194,辅助信息!E:K,7,FALSE)</f>
        <v>JWDDCD2025052800131</v>
      </c>
      <c r="E2194" s="113" t="str">
        <f>VLOOKUP(F2194,辅助信息!A:B,2,FALSE)</f>
        <v>螺纹钢</v>
      </c>
      <c r="F2194" s="113" t="s">
        <v>46</v>
      </c>
      <c r="G2194" s="114">
        <v>15</v>
      </c>
      <c r="H2194" s="127" t="str">
        <f>_xlfn.XLOOKUP(C2194&amp;F2194&amp;I2194&amp;J2194,'[1]2025年已发货'!$F:$F&amp;'[1]2025年已发货'!$C:$C&amp;'[1]2025年已发货'!$G:$G&amp;'[1]2025年已发货'!$H:$H,'[1]2025年已发货'!$E:$E,"未发货")</f>
        <v>未发货</v>
      </c>
      <c r="I2194" s="113" t="str">
        <f>VLOOKUP(B2194,辅助信息!E:I,3,FALSE)</f>
        <v>（商投建工达州中医药科技园-4工区-11号楼）达州市通川区达州中医药职业学院犀牛大道北段</v>
      </c>
      <c r="J2194" s="113" t="str">
        <f>VLOOKUP(B2194,辅助信息!E:I,4,FALSE)</f>
        <v>张扬</v>
      </c>
      <c r="K2194" s="113">
        <f>VLOOKUP(J2194,辅助信息!H:I,2,FALSE)</f>
        <v>18381904567</v>
      </c>
      <c r="L2194" s="115" t="str">
        <f>VLOOKUP(B2194,辅助信息!E:J,6,FALSE)</f>
        <v>控制炉批号！多了现场不收！,优先安排达钢,提前联系到场规格及数量</v>
      </c>
      <c r="M2194" s="84">
        <v>45845</v>
      </c>
      <c r="O2194" s="55">
        <f ca="1" t="shared" si="147"/>
        <v>0</v>
      </c>
      <c r="P2194" s="55">
        <f ca="1" t="shared" si="148"/>
        <v>112</v>
      </c>
      <c r="Q2194" s="22" t="str">
        <f>VLOOKUP(B2194,辅助信息!E:M,9,FALSE)</f>
        <v>ZTWM-CDGS-XS-2024-0134-商投建工达州中医药科技成果示范园项目</v>
      </c>
      <c r="R2194" s="22" t="str">
        <f>_xlfn._xlws.FILTER(辅助信息!D:D,辅助信息!E:E=B2194)</f>
        <v>商投建工达州中医药科技园</v>
      </c>
    </row>
    <row r="2195" hidden="1" spans="2:18">
      <c r="B2195" s="113" t="s">
        <v>147</v>
      </c>
      <c r="C2195" s="63">
        <v>45850</v>
      </c>
      <c r="D2195" s="113" t="str">
        <f>VLOOKUP(B2195,辅助信息!E:K,7,FALSE)</f>
        <v>JWDDCD2025052800131</v>
      </c>
      <c r="E2195" s="113" t="str">
        <f>VLOOKUP(F2195,辅助信息!A:B,2,FALSE)</f>
        <v>螺纹钢</v>
      </c>
      <c r="F2195" s="113" t="s">
        <v>22</v>
      </c>
      <c r="G2195" s="114">
        <v>9</v>
      </c>
      <c r="H2195" s="127" t="str">
        <f>_xlfn.XLOOKUP(C2195&amp;F2195&amp;I2195&amp;J2195,'[1]2025年已发货'!$F:$F&amp;'[1]2025年已发货'!$C:$C&amp;'[1]2025年已发货'!$G:$G&amp;'[1]2025年已发货'!$H:$H,'[1]2025年已发货'!$E:$E,"未发货")</f>
        <v>未发货</v>
      </c>
      <c r="I2195" s="113" t="str">
        <f>VLOOKUP(B2195,辅助信息!E:I,3,FALSE)</f>
        <v>（商投建工达州中医药科技园-4工区-11号楼）达州市通川区达州中医药职业学院犀牛大道北段</v>
      </c>
      <c r="J2195" s="113" t="str">
        <f>VLOOKUP(B2195,辅助信息!E:I,4,FALSE)</f>
        <v>张扬</v>
      </c>
      <c r="K2195" s="113">
        <f>VLOOKUP(J2195,辅助信息!H:I,2,FALSE)</f>
        <v>18381904567</v>
      </c>
      <c r="L2195" s="115" t="str">
        <f>VLOOKUP(B2195,辅助信息!E:J,6,FALSE)</f>
        <v>控制炉批号！多了现场不收！,优先安排达钢,提前联系到场规格及数量</v>
      </c>
      <c r="M2195" s="84">
        <v>45845</v>
      </c>
      <c r="O2195" s="55">
        <f ca="1" t="shared" si="147"/>
        <v>0</v>
      </c>
      <c r="P2195" s="55">
        <f ca="1" t="shared" si="148"/>
        <v>112</v>
      </c>
      <c r="Q2195" s="22" t="str">
        <f>VLOOKUP(B2195,辅助信息!E:M,9,FALSE)</f>
        <v>ZTWM-CDGS-XS-2024-0134-商投建工达州中医药科技成果示范园项目</v>
      </c>
      <c r="R2195" s="22" t="str">
        <f>_xlfn._xlws.FILTER(辅助信息!D:D,辅助信息!E:E=B2195)</f>
        <v>商投建工达州中医药科技园</v>
      </c>
    </row>
    <row r="2196" hidden="1" spans="2:18">
      <c r="B2196" s="113" t="s">
        <v>159</v>
      </c>
      <c r="C2196" s="63">
        <v>45850</v>
      </c>
      <c r="D2196" s="113" t="str">
        <f>VLOOKUP(B2196,辅助信息!E:K,7,FALSE)</f>
        <v>JWDDCD2025052800131</v>
      </c>
      <c r="E2196" s="113" t="str">
        <f>VLOOKUP(F2196,辅助信息!A:B,2,FALSE)</f>
        <v>螺纹钢</v>
      </c>
      <c r="F2196" s="113" t="s">
        <v>66</v>
      </c>
      <c r="G2196" s="114">
        <v>6</v>
      </c>
      <c r="H2196" s="127" t="str">
        <f>_xlfn.XLOOKUP(C2196&amp;F2196&amp;I2196&amp;J2196,'[1]2025年已发货'!$F:$F&amp;'[1]2025年已发货'!$C:$C&amp;'[1]2025年已发货'!$G:$G&amp;'[1]2025年已发货'!$H:$H,'[1]2025年已发货'!$E:$E,"未发货")</f>
        <v>未发货</v>
      </c>
      <c r="I2196" s="113" t="str">
        <f>VLOOKUP(B2196,辅助信息!E:I,3,FALSE)</f>
        <v>（商投建工达州中医药科技园-3工区）达州市通川区达州中医药职业学院犀牛大道北段</v>
      </c>
      <c r="J2196" s="113" t="str">
        <f>VLOOKUP(B2196,辅助信息!E:I,4,FALSE)</f>
        <v>程黄刚</v>
      </c>
      <c r="K2196" s="113">
        <f>VLOOKUP(J2196,辅助信息!H:I,2,FALSE)</f>
        <v>15108211617</v>
      </c>
      <c r="L2196" s="115" t="str">
        <f>VLOOKUP(B2196,辅助信息!E:J,6,FALSE)</f>
        <v>控制炉批号！多了现场不收！,优先安排达钢,提前联系到场规格及数量</v>
      </c>
      <c r="M2196" s="84">
        <v>45845</v>
      </c>
      <c r="O2196" s="55">
        <f ca="1" t="shared" si="147"/>
        <v>0</v>
      </c>
      <c r="P2196" s="55">
        <f ca="1" t="shared" si="148"/>
        <v>112</v>
      </c>
      <c r="Q2196" s="22" t="str">
        <f>VLOOKUP(B2196,辅助信息!E:M,9,FALSE)</f>
        <v>ZTWM-CDGS-XS-2024-0134-商投建工达州中医药科技成果示范园项目</v>
      </c>
      <c r="R2196" s="22" t="str">
        <f>_xlfn._xlws.FILTER(辅助信息!D:D,辅助信息!E:E=B2196)</f>
        <v>商投建工达州中医药科技园</v>
      </c>
    </row>
    <row r="2197" hidden="1" spans="2:18">
      <c r="B2197" s="113" t="s">
        <v>159</v>
      </c>
      <c r="C2197" s="63">
        <v>45850</v>
      </c>
      <c r="D2197" s="113" t="str">
        <f>VLOOKUP(B2197,辅助信息!E:K,7,FALSE)</f>
        <v>JWDDCD2025052800131</v>
      </c>
      <c r="E2197" s="113" t="str">
        <f>VLOOKUP(F2197,辅助信息!A:B,2,FALSE)</f>
        <v>螺纹钢</v>
      </c>
      <c r="F2197" s="113" t="s">
        <v>45</v>
      </c>
      <c r="G2197" s="114">
        <v>6</v>
      </c>
      <c r="H2197" s="127" t="str">
        <f>_xlfn.XLOOKUP(C2197&amp;F2197&amp;I2197&amp;J2197,'[1]2025年已发货'!$F:$F&amp;'[1]2025年已发货'!$C:$C&amp;'[1]2025年已发货'!$G:$G&amp;'[1]2025年已发货'!$H:$H,'[1]2025年已发货'!$E:$E,"未发货")</f>
        <v>未发货</v>
      </c>
      <c r="I2197" s="113" t="str">
        <f>VLOOKUP(B2197,辅助信息!E:I,3,FALSE)</f>
        <v>（商投建工达州中医药科技园-3工区）达州市通川区达州中医药职业学院犀牛大道北段</v>
      </c>
      <c r="J2197" s="113" t="str">
        <f>VLOOKUP(B2197,辅助信息!E:I,4,FALSE)</f>
        <v>程黄刚</v>
      </c>
      <c r="K2197" s="113">
        <f>VLOOKUP(J2197,辅助信息!H:I,2,FALSE)</f>
        <v>15108211617</v>
      </c>
      <c r="L2197" s="115" t="str">
        <f>VLOOKUP(B2197,辅助信息!E:J,6,FALSE)</f>
        <v>控制炉批号！多了现场不收！,优先安排达钢,提前联系到场规格及数量</v>
      </c>
      <c r="M2197" s="84">
        <v>45845</v>
      </c>
      <c r="O2197" s="55">
        <f ca="1" t="shared" si="147"/>
        <v>0</v>
      </c>
      <c r="P2197" s="55">
        <f ca="1" t="shared" si="148"/>
        <v>112</v>
      </c>
      <c r="Q2197" s="22" t="str">
        <f>VLOOKUP(B2197,辅助信息!E:M,9,FALSE)</f>
        <v>ZTWM-CDGS-XS-2024-0134-商投建工达州中医药科技成果示范园项目</v>
      </c>
      <c r="R2197" s="22" t="str">
        <f>_xlfn._xlws.FILTER(辅助信息!D:D,辅助信息!E:E=B2197)</f>
        <v>商投建工达州中医药科技园</v>
      </c>
    </row>
    <row r="2198" hidden="1" spans="2:18">
      <c r="B2198" s="113" t="s">
        <v>159</v>
      </c>
      <c r="C2198" s="63">
        <v>45850</v>
      </c>
      <c r="D2198" s="113" t="str">
        <f>VLOOKUP(B2198,辅助信息!E:K,7,FALSE)</f>
        <v>JWDDCD2025052800131</v>
      </c>
      <c r="E2198" s="113" t="str">
        <f>VLOOKUP(F2198,辅助信息!A:B,2,FALSE)</f>
        <v>螺纹钢</v>
      </c>
      <c r="F2198" s="113" t="s">
        <v>21</v>
      </c>
      <c r="G2198" s="114">
        <v>6</v>
      </c>
      <c r="H2198" s="127" t="str">
        <f>_xlfn.XLOOKUP(C2198&amp;F2198&amp;I2198&amp;J2198,'[1]2025年已发货'!$F:$F&amp;'[1]2025年已发货'!$C:$C&amp;'[1]2025年已发货'!$G:$G&amp;'[1]2025年已发货'!$H:$H,'[1]2025年已发货'!$E:$E,"未发货")</f>
        <v>未发货</v>
      </c>
      <c r="I2198" s="113" t="str">
        <f>VLOOKUP(B2198,辅助信息!E:I,3,FALSE)</f>
        <v>（商投建工达州中医药科技园-3工区）达州市通川区达州中医药职业学院犀牛大道北段</v>
      </c>
      <c r="J2198" s="113" t="str">
        <f>VLOOKUP(B2198,辅助信息!E:I,4,FALSE)</f>
        <v>程黄刚</v>
      </c>
      <c r="K2198" s="113">
        <f>VLOOKUP(J2198,辅助信息!H:I,2,FALSE)</f>
        <v>15108211617</v>
      </c>
      <c r="L2198" s="115" t="str">
        <f>VLOOKUP(B2198,辅助信息!E:J,6,FALSE)</f>
        <v>控制炉批号！多了现场不收！,优先安排达钢,提前联系到场规格及数量</v>
      </c>
      <c r="M2198" s="84">
        <v>45845</v>
      </c>
      <c r="O2198" s="55">
        <f ca="1" t="shared" si="147"/>
        <v>0</v>
      </c>
      <c r="P2198" s="55">
        <f ca="1" t="shared" si="148"/>
        <v>112</v>
      </c>
      <c r="Q2198" s="22" t="str">
        <f>VLOOKUP(B2198,辅助信息!E:M,9,FALSE)</f>
        <v>ZTWM-CDGS-XS-2024-0134-商投建工达州中医药科技成果示范园项目</v>
      </c>
      <c r="R2198" s="22" t="str">
        <f>_xlfn._xlws.FILTER(辅助信息!D:D,辅助信息!E:E=B2198)</f>
        <v>商投建工达州中医药科技园</v>
      </c>
    </row>
    <row r="2199" hidden="1" spans="2:18">
      <c r="B2199" s="113" t="s">
        <v>159</v>
      </c>
      <c r="C2199" s="63">
        <v>45850</v>
      </c>
      <c r="D2199" s="113" t="str">
        <f>VLOOKUP(B2199,辅助信息!E:K,7,FALSE)</f>
        <v>JWDDCD2025052800131</v>
      </c>
      <c r="E2199" s="113" t="str">
        <f>VLOOKUP(F2199,辅助信息!A:B,2,FALSE)</f>
        <v>螺纹钢</v>
      </c>
      <c r="F2199" s="113" t="s">
        <v>46</v>
      </c>
      <c r="G2199" s="114">
        <v>12</v>
      </c>
      <c r="H2199" s="127" t="str">
        <f>_xlfn.XLOOKUP(C2199&amp;F2199&amp;I2199&amp;J2199,'[1]2025年已发货'!$F:$F&amp;'[1]2025年已发货'!$C:$C&amp;'[1]2025年已发货'!$G:$G&amp;'[1]2025年已发货'!$H:$H,'[1]2025年已发货'!$E:$E,"未发货")</f>
        <v>未发货</v>
      </c>
      <c r="I2199" s="113" t="str">
        <f>VLOOKUP(B2199,辅助信息!E:I,3,FALSE)</f>
        <v>（商投建工达州中医药科技园-3工区）达州市通川区达州中医药职业学院犀牛大道北段</v>
      </c>
      <c r="J2199" s="113" t="str">
        <f>VLOOKUP(B2199,辅助信息!E:I,4,FALSE)</f>
        <v>程黄刚</v>
      </c>
      <c r="K2199" s="113">
        <f>VLOOKUP(J2199,辅助信息!H:I,2,FALSE)</f>
        <v>15108211617</v>
      </c>
      <c r="L2199" s="115" t="str">
        <f>VLOOKUP(B2199,辅助信息!E:J,6,FALSE)</f>
        <v>控制炉批号！多了现场不收！,优先安排达钢,提前联系到场规格及数量</v>
      </c>
      <c r="M2199" s="84">
        <v>45845</v>
      </c>
      <c r="O2199" s="55">
        <f ca="1" t="shared" si="147"/>
        <v>0</v>
      </c>
      <c r="P2199" s="55">
        <f ca="1" t="shared" si="148"/>
        <v>112</v>
      </c>
      <c r="Q2199" s="22" t="str">
        <f>VLOOKUP(B2199,辅助信息!E:M,9,FALSE)</f>
        <v>ZTWM-CDGS-XS-2024-0134-商投建工达州中医药科技成果示范园项目</v>
      </c>
      <c r="R2199" s="22" t="str">
        <f>_xlfn._xlws.FILTER(辅助信息!D:D,辅助信息!E:E=B2199)</f>
        <v>商投建工达州中医药科技园</v>
      </c>
    </row>
    <row r="2200" hidden="1" spans="2:18">
      <c r="B2200" s="113" t="s">
        <v>81</v>
      </c>
      <c r="C2200" s="63">
        <v>45850</v>
      </c>
      <c r="D2200" s="113" t="str">
        <f>VLOOKUP(B2200,辅助信息!E:K,7,FALSE)</f>
        <v>JWDDCD2025060900080</v>
      </c>
      <c r="E2200" s="113" t="str">
        <f>VLOOKUP(F2200,辅助信息!A:B,2,FALSE)</f>
        <v>螺纹钢</v>
      </c>
      <c r="F2200" s="113" t="s">
        <v>66</v>
      </c>
      <c r="G2200" s="114">
        <v>2.5</v>
      </c>
      <c r="H2200" s="127" t="str">
        <f>_xlfn.XLOOKUP(C2200&amp;F2200&amp;I2200&amp;J2200,'[1]2025年已发货'!$F:$F&amp;'[1]2025年已发货'!$C:$C&amp;'[1]2025年已发货'!$G:$G&amp;'[1]2025年已发货'!$H:$H,'[1]2025年已发货'!$E:$E,"未发货")</f>
        <v>未发货</v>
      </c>
      <c r="I2200" s="113" t="str">
        <f>VLOOKUP(B2200,辅助信息!E:I,3,FALSE)</f>
        <v>（华西简阳西城嘉苑）四川省成都市简阳市简城街道高屋村</v>
      </c>
      <c r="J2200" s="113" t="str">
        <f>VLOOKUP(B2200,辅助信息!E:I,4,FALSE)</f>
        <v>张瀚镭</v>
      </c>
      <c r="K2200" s="113">
        <f>VLOOKUP(J2200,辅助信息!H:I,2,FALSE)</f>
        <v>15884666220</v>
      </c>
      <c r="L2200" s="115" t="str">
        <f>VLOOKUP(B2200,辅助信息!E:J,6,FALSE)</f>
        <v>现场禁止使用氢能源挂车！优先威钢发货,我方卸车,新老国标钢厂不加价可直发，因陕钢多次出现磅差，项目拒绝使用</v>
      </c>
      <c r="M2200" s="84">
        <v>45847</v>
      </c>
      <c r="O2200" s="55">
        <f ca="1" t="shared" si="147"/>
        <v>0</v>
      </c>
      <c r="P2200" s="55">
        <f ca="1" t="shared" si="148"/>
        <v>110</v>
      </c>
      <c r="Q2200" s="22" t="str">
        <f>VLOOKUP(B2200,辅助信息!E:M,9,FALSE)</f>
        <v>ZTWM-CDGS-XS-2024-0030-华西集采-简州大道</v>
      </c>
      <c r="R2200" s="22" t="str">
        <f>_xlfn._xlws.FILTER(辅助信息!D:D,辅助信息!E:E=B2200)</f>
        <v>华西简阳西城嘉苑</v>
      </c>
    </row>
    <row r="2201" hidden="1" spans="2:18">
      <c r="B2201" s="33" t="s">
        <v>186</v>
      </c>
      <c r="C2201" s="63">
        <v>45850</v>
      </c>
      <c r="D2201" s="33" t="str">
        <f>VLOOKUP(B2201,辅助信息!E:K,7,FALSE)</f>
        <v>JWDDCD2025072900123</v>
      </c>
      <c r="E2201" s="33" t="str">
        <f>VLOOKUP(F2201,辅助信息!A:B,2,FALSE)</f>
        <v>高线</v>
      </c>
      <c r="F2201" s="33" t="s">
        <v>57</v>
      </c>
      <c r="G2201" s="29">
        <v>3</v>
      </c>
      <c r="H2201" s="127">
        <f>_xlfn.XLOOKUP(C2201&amp;F2201&amp;I2201&amp;J2201,'[1]2025年已发货'!$F:$F&amp;'[1]2025年已发货'!$C:$C&amp;'[1]2025年已发货'!$G:$G&amp;'[1]2025年已发货'!$H:$H,'[1]2025年已发货'!$E:$E,"未发货")</f>
        <v>3</v>
      </c>
      <c r="I2201" s="33" t="str">
        <f>VLOOKUP(B2201,辅助信息!E:I,3,FALSE)</f>
        <v>(乐山市校地共建产教融合基地建设项目二标段)四川省乐山市市中区苏稽镇</v>
      </c>
      <c r="J2201" s="33" t="str">
        <f>VLOOKUP(B2201,辅助信息!E:I,4,FALSE)</f>
        <v>彭江涛</v>
      </c>
      <c r="K2201" s="33">
        <f>VLOOKUP(J2201,辅助信息!H:I,2,FALSE)</f>
        <v>13990276572</v>
      </c>
      <c r="L2201" s="102" t="str">
        <f>VLOOKUP(B2201,辅助信息!E:J,6,FALSE)</f>
        <v>联系实际收货人（彭江涛13990276572）现场要求炉批号控制2个以下，超2个不给予签收。提前联系到场规格及数量</v>
      </c>
      <c r="M2201" s="84">
        <v>45851</v>
      </c>
      <c r="O2201" s="55">
        <f ca="1" t="shared" si="147"/>
        <v>0</v>
      </c>
      <c r="P2201" s="55">
        <f ca="1" t="shared" si="148"/>
        <v>106</v>
      </c>
      <c r="Q2201" s="22" t="str">
        <f>VLOOKUP(B2201,辅助信息!E:M,9,FALSE)</f>
        <v>ZTWM-CDGS-XS-2025-0126-四川机司-乐山市校地共建产教融合基地配套设施项目施工二标段钢筋采购合同</v>
      </c>
      <c r="R2201" s="22" t="str">
        <f>_xlfn._xlws.FILTER(辅助信息!D:D,辅助信息!E:E=B2201)</f>
        <v>乐山市校地共建产教融合基地建设项目二标段</v>
      </c>
    </row>
    <row r="2202" hidden="1" spans="2:18">
      <c r="B2202" s="33" t="s">
        <v>186</v>
      </c>
      <c r="C2202" s="63">
        <v>45850</v>
      </c>
      <c r="D2202" s="33" t="str">
        <f>VLOOKUP(B2202,辅助信息!E:K,7,FALSE)</f>
        <v>JWDDCD2025072900123</v>
      </c>
      <c r="E2202" s="33" t="str">
        <f>VLOOKUP(F2202,辅助信息!A:B,2,FALSE)</f>
        <v>高线</v>
      </c>
      <c r="F2202" s="33" t="s">
        <v>53</v>
      </c>
      <c r="G2202" s="29">
        <v>3</v>
      </c>
      <c r="H2202" s="127">
        <f>_xlfn.XLOOKUP(C2202&amp;F2202&amp;I2202&amp;J2202,'[1]2025年已发货'!$F:$F&amp;'[1]2025年已发货'!$C:$C&amp;'[1]2025年已发货'!$G:$G&amp;'[1]2025年已发货'!$H:$H,'[1]2025年已发货'!$E:$E,"未发货")</f>
        <v>3</v>
      </c>
      <c r="I2202" s="33" t="str">
        <f>VLOOKUP(B2202,辅助信息!E:I,3,FALSE)</f>
        <v>(乐山市校地共建产教融合基地建设项目二标段)四川省乐山市市中区苏稽镇</v>
      </c>
      <c r="J2202" s="33" t="str">
        <f>VLOOKUP(B2202,辅助信息!E:I,4,FALSE)</f>
        <v>彭江涛</v>
      </c>
      <c r="K2202" s="33">
        <f>VLOOKUP(J2202,辅助信息!H:I,2,FALSE)</f>
        <v>13990276572</v>
      </c>
      <c r="L2202" s="102" t="str">
        <f>VLOOKUP(B2202,辅助信息!E:J,6,FALSE)</f>
        <v>联系实际收货人（彭江涛13990276572）现场要求炉批号控制2个以下，超2个不给予签收。提前联系到场规格及数量</v>
      </c>
      <c r="M2202" s="84">
        <v>45851</v>
      </c>
      <c r="O2202" s="55">
        <f ca="1" t="shared" si="147"/>
        <v>0</v>
      </c>
      <c r="P2202" s="55">
        <f ca="1" t="shared" si="148"/>
        <v>106</v>
      </c>
      <c r="Q2202" s="22" t="str">
        <f>VLOOKUP(B2202,辅助信息!E:M,9,FALSE)</f>
        <v>ZTWM-CDGS-XS-2025-0126-四川机司-乐山市校地共建产教融合基地配套设施项目施工二标段钢筋采购合同</v>
      </c>
      <c r="R2202" s="22" t="str">
        <f>_xlfn._xlws.FILTER(辅助信息!D:D,辅助信息!E:E=B2202)</f>
        <v>乐山市校地共建产教融合基地建设项目二标段</v>
      </c>
    </row>
    <row r="2203" hidden="1" spans="2:18">
      <c r="B2203" s="33" t="s">
        <v>186</v>
      </c>
      <c r="C2203" s="63">
        <v>45850</v>
      </c>
      <c r="D2203" s="33" t="str">
        <f>VLOOKUP(B2203,辅助信息!E:K,7,FALSE)</f>
        <v>JWDDCD2025072900123</v>
      </c>
      <c r="E2203" s="33" t="str">
        <f>VLOOKUP(F2203,辅助信息!A:B,2,FALSE)</f>
        <v>盘螺</v>
      </c>
      <c r="F2203" s="33" t="s">
        <v>40</v>
      </c>
      <c r="G2203" s="29">
        <v>12</v>
      </c>
      <c r="H2203" s="127">
        <f>_xlfn.XLOOKUP(C2203&amp;F2203&amp;I2203&amp;J2203,'[1]2025年已发货'!$F:$F&amp;'[1]2025年已发货'!$C:$C&amp;'[1]2025年已发货'!$G:$G&amp;'[1]2025年已发货'!$H:$H,'[1]2025年已发货'!$E:$E,"未发货")</f>
        <v>12</v>
      </c>
      <c r="I2203" s="33" t="str">
        <f>VLOOKUP(B2203,辅助信息!E:I,3,FALSE)</f>
        <v>(乐山市校地共建产教融合基地建设项目二标段)四川省乐山市市中区苏稽镇</v>
      </c>
      <c r="J2203" s="33" t="str">
        <f>VLOOKUP(B2203,辅助信息!E:I,4,FALSE)</f>
        <v>彭江涛</v>
      </c>
      <c r="K2203" s="33">
        <f>VLOOKUP(J2203,辅助信息!H:I,2,FALSE)</f>
        <v>13990276572</v>
      </c>
      <c r="L2203" s="102" t="str">
        <f>VLOOKUP(B2203,辅助信息!E:J,6,FALSE)</f>
        <v>联系实际收货人（彭江涛13990276572）现场要求炉批号控制2个以下，超2个不给予签收。提前联系到场规格及数量</v>
      </c>
      <c r="M2203" s="84">
        <v>45851</v>
      </c>
      <c r="O2203" s="55">
        <f ca="1" t="shared" si="147"/>
        <v>0</v>
      </c>
      <c r="P2203" s="55">
        <f ca="1" t="shared" si="148"/>
        <v>106</v>
      </c>
      <c r="Q2203" s="22" t="str">
        <f>VLOOKUP(B2203,辅助信息!E:M,9,FALSE)</f>
        <v>ZTWM-CDGS-XS-2025-0126-四川机司-乐山市校地共建产教融合基地配套设施项目施工二标段钢筋采购合同</v>
      </c>
      <c r="R2203" s="22" t="str">
        <f>_xlfn._xlws.FILTER(辅助信息!D:D,辅助信息!E:E=B2203)</f>
        <v>乐山市校地共建产教融合基地建设项目二标段</v>
      </c>
    </row>
    <row r="2204" hidden="1" spans="2:18">
      <c r="B2204" s="33" t="s">
        <v>186</v>
      </c>
      <c r="C2204" s="63">
        <v>45850</v>
      </c>
      <c r="D2204" s="33" t="str">
        <f>VLOOKUP(B2204,辅助信息!E:K,7,FALSE)</f>
        <v>JWDDCD2025072900123</v>
      </c>
      <c r="E2204" s="33" t="str">
        <f>VLOOKUP(F2204,辅助信息!A:B,2,FALSE)</f>
        <v>盘螺</v>
      </c>
      <c r="F2204" s="33" t="s">
        <v>41</v>
      </c>
      <c r="G2204" s="29">
        <v>8</v>
      </c>
      <c r="H2204" s="127">
        <f>_xlfn.XLOOKUP(C2204&amp;F2204&amp;I2204&amp;J2204,'[1]2025年已发货'!$F:$F&amp;'[1]2025年已发货'!$C:$C&amp;'[1]2025年已发货'!$G:$G&amp;'[1]2025年已发货'!$H:$H,'[1]2025年已发货'!$E:$E,"未发货")</f>
        <v>8</v>
      </c>
      <c r="I2204" s="33" t="str">
        <f>VLOOKUP(B2204,辅助信息!E:I,3,FALSE)</f>
        <v>(乐山市校地共建产教融合基地建设项目二标段)四川省乐山市市中区苏稽镇</v>
      </c>
      <c r="J2204" s="33" t="str">
        <f>VLOOKUP(B2204,辅助信息!E:I,4,FALSE)</f>
        <v>彭江涛</v>
      </c>
      <c r="K2204" s="33">
        <f>VLOOKUP(J2204,辅助信息!H:I,2,FALSE)</f>
        <v>13990276572</v>
      </c>
      <c r="L2204" s="102" t="str">
        <f>VLOOKUP(B2204,辅助信息!E:J,6,FALSE)</f>
        <v>联系实际收货人（彭江涛13990276572）现场要求炉批号控制2个以下，超2个不给予签收。提前联系到场规格及数量</v>
      </c>
      <c r="M2204" s="84">
        <v>45851</v>
      </c>
      <c r="O2204" s="55">
        <f ca="1" t="shared" si="147"/>
        <v>0</v>
      </c>
      <c r="P2204" s="55">
        <f ca="1" t="shared" si="148"/>
        <v>106</v>
      </c>
      <c r="Q2204" s="22" t="str">
        <f>VLOOKUP(B2204,辅助信息!E:M,9,FALSE)</f>
        <v>ZTWM-CDGS-XS-2025-0126-四川机司-乐山市校地共建产教融合基地配套设施项目施工二标段钢筋采购合同</v>
      </c>
      <c r="R2204" s="22" t="str">
        <f>_xlfn._xlws.FILTER(辅助信息!D:D,辅助信息!E:E=B2204)</f>
        <v>乐山市校地共建产教融合基地建设项目二标段</v>
      </c>
    </row>
    <row r="2205" hidden="1" spans="2:18">
      <c r="B2205" s="33" t="s">
        <v>186</v>
      </c>
      <c r="C2205" s="63">
        <v>45850</v>
      </c>
      <c r="D2205" s="33" t="str">
        <f>VLOOKUP(B2205,辅助信息!E:K,7,FALSE)</f>
        <v>JWDDCD2025072900123</v>
      </c>
      <c r="E2205" s="33" t="str">
        <f>VLOOKUP(F2205,辅助信息!A:B,2,FALSE)</f>
        <v>盘螺</v>
      </c>
      <c r="F2205" s="33" t="s">
        <v>26</v>
      </c>
      <c r="G2205" s="29">
        <v>6</v>
      </c>
      <c r="H2205" s="127">
        <f>_xlfn.XLOOKUP(C2205&amp;F2205&amp;I2205&amp;J2205,'[1]2025年已发货'!$F:$F&amp;'[1]2025年已发货'!$C:$C&amp;'[1]2025年已发货'!$G:$G&amp;'[1]2025年已发货'!$H:$H,'[1]2025年已发货'!$E:$E,"未发货")</f>
        <v>6</v>
      </c>
      <c r="I2205" s="33" t="str">
        <f>VLOOKUP(B2205,辅助信息!E:I,3,FALSE)</f>
        <v>(乐山市校地共建产教融合基地建设项目二标段)四川省乐山市市中区苏稽镇</v>
      </c>
      <c r="J2205" s="33" t="str">
        <f>VLOOKUP(B2205,辅助信息!E:I,4,FALSE)</f>
        <v>彭江涛</v>
      </c>
      <c r="K2205" s="33">
        <f>VLOOKUP(J2205,辅助信息!H:I,2,FALSE)</f>
        <v>13990276572</v>
      </c>
      <c r="L2205" s="102" t="str">
        <f>VLOOKUP(B2205,辅助信息!E:J,6,FALSE)</f>
        <v>联系实际收货人（彭江涛13990276572）现场要求炉批号控制2个以下，超2个不给予签收。提前联系到场规格及数量</v>
      </c>
      <c r="M2205" s="84">
        <v>45851</v>
      </c>
      <c r="O2205" s="55">
        <f ca="1" t="shared" si="147"/>
        <v>0</v>
      </c>
      <c r="P2205" s="55">
        <f ca="1" t="shared" si="148"/>
        <v>106</v>
      </c>
      <c r="Q2205" s="22" t="str">
        <f>VLOOKUP(B2205,辅助信息!E:M,9,FALSE)</f>
        <v>ZTWM-CDGS-XS-2025-0126-四川机司-乐山市校地共建产教融合基地配套设施项目施工二标段钢筋采购合同</v>
      </c>
      <c r="R2205" s="22" t="str">
        <f>_xlfn._xlws.FILTER(辅助信息!D:D,辅助信息!E:E=B2205)</f>
        <v>乐山市校地共建产教融合基地建设项目二标段</v>
      </c>
    </row>
    <row r="2206" hidden="1" spans="2:18">
      <c r="B2206" s="33" t="s">
        <v>186</v>
      </c>
      <c r="C2206" s="63">
        <v>45850</v>
      </c>
      <c r="D2206" s="33" t="str">
        <f>VLOOKUP(B2206,辅助信息!E:K,7,FALSE)</f>
        <v>JWDDCD2025072900123</v>
      </c>
      <c r="E2206" s="33" t="str">
        <f>VLOOKUP(F2206,辅助信息!A:B,2,FALSE)</f>
        <v>螺纹钢</v>
      </c>
      <c r="F2206" s="33" t="s">
        <v>32</v>
      </c>
      <c r="G2206" s="29">
        <v>3</v>
      </c>
      <c r="H2206" s="127">
        <f>_xlfn.XLOOKUP(C2206&amp;F2206&amp;I2206&amp;J2206,'[1]2025年已发货'!$F:$F&amp;'[1]2025年已发货'!$C:$C&amp;'[1]2025年已发货'!$G:$G&amp;'[1]2025年已发货'!$H:$H,'[1]2025年已发货'!$E:$E,"未发货")</f>
        <v>3</v>
      </c>
      <c r="I2206" s="33" t="str">
        <f>VLOOKUP(B2206,辅助信息!E:I,3,FALSE)</f>
        <v>(乐山市校地共建产教融合基地建设项目二标段)四川省乐山市市中区苏稽镇</v>
      </c>
      <c r="J2206" s="33" t="str">
        <f>VLOOKUP(B2206,辅助信息!E:I,4,FALSE)</f>
        <v>彭江涛</v>
      </c>
      <c r="K2206" s="33">
        <f>VLOOKUP(J2206,辅助信息!H:I,2,FALSE)</f>
        <v>13990276572</v>
      </c>
      <c r="L2206" s="102" t="str">
        <f>VLOOKUP(B2206,辅助信息!E:J,6,FALSE)</f>
        <v>联系实际收货人（彭江涛13990276572）现场要求炉批号控制2个以下，超2个不给予签收。提前联系到场规格及数量</v>
      </c>
      <c r="M2206" s="84">
        <v>45851</v>
      </c>
      <c r="O2206" s="55">
        <f ca="1" t="shared" si="147"/>
        <v>0</v>
      </c>
      <c r="P2206" s="55">
        <f ca="1" t="shared" si="148"/>
        <v>106</v>
      </c>
      <c r="Q2206" s="22" t="str">
        <f>VLOOKUP(B2206,辅助信息!E:M,9,FALSE)</f>
        <v>ZTWM-CDGS-XS-2025-0126-四川机司-乐山市校地共建产教融合基地配套设施项目施工二标段钢筋采购合同</v>
      </c>
      <c r="R2206" s="22" t="str">
        <f>_xlfn._xlws.FILTER(辅助信息!D:D,辅助信息!E:E=B2206)</f>
        <v>乐山市校地共建产教融合基地建设项目二标段</v>
      </c>
    </row>
    <row r="2207" hidden="1" spans="2:18">
      <c r="B2207" s="33" t="s">
        <v>186</v>
      </c>
      <c r="C2207" s="63">
        <v>45850</v>
      </c>
      <c r="D2207" s="33" t="str">
        <f>VLOOKUP(B2207,辅助信息!E:K,7,FALSE)</f>
        <v>JWDDCD2025072900123</v>
      </c>
      <c r="E2207" s="33" t="str">
        <f>VLOOKUP(F2207,辅助信息!A:B,2,FALSE)</f>
        <v>螺纹钢</v>
      </c>
      <c r="F2207" s="33" t="s">
        <v>30</v>
      </c>
      <c r="G2207" s="29">
        <f>21-7</f>
        <v>14</v>
      </c>
      <c r="H2207" s="127">
        <f>_xlfn.XLOOKUP(C2207&amp;F2207&amp;I2207&amp;J2207,'[1]2025年已发货'!$F:$F&amp;'[1]2025年已发货'!$C:$C&amp;'[1]2025年已发货'!$G:$G&amp;'[1]2025年已发货'!$H:$H,'[1]2025年已发货'!$E:$E,"未发货")</f>
        <v>14</v>
      </c>
      <c r="I2207" s="33" t="str">
        <f>VLOOKUP(B2207,辅助信息!E:I,3,FALSE)</f>
        <v>(乐山市校地共建产教融合基地建设项目二标段)四川省乐山市市中区苏稽镇</v>
      </c>
      <c r="J2207" s="33" t="str">
        <f>VLOOKUP(B2207,辅助信息!E:I,4,FALSE)</f>
        <v>彭江涛</v>
      </c>
      <c r="K2207" s="33">
        <f>VLOOKUP(J2207,辅助信息!H:I,2,FALSE)</f>
        <v>13990276572</v>
      </c>
      <c r="L2207" s="102" t="str">
        <f>VLOOKUP(B2207,辅助信息!E:J,6,FALSE)</f>
        <v>联系实际收货人（彭江涛13990276572）现场要求炉批号控制2个以下，超2个不给予签收。提前联系到场规格及数量</v>
      </c>
      <c r="M2207" s="84">
        <v>45851</v>
      </c>
      <c r="O2207" s="55">
        <f ca="1" t="shared" si="147"/>
        <v>0</v>
      </c>
      <c r="P2207" s="55">
        <f ca="1" t="shared" si="148"/>
        <v>106</v>
      </c>
      <c r="Q2207" s="22" t="str">
        <f>VLOOKUP(B2207,辅助信息!E:M,9,FALSE)</f>
        <v>ZTWM-CDGS-XS-2025-0126-四川机司-乐山市校地共建产教融合基地配套设施项目施工二标段钢筋采购合同</v>
      </c>
      <c r="R2207" s="22" t="str">
        <f>_xlfn._xlws.FILTER(辅助信息!D:D,辅助信息!E:E=B2207)</f>
        <v>乐山市校地共建产教融合基地建设项目二标段</v>
      </c>
    </row>
    <row r="2208" hidden="1" spans="2:18">
      <c r="B2208" s="33" t="s">
        <v>186</v>
      </c>
      <c r="C2208" s="63">
        <v>45850</v>
      </c>
      <c r="D2208" s="33" t="str">
        <f>VLOOKUP(B2208,辅助信息!E:K,7,FALSE)</f>
        <v>JWDDCD2025072900123</v>
      </c>
      <c r="E2208" s="33" t="str">
        <f>VLOOKUP(F2208,辅助信息!A:B,2,FALSE)</f>
        <v>螺纹钢</v>
      </c>
      <c r="F2208" s="33" t="s">
        <v>45</v>
      </c>
      <c r="G2208" s="29">
        <v>4</v>
      </c>
      <c r="H2208" s="127">
        <f>_xlfn.XLOOKUP(C2208&amp;F2208&amp;I2208&amp;J2208,'[1]2025年已发货'!$F:$F&amp;'[1]2025年已发货'!$C:$C&amp;'[1]2025年已发货'!$G:$G&amp;'[1]2025年已发货'!$H:$H,'[1]2025年已发货'!$E:$E,"未发货")</f>
        <v>4</v>
      </c>
      <c r="I2208" s="33" t="str">
        <f>VLOOKUP(B2208,辅助信息!E:I,3,FALSE)</f>
        <v>(乐山市校地共建产教融合基地建设项目二标段)四川省乐山市市中区苏稽镇</v>
      </c>
      <c r="J2208" s="33" t="str">
        <f>VLOOKUP(B2208,辅助信息!E:I,4,FALSE)</f>
        <v>彭江涛</v>
      </c>
      <c r="K2208" s="33">
        <f>VLOOKUP(J2208,辅助信息!H:I,2,FALSE)</f>
        <v>13990276572</v>
      </c>
      <c r="L2208" s="102" t="str">
        <f>VLOOKUP(B2208,辅助信息!E:J,6,FALSE)</f>
        <v>联系实际收货人（彭江涛13990276572）现场要求炉批号控制2个以下，超2个不给予签收。提前联系到场规格及数量</v>
      </c>
      <c r="M2208" s="84">
        <v>45851</v>
      </c>
      <c r="O2208" s="55">
        <f ca="1" t="shared" si="147"/>
        <v>0</v>
      </c>
      <c r="P2208" s="55">
        <f ca="1" t="shared" si="148"/>
        <v>106</v>
      </c>
      <c r="Q2208" s="22" t="str">
        <f>VLOOKUP(B2208,辅助信息!E:M,9,FALSE)</f>
        <v>ZTWM-CDGS-XS-2025-0126-四川机司-乐山市校地共建产教融合基地配套设施项目施工二标段钢筋采购合同</v>
      </c>
      <c r="R2208" s="22" t="str">
        <f>_xlfn._xlws.FILTER(辅助信息!D:D,辅助信息!E:E=B2208)</f>
        <v>乐山市校地共建产教融合基地建设项目二标段</v>
      </c>
    </row>
    <row r="2209" hidden="1" spans="2:18">
      <c r="B2209" s="33" t="s">
        <v>186</v>
      </c>
      <c r="C2209" s="63">
        <v>45850</v>
      </c>
      <c r="D2209" s="33" t="str">
        <f>VLOOKUP(B2209,辅助信息!E:K,7,FALSE)</f>
        <v>JWDDCD2025072900123</v>
      </c>
      <c r="E2209" s="33" t="str">
        <f>VLOOKUP(F2209,辅助信息!A:B,2,FALSE)</f>
        <v>螺纹钢</v>
      </c>
      <c r="F2209" s="33" t="s">
        <v>21</v>
      </c>
      <c r="G2209" s="29">
        <v>7</v>
      </c>
      <c r="H2209" s="127">
        <f>_xlfn.XLOOKUP(C2209&amp;F2209&amp;I2209&amp;J2209,'[1]2025年已发货'!$F:$F&amp;'[1]2025年已发货'!$C:$C&amp;'[1]2025年已发货'!$G:$G&amp;'[1]2025年已发货'!$H:$H,'[1]2025年已发货'!$E:$E,"未发货")</f>
        <v>7</v>
      </c>
      <c r="I2209" s="33" t="str">
        <f>VLOOKUP(B2209,辅助信息!E:I,3,FALSE)</f>
        <v>(乐山市校地共建产教融合基地建设项目二标段)四川省乐山市市中区苏稽镇</v>
      </c>
      <c r="J2209" s="33" t="str">
        <f>VLOOKUP(B2209,辅助信息!E:I,4,FALSE)</f>
        <v>彭江涛</v>
      </c>
      <c r="K2209" s="33">
        <f>VLOOKUP(J2209,辅助信息!H:I,2,FALSE)</f>
        <v>13990276572</v>
      </c>
      <c r="L2209" s="102" t="str">
        <f>VLOOKUP(B2209,辅助信息!E:J,6,FALSE)</f>
        <v>联系实际收货人（彭江涛13990276572）现场要求炉批号控制2个以下，超2个不给予签收。提前联系到场规格及数量</v>
      </c>
      <c r="M2209" s="84">
        <v>45851</v>
      </c>
      <c r="O2209" s="55">
        <f ca="1" t="shared" si="147"/>
        <v>0</v>
      </c>
      <c r="P2209" s="55">
        <f ca="1" t="shared" si="148"/>
        <v>106</v>
      </c>
      <c r="Q2209" s="22" t="str">
        <f>VLOOKUP(B2209,辅助信息!E:M,9,FALSE)</f>
        <v>ZTWM-CDGS-XS-2025-0126-四川机司-乐山市校地共建产教融合基地配套设施项目施工二标段钢筋采购合同</v>
      </c>
      <c r="R2209" s="22" t="str">
        <f>_xlfn._xlws.FILTER(辅助信息!D:D,辅助信息!E:E=B2209)</f>
        <v>乐山市校地共建产教融合基地建设项目二标段</v>
      </c>
    </row>
    <row r="2210" hidden="1" spans="2:18">
      <c r="B2210" s="33" t="s">
        <v>186</v>
      </c>
      <c r="C2210" s="63">
        <v>45850</v>
      </c>
      <c r="D2210" s="33" t="str">
        <f>VLOOKUP(B2210,辅助信息!E:K,7,FALSE)</f>
        <v>JWDDCD2025072900123</v>
      </c>
      <c r="E2210" s="33" t="str">
        <f>VLOOKUP(F2210,辅助信息!A:B,2,FALSE)</f>
        <v>螺纹钢</v>
      </c>
      <c r="F2210" s="33" t="s">
        <v>58</v>
      </c>
      <c r="G2210" s="29">
        <v>5</v>
      </c>
      <c r="H2210" s="127">
        <f>_xlfn.XLOOKUP(C2210&amp;F2210&amp;I2210&amp;J2210,'[1]2025年已发货'!$F:$F&amp;'[1]2025年已发货'!$C:$C&amp;'[1]2025年已发货'!$G:$G&amp;'[1]2025年已发货'!$H:$H,'[1]2025年已发货'!$E:$E,"未发货")</f>
        <v>5</v>
      </c>
      <c r="I2210" s="33" t="str">
        <f>VLOOKUP(B2210,辅助信息!E:I,3,FALSE)</f>
        <v>(乐山市校地共建产教融合基地建设项目二标段)四川省乐山市市中区苏稽镇</v>
      </c>
      <c r="J2210" s="33" t="str">
        <f>VLOOKUP(B2210,辅助信息!E:I,4,FALSE)</f>
        <v>彭江涛</v>
      </c>
      <c r="K2210" s="33">
        <f>VLOOKUP(J2210,辅助信息!H:I,2,FALSE)</f>
        <v>13990276572</v>
      </c>
      <c r="L2210" s="102" t="str">
        <f>VLOOKUP(B2210,辅助信息!E:J,6,FALSE)</f>
        <v>联系实际收货人（彭江涛13990276572）现场要求炉批号控制2个以下，超2个不给予签收。提前联系到场规格及数量</v>
      </c>
      <c r="M2210" s="84">
        <v>45851</v>
      </c>
      <c r="O2210" s="55">
        <f ca="1" t="shared" si="147"/>
        <v>0</v>
      </c>
      <c r="P2210" s="55">
        <f ca="1" t="shared" si="148"/>
        <v>106</v>
      </c>
      <c r="Q2210" s="22" t="str">
        <f>VLOOKUP(B2210,辅助信息!E:M,9,FALSE)</f>
        <v>ZTWM-CDGS-XS-2025-0126-四川机司-乐山市校地共建产教融合基地配套设施项目施工二标段钢筋采购合同</v>
      </c>
      <c r="R2210" s="22" t="str">
        <f>_xlfn._xlws.FILTER(辅助信息!D:D,辅助信息!E:E=B2210)</f>
        <v>乐山市校地共建产教融合基地建设项目二标段</v>
      </c>
    </row>
    <row r="2211" hidden="1" spans="2:18">
      <c r="B2211" s="33" t="s">
        <v>186</v>
      </c>
      <c r="C2211" s="63">
        <v>45850</v>
      </c>
      <c r="D2211" s="33" t="str">
        <f>VLOOKUP(B2211,辅助信息!E:K,7,FALSE)</f>
        <v>JWDDCD2025072900123</v>
      </c>
      <c r="E2211" s="33" t="str">
        <f>VLOOKUP(F2211,辅助信息!A:B,2,FALSE)</f>
        <v>螺纹钢</v>
      </c>
      <c r="F2211" s="33" t="s">
        <v>46</v>
      </c>
      <c r="G2211" s="29">
        <v>12</v>
      </c>
      <c r="H2211" s="127">
        <f>_xlfn.XLOOKUP(C2211&amp;F2211&amp;I2211&amp;J2211,'[1]2025年已发货'!$F:$F&amp;'[1]2025年已发货'!$C:$C&amp;'[1]2025年已发货'!$G:$G&amp;'[1]2025年已发货'!$H:$H,'[1]2025年已发货'!$E:$E,"未发货")</f>
        <v>12</v>
      </c>
      <c r="I2211" s="33" t="str">
        <f>VLOOKUP(B2211,辅助信息!E:I,3,FALSE)</f>
        <v>(乐山市校地共建产教融合基地建设项目二标段)四川省乐山市市中区苏稽镇</v>
      </c>
      <c r="J2211" s="33" t="str">
        <f>VLOOKUP(B2211,辅助信息!E:I,4,FALSE)</f>
        <v>彭江涛</v>
      </c>
      <c r="K2211" s="33">
        <f>VLOOKUP(J2211,辅助信息!H:I,2,FALSE)</f>
        <v>13990276572</v>
      </c>
      <c r="L2211" s="102" t="str">
        <f>VLOOKUP(B2211,辅助信息!E:J,6,FALSE)</f>
        <v>联系实际收货人（彭江涛13990276572）现场要求炉批号控制2个以下，超2个不给予签收。提前联系到场规格及数量</v>
      </c>
      <c r="M2211" s="84">
        <v>45851</v>
      </c>
      <c r="O2211" s="55">
        <f ca="1" t="shared" ref="O2211:O2274" si="149">IF(OR(M2211="",N2211&lt;&gt;""),"",MAX(M2211-TODAY(),0))</f>
        <v>0</v>
      </c>
      <c r="P2211" s="55">
        <f ca="1" t="shared" ref="P2211:P2274" si="150">IF(M2211="","",IF(N2211&lt;&gt;"",MAX(N2211-M2211,0),IF(TODAY()&gt;M2211,TODAY()-M2211,0)))</f>
        <v>106</v>
      </c>
      <c r="Q2211" s="22" t="str">
        <f>VLOOKUP(B2211,辅助信息!E:M,9,FALSE)</f>
        <v>ZTWM-CDGS-XS-2025-0126-四川机司-乐山市校地共建产教融合基地配套设施项目施工二标段钢筋采购合同</v>
      </c>
      <c r="R2211" s="22" t="str">
        <f>_xlfn._xlws.FILTER(辅助信息!D:D,辅助信息!E:E=B2211)</f>
        <v>乐山市校地共建产教融合基地建设项目二标段</v>
      </c>
    </row>
    <row r="2212" hidden="1" spans="2:18">
      <c r="B2212" s="33" t="s">
        <v>186</v>
      </c>
      <c r="C2212" s="63">
        <v>45850</v>
      </c>
      <c r="D2212" s="33" t="str">
        <f>VLOOKUP(B2212,辅助信息!E:K,7,FALSE)</f>
        <v>JWDDCD2025072900123</v>
      </c>
      <c r="E2212" s="33" t="str">
        <f>VLOOKUP(F2212,辅助信息!A:B,2,FALSE)</f>
        <v>螺纹钢</v>
      </c>
      <c r="F2212" s="33" t="s">
        <v>22</v>
      </c>
      <c r="G2212" s="29">
        <f>29-17</f>
        <v>12</v>
      </c>
      <c r="H2212" s="127">
        <f>_xlfn.XLOOKUP(C2212&amp;F2212&amp;I2212&amp;J2212,'[1]2025年已发货'!$F:$F&amp;'[1]2025年已发货'!$C:$C&amp;'[1]2025年已发货'!$G:$G&amp;'[1]2025年已发货'!$H:$H,'[1]2025年已发货'!$E:$E,"未发货")</f>
        <v>12</v>
      </c>
      <c r="I2212" s="33" t="str">
        <f>VLOOKUP(B2212,辅助信息!E:I,3,FALSE)</f>
        <v>(乐山市校地共建产教融合基地建设项目二标段)四川省乐山市市中区苏稽镇</v>
      </c>
      <c r="J2212" s="33" t="str">
        <f>VLOOKUP(B2212,辅助信息!E:I,4,FALSE)</f>
        <v>彭江涛</v>
      </c>
      <c r="K2212" s="33">
        <f>VLOOKUP(J2212,辅助信息!H:I,2,FALSE)</f>
        <v>13990276572</v>
      </c>
      <c r="L2212" s="102" t="str">
        <f>VLOOKUP(B2212,辅助信息!E:J,6,FALSE)</f>
        <v>联系实际收货人（彭江涛13990276572）现场要求炉批号控制2个以下，超2个不给予签收。提前联系到场规格及数量</v>
      </c>
      <c r="M2212" s="84">
        <v>45851</v>
      </c>
      <c r="O2212" s="55">
        <f ca="1" t="shared" si="149"/>
        <v>0</v>
      </c>
      <c r="P2212" s="55">
        <f ca="1" t="shared" si="150"/>
        <v>106</v>
      </c>
      <c r="Q2212" s="22" t="str">
        <f>VLOOKUP(B2212,辅助信息!E:M,9,FALSE)</f>
        <v>ZTWM-CDGS-XS-2025-0126-四川机司-乐山市校地共建产教融合基地配套设施项目施工二标段钢筋采购合同</v>
      </c>
      <c r="R2212" s="22" t="str">
        <f>_xlfn._xlws.FILTER(辅助信息!D:D,辅助信息!E:E=B2212)</f>
        <v>乐山市校地共建产教融合基地建设项目二标段</v>
      </c>
    </row>
    <row r="2213" hidden="1" spans="2:18">
      <c r="B2213" s="33" t="s">
        <v>186</v>
      </c>
      <c r="C2213" s="63">
        <v>45850</v>
      </c>
      <c r="D2213" s="33" t="str">
        <f>VLOOKUP(B2213,辅助信息!E:K,7,FALSE)</f>
        <v>JWDDCD2025072900123</v>
      </c>
      <c r="E2213" s="33" t="str">
        <f>VLOOKUP(F2213,辅助信息!A:B,2,FALSE)</f>
        <v>螺纹钢</v>
      </c>
      <c r="F2213" s="33" t="s">
        <v>181</v>
      </c>
      <c r="G2213" s="29">
        <v>8</v>
      </c>
      <c r="H2213" s="127">
        <f>_xlfn.XLOOKUP(C2213&amp;F2213&amp;I2213&amp;J2213,'[1]2025年已发货'!$F:$F&amp;'[1]2025年已发货'!$C:$C&amp;'[1]2025年已发货'!$G:$G&amp;'[1]2025年已发货'!$H:$H,'[1]2025年已发货'!$E:$E,"未发货")</f>
        <v>8</v>
      </c>
      <c r="I2213" s="33" t="str">
        <f>VLOOKUP(B2213,辅助信息!E:I,3,FALSE)</f>
        <v>(乐山市校地共建产教融合基地建设项目二标段)四川省乐山市市中区苏稽镇</v>
      </c>
      <c r="J2213" s="33" t="str">
        <f>VLOOKUP(B2213,辅助信息!E:I,4,FALSE)</f>
        <v>彭江涛</v>
      </c>
      <c r="K2213" s="33">
        <f>VLOOKUP(J2213,辅助信息!H:I,2,FALSE)</f>
        <v>13990276572</v>
      </c>
      <c r="L2213" s="102" t="str">
        <f>VLOOKUP(B2213,辅助信息!E:J,6,FALSE)</f>
        <v>联系实际收货人（彭江涛13990276572）现场要求炉批号控制2个以下，超2个不给予签收。提前联系到场规格及数量</v>
      </c>
      <c r="M2213" s="84">
        <v>45851</v>
      </c>
      <c r="O2213" s="55">
        <f ca="1" t="shared" si="149"/>
        <v>0</v>
      </c>
      <c r="P2213" s="55">
        <f ca="1" t="shared" si="150"/>
        <v>106</v>
      </c>
      <c r="Q2213" s="22" t="str">
        <f>VLOOKUP(B2213,辅助信息!E:M,9,FALSE)</f>
        <v>ZTWM-CDGS-XS-2025-0126-四川机司-乐山市校地共建产教融合基地配套设施项目施工二标段钢筋采购合同</v>
      </c>
      <c r="R2213" s="22" t="str">
        <f>_xlfn._xlws.FILTER(辅助信息!D:D,辅助信息!E:E=B2213)</f>
        <v>乐山市校地共建产教融合基地建设项目二标段</v>
      </c>
    </row>
    <row r="2214" hidden="1" spans="2:18">
      <c r="B2214" s="33" t="s">
        <v>186</v>
      </c>
      <c r="C2214" s="63">
        <v>45850</v>
      </c>
      <c r="D2214" s="33" t="str">
        <f>VLOOKUP(B2214,辅助信息!E:K,7,FALSE)</f>
        <v>JWDDCD2025072900123</v>
      </c>
      <c r="E2214" s="33" t="str">
        <f>VLOOKUP(F2214,辅助信息!A:B,2,FALSE)</f>
        <v>螺纹钢</v>
      </c>
      <c r="F2214" s="33" t="s">
        <v>182</v>
      </c>
      <c r="G2214" s="29">
        <v>7</v>
      </c>
      <c r="H2214" s="127">
        <f>_xlfn.XLOOKUP(C2214&amp;F2214&amp;I2214&amp;J2214,'[1]2025年已发货'!$F:$F&amp;'[1]2025年已发货'!$C:$C&amp;'[1]2025年已发货'!$G:$G&amp;'[1]2025年已发货'!$H:$H,'[1]2025年已发货'!$E:$E,"未发货")</f>
        <v>7</v>
      </c>
      <c r="I2214" s="33" t="str">
        <f>VLOOKUP(B2214,辅助信息!E:I,3,FALSE)</f>
        <v>(乐山市校地共建产教融合基地建设项目二标段)四川省乐山市市中区苏稽镇</v>
      </c>
      <c r="J2214" s="33" t="str">
        <f>VLOOKUP(B2214,辅助信息!E:I,4,FALSE)</f>
        <v>彭江涛</v>
      </c>
      <c r="K2214" s="33">
        <f>VLOOKUP(J2214,辅助信息!H:I,2,FALSE)</f>
        <v>13990276572</v>
      </c>
      <c r="L2214" s="102" t="str">
        <f>VLOOKUP(B2214,辅助信息!E:J,6,FALSE)</f>
        <v>联系实际收货人（彭江涛13990276572）现场要求炉批号控制2个以下，超2个不给予签收。提前联系到场规格及数量</v>
      </c>
      <c r="M2214" s="84">
        <v>45851</v>
      </c>
      <c r="O2214" s="55">
        <f ca="1" t="shared" si="149"/>
        <v>0</v>
      </c>
      <c r="P2214" s="55">
        <f ca="1" t="shared" si="150"/>
        <v>106</v>
      </c>
      <c r="Q2214" s="22" t="str">
        <f>VLOOKUP(B2214,辅助信息!E:M,9,FALSE)</f>
        <v>ZTWM-CDGS-XS-2025-0126-四川机司-乐山市校地共建产教融合基地配套设施项目施工二标段钢筋采购合同</v>
      </c>
      <c r="R2214" s="22" t="str">
        <f>_xlfn._xlws.FILTER(辅助信息!D:D,辅助信息!E:E=B2214)</f>
        <v>乐山市校地共建产教融合基地建设项目二标段</v>
      </c>
    </row>
    <row r="2215" hidden="1" spans="2:18">
      <c r="B2215" s="33" t="s">
        <v>171</v>
      </c>
      <c r="C2215" s="63">
        <v>45850</v>
      </c>
      <c r="D2215" s="33" t="str">
        <f>VLOOKUP(B2215,辅助信息!E:K,7,FALSE)</f>
        <v>JWDDCD2024101600133</v>
      </c>
      <c r="E2215" s="33" t="str">
        <f>VLOOKUP(F2215,辅助信息!A:B,2,FALSE)</f>
        <v>螺纹钢</v>
      </c>
      <c r="F2215" s="33" t="s">
        <v>76</v>
      </c>
      <c r="G2215" s="29">
        <v>6</v>
      </c>
      <c r="H2215" s="127">
        <f>_xlfn.XLOOKUP(C2215&amp;F2215&amp;I2215&amp;J2215,'[1]2025年已发货'!$F:$F&amp;'[1]2025年已发货'!$C:$C&amp;'[1]2025年已发货'!$G:$G&amp;'[1]2025年已发货'!$H:$H,'[1]2025年已发货'!$E:$E,"未发货")</f>
        <v>6</v>
      </c>
      <c r="I2215" s="33" t="str">
        <f>VLOOKUP(B2215,辅助信息!E:I,3,FALSE)</f>
        <v>(五冶钢构宜宾南溪区项目土建4标)四川省宜宾市高县高县庆符镇鹅卵新农村高县广久大道(庆符厂房项目)</v>
      </c>
      <c r="J2215" s="33" t="str">
        <f>VLOOKUP(B2215,辅助信息!E:I,4,FALSE)</f>
        <v>张朝亮</v>
      </c>
      <c r="K2215" s="33">
        <f>VLOOKUP(J2215,辅助信息!H:I,2,FALSE)</f>
        <v>15228205853</v>
      </c>
      <c r="L2215" s="102" t="str">
        <f>VLOOKUP(B2215,辅助信息!E:J,6,FALSE)</f>
        <v>提前联系到场规格</v>
      </c>
      <c r="M2215" s="84">
        <v>45851</v>
      </c>
      <c r="O2215" s="55">
        <f ca="1" t="shared" si="149"/>
        <v>0</v>
      </c>
      <c r="P2215" s="55">
        <f ca="1" t="shared" si="150"/>
        <v>106</v>
      </c>
      <c r="Q2215" s="22" t="str">
        <f>VLOOKUP(B2215,辅助信息!E:M,9,FALSE)</f>
        <v>ZTWM-CDGS-XS-2024-0169-中冶西部钢构-宜宾市南溪区幸福路东路,高县月江镇建设项目</v>
      </c>
      <c r="R2215" s="22" t="str">
        <f>_xlfn._xlws.FILTER(辅助信息!D:D,辅助信息!E:E=B2215)</f>
        <v>五冶钢构-宜宾市南溪区高县月江镇建设项目</v>
      </c>
    </row>
    <row r="2216" hidden="1" spans="2:18">
      <c r="B2216" s="33" t="s">
        <v>171</v>
      </c>
      <c r="C2216" s="63">
        <v>45850</v>
      </c>
      <c r="D2216" s="33" t="str">
        <f>VLOOKUP(B2216,辅助信息!E:K,7,FALSE)</f>
        <v>JWDDCD2024101600133</v>
      </c>
      <c r="E2216" s="33" t="str">
        <f>VLOOKUP(F2216,辅助信息!A:B,2,FALSE)</f>
        <v>螺纹钢</v>
      </c>
      <c r="F2216" s="33" t="s">
        <v>90</v>
      </c>
      <c r="G2216" s="29">
        <v>3</v>
      </c>
      <c r="H2216" s="127">
        <f>_xlfn.XLOOKUP(C2216&amp;F2216&amp;I2216&amp;J2216,'[1]2025年已发货'!$F:$F&amp;'[1]2025年已发货'!$C:$C&amp;'[1]2025年已发货'!$G:$G&amp;'[1]2025年已发货'!$H:$H,'[1]2025年已发货'!$E:$E,"未发货")</f>
        <v>3</v>
      </c>
      <c r="I2216" s="33" t="str">
        <f>VLOOKUP(B2216,辅助信息!E:I,3,FALSE)</f>
        <v>(五冶钢构宜宾南溪区项目土建4标)四川省宜宾市高县高县庆符镇鹅卵新农村高县广久大道(庆符厂房项目)</v>
      </c>
      <c r="J2216" s="33" t="str">
        <f>VLOOKUP(B2216,辅助信息!E:I,4,FALSE)</f>
        <v>张朝亮</v>
      </c>
      <c r="K2216" s="33">
        <f>VLOOKUP(J2216,辅助信息!H:I,2,FALSE)</f>
        <v>15228205853</v>
      </c>
      <c r="L2216" s="102" t="str">
        <f>VLOOKUP(B2216,辅助信息!E:J,6,FALSE)</f>
        <v>提前联系到场规格</v>
      </c>
      <c r="M2216" s="84">
        <v>45851</v>
      </c>
      <c r="O2216" s="55">
        <f ca="1" t="shared" si="149"/>
        <v>0</v>
      </c>
      <c r="P2216" s="55">
        <f ca="1" t="shared" si="150"/>
        <v>106</v>
      </c>
      <c r="Q2216" s="22" t="str">
        <f>VLOOKUP(B2216,辅助信息!E:M,9,FALSE)</f>
        <v>ZTWM-CDGS-XS-2024-0169-中冶西部钢构-宜宾市南溪区幸福路东路,高县月江镇建设项目</v>
      </c>
      <c r="R2216" s="22" t="str">
        <f>_xlfn._xlws.FILTER(辅助信息!D:D,辅助信息!E:E=B2216)</f>
        <v>五冶钢构-宜宾市南溪区高县月江镇建设项目</v>
      </c>
    </row>
    <row r="2217" hidden="1" spans="2:18">
      <c r="B2217" s="33" t="s">
        <v>171</v>
      </c>
      <c r="C2217" s="63">
        <v>45850</v>
      </c>
      <c r="D2217" s="33" t="str">
        <f>VLOOKUP(B2217,辅助信息!E:K,7,FALSE)</f>
        <v>JWDDCD2024101600133</v>
      </c>
      <c r="E2217" s="33" t="str">
        <f>VLOOKUP(F2217,辅助信息!A:B,2,FALSE)</f>
        <v>螺纹钢</v>
      </c>
      <c r="F2217" s="33" t="s">
        <v>138</v>
      </c>
      <c r="G2217" s="29">
        <v>3</v>
      </c>
      <c r="H2217" s="127">
        <f>_xlfn.XLOOKUP(C2217&amp;F2217&amp;I2217&amp;J2217,'[1]2025年已发货'!$F:$F&amp;'[1]2025年已发货'!$C:$C&amp;'[1]2025年已发货'!$G:$G&amp;'[1]2025年已发货'!$H:$H,'[1]2025年已发货'!$E:$E,"未发货")</f>
        <v>3</v>
      </c>
      <c r="I2217" s="33" t="str">
        <f>VLOOKUP(B2217,辅助信息!E:I,3,FALSE)</f>
        <v>(五冶钢构宜宾南溪区项目土建4标)四川省宜宾市高县高县庆符镇鹅卵新农村高县广久大道(庆符厂房项目)</v>
      </c>
      <c r="J2217" s="33" t="str">
        <f>VLOOKUP(B2217,辅助信息!E:I,4,FALSE)</f>
        <v>张朝亮</v>
      </c>
      <c r="K2217" s="33">
        <f>VLOOKUP(J2217,辅助信息!H:I,2,FALSE)</f>
        <v>15228205853</v>
      </c>
      <c r="L2217" s="102" t="str">
        <f>VLOOKUP(B2217,辅助信息!E:J,6,FALSE)</f>
        <v>提前联系到场规格</v>
      </c>
      <c r="M2217" s="84">
        <v>45851</v>
      </c>
      <c r="O2217" s="55">
        <f ca="1" t="shared" si="149"/>
        <v>0</v>
      </c>
      <c r="P2217" s="55">
        <f ca="1" t="shared" si="150"/>
        <v>106</v>
      </c>
      <c r="Q2217" s="22" t="str">
        <f>VLOOKUP(B2217,辅助信息!E:M,9,FALSE)</f>
        <v>ZTWM-CDGS-XS-2024-0169-中冶西部钢构-宜宾市南溪区幸福路东路,高县月江镇建设项目</v>
      </c>
      <c r="R2217" s="22" t="str">
        <f>_xlfn._xlws.FILTER(辅助信息!D:D,辅助信息!E:E=B2217)</f>
        <v>五冶钢构-宜宾市南溪区高县月江镇建设项目</v>
      </c>
    </row>
    <row r="2218" hidden="1" spans="2:18">
      <c r="B2218" s="33" t="s">
        <v>171</v>
      </c>
      <c r="C2218" s="63">
        <v>45850</v>
      </c>
      <c r="D2218" s="33" t="str">
        <f>VLOOKUP(B2218,辅助信息!E:K,7,FALSE)</f>
        <v>JWDDCD2024101600133</v>
      </c>
      <c r="E2218" s="33" t="str">
        <f>VLOOKUP(F2218,辅助信息!A:B,2,FALSE)</f>
        <v>螺纹钢</v>
      </c>
      <c r="F2218" s="33" t="s">
        <v>133</v>
      </c>
      <c r="G2218" s="29">
        <v>3</v>
      </c>
      <c r="H2218" s="127">
        <f>_xlfn.XLOOKUP(C2218&amp;F2218&amp;I2218&amp;J2218,'[1]2025年已发货'!$F:$F&amp;'[1]2025年已发货'!$C:$C&amp;'[1]2025年已发货'!$G:$G&amp;'[1]2025年已发货'!$H:$H,'[1]2025年已发货'!$E:$E,"未发货")</f>
        <v>3</v>
      </c>
      <c r="I2218" s="33" t="str">
        <f>VLOOKUP(B2218,辅助信息!E:I,3,FALSE)</f>
        <v>(五冶钢构宜宾南溪区项目土建4标)四川省宜宾市高县高县庆符镇鹅卵新农村高县广久大道(庆符厂房项目)</v>
      </c>
      <c r="J2218" s="33" t="str">
        <f>VLOOKUP(B2218,辅助信息!E:I,4,FALSE)</f>
        <v>张朝亮</v>
      </c>
      <c r="K2218" s="33">
        <f>VLOOKUP(J2218,辅助信息!H:I,2,FALSE)</f>
        <v>15228205853</v>
      </c>
      <c r="L2218" s="102" t="str">
        <f>VLOOKUP(B2218,辅助信息!E:J,6,FALSE)</f>
        <v>提前联系到场规格</v>
      </c>
      <c r="M2218" s="84">
        <v>45851</v>
      </c>
      <c r="O2218" s="55">
        <f ca="1" t="shared" si="149"/>
        <v>0</v>
      </c>
      <c r="P2218" s="55">
        <f ca="1" t="shared" si="150"/>
        <v>106</v>
      </c>
      <c r="Q2218" s="22" t="str">
        <f>VLOOKUP(B2218,辅助信息!E:M,9,FALSE)</f>
        <v>ZTWM-CDGS-XS-2024-0169-中冶西部钢构-宜宾市南溪区幸福路东路,高县月江镇建设项目</v>
      </c>
      <c r="R2218" s="22" t="str">
        <f>_xlfn._xlws.FILTER(辅助信息!D:D,辅助信息!E:E=B2218)</f>
        <v>五冶钢构-宜宾市南溪区高县月江镇建设项目</v>
      </c>
    </row>
    <row r="2219" hidden="1" spans="2:18">
      <c r="B2219" s="33" t="s">
        <v>171</v>
      </c>
      <c r="C2219" s="63">
        <v>45850</v>
      </c>
      <c r="D2219" s="33" t="str">
        <f>VLOOKUP(B2219,辅助信息!E:K,7,FALSE)</f>
        <v>JWDDCD2024101600133</v>
      </c>
      <c r="E2219" s="33" t="str">
        <f>VLOOKUP(F2219,辅助信息!A:B,2,FALSE)</f>
        <v>螺纹钢</v>
      </c>
      <c r="F2219" s="33" t="s">
        <v>91</v>
      </c>
      <c r="G2219" s="29">
        <v>21</v>
      </c>
      <c r="H2219" s="127">
        <f>_xlfn.XLOOKUP(C2219&amp;F2219&amp;I2219&amp;J2219,'[1]2025年已发货'!$F:$F&amp;'[1]2025年已发货'!$C:$C&amp;'[1]2025年已发货'!$G:$G&amp;'[1]2025年已发货'!$H:$H,'[1]2025年已发货'!$E:$E,"未发货")</f>
        <v>21</v>
      </c>
      <c r="I2219" s="33" t="str">
        <f>VLOOKUP(B2219,辅助信息!E:I,3,FALSE)</f>
        <v>(五冶钢构宜宾南溪区项目土建4标)四川省宜宾市高县高县庆符镇鹅卵新农村高县广久大道(庆符厂房项目)</v>
      </c>
      <c r="J2219" s="33" t="str">
        <f>VLOOKUP(B2219,辅助信息!E:I,4,FALSE)</f>
        <v>张朝亮</v>
      </c>
      <c r="K2219" s="33">
        <f>VLOOKUP(J2219,辅助信息!H:I,2,FALSE)</f>
        <v>15228205853</v>
      </c>
      <c r="L2219" s="102" t="str">
        <f>VLOOKUP(B2219,辅助信息!E:J,6,FALSE)</f>
        <v>提前联系到场规格</v>
      </c>
      <c r="M2219" s="84">
        <v>45851</v>
      </c>
      <c r="O2219" s="55">
        <f ca="1" t="shared" si="149"/>
        <v>0</v>
      </c>
      <c r="P2219" s="55">
        <f ca="1" t="shared" si="150"/>
        <v>106</v>
      </c>
      <c r="Q2219" s="22" t="str">
        <f>VLOOKUP(B2219,辅助信息!E:M,9,FALSE)</f>
        <v>ZTWM-CDGS-XS-2024-0169-中冶西部钢构-宜宾市南溪区幸福路东路,高县月江镇建设项目</v>
      </c>
      <c r="R2219" s="22" t="str">
        <f>_xlfn._xlws.FILTER(辅助信息!D:D,辅助信息!E:E=B2219)</f>
        <v>五冶钢构-宜宾市南溪区高县月江镇建设项目</v>
      </c>
    </row>
    <row r="2220" hidden="1" spans="2:18">
      <c r="B2220" s="33" t="s">
        <v>180</v>
      </c>
      <c r="C2220" s="63">
        <v>45853</v>
      </c>
      <c r="D2220" s="33" t="str">
        <f>VLOOKUP(B2220,辅助信息!E:K,7,FALSE)</f>
        <v>JWDDCD2025052800131</v>
      </c>
      <c r="E2220" s="33" t="str">
        <f>VLOOKUP(F2220,辅助信息!A:B,2,FALSE)</f>
        <v>螺纹钢</v>
      </c>
      <c r="F2220" s="33" t="s">
        <v>66</v>
      </c>
      <c r="G2220" s="29">
        <v>12</v>
      </c>
      <c r="H2220" s="127">
        <f>_xlfn.XLOOKUP(C2220&amp;F2220&amp;I2220&amp;J2220,'[1]2025年已发货'!$F:$F&amp;'[1]2025年已发货'!$C:$C&amp;'[1]2025年已发货'!$G:$G&amp;'[1]2025年已发货'!$H:$H,'[1]2025年已发货'!$E:$E,"未发货")</f>
        <v>12</v>
      </c>
      <c r="I2220" s="33" t="str">
        <f>VLOOKUP(B2220,辅助信息!E:I,3,FALSE)</f>
        <v>（商投建工达州中医药科技园-4工区-8号楼）达州市通川区达州中医药职业学院犀牛大道北段</v>
      </c>
      <c r="J2220" s="33" t="str">
        <f>VLOOKUP(B2220,辅助信息!E:I,4,FALSE)</f>
        <v>张扬</v>
      </c>
      <c r="K2220" s="33">
        <f>VLOOKUP(J2220,辅助信息!H:I,2,FALSE)</f>
        <v>18381904567</v>
      </c>
      <c r="L2220" s="102" t="str">
        <f>VLOOKUP(B2220,辅助信息!E:J,6,FALSE)</f>
        <v>控制炉批号！多了现场不收！,优先安排达钢,提前联系到场规格及数量</v>
      </c>
      <c r="M2220" s="84">
        <v>45853</v>
      </c>
      <c r="O2220" s="55">
        <f ca="1" t="shared" si="149"/>
        <v>0</v>
      </c>
      <c r="P2220" s="55">
        <f ca="1" t="shared" si="150"/>
        <v>104</v>
      </c>
      <c r="Q2220" s="22" t="str">
        <f>VLOOKUP(B2220,辅助信息!E:M,9,FALSE)</f>
        <v>ZTWM-CDGS-XS-2024-0134-商投建工达州中医药科技成果示范园项目</v>
      </c>
      <c r="R2220" s="22" t="str">
        <f>_xlfn._xlws.FILTER(辅助信息!D:D,辅助信息!E:E=B2220)</f>
        <v>商投建工达州中医药科技园</v>
      </c>
    </row>
    <row r="2221" hidden="1" spans="2:18">
      <c r="B2221" s="33" t="s">
        <v>180</v>
      </c>
      <c r="C2221" s="63">
        <v>45853</v>
      </c>
      <c r="D2221" s="33" t="str">
        <f>VLOOKUP(B2221,辅助信息!E:K,7,FALSE)</f>
        <v>JWDDCD2025052800131</v>
      </c>
      <c r="E2221" s="33" t="str">
        <f>VLOOKUP(F2221,辅助信息!A:B,2,FALSE)</f>
        <v>螺纹钢</v>
      </c>
      <c r="F2221" s="33" t="s">
        <v>45</v>
      </c>
      <c r="G2221" s="29">
        <v>6</v>
      </c>
      <c r="H2221" s="127">
        <f>_xlfn.XLOOKUP(C2221&amp;F2221&amp;I2221&amp;J2221,'[1]2025年已发货'!$F:$F&amp;'[1]2025年已发货'!$C:$C&amp;'[1]2025年已发货'!$G:$G&amp;'[1]2025年已发货'!$H:$H,'[1]2025年已发货'!$E:$E,"未发货")</f>
        <v>6</v>
      </c>
      <c r="I2221" s="33" t="str">
        <f>VLOOKUP(B2221,辅助信息!E:I,3,FALSE)</f>
        <v>（商投建工达州中医药科技园-4工区-8号楼）达州市通川区达州中医药职业学院犀牛大道北段</v>
      </c>
      <c r="J2221" s="33" t="str">
        <f>VLOOKUP(B2221,辅助信息!E:I,4,FALSE)</f>
        <v>张扬</v>
      </c>
      <c r="K2221" s="33">
        <f>VLOOKUP(J2221,辅助信息!H:I,2,FALSE)</f>
        <v>18381904567</v>
      </c>
      <c r="L2221" s="102" t="str">
        <f>VLOOKUP(B2221,辅助信息!E:J,6,FALSE)</f>
        <v>控制炉批号！多了现场不收！,优先安排达钢,提前联系到场规格及数量</v>
      </c>
      <c r="M2221" s="84">
        <v>45853</v>
      </c>
      <c r="O2221" s="55">
        <f ca="1" t="shared" si="149"/>
        <v>0</v>
      </c>
      <c r="P2221" s="55">
        <f ca="1" t="shared" si="150"/>
        <v>104</v>
      </c>
      <c r="Q2221" s="22" t="str">
        <f>VLOOKUP(B2221,辅助信息!E:M,9,FALSE)</f>
        <v>ZTWM-CDGS-XS-2024-0134-商投建工达州中医药科技成果示范园项目</v>
      </c>
      <c r="R2221" s="22" t="str">
        <f>_xlfn._xlws.FILTER(辅助信息!D:D,辅助信息!E:E=B2221)</f>
        <v>商投建工达州中医药科技园</v>
      </c>
    </row>
    <row r="2222" hidden="1" spans="2:18">
      <c r="B2222" s="33" t="s">
        <v>180</v>
      </c>
      <c r="C2222" s="63">
        <v>45853</v>
      </c>
      <c r="D2222" s="33" t="str">
        <f>VLOOKUP(B2222,辅助信息!E:K,7,FALSE)</f>
        <v>JWDDCD2025052800131</v>
      </c>
      <c r="E2222" s="33" t="str">
        <f>VLOOKUP(F2222,辅助信息!A:B,2,FALSE)</f>
        <v>螺纹钢</v>
      </c>
      <c r="F2222" s="33" t="s">
        <v>21</v>
      </c>
      <c r="G2222" s="29">
        <v>6</v>
      </c>
      <c r="H2222" s="127" t="str">
        <f>_xlfn.XLOOKUP(C2222&amp;F2222&amp;I2222&amp;J2222,'[1]2025年已发货'!$F:$F&amp;'[1]2025年已发货'!$C:$C&amp;'[1]2025年已发货'!$G:$G&amp;'[1]2025年已发货'!$H:$H,'[1]2025年已发货'!$E:$E,"未发货")</f>
        <v>未发货</v>
      </c>
      <c r="I2222" s="33" t="str">
        <f>VLOOKUP(B2222,辅助信息!E:I,3,FALSE)</f>
        <v>（商投建工达州中医药科技园-4工区-8号楼）达州市通川区达州中医药职业学院犀牛大道北段</v>
      </c>
      <c r="J2222" s="33" t="str">
        <f>VLOOKUP(B2222,辅助信息!E:I,4,FALSE)</f>
        <v>张扬</v>
      </c>
      <c r="K2222" s="33">
        <f>VLOOKUP(J2222,辅助信息!H:I,2,FALSE)</f>
        <v>18381904567</v>
      </c>
      <c r="L2222" s="102" t="str">
        <f>VLOOKUP(B2222,辅助信息!E:J,6,FALSE)</f>
        <v>控制炉批号！多了现场不收！,优先安排达钢,提前联系到场规格及数量</v>
      </c>
      <c r="M2222" s="84">
        <v>45853</v>
      </c>
      <c r="O2222" s="55">
        <f ca="1" t="shared" si="149"/>
        <v>0</v>
      </c>
      <c r="P2222" s="55">
        <f ca="1" t="shared" si="150"/>
        <v>104</v>
      </c>
      <c r="Q2222" s="22" t="str">
        <f>VLOOKUP(B2222,辅助信息!E:M,9,FALSE)</f>
        <v>ZTWM-CDGS-XS-2024-0134-商投建工达州中医药科技成果示范园项目</v>
      </c>
      <c r="R2222" s="22" t="str">
        <f>_xlfn._xlws.FILTER(辅助信息!D:D,辅助信息!E:E=B2222)</f>
        <v>商投建工达州中医药科技园</v>
      </c>
    </row>
    <row r="2223" hidden="1" spans="2:18">
      <c r="B2223" s="33" t="s">
        <v>180</v>
      </c>
      <c r="C2223" s="63">
        <v>45853</v>
      </c>
      <c r="D2223" s="33" t="str">
        <f>VLOOKUP(B2223,辅助信息!E:K,7,FALSE)</f>
        <v>JWDDCD2025052800131</v>
      </c>
      <c r="E2223" s="33" t="str">
        <f>VLOOKUP(F2223,辅助信息!A:B,2,FALSE)</f>
        <v>螺纹钢</v>
      </c>
      <c r="F2223" s="33" t="s">
        <v>58</v>
      </c>
      <c r="G2223" s="29">
        <v>12</v>
      </c>
      <c r="H2223" s="127">
        <f>_xlfn.XLOOKUP(C2223&amp;F2223&amp;I2223&amp;J2223,'[1]2025年已发货'!$F:$F&amp;'[1]2025年已发货'!$C:$C&amp;'[1]2025年已发货'!$G:$G&amp;'[1]2025年已发货'!$H:$H,'[1]2025年已发货'!$E:$E,"未发货")</f>
        <v>12</v>
      </c>
      <c r="I2223" s="33" t="str">
        <f>VLOOKUP(B2223,辅助信息!E:I,3,FALSE)</f>
        <v>（商投建工达州中医药科技园-4工区-8号楼）达州市通川区达州中医药职业学院犀牛大道北段</v>
      </c>
      <c r="J2223" s="33" t="str">
        <f>VLOOKUP(B2223,辅助信息!E:I,4,FALSE)</f>
        <v>张扬</v>
      </c>
      <c r="K2223" s="33">
        <f>VLOOKUP(J2223,辅助信息!H:I,2,FALSE)</f>
        <v>18381904567</v>
      </c>
      <c r="L2223" s="102" t="str">
        <f>VLOOKUP(B2223,辅助信息!E:J,6,FALSE)</f>
        <v>控制炉批号！多了现场不收！,优先安排达钢,提前联系到场规格及数量</v>
      </c>
      <c r="M2223" s="84">
        <v>45853</v>
      </c>
      <c r="O2223" s="55">
        <f ca="1" t="shared" si="149"/>
        <v>0</v>
      </c>
      <c r="P2223" s="55">
        <f ca="1" t="shared" si="150"/>
        <v>104</v>
      </c>
      <c r="Q2223" s="22" t="str">
        <f>VLOOKUP(B2223,辅助信息!E:M,9,FALSE)</f>
        <v>ZTWM-CDGS-XS-2024-0134-商投建工达州中医药科技成果示范园项目</v>
      </c>
      <c r="R2223" s="22" t="str">
        <f>_xlfn._xlws.FILTER(辅助信息!D:D,辅助信息!E:E=B2223)</f>
        <v>商投建工达州中医药科技园</v>
      </c>
    </row>
    <row r="2224" hidden="1" spans="2:18">
      <c r="B2224" s="33" t="s">
        <v>180</v>
      </c>
      <c r="C2224" s="63">
        <v>45853</v>
      </c>
      <c r="D2224" s="33" t="str">
        <f>VLOOKUP(B2224,辅助信息!E:K,7,FALSE)</f>
        <v>JWDDCD2025052800131</v>
      </c>
      <c r="E2224" s="33" t="str">
        <f>VLOOKUP(F2224,辅助信息!A:B,2,FALSE)</f>
        <v>螺纹钢</v>
      </c>
      <c r="F2224" s="33" t="s">
        <v>22</v>
      </c>
      <c r="G2224" s="29">
        <v>21</v>
      </c>
      <c r="H2224" s="127">
        <f>_xlfn.XLOOKUP(C2224&amp;F2224&amp;I2224&amp;J2224,'[1]2025年已发货'!$F:$F&amp;'[1]2025年已发货'!$C:$C&amp;'[1]2025年已发货'!$G:$G&amp;'[1]2025年已发货'!$H:$H,'[1]2025年已发货'!$E:$E,"未发货")</f>
        <v>21</v>
      </c>
      <c r="I2224" s="33" t="str">
        <f>VLOOKUP(B2224,辅助信息!E:I,3,FALSE)</f>
        <v>（商投建工达州中医药科技园-4工区-8号楼）达州市通川区达州中医药职业学院犀牛大道北段</v>
      </c>
      <c r="J2224" s="33" t="str">
        <f>VLOOKUP(B2224,辅助信息!E:I,4,FALSE)</f>
        <v>张扬</v>
      </c>
      <c r="K2224" s="33">
        <f>VLOOKUP(J2224,辅助信息!H:I,2,FALSE)</f>
        <v>18381904567</v>
      </c>
      <c r="L2224" s="102" t="str">
        <f>VLOOKUP(B2224,辅助信息!E:J,6,FALSE)</f>
        <v>控制炉批号！多了现场不收！,优先安排达钢,提前联系到场规格及数量</v>
      </c>
      <c r="M2224" s="84">
        <v>45853</v>
      </c>
      <c r="O2224" s="55">
        <f ca="1" t="shared" si="149"/>
        <v>0</v>
      </c>
      <c r="P2224" s="55">
        <f ca="1" t="shared" si="150"/>
        <v>104</v>
      </c>
      <c r="Q2224" s="22" t="str">
        <f>VLOOKUP(B2224,辅助信息!E:M,9,FALSE)</f>
        <v>ZTWM-CDGS-XS-2024-0134-商投建工达州中医药科技成果示范园项目</v>
      </c>
      <c r="R2224" s="22" t="str">
        <f>_xlfn._xlws.FILTER(辅助信息!D:D,辅助信息!E:E=B2224)</f>
        <v>商投建工达州中医药科技园</v>
      </c>
    </row>
    <row r="2225" hidden="1" spans="2:18">
      <c r="B2225" s="33" t="s">
        <v>147</v>
      </c>
      <c r="C2225" s="63">
        <v>45853</v>
      </c>
      <c r="D2225" s="33" t="str">
        <f>VLOOKUP(B2225,辅助信息!E:K,7,FALSE)</f>
        <v>JWDDCD2025052800131</v>
      </c>
      <c r="E2225" s="33" t="str">
        <f>VLOOKUP(F2225,辅助信息!A:B,2,FALSE)</f>
        <v>盘螺</v>
      </c>
      <c r="F2225" s="33" t="s">
        <v>40</v>
      </c>
      <c r="G2225" s="29">
        <v>15</v>
      </c>
      <c r="H2225" s="127">
        <f>_xlfn.XLOOKUP(C2225&amp;F2225&amp;I2225&amp;J2225,'[1]2025年已发货'!$F:$F&amp;'[1]2025年已发货'!$C:$C&amp;'[1]2025年已发货'!$G:$G&amp;'[1]2025年已发货'!$H:$H,'[1]2025年已发货'!$E:$E,"未发货")</f>
        <v>15</v>
      </c>
      <c r="I2225" s="33" t="str">
        <f>VLOOKUP(B2225,辅助信息!E:I,3,FALSE)</f>
        <v>（商投建工达州中医药科技园-4工区-11号楼）达州市通川区达州中医药职业学院犀牛大道北段</v>
      </c>
      <c r="J2225" s="33" t="str">
        <f>VLOOKUP(B2225,辅助信息!E:I,4,FALSE)</f>
        <v>张扬</v>
      </c>
      <c r="K2225" s="33">
        <f>VLOOKUP(J2225,辅助信息!H:I,2,FALSE)</f>
        <v>18381904567</v>
      </c>
      <c r="L2225" s="102" t="str">
        <f>VLOOKUP(B2225,辅助信息!E:J,6,FALSE)</f>
        <v>控制炉批号！多了现场不收！,优先安排达钢,提前联系到场规格及数量</v>
      </c>
      <c r="M2225" s="84">
        <v>45853</v>
      </c>
      <c r="O2225" s="55">
        <f ca="1" t="shared" si="149"/>
        <v>0</v>
      </c>
      <c r="P2225" s="55">
        <f ca="1" t="shared" si="150"/>
        <v>104</v>
      </c>
      <c r="Q2225" s="22" t="str">
        <f>VLOOKUP(B2225,辅助信息!E:M,9,FALSE)</f>
        <v>ZTWM-CDGS-XS-2024-0134-商投建工达州中医药科技成果示范园项目</v>
      </c>
      <c r="R2225" s="22" t="str">
        <f>_xlfn._xlws.FILTER(辅助信息!D:D,辅助信息!E:E=B2225)</f>
        <v>商投建工达州中医药科技园</v>
      </c>
    </row>
    <row r="2226" hidden="1" spans="2:18">
      <c r="B2226" s="33" t="s">
        <v>147</v>
      </c>
      <c r="C2226" s="63">
        <v>45853</v>
      </c>
      <c r="D2226" s="33" t="str">
        <f>VLOOKUP(B2226,辅助信息!E:K,7,FALSE)</f>
        <v>JWDDCD2025052800131</v>
      </c>
      <c r="E2226" s="33" t="str">
        <f>VLOOKUP(F2226,辅助信息!A:B,2,FALSE)</f>
        <v>盘螺</v>
      </c>
      <c r="F2226" s="33" t="s">
        <v>41</v>
      </c>
      <c r="G2226" s="29">
        <v>5</v>
      </c>
      <c r="H2226" s="127">
        <f>_xlfn.XLOOKUP(C2226&amp;F2226&amp;I2226&amp;J2226,'[1]2025年已发货'!$F:$F&amp;'[1]2025年已发货'!$C:$C&amp;'[1]2025年已发货'!$G:$G&amp;'[1]2025年已发货'!$H:$H,'[1]2025年已发货'!$E:$E,"未发货")</f>
        <v>5</v>
      </c>
      <c r="I2226" s="33" t="str">
        <f>VLOOKUP(B2226,辅助信息!E:I,3,FALSE)</f>
        <v>（商投建工达州中医药科技园-4工区-11号楼）达州市通川区达州中医药职业学院犀牛大道北段</v>
      </c>
      <c r="J2226" s="33" t="str">
        <f>VLOOKUP(B2226,辅助信息!E:I,4,FALSE)</f>
        <v>张扬</v>
      </c>
      <c r="K2226" s="33">
        <f>VLOOKUP(J2226,辅助信息!H:I,2,FALSE)</f>
        <v>18381904567</v>
      </c>
      <c r="L2226" s="102" t="str">
        <f>VLOOKUP(B2226,辅助信息!E:J,6,FALSE)</f>
        <v>控制炉批号！多了现场不收！,优先安排达钢,提前联系到场规格及数量</v>
      </c>
      <c r="M2226" s="84"/>
      <c r="O2226" s="55" t="str">
        <f ca="1" t="shared" si="149"/>
        <v/>
      </c>
      <c r="P2226" s="55" t="str">
        <f ca="1" t="shared" si="150"/>
        <v/>
      </c>
      <c r="Q2226" s="22" t="str">
        <f>VLOOKUP(B2226,辅助信息!E:M,9,FALSE)</f>
        <v>ZTWM-CDGS-XS-2024-0134-商投建工达州中医药科技成果示范园项目</v>
      </c>
      <c r="R2226" s="22" t="str">
        <f>_xlfn._xlws.FILTER(辅助信息!D:D,辅助信息!E:E=B2226)</f>
        <v>商投建工达州中医药科技园</v>
      </c>
    </row>
    <row r="2227" hidden="1" spans="2:18">
      <c r="B2227" s="33" t="s">
        <v>147</v>
      </c>
      <c r="C2227" s="63">
        <v>45853</v>
      </c>
      <c r="D2227" s="33" t="str">
        <f>VLOOKUP(B2227,辅助信息!E:K,7,FALSE)</f>
        <v>JWDDCD2025052800131</v>
      </c>
      <c r="E2227" s="33" t="str">
        <f>VLOOKUP(F2227,辅助信息!A:B,2,FALSE)</f>
        <v>螺纹钢</v>
      </c>
      <c r="F2227" s="33" t="s">
        <v>30</v>
      </c>
      <c r="G2227" s="29">
        <v>9</v>
      </c>
      <c r="H2227" s="127" t="str">
        <f>_xlfn.XLOOKUP(C2227&amp;F2227&amp;I2227&amp;J2227,'[1]2025年已发货'!$F:$F&amp;'[1]2025年已发货'!$C:$C&amp;'[1]2025年已发货'!$G:$G&amp;'[1]2025年已发货'!$H:$H,'[1]2025年已发货'!$E:$E,"未发货")</f>
        <v>未发货</v>
      </c>
      <c r="I2227" s="33" t="str">
        <f>VLOOKUP(B2227,辅助信息!E:I,3,FALSE)</f>
        <v>（商投建工达州中医药科技园-4工区-11号楼）达州市通川区达州中医药职业学院犀牛大道北段</v>
      </c>
      <c r="J2227" s="33" t="str">
        <f>VLOOKUP(B2227,辅助信息!E:I,4,FALSE)</f>
        <v>张扬</v>
      </c>
      <c r="K2227" s="33">
        <f>VLOOKUP(J2227,辅助信息!H:I,2,FALSE)</f>
        <v>18381904567</v>
      </c>
      <c r="L2227" s="102" t="str">
        <f>VLOOKUP(B2227,辅助信息!E:J,6,FALSE)</f>
        <v>控制炉批号！多了现场不收！,优先安排达钢,提前联系到场规格及数量</v>
      </c>
      <c r="M2227" s="84">
        <v>45853</v>
      </c>
      <c r="O2227" s="55">
        <f ca="1" t="shared" si="149"/>
        <v>0</v>
      </c>
      <c r="P2227" s="55">
        <f ca="1" t="shared" si="150"/>
        <v>104</v>
      </c>
      <c r="Q2227" s="22" t="str">
        <f>VLOOKUP(B2227,辅助信息!E:M,9,FALSE)</f>
        <v>ZTWM-CDGS-XS-2024-0134-商投建工达州中医药科技成果示范园项目</v>
      </c>
      <c r="R2227" s="22" t="str">
        <f>_xlfn._xlws.FILTER(辅助信息!D:D,辅助信息!E:E=B2227)</f>
        <v>商投建工达州中医药科技园</v>
      </c>
    </row>
    <row r="2228" hidden="1" spans="2:18">
      <c r="B2228" s="33" t="s">
        <v>147</v>
      </c>
      <c r="C2228" s="63">
        <v>45853</v>
      </c>
      <c r="D2228" s="33" t="str">
        <f>VLOOKUP(B2228,辅助信息!E:K,7,FALSE)</f>
        <v>JWDDCD2025052800131</v>
      </c>
      <c r="E2228" s="33" t="str">
        <f>VLOOKUP(F2228,辅助信息!A:B,2,FALSE)</f>
        <v>螺纹钢</v>
      </c>
      <c r="F2228" s="33" t="s">
        <v>33</v>
      </c>
      <c r="G2228" s="29">
        <v>3</v>
      </c>
      <c r="H2228" s="127">
        <f>_xlfn.XLOOKUP(C2228&amp;F2228&amp;I2228&amp;J2228,'[1]2025年已发货'!$F:$F&amp;'[1]2025年已发货'!$C:$C&amp;'[1]2025年已发货'!$G:$G&amp;'[1]2025年已发货'!$H:$H,'[1]2025年已发货'!$E:$E,"未发货")</f>
        <v>3</v>
      </c>
      <c r="I2228" s="33" t="str">
        <f>VLOOKUP(B2228,辅助信息!E:I,3,FALSE)</f>
        <v>（商投建工达州中医药科技园-4工区-11号楼）达州市通川区达州中医药职业学院犀牛大道北段</v>
      </c>
      <c r="J2228" s="33" t="str">
        <f>VLOOKUP(B2228,辅助信息!E:I,4,FALSE)</f>
        <v>张扬</v>
      </c>
      <c r="K2228" s="33">
        <f>VLOOKUP(J2228,辅助信息!H:I,2,FALSE)</f>
        <v>18381904567</v>
      </c>
      <c r="L2228" s="102" t="str">
        <f>VLOOKUP(B2228,辅助信息!E:J,6,FALSE)</f>
        <v>控制炉批号！多了现场不收！,优先安排达钢,提前联系到场规格及数量</v>
      </c>
      <c r="M2228" s="84">
        <v>45853</v>
      </c>
      <c r="O2228" s="55">
        <f ca="1" t="shared" si="149"/>
        <v>0</v>
      </c>
      <c r="P2228" s="55">
        <f ca="1" t="shared" si="150"/>
        <v>104</v>
      </c>
      <c r="Q2228" s="22" t="str">
        <f>VLOOKUP(B2228,辅助信息!E:M,9,FALSE)</f>
        <v>ZTWM-CDGS-XS-2024-0134-商投建工达州中医药科技成果示范园项目</v>
      </c>
      <c r="R2228" s="22" t="str">
        <f>_xlfn._xlws.FILTER(辅助信息!D:D,辅助信息!E:E=B2228)</f>
        <v>商投建工达州中医药科技园</v>
      </c>
    </row>
    <row r="2229" hidden="1" spans="2:18">
      <c r="B2229" s="33" t="s">
        <v>147</v>
      </c>
      <c r="C2229" s="63">
        <v>45853</v>
      </c>
      <c r="D2229" s="33" t="str">
        <f>VLOOKUP(B2229,辅助信息!E:K,7,FALSE)</f>
        <v>JWDDCD2025052800131</v>
      </c>
      <c r="E2229" s="33" t="str">
        <f>VLOOKUP(F2229,辅助信息!A:B,2,FALSE)</f>
        <v>螺纹钢</v>
      </c>
      <c r="F2229" s="33" t="s">
        <v>18</v>
      </c>
      <c r="G2229" s="29">
        <v>12</v>
      </c>
      <c r="H2229" s="127">
        <f>_xlfn.XLOOKUP(C2229&amp;F2229&amp;I2229&amp;J2229,'[1]2025年已发货'!$F:$F&amp;'[1]2025年已发货'!$C:$C&amp;'[1]2025年已发货'!$G:$G&amp;'[1]2025年已发货'!$H:$H,'[1]2025年已发货'!$E:$E,"未发货")</f>
        <v>12</v>
      </c>
      <c r="I2229" s="33" t="str">
        <f>VLOOKUP(B2229,辅助信息!E:I,3,FALSE)</f>
        <v>（商投建工达州中医药科技园-4工区-11号楼）达州市通川区达州中医药职业学院犀牛大道北段</v>
      </c>
      <c r="J2229" s="33" t="str">
        <f>VLOOKUP(B2229,辅助信息!E:I,4,FALSE)</f>
        <v>张扬</v>
      </c>
      <c r="K2229" s="33">
        <f>VLOOKUP(J2229,辅助信息!H:I,2,FALSE)</f>
        <v>18381904567</v>
      </c>
      <c r="L2229" s="102" t="str">
        <f>VLOOKUP(B2229,辅助信息!E:J,6,FALSE)</f>
        <v>控制炉批号！多了现场不收！,优先安排达钢,提前联系到场规格及数量</v>
      </c>
      <c r="M2229" s="84">
        <v>45853</v>
      </c>
      <c r="O2229" s="55">
        <f ca="1" t="shared" si="149"/>
        <v>0</v>
      </c>
      <c r="P2229" s="55">
        <f ca="1" t="shared" si="150"/>
        <v>104</v>
      </c>
      <c r="Q2229" s="22" t="str">
        <f>VLOOKUP(B2229,辅助信息!E:M,9,FALSE)</f>
        <v>ZTWM-CDGS-XS-2024-0134-商投建工达州中医药科技成果示范园项目</v>
      </c>
      <c r="R2229" s="22" t="str">
        <f>_xlfn._xlws.FILTER(辅助信息!D:D,辅助信息!E:E=B2229)</f>
        <v>商投建工达州中医药科技园</v>
      </c>
    </row>
    <row r="2230" hidden="1" spans="1:18">
      <c r="A2230" s="64" t="s">
        <v>191</v>
      </c>
      <c r="B2230" s="128" t="s">
        <v>156</v>
      </c>
      <c r="C2230" s="63">
        <v>45853</v>
      </c>
      <c r="D2230" s="33" t="e">
        <f>VLOOKUP(B2230,辅助信息!E:K,7,FALSE)</f>
        <v>#N/A</v>
      </c>
      <c r="E2230" s="33" t="str">
        <f>VLOOKUP(F2230,辅助信息!A:B,2,FALSE)</f>
        <v>螺纹钢</v>
      </c>
      <c r="F2230" s="33" t="s">
        <v>27</v>
      </c>
      <c r="G2230" s="29">
        <v>3</v>
      </c>
      <c r="H2230" s="127" t="e">
        <f>_xlfn.XLOOKUP(C2230&amp;F2230&amp;I2230&amp;J2230,'[1]2025年已发货'!$F:$F&amp;'[1]2025年已发货'!$C:$C&amp;'[1]2025年已发货'!$G:$G&amp;'[1]2025年已发货'!$H:$H,'[1]2025年已发货'!$E:$E,"未发货")</f>
        <v>#N/A</v>
      </c>
      <c r="I2230" s="33" t="e">
        <f>VLOOKUP(B2230,辅助信息!E:I,3,FALSE)</f>
        <v>#N/A</v>
      </c>
      <c r="J2230" s="33" t="e">
        <f>VLOOKUP(B2230,辅助信息!E:I,4,FALSE)</f>
        <v>#N/A</v>
      </c>
      <c r="K2230" s="33" t="e">
        <f>VLOOKUP(J2230,辅助信息!H:I,2,FALSE)</f>
        <v>#N/A</v>
      </c>
      <c r="L2230" s="102" t="e">
        <f>VLOOKUP(B2230,辅助信息!E:J,6,FALSE)</f>
        <v>#N/A</v>
      </c>
      <c r="M2230" s="84">
        <v>45855</v>
      </c>
      <c r="O2230" s="55">
        <f ca="1" t="shared" si="149"/>
        <v>0</v>
      </c>
      <c r="P2230" s="55">
        <f ca="1" t="shared" si="150"/>
        <v>102</v>
      </c>
      <c r="Q2230" s="22" t="e">
        <f>VLOOKUP(B2230,辅助信息!E:M,9,FALSE)</f>
        <v>#N/A</v>
      </c>
      <c r="R2230" s="22" vm="1" t="e">
        <f>_xlfn._xlws.FILTER(辅助信息!D:D,辅助信息!E:E=B2230)</f>
        <v>#VALUE!</v>
      </c>
    </row>
    <row r="2231" hidden="1" spans="1:18">
      <c r="A2231" s="64"/>
      <c r="B2231" s="128" t="s">
        <v>156</v>
      </c>
      <c r="C2231" s="63">
        <v>45853</v>
      </c>
      <c r="D2231" s="33" t="e">
        <f>VLOOKUP(B2231,辅助信息!E:K,7,FALSE)</f>
        <v>#N/A</v>
      </c>
      <c r="E2231" s="33" t="str">
        <f>VLOOKUP(F2231,辅助信息!A:B,2,FALSE)</f>
        <v>螺纹钢</v>
      </c>
      <c r="F2231" s="33" t="s">
        <v>19</v>
      </c>
      <c r="G2231" s="29">
        <v>8</v>
      </c>
      <c r="H2231" s="127" t="e">
        <f>_xlfn.XLOOKUP(C2231&amp;F2231&amp;I2231&amp;J2231,'[1]2025年已发货'!$F:$F&amp;'[1]2025年已发货'!$C:$C&amp;'[1]2025年已发货'!$G:$G&amp;'[1]2025年已发货'!$H:$H,'[1]2025年已发货'!$E:$E,"未发货")</f>
        <v>#N/A</v>
      </c>
      <c r="I2231" s="33" t="e">
        <f>VLOOKUP(B2231,辅助信息!E:I,3,FALSE)</f>
        <v>#N/A</v>
      </c>
      <c r="J2231" s="33" t="e">
        <f>VLOOKUP(B2231,辅助信息!E:I,4,FALSE)</f>
        <v>#N/A</v>
      </c>
      <c r="K2231" s="33" t="e">
        <f>VLOOKUP(J2231,辅助信息!H:I,2,FALSE)</f>
        <v>#N/A</v>
      </c>
      <c r="L2231" s="102" t="e">
        <f>VLOOKUP(B2231,辅助信息!E:J,6,FALSE)</f>
        <v>#N/A</v>
      </c>
      <c r="M2231" s="84">
        <v>45855</v>
      </c>
      <c r="O2231" s="55">
        <f ca="1" t="shared" si="149"/>
        <v>0</v>
      </c>
      <c r="P2231" s="55">
        <f ca="1" t="shared" si="150"/>
        <v>102</v>
      </c>
      <c r="Q2231" s="22" t="e">
        <f>VLOOKUP(B2231,辅助信息!E:M,9,FALSE)</f>
        <v>#N/A</v>
      </c>
      <c r="R2231" s="22" vm="1" t="e">
        <f>_xlfn._xlws.FILTER(辅助信息!D:D,辅助信息!E:E=B2231)</f>
        <v>#VALUE!</v>
      </c>
    </row>
    <row r="2232" hidden="1" spans="1:18">
      <c r="A2232" s="64"/>
      <c r="B2232" s="128" t="s">
        <v>156</v>
      </c>
      <c r="C2232" s="63">
        <v>45853</v>
      </c>
      <c r="D2232" s="33" t="e">
        <f>VLOOKUP(B2232,辅助信息!E:K,7,FALSE)</f>
        <v>#N/A</v>
      </c>
      <c r="E2232" s="33" t="str">
        <f>VLOOKUP(F2232,辅助信息!A:B,2,FALSE)</f>
        <v>螺纹钢</v>
      </c>
      <c r="F2232" s="33" t="s">
        <v>30</v>
      </c>
      <c r="G2232" s="29">
        <v>17</v>
      </c>
      <c r="H2232" s="127" t="e">
        <f>_xlfn.XLOOKUP(C2232&amp;F2232&amp;I2232&amp;J2232,'[1]2025年已发货'!$F:$F&amp;'[1]2025年已发货'!$C:$C&amp;'[1]2025年已发货'!$G:$G&amp;'[1]2025年已发货'!$H:$H,'[1]2025年已发货'!$E:$E,"未发货")</f>
        <v>#N/A</v>
      </c>
      <c r="I2232" s="33" t="e">
        <f>VLOOKUP(B2232,辅助信息!E:I,3,FALSE)</f>
        <v>#N/A</v>
      </c>
      <c r="J2232" s="33" t="e">
        <f>VLOOKUP(B2232,辅助信息!E:I,4,FALSE)</f>
        <v>#N/A</v>
      </c>
      <c r="K2232" s="33" t="e">
        <f>VLOOKUP(J2232,辅助信息!H:I,2,FALSE)</f>
        <v>#N/A</v>
      </c>
      <c r="L2232" s="102" t="e">
        <f>VLOOKUP(B2232,辅助信息!E:J,6,FALSE)</f>
        <v>#N/A</v>
      </c>
      <c r="M2232" s="84">
        <v>45855</v>
      </c>
      <c r="O2232" s="55">
        <f ca="1" t="shared" si="149"/>
        <v>0</v>
      </c>
      <c r="P2232" s="55">
        <f ca="1" t="shared" si="150"/>
        <v>102</v>
      </c>
      <c r="Q2232" s="22" t="e">
        <f>VLOOKUP(B2232,辅助信息!E:M,9,FALSE)</f>
        <v>#N/A</v>
      </c>
      <c r="R2232" s="22" vm="1" t="e">
        <f>_xlfn._xlws.FILTER(辅助信息!D:D,辅助信息!E:E=B2232)</f>
        <v>#VALUE!</v>
      </c>
    </row>
    <row r="2233" hidden="1" spans="1:18">
      <c r="A2233" s="64"/>
      <c r="B2233" s="128" t="s">
        <v>156</v>
      </c>
      <c r="C2233" s="63">
        <v>45853</v>
      </c>
      <c r="D2233" s="33" t="e">
        <f>VLOOKUP(B2233,辅助信息!E:K,7,FALSE)</f>
        <v>#N/A</v>
      </c>
      <c r="E2233" s="33" t="str">
        <f>VLOOKUP(F2233,辅助信息!A:B,2,FALSE)</f>
        <v>螺纹钢</v>
      </c>
      <c r="F2233" s="33" t="s">
        <v>18</v>
      </c>
      <c r="G2233" s="29">
        <v>8</v>
      </c>
      <c r="H2233" s="127" t="e">
        <f>_xlfn.XLOOKUP(C2233&amp;F2233&amp;I2233&amp;J2233,'[1]2025年已发货'!$F:$F&amp;'[1]2025年已发货'!$C:$C&amp;'[1]2025年已发货'!$G:$G&amp;'[1]2025年已发货'!$H:$H,'[1]2025年已发货'!$E:$E,"未发货")</f>
        <v>#N/A</v>
      </c>
      <c r="I2233" s="33" t="e">
        <f>VLOOKUP(B2233,辅助信息!E:I,3,FALSE)</f>
        <v>#N/A</v>
      </c>
      <c r="J2233" s="33" t="e">
        <f>VLOOKUP(B2233,辅助信息!E:I,4,FALSE)</f>
        <v>#N/A</v>
      </c>
      <c r="K2233" s="33" t="e">
        <f>VLOOKUP(J2233,辅助信息!H:I,2,FALSE)</f>
        <v>#N/A</v>
      </c>
      <c r="L2233" s="102" t="e">
        <f>VLOOKUP(B2233,辅助信息!E:J,6,FALSE)</f>
        <v>#N/A</v>
      </c>
      <c r="M2233" s="84">
        <v>45855</v>
      </c>
      <c r="O2233" s="55">
        <f ca="1" t="shared" si="149"/>
        <v>0</v>
      </c>
      <c r="P2233" s="55">
        <f ca="1" t="shared" si="150"/>
        <v>102</v>
      </c>
      <c r="Q2233" s="22" t="e">
        <f>VLOOKUP(B2233,辅助信息!E:M,9,FALSE)</f>
        <v>#N/A</v>
      </c>
      <c r="R2233" s="22" vm="1" t="e">
        <f>_xlfn._xlws.FILTER(辅助信息!D:D,辅助信息!E:E=B2233)</f>
        <v>#VALUE!</v>
      </c>
    </row>
    <row r="2234" hidden="1" spans="2:18">
      <c r="B2234" s="129" t="s">
        <v>47</v>
      </c>
      <c r="C2234" s="63">
        <v>45853</v>
      </c>
      <c r="D2234" s="113" t="str">
        <f>VLOOKUP(B2234,辅助信息!E:K,7,FALSE)</f>
        <v>JWDDCD2025052800131</v>
      </c>
      <c r="E2234" s="113" t="str">
        <f>VLOOKUP(F2234,辅助信息!A:B,2,FALSE)</f>
        <v>螺纹钢</v>
      </c>
      <c r="F2234" s="113" t="s">
        <v>66</v>
      </c>
      <c r="G2234" s="114">
        <v>6</v>
      </c>
      <c r="H2234" s="127" t="str">
        <f>_xlfn.XLOOKUP(C2234&amp;F2234&amp;I2234&amp;J2234,'[1]2025年已发货'!$F:$F&amp;'[1]2025年已发货'!$C:$C&amp;'[1]2025年已发货'!$G:$G&amp;'[1]2025年已发货'!$H:$H,'[1]2025年已发货'!$E:$E,"未发货")</f>
        <v>未发货</v>
      </c>
      <c r="I2234" s="113" t="str">
        <f>VLOOKUP(B2234,辅助信息!E:I,3,FALSE)</f>
        <v>（商投建工达州中医药科技园-1工区）达州市通川区达州中医药职业学院犀牛大道北段</v>
      </c>
      <c r="J2234" s="113" t="str">
        <f>VLOOKUP(B2234,辅助信息!E:I,4,FALSE)</f>
        <v>程黄刚</v>
      </c>
      <c r="K2234" s="113">
        <f>VLOOKUP(J2234,辅助信息!H:I,2,FALSE)</f>
        <v>15108211617</v>
      </c>
      <c r="L2234" s="115" t="str">
        <f>VLOOKUP(B2234,辅助信息!E:J,6,FALSE)</f>
        <v>控制炉批号！多了现场不收！,优先安排达钢,提前联系到场规格及数量</v>
      </c>
      <c r="M2234" s="84">
        <v>45855</v>
      </c>
      <c r="O2234" s="55">
        <f ca="1" t="shared" si="149"/>
        <v>0</v>
      </c>
      <c r="P2234" s="55">
        <f ca="1" t="shared" si="150"/>
        <v>102</v>
      </c>
      <c r="Q2234" s="22" t="str">
        <f>VLOOKUP(B2234,辅助信息!E:M,9,FALSE)</f>
        <v>ZTWM-CDGS-XS-2024-0134-商投建工达州中医药科技成果示范园项目</v>
      </c>
      <c r="R2234" s="22" t="str">
        <f>_xlfn._xlws.FILTER(辅助信息!D:D,辅助信息!E:E=B2234)</f>
        <v>商投建工达州中医药科技园</v>
      </c>
    </row>
    <row r="2235" hidden="1" spans="2:18">
      <c r="B2235" s="129" t="s">
        <v>47</v>
      </c>
      <c r="C2235" s="63">
        <v>45853</v>
      </c>
      <c r="D2235" s="113" t="str">
        <f>VLOOKUP(B2235,辅助信息!E:K,7,FALSE)</f>
        <v>JWDDCD2025052800131</v>
      </c>
      <c r="E2235" s="113" t="str">
        <f>VLOOKUP(F2235,辅助信息!A:B,2,FALSE)</f>
        <v>螺纹钢</v>
      </c>
      <c r="F2235" s="113" t="s">
        <v>45</v>
      </c>
      <c r="G2235" s="114">
        <v>6</v>
      </c>
      <c r="H2235" s="127" t="str">
        <f>_xlfn.XLOOKUP(C2235&amp;F2235&amp;I2235&amp;J2235,'[1]2025年已发货'!$F:$F&amp;'[1]2025年已发货'!$C:$C&amp;'[1]2025年已发货'!$G:$G&amp;'[1]2025年已发货'!$H:$H,'[1]2025年已发货'!$E:$E,"未发货")</f>
        <v>未发货</v>
      </c>
      <c r="I2235" s="113" t="str">
        <f>VLOOKUP(B2235,辅助信息!E:I,3,FALSE)</f>
        <v>（商投建工达州中医药科技园-1工区）达州市通川区达州中医药职业学院犀牛大道北段</v>
      </c>
      <c r="J2235" s="113" t="str">
        <f>VLOOKUP(B2235,辅助信息!E:I,4,FALSE)</f>
        <v>程黄刚</v>
      </c>
      <c r="K2235" s="113">
        <f>VLOOKUP(J2235,辅助信息!H:I,2,FALSE)</f>
        <v>15108211617</v>
      </c>
      <c r="L2235" s="115" t="str">
        <f>VLOOKUP(B2235,辅助信息!E:J,6,FALSE)</f>
        <v>控制炉批号！多了现场不收！,优先安排达钢,提前联系到场规格及数量</v>
      </c>
      <c r="M2235" s="84">
        <v>45855</v>
      </c>
      <c r="O2235" s="55">
        <f ca="1" t="shared" si="149"/>
        <v>0</v>
      </c>
      <c r="P2235" s="55">
        <f ca="1" t="shared" si="150"/>
        <v>102</v>
      </c>
      <c r="Q2235" s="22" t="str">
        <f>VLOOKUP(B2235,辅助信息!E:M,9,FALSE)</f>
        <v>ZTWM-CDGS-XS-2024-0134-商投建工达州中医药科技成果示范园项目</v>
      </c>
      <c r="R2235" s="22" t="str">
        <f>_xlfn._xlws.FILTER(辅助信息!D:D,辅助信息!E:E=B2235)</f>
        <v>商投建工达州中医药科技园</v>
      </c>
    </row>
    <row r="2236" hidden="1" spans="2:18">
      <c r="B2236" s="129" t="s">
        <v>47</v>
      </c>
      <c r="C2236" s="63">
        <v>45853</v>
      </c>
      <c r="D2236" s="113" t="str">
        <f>VLOOKUP(B2236,辅助信息!E:K,7,FALSE)</f>
        <v>JWDDCD2025052800131</v>
      </c>
      <c r="E2236" s="113" t="str">
        <f>VLOOKUP(F2236,辅助信息!A:B,2,FALSE)</f>
        <v>螺纹钢</v>
      </c>
      <c r="F2236" s="113" t="s">
        <v>21</v>
      </c>
      <c r="G2236" s="114">
        <v>6</v>
      </c>
      <c r="H2236" s="127" t="str">
        <f>_xlfn.XLOOKUP(C2236&amp;F2236&amp;I2236&amp;J2236,'[1]2025年已发货'!$F:$F&amp;'[1]2025年已发货'!$C:$C&amp;'[1]2025年已发货'!$G:$G&amp;'[1]2025年已发货'!$H:$H,'[1]2025年已发货'!$E:$E,"未发货")</f>
        <v>未发货</v>
      </c>
      <c r="I2236" s="113" t="str">
        <f>VLOOKUP(B2236,辅助信息!E:I,3,FALSE)</f>
        <v>（商投建工达州中医药科技园-1工区）达州市通川区达州中医药职业学院犀牛大道北段</v>
      </c>
      <c r="J2236" s="113" t="str">
        <f>VLOOKUP(B2236,辅助信息!E:I,4,FALSE)</f>
        <v>程黄刚</v>
      </c>
      <c r="K2236" s="113">
        <f>VLOOKUP(J2236,辅助信息!H:I,2,FALSE)</f>
        <v>15108211617</v>
      </c>
      <c r="L2236" s="115" t="str">
        <f>VLOOKUP(B2236,辅助信息!E:J,6,FALSE)</f>
        <v>控制炉批号！多了现场不收！,优先安排达钢,提前联系到场规格及数量</v>
      </c>
      <c r="M2236" s="84">
        <v>45855</v>
      </c>
      <c r="O2236" s="55">
        <f ca="1" t="shared" si="149"/>
        <v>0</v>
      </c>
      <c r="P2236" s="55">
        <f ca="1" t="shared" si="150"/>
        <v>102</v>
      </c>
      <c r="Q2236" s="22" t="str">
        <f>VLOOKUP(B2236,辅助信息!E:M,9,FALSE)</f>
        <v>ZTWM-CDGS-XS-2024-0134-商投建工达州中医药科技成果示范园项目</v>
      </c>
      <c r="R2236" s="22" t="str">
        <f>_xlfn._xlws.FILTER(辅助信息!D:D,辅助信息!E:E=B2236)</f>
        <v>商投建工达州中医药科技园</v>
      </c>
    </row>
    <row r="2237" hidden="1" spans="2:18">
      <c r="B2237" s="129" t="s">
        <v>47</v>
      </c>
      <c r="C2237" s="63">
        <v>45853</v>
      </c>
      <c r="D2237" s="113" t="str">
        <f>VLOOKUP(B2237,辅助信息!E:K,7,FALSE)</f>
        <v>JWDDCD2025052800131</v>
      </c>
      <c r="E2237" s="113" t="str">
        <f>VLOOKUP(F2237,辅助信息!A:B,2,FALSE)</f>
        <v>螺纹钢</v>
      </c>
      <c r="F2237" s="113" t="s">
        <v>46</v>
      </c>
      <c r="G2237" s="114">
        <v>17</v>
      </c>
      <c r="H2237" s="127" t="str">
        <f>_xlfn.XLOOKUP(C2237&amp;F2237&amp;I2237&amp;J2237,'[1]2025年已发货'!$F:$F&amp;'[1]2025年已发货'!$C:$C&amp;'[1]2025年已发货'!$G:$G&amp;'[1]2025年已发货'!$H:$H,'[1]2025年已发货'!$E:$E,"未发货")</f>
        <v>未发货</v>
      </c>
      <c r="I2237" s="113" t="str">
        <f>VLOOKUP(B2237,辅助信息!E:I,3,FALSE)</f>
        <v>（商投建工达州中医药科技园-1工区）达州市通川区达州中医药职业学院犀牛大道北段</v>
      </c>
      <c r="J2237" s="113" t="str">
        <f>VLOOKUP(B2237,辅助信息!E:I,4,FALSE)</f>
        <v>程黄刚</v>
      </c>
      <c r="K2237" s="113">
        <f>VLOOKUP(J2237,辅助信息!H:I,2,FALSE)</f>
        <v>15108211617</v>
      </c>
      <c r="L2237" s="115" t="str">
        <f>VLOOKUP(B2237,辅助信息!E:J,6,FALSE)</f>
        <v>控制炉批号！多了现场不收！,优先安排达钢,提前联系到场规格及数量</v>
      </c>
      <c r="M2237" s="84">
        <v>45855</v>
      </c>
      <c r="O2237" s="55">
        <f ca="1" t="shared" si="149"/>
        <v>0</v>
      </c>
      <c r="P2237" s="55">
        <f ca="1" t="shared" si="150"/>
        <v>102</v>
      </c>
      <c r="Q2237" s="22" t="str">
        <f>VLOOKUP(B2237,辅助信息!E:M,9,FALSE)</f>
        <v>ZTWM-CDGS-XS-2024-0134-商投建工达州中医药科技成果示范园项目</v>
      </c>
      <c r="R2237" s="22" t="str">
        <f>_xlfn._xlws.FILTER(辅助信息!D:D,辅助信息!E:E=B2237)</f>
        <v>商投建工达州中医药科技园</v>
      </c>
    </row>
    <row r="2238" hidden="1" spans="2:18">
      <c r="B2238" s="33" t="s">
        <v>192</v>
      </c>
      <c r="C2238" s="63">
        <v>45853</v>
      </c>
      <c r="D2238" s="33" t="str">
        <f>VLOOKUP(B2238,辅助信息!E:K,7,FALSE)</f>
        <v>JWDDCD2025102100475</v>
      </c>
      <c r="E2238" s="33" t="str">
        <f>VLOOKUP(F2238,辅助信息!A:B,2,FALSE)</f>
        <v>盘螺</v>
      </c>
      <c r="F2238" s="33" t="s">
        <v>40</v>
      </c>
      <c r="G2238" s="29">
        <v>5</v>
      </c>
      <c r="H2238" s="127" t="str">
        <f>_xlfn.XLOOKUP(C2238&amp;F2238&amp;I2238&amp;J2238,'[1]2025年已发货'!$F:$F&amp;'[1]2025年已发货'!$C:$C&amp;'[1]2025年已发货'!$G:$G&amp;'[1]2025年已发货'!$H:$H,'[1]2025年已发货'!$E:$E,"未发货")</f>
        <v>未发货</v>
      </c>
      <c r="I2238" s="33" t="str">
        <f>VLOOKUP(B2238,辅助信息!E:I,3,FALSE)</f>
        <v>(五冶建设成都国际铁路港多式联项目)四川省成都市青白江区桂平大道成都中远海运陆港多式联运有限公司</v>
      </c>
      <c r="J2238" s="33" t="str">
        <f>VLOOKUP(B2238,辅助信息!E:I,4,FALSE)</f>
        <v>黄勇杰</v>
      </c>
      <c r="K2238" s="33">
        <f>VLOOKUP(J2238,辅助信息!H:I,2,FALSE)</f>
        <v>13880580196</v>
      </c>
      <c r="L2238" s="102"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84">
        <v>45855</v>
      </c>
      <c r="O2238" s="55">
        <f ca="1" t="shared" si="149"/>
        <v>0</v>
      </c>
      <c r="P2238" s="55">
        <f ca="1" t="shared" si="150"/>
        <v>102</v>
      </c>
      <c r="Q2238" s="22" t="str">
        <f>VLOOKUP(B2238,辅助信息!E:M,9,FALSE)</f>
        <v>ZTWM-CDGS-XS-2025-0073-五冶天府-成都怡心湖片区及龙泉驿医院等项目</v>
      </c>
      <c r="R2238" s="22" t="str">
        <f>_xlfn._xlws.FILTER(辅助信息!D:D,辅助信息!E:E=B2238)</f>
        <v>五冶建设成都国际铁路港多式联项目</v>
      </c>
    </row>
    <row r="2239" hidden="1" spans="2:18">
      <c r="B2239" s="33" t="s">
        <v>192</v>
      </c>
      <c r="C2239" s="63">
        <v>45853</v>
      </c>
      <c r="D2239" s="33" t="str">
        <f>VLOOKUP(B2239,辅助信息!E:K,7,FALSE)</f>
        <v>JWDDCD2025102100475</v>
      </c>
      <c r="E2239" s="33" t="str">
        <f>VLOOKUP(F2239,辅助信息!A:B,2,FALSE)</f>
        <v>盘螺</v>
      </c>
      <c r="F2239" s="33" t="s">
        <v>41</v>
      </c>
      <c r="G2239" s="29">
        <v>25</v>
      </c>
      <c r="H2239" s="127" t="str">
        <f>_xlfn.XLOOKUP(C2239&amp;F2239&amp;I2239&amp;J2239,'[1]2025年已发货'!$F:$F&amp;'[1]2025年已发货'!$C:$C&amp;'[1]2025年已发货'!$G:$G&amp;'[1]2025年已发货'!$H:$H,'[1]2025年已发货'!$E:$E,"未发货")</f>
        <v>未发货</v>
      </c>
      <c r="I2239" s="33" t="str">
        <f>VLOOKUP(B2239,辅助信息!E:I,3,FALSE)</f>
        <v>(五冶建设成都国际铁路港多式联项目)四川省成都市青白江区桂平大道成都中远海运陆港多式联运有限公司</v>
      </c>
      <c r="J2239" s="33" t="str">
        <f>VLOOKUP(B2239,辅助信息!E:I,4,FALSE)</f>
        <v>黄勇杰</v>
      </c>
      <c r="K2239" s="33">
        <f>VLOOKUP(J2239,辅助信息!H:I,2,FALSE)</f>
        <v>13880580196</v>
      </c>
      <c r="L2239" s="102"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84">
        <v>45855</v>
      </c>
      <c r="O2239" s="55">
        <f ca="1" t="shared" si="149"/>
        <v>0</v>
      </c>
      <c r="P2239" s="55">
        <f ca="1" t="shared" si="150"/>
        <v>102</v>
      </c>
      <c r="Q2239" s="22" t="str">
        <f>VLOOKUP(B2239,辅助信息!E:M,9,FALSE)</f>
        <v>ZTWM-CDGS-XS-2025-0073-五冶天府-成都怡心湖片区及龙泉驿医院等项目</v>
      </c>
      <c r="R2239" s="22" t="str">
        <f>_xlfn._xlws.FILTER(辅助信息!D:D,辅助信息!E:E=B2239)</f>
        <v>五冶建设成都国际铁路港多式联项目</v>
      </c>
    </row>
    <row r="2240" hidden="1" spans="2:18">
      <c r="B2240" s="33" t="s">
        <v>192</v>
      </c>
      <c r="C2240" s="63">
        <v>45853</v>
      </c>
      <c r="D2240" s="33" t="str">
        <f>VLOOKUP(B2240,辅助信息!E:K,7,FALSE)</f>
        <v>JWDDCD2025102100475</v>
      </c>
      <c r="E2240" s="33" t="str">
        <f>VLOOKUP(F2240,辅助信息!A:B,2,FALSE)</f>
        <v>螺纹钢</v>
      </c>
      <c r="F2240" s="33" t="s">
        <v>27</v>
      </c>
      <c r="G2240" s="29">
        <v>6</v>
      </c>
      <c r="H2240" s="127" t="str">
        <f>_xlfn.XLOOKUP(C2240&amp;F2240&amp;I2240&amp;J2240,'[1]2025年已发货'!$F:$F&amp;'[1]2025年已发货'!$C:$C&amp;'[1]2025年已发货'!$G:$G&amp;'[1]2025年已发货'!$H:$H,'[1]2025年已发货'!$E:$E,"未发货")</f>
        <v>未发货</v>
      </c>
      <c r="I2240" s="33" t="str">
        <f>VLOOKUP(B2240,辅助信息!E:I,3,FALSE)</f>
        <v>(五冶建设成都国际铁路港多式联项目)四川省成都市青白江区桂平大道成都中远海运陆港多式联运有限公司</v>
      </c>
      <c r="J2240" s="33" t="str">
        <f>VLOOKUP(B2240,辅助信息!E:I,4,FALSE)</f>
        <v>黄勇杰</v>
      </c>
      <c r="K2240" s="33">
        <f>VLOOKUP(J2240,辅助信息!H:I,2,FALSE)</f>
        <v>13880580196</v>
      </c>
      <c r="L2240" s="102"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84">
        <v>45855</v>
      </c>
      <c r="O2240" s="55">
        <f ca="1" t="shared" si="149"/>
        <v>0</v>
      </c>
      <c r="P2240" s="55">
        <f ca="1" t="shared" si="150"/>
        <v>102</v>
      </c>
      <c r="Q2240" s="22" t="str">
        <f>VLOOKUP(B2240,辅助信息!E:M,9,FALSE)</f>
        <v>ZTWM-CDGS-XS-2025-0073-五冶天府-成都怡心湖片区及龙泉驿医院等项目</v>
      </c>
      <c r="R2240" s="22" t="str">
        <f>_xlfn._xlws.FILTER(辅助信息!D:D,辅助信息!E:E=B2240)</f>
        <v>五冶建设成都国际铁路港多式联项目</v>
      </c>
    </row>
    <row r="2241" hidden="1" spans="2:18">
      <c r="B2241" s="33" t="s">
        <v>192</v>
      </c>
      <c r="C2241" s="63">
        <v>45853</v>
      </c>
      <c r="D2241" s="33" t="str">
        <f>VLOOKUP(B2241,辅助信息!E:K,7,FALSE)</f>
        <v>JWDDCD2025102100475</v>
      </c>
      <c r="E2241" s="33" t="str">
        <f>VLOOKUP(F2241,辅助信息!A:B,2,FALSE)</f>
        <v>螺纹钢</v>
      </c>
      <c r="F2241" s="33" t="s">
        <v>19</v>
      </c>
      <c r="G2241" s="29">
        <v>9</v>
      </c>
      <c r="H2241" s="127" t="str">
        <f>_xlfn.XLOOKUP(C2241&amp;F2241&amp;I2241&amp;J2241,'[1]2025年已发货'!$F:$F&amp;'[1]2025年已发货'!$C:$C&amp;'[1]2025年已发货'!$G:$G&amp;'[1]2025年已发货'!$H:$H,'[1]2025年已发货'!$E:$E,"未发货")</f>
        <v>未发货</v>
      </c>
      <c r="I2241" s="33" t="str">
        <f>VLOOKUP(B2241,辅助信息!E:I,3,FALSE)</f>
        <v>(五冶建设成都国际铁路港多式联项目)四川省成都市青白江区桂平大道成都中远海运陆港多式联运有限公司</v>
      </c>
      <c r="J2241" s="33" t="str">
        <f>VLOOKUP(B2241,辅助信息!E:I,4,FALSE)</f>
        <v>黄勇杰</v>
      </c>
      <c r="K2241" s="33">
        <f>VLOOKUP(J2241,辅助信息!H:I,2,FALSE)</f>
        <v>13880580196</v>
      </c>
      <c r="L2241" s="102"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84">
        <v>45855</v>
      </c>
      <c r="O2241" s="55">
        <f ca="1" t="shared" si="149"/>
        <v>0</v>
      </c>
      <c r="P2241" s="55">
        <f ca="1" t="shared" si="150"/>
        <v>102</v>
      </c>
      <c r="Q2241" s="22" t="str">
        <f>VLOOKUP(B2241,辅助信息!E:M,9,FALSE)</f>
        <v>ZTWM-CDGS-XS-2025-0073-五冶天府-成都怡心湖片区及龙泉驿医院等项目</v>
      </c>
      <c r="R2241" s="22" t="str">
        <f>_xlfn._xlws.FILTER(辅助信息!D:D,辅助信息!E:E=B2241)</f>
        <v>五冶建设成都国际铁路港多式联项目</v>
      </c>
    </row>
    <row r="2242" hidden="1" spans="2:18">
      <c r="B2242" s="33" t="s">
        <v>192</v>
      </c>
      <c r="C2242" s="63">
        <v>45853</v>
      </c>
      <c r="D2242" s="33" t="str">
        <f>VLOOKUP(B2242,辅助信息!E:K,7,FALSE)</f>
        <v>JWDDCD2025102100475</v>
      </c>
      <c r="E2242" s="33" t="str">
        <f>VLOOKUP(F2242,辅助信息!A:B,2,FALSE)</f>
        <v>螺纹钢</v>
      </c>
      <c r="F2242" s="33" t="s">
        <v>32</v>
      </c>
      <c r="G2242" s="29">
        <v>6</v>
      </c>
      <c r="H2242" s="127" t="str">
        <f>_xlfn.XLOOKUP(C2242&amp;F2242&amp;I2242&amp;J2242,'[1]2025年已发货'!$F:$F&amp;'[1]2025年已发货'!$C:$C&amp;'[1]2025年已发货'!$G:$G&amp;'[1]2025年已发货'!$H:$H,'[1]2025年已发货'!$E:$E,"未发货")</f>
        <v>未发货</v>
      </c>
      <c r="I2242" s="33" t="str">
        <f>VLOOKUP(B2242,辅助信息!E:I,3,FALSE)</f>
        <v>(五冶建设成都国际铁路港多式联项目)四川省成都市青白江区桂平大道成都中远海运陆港多式联运有限公司</v>
      </c>
      <c r="J2242" s="33" t="str">
        <f>VLOOKUP(B2242,辅助信息!E:I,4,FALSE)</f>
        <v>黄勇杰</v>
      </c>
      <c r="K2242" s="33">
        <f>VLOOKUP(J2242,辅助信息!H:I,2,FALSE)</f>
        <v>13880580196</v>
      </c>
      <c r="L2242" s="102"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84">
        <v>45855</v>
      </c>
      <c r="O2242" s="55">
        <f ca="1" t="shared" si="149"/>
        <v>0</v>
      </c>
      <c r="P2242" s="55">
        <f ca="1" t="shared" si="150"/>
        <v>102</v>
      </c>
      <c r="Q2242" s="22" t="str">
        <f>VLOOKUP(B2242,辅助信息!E:M,9,FALSE)</f>
        <v>ZTWM-CDGS-XS-2025-0073-五冶天府-成都怡心湖片区及龙泉驿医院等项目</v>
      </c>
      <c r="R2242" s="22" t="str">
        <f>_xlfn._xlws.FILTER(辅助信息!D:D,辅助信息!E:E=B2242)</f>
        <v>五冶建设成都国际铁路港多式联项目</v>
      </c>
    </row>
    <row r="2243" hidden="1" spans="2:18">
      <c r="B2243" s="33" t="s">
        <v>192</v>
      </c>
      <c r="C2243" s="63">
        <v>45853</v>
      </c>
      <c r="D2243" s="33" t="str">
        <f>VLOOKUP(B2243,辅助信息!E:K,7,FALSE)</f>
        <v>JWDDCD2025102100475</v>
      </c>
      <c r="E2243" s="33" t="str">
        <f>VLOOKUP(F2243,辅助信息!A:B,2,FALSE)</f>
        <v>螺纹钢</v>
      </c>
      <c r="F2243" s="33" t="s">
        <v>30</v>
      </c>
      <c r="G2243" s="29">
        <v>6</v>
      </c>
      <c r="H2243" s="127" t="str">
        <f>_xlfn.XLOOKUP(C2243&amp;F2243&amp;I2243&amp;J2243,'[1]2025年已发货'!$F:$F&amp;'[1]2025年已发货'!$C:$C&amp;'[1]2025年已发货'!$G:$G&amp;'[1]2025年已发货'!$H:$H,'[1]2025年已发货'!$E:$E,"未发货")</f>
        <v>未发货</v>
      </c>
      <c r="I2243" s="33" t="str">
        <f>VLOOKUP(B2243,辅助信息!E:I,3,FALSE)</f>
        <v>(五冶建设成都国际铁路港多式联项目)四川省成都市青白江区桂平大道成都中远海运陆港多式联运有限公司</v>
      </c>
      <c r="J2243" s="33" t="str">
        <f>VLOOKUP(B2243,辅助信息!E:I,4,FALSE)</f>
        <v>黄勇杰</v>
      </c>
      <c r="K2243" s="33">
        <f>VLOOKUP(J2243,辅助信息!H:I,2,FALSE)</f>
        <v>13880580196</v>
      </c>
      <c r="L2243" s="102"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84">
        <v>45855</v>
      </c>
      <c r="O2243" s="55">
        <f ca="1" t="shared" si="149"/>
        <v>0</v>
      </c>
      <c r="P2243" s="55">
        <f ca="1" t="shared" si="150"/>
        <v>102</v>
      </c>
      <c r="Q2243" s="22" t="str">
        <f>VLOOKUP(B2243,辅助信息!E:M,9,FALSE)</f>
        <v>ZTWM-CDGS-XS-2025-0073-五冶天府-成都怡心湖片区及龙泉驿医院等项目</v>
      </c>
      <c r="R2243" s="22" t="str">
        <f>_xlfn._xlws.FILTER(辅助信息!D:D,辅助信息!E:E=B2243)</f>
        <v>五冶建设成都国际铁路港多式联项目</v>
      </c>
    </row>
    <row r="2244" hidden="1" spans="2:18">
      <c r="B2244" s="33" t="s">
        <v>192</v>
      </c>
      <c r="C2244" s="63">
        <v>45853</v>
      </c>
      <c r="D2244" s="33" t="str">
        <f>VLOOKUP(B2244,辅助信息!E:K,7,FALSE)</f>
        <v>JWDDCD2025102100475</v>
      </c>
      <c r="E2244" s="33" t="str">
        <f>VLOOKUP(F2244,辅助信息!A:B,2,FALSE)</f>
        <v>螺纹钢</v>
      </c>
      <c r="F2244" s="33" t="s">
        <v>33</v>
      </c>
      <c r="G2244" s="29">
        <v>3</v>
      </c>
      <c r="H2244" s="127" t="str">
        <f>_xlfn.XLOOKUP(C2244&amp;F2244&amp;I2244&amp;J2244,'[1]2025年已发货'!$F:$F&amp;'[1]2025年已发货'!$C:$C&amp;'[1]2025年已发货'!$G:$G&amp;'[1]2025年已发货'!$H:$H,'[1]2025年已发货'!$E:$E,"未发货")</f>
        <v>未发货</v>
      </c>
      <c r="I2244" s="33" t="str">
        <f>VLOOKUP(B2244,辅助信息!E:I,3,FALSE)</f>
        <v>(五冶建设成都国际铁路港多式联项目)四川省成都市青白江区桂平大道成都中远海运陆港多式联运有限公司</v>
      </c>
      <c r="J2244" s="33" t="str">
        <f>VLOOKUP(B2244,辅助信息!E:I,4,FALSE)</f>
        <v>黄勇杰</v>
      </c>
      <c r="K2244" s="33">
        <f>VLOOKUP(J2244,辅助信息!H:I,2,FALSE)</f>
        <v>13880580196</v>
      </c>
      <c r="L2244" s="102"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84">
        <v>45855</v>
      </c>
      <c r="O2244" s="55">
        <f ca="1" t="shared" si="149"/>
        <v>0</v>
      </c>
      <c r="P2244" s="55">
        <f ca="1" t="shared" si="150"/>
        <v>102</v>
      </c>
      <c r="Q2244" s="22" t="str">
        <f>VLOOKUP(B2244,辅助信息!E:M,9,FALSE)</f>
        <v>ZTWM-CDGS-XS-2025-0073-五冶天府-成都怡心湖片区及龙泉驿医院等项目</v>
      </c>
      <c r="R2244" s="22" t="str">
        <f>_xlfn._xlws.FILTER(辅助信息!D:D,辅助信息!E:E=B2244)</f>
        <v>五冶建设成都国际铁路港多式联项目</v>
      </c>
    </row>
    <row r="2245" hidden="1" spans="2:18">
      <c r="B2245" s="33" t="s">
        <v>192</v>
      </c>
      <c r="C2245" s="63">
        <v>45853</v>
      </c>
      <c r="D2245" s="33" t="str">
        <f>VLOOKUP(B2245,辅助信息!E:K,7,FALSE)</f>
        <v>JWDDCD2025102100475</v>
      </c>
      <c r="E2245" s="33" t="str">
        <f>VLOOKUP(F2245,辅助信息!A:B,2,FALSE)</f>
        <v>螺纹钢</v>
      </c>
      <c r="F2245" s="33" t="s">
        <v>28</v>
      </c>
      <c r="G2245" s="29">
        <v>6</v>
      </c>
      <c r="H2245" s="127" t="str">
        <f>_xlfn.XLOOKUP(C2245&amp;F2245&amp;I2245&amp;J2245,'[1]2025年已发货'!$F:$F&amp;'[1]2025年已发货'!$C:$C&amp;'[1]2025年已发货'!$G:$G&amp;'[1]2025年已发货'!$H:$H,'[1]2025年已发货'!$E:$E,"未发货")</f>
        <v>未发货</v>
      </c>
      <c r="I2245" s="33" t="str">
        <f>VLOOKUP(B2245,辅助信息!E:I,3,FALSE)</f>
        <v>(五冶建设成都国际铁路港多式联项目)四川省成都市青白江区桂平大道成都中远海运陆港多式联运有限公司</v>
      </c>
      <c r="J2245" s="33" t="str">
        <f>VLOOKUP(B2245,辅助信息!E:I,4,FALSE)</f>
        <v>黄勇杰</v>
      </c>
      <c r="K2245" s="33">
        <f>VLOOKUP(J2245,辅助信息!H:I,2,FALSE)</f>
        <v>13880580196</v>
      </c>
      <c r="L2245" s="102"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84">
        <v>45855</v>
      </c>
      <c r="O2245" s="55">
        <f ca="1" t="shared" si="149"/>
        <v>0</v>
      </c>
      <c r="P2245" s="55">
        <f ca="1" t="shared" si="150"/>
        <v>102</v>
      </c>
      <c r="Q2245" s="22" t="str">
        <f>VLOOKUP(B2245,辅助信息!E:M,9,FALSE)</f>
        <v>ZTWM-CDGS-XS-2025-0073-五冶天府-成都怡心湖片区及龙泉驿医院等项目</v>
      </c>
      <c r="R2245" s="22" t="str">
        <f>_xlfn._xlws.FILTER(辅助信息!D:D,辅助信息!E:E=B2245)</f>
        <v>五冶建设成都国际铁路港多式联项目</v>
      </c>
    </row>
    <row r="2246" hidden="1" spans="2:18">
      <c r="B2246" s="33" t="s">
        <v>180</v>
      </c>
      <c r="C2246" s="63">
        <v>45854</v>
      </c>
      <c r="D2246" s="33" t="str">
        <f>VLOOKUP(B2246,辅助信息!E:K,7,FALSE)</f>
        <v>JWDDCD2025052800131</v>
      </c>
      <c r="E2246" s="33" t="str">
        <f>VLOOKUP(F2246,辅助信息!A:B,2,FALSE)</f>
        <v>盘螺</v>
      </c>
      <c r="F2246" s="33" t="s">
        <v>40</v>
      </c>
      <c r="G2246" s="29">
        <v>8</v>
      </c>
      <c r="H2246" s="127" t="str">
        <f>_xlfn.XLOOKUP(C2246&amp;F2246&amp;I2246&amp;J2246,'[1]2025年已发货'!$F:$F&amp;'[1]2025年已发货'!$C:$C&amp;'[1]2025年已发货'!$G:$G&amp;'[1]2025年已发货'!$H:$H,'[1]2025年已发货'!$E:$E,"未发货")</f>
        <v>未发货</v>
      </c>
      <c r="I2246" s="33" t="str">
        <f>VLOOKUP(B2246,辅助信息!E:I,3,FALSE)</f>
        <v>（商投建工达州中医药科技园-4工区-8号楼）达州市通川区达州中医药职业学院犀牛大道北段</v>
      </c>
      <c r="J2246" s="33" t="str">
        <f>VLOOKUP(B2246,辅助信息!E:I,4,FALSE)</f>
        <v>张扬</v>
      </c>
      <c r="K2246" s="33">
        <f>VLOOKUP(J2246,辅助信息!H:I,2,FALSE)</f>
        <v>18381904567</v>
      </c>
      <c r="L2246" s="102" t="str">
        <f>VLOOKUP(B2246,辅助信息!E:J,6,FALSE)</f>
        <v>控制炉批号！多了现场不收！,优先安排达钢,提前联系到场规格及数量</v>
      </c>
      <c r="M2246" s="84"/>
      <c r="O2246" s="55" t="str">
        <f ca="1" t="shared" si="149"/>
        <v/>
      </c>
      <c r="P2246" s="55" t="str">
        <f ca="1" t="shared" si="150"/>
        <v/>
      </c>
      <c r="Q2246" s="22" t="str">
        <f>VLOOKUP(B2246,辅助信息!E:M,9,FALSE)</f>
        <v>ZTWM-CDGS-XS-2024-0134-商投建工达州中医药科技成果示范园项目</v>
      </c>
      <c r="R2246" s="22" t="str">
        <f>_xlfn._xlws.FILTER(辅助信息!D:D,辅助信息!E:E=B2246)</f>
        <v>商投建工达州中医药科技园</v>
      </c>
    </row>
    <row r="2247" hidden="1" spans="2:18">
      <c r="B2247" s="113" t="s">
        <v>180</v>
      </c>
      <c r="C2247" s="63">
        <v>45854</v>
      </c>
      <c r="D2247" s="113" t="str">
        <f>VLOOKUP(B2247,辅助信息!E:K,7,FALSE)</f>
        <v>JWDDCD2025052800131</v>
      </c>
      <c r="E2247" s="113" t="str">
        <f>VLOOKUP(F2247,辅助信息!A:B,2,FALSE)</f>
        <v>螺纹钢</v>
      </c>
      <c r="F2247" s="113" t="s">
        <v>30</v>
      </c>
      <c r="G2247" s="114">
        <v>12</v>
      </c>
      <c r="H2247" s="127" t="str">
        <f>_xlfn.XLOOKUP(C2247&amp;F2247&amp;I2247&amp;J2247,'[1]2025年已发货'!$F:$F&amp;'[1]2025年已发货'!$C:$C&amp;'[1]2025年已发货'!$G:$G&amp;'[1]2025年已发货'!$H:$H,'[1]2025年已发货'!$E:$E,"未发货")</f>
        <v>未发货</v>
      </c>
      <c r="I2247" s="113" t="str">
        <f>VLOOKUP(B2247,辅助信息!E:I,3,FALSE)</f>
        <v>（商投建工达州中医药科技园-4工区-8号楼）达州市通川区达州中医药职业学院犀牛大道北段</v>
      </c>
      <c r="J2247" s="113" t="str">
        <f>VLOOKUP(B2247,辅助信息!E:I,4,FALSE)</f>
        <v>张扬</v>
      </c>
      <c r="K2247" s="113">
        <f>VLOOKUP(J2247,辅助信息!H:I,2,FALSE)</f>
        <v>18381904567</v>
      </c>
      <c r="L2247" s="115" t="str">
        <f>VLOOKUP(B2247,辅助信息!E:J,6,FALSE)</f>
        <v>控制炉批号！多了现场不收！,优先安排达钢,提前联系到场规格及数量</v>
      </c>
      <c r="M2247" s="84"/>
      <c r="O2247" s="55" t="str">
        <f ca="1" t="shared" si="149"/>
        <v/>
      </c>
      <c r="P2247" s="55" t="str">
        <f ca="1" t="shared" si="150"/>
        <v/>
      </c>
      <c r="Q2247" s="22" t="str">
        <f>VLOOKUP(B2247,辅助信息!E:M,9,FALSE)</f>
        <v>ZTWM-CDGS-XS-2024-0134-商投建工达州中医药科技成果示范园项目</v>
      </c>
      <c r="R2247" s="22" t="str">
        <f>_xlfn._xlws.FILTER(辅助信息!D:D,辅助信息!E:E=B2247)</f>
        <v>商投建工达州中医药科技园</v>
      </c>
    </row>
    <row r="2248" hidden="1" spans="2:18">
      <c r="B2248" s="113" t="s">
        <v>180</v>
      </c>
      <c r="C2248" s="63">
        <v>45854</v>
      </c>
      <c r="D2248" s="113" t="str">
        <f>VLOOKUP(B2248,辅助信息!E:K,7,FALSE)</f>
        <v>JWDDCD2025052800131</v>
      </c>
      <c r="E2248" s="113" t="str">
        <f>VLOOKUP(F2248,辅助信息!A:B,2,FALSE)</f>
        <v>螺纹钢</v>
      </c>
      <c r="F2248" s="113" t="s">
        <v>28</v>
      </c>
      <c r="G2248" s="114">
        <v>6</v>
      </c>
      <c r="H2248" s="127" t="str">
        <f>_xlfn.XLOOKUP(C2248&amp;F2248&amp;I2248&amp;J2248,'[1]2025年已发货'!$F:$F&amp;'[1]2025年已发货'!$C:$C&amp;'[1]2025年已发货'!$G:$G&amp;'[1]2025年已发货'!$H:$H,'[1]2025年已发货'!$E:$E,"未发货")</f>
        <v>未发货</v>
      </c>
      <c r="I2248" s="113" t="str">
        <f>VLOOKUP(B2248,辅助信息!E:I,3,FALSE)</f>
        <v>（商投建工达州中医药科技园-4工区-8号楼）达州市通川区达州中医药职业学院犀牛大道北段</v>
      </c>
      <c r="J2248" s="113" t="str">
        <f>VLOOKUP(B2248,辅助信息!E:I,4,FALSE)</f>
        <v>张扬</v>
      </c>
      <c r="K2248" s="113">
        <f>VLOOKUP(J2248,辅助信息!H:I,2,FALSE)</f>
        <v>18381904567</v>
      </c>
      <c r="L2248" s="115" t="str">
        <f>VLOOKUP(B2248,辅助信息!E:J,6,FALSE)</f>
        <v>控制炉批号！多了现场不收！,优先安排达钢,提前联系到场规格及数量</v>
      </c>
      <c r="M2248" s="84"/>
      <c r="O2248" s="55" t="str">
        <f ca="1" t="shared" si="149"/>
        <v/>
      </c>
      <c r="P2248" s="55" t="str">
        <f ca="1" t="shared" si="150"/>
        <v/>
      </c>
      <c r="Q2248" s="22" t="str">
        <f>VLOOKUP(B2248,辅助信息!E:M,9,FALSE)</f>
        <v>ZTWM-CDGS-XS-2024-0134-商投建工达州中医药科技成果示范园项目</v>
      </c>
      <c r="R2248" s="22" t="str">
        <f>_xlfn._xlws.FILTER(辅助信息!D:D,辅助信息!E:E=B2248)</f>
        <v>商投建工达州中医药科技园</v>
      </c>
    </row>
    <row r="2249" hidden="1" spans="2:18">
      <c r="B2249" s="113" t="s">
        <v>180</v>
      </c>
      <c r="C2249" s="63">
        <v>45854</v>
      </c>
      <c r="D2249" s="113" t="str">
        <f>VLOOKUP(B2249,辅助信息!E:K,7,FALSE)</f>
        <v>JWDDCD2025052800131</v>
      </c>
      <c r="E2249" s="113" t="str">
        <f>VLOOKUP(F2249,辅助信息!A:B,2,FALSE)</f>
        <v>螺纹钢</v>
      </c>
      <c r="F2249" s="113" t="s">
        <v>18</v>
      </c>
      <c r="G2249" s="114">
        <v>15</v>
      </c>
      <c r="H2249" s="127" t="str">
        <f>_xlfn.XLOOKUP(C2249&amp;F2249&amp;I2249&amp;J2249,'[1]2025年已发货'!$F:$F&amp;'[1]2025年已发货'!$C:$C&amp;'[1]2025年已发货'!$G:$G&amp;'[1]2025年已发货'!$H:$H,'[1]2025年已发货'!$E:$E,"未发货")</f>
        <v>未发货</v>
      </c>
      <c r="I2249" s="113" t="str">
        <f>VLOOKUP(B2249,辅助信息!E:I,3,FALSE)</f>
        <v>（商投建工达州中医药科技园-4工区-8号楼）达州市通川区达州中医药职业学院犀牛大道北段</v>
      </c>
      <c r="J2249" s="113" t="str">
        <f>VLOOKUP(B2249,辅助信息!E:I,4,FALSE)</f>
        <v>张扬</v>
      </c>
      <c r="K2249" s="113">
        <f>VLOOKUP(J2249,辅助信息!H:I,2,FALSE)</f>
        <v>18381904567</v>
      </c>
      <c r="L2249" s="115" t="str">
        <f>VLOOKUP(B2249,辅助信息!E:J,6,FALSE)</f>
        <v>控制炉批号！多了现场不收！,优先安排达钢,提前联系到场规格及数量</v>
      </c>
      <c r="M2249" s="84"/>
      <c r="O2249" s="55" t="str">
        <f ca="1" t="shared" si="149"/>
        <v/>
      </c>
      <c r="P2249" s="55" t="str">
        <f ca="1" t="shared" si="150"/>
        <v/>
      </c>
      <c r="Q2249" s="22" t="str">
        <f>VLOOKUP(B2249,辅助信息!E:M,9,FALSE)</f>
        <v>ZTWM-CDGS-XS-2024-0134-商投建工达州中医药科技成果示范园项目</v>
      </c>
      <c r="R2249" s="22" t="str">
        <f>_xlfn._xlws.FILTER(辅助信息!D:D,辅助信息!E:E=B2249)</f>
        <v>商投建工达州中医药科技园</v>
      </c>
    </row>
    <row r="2250" hidden="1" spans="2:18">
      <c r="B2250" s="113" t="s">
        <v>180</v>
      </c>
      <c r="C2250" s="63">
        <v>45854</v>
      </c>
      <c r="D2250" s="113" t="str">
        <f>VLOOKUP(B2250,辅助信息!E:K,7,FALSE)</f>
        <v>JWDDCD2025052800131</v>
      </c>
      <c r="E2250" s="113" t="str">
        <f>VLOOKUP(F2250,辅助信息!A:B,2,FALSE)</f>
        <v>螺纹钢</v>
      </c>
      <c r="F2250" s="113" t="s">
        <v>21</v>
      </c>
      <c r="G2250" s="114">
        <v>6</v>
      </c>
      <c r="H2250" s="127" t="str">
        <f>_xlfn.XLOOKUP(C2250&amp;F2250&amp;I2250&amp;J2250,'[1]2025年已发货'!$F:$F&amp;'[1]2025年已发货'!$C:$C&amp;'[1]2025年已发货'!$G:$G&amp;'[1]2025年已发货'!$H:$H,'[1]2025年已发货'!$E:$E,"未发货")</f>
        <v>未发货</v>
      </c>
      <c r="I2250" s="113" t="str">
        <f>VLOOKUP(B2250,辅助信息!E:I,3,FALSE)</f>
        <v>（商投建工达州中医药科技园-4工区-8号楼）达州市通川区达州中医药职业学院犀牛大道北段</v>
      </c>
      <c r="J2250" s="113" t="str">
        <f>VLOOKUP(B2250,辅助信息!E:I,4,FALSE)</f>
        <v>张扬</v>
      </c>
      <c r="K2250" s="113">
        <f>VLOOKUP(J2250,辅助信息!H:I,2,FALSE)</f>
        <v>18381904567</v>
      </c>
      <c r="L2250" s="115" t="str">
        <f>VLOOKUP(B2250,辅助信息!E:J,6,FALSE)</f>
        <v>控制炉批号！多了现场不收！,优先安排达钢,提前联系到场规格及数量</v>
      </c>
      <c r="M2250" s="84">
        <v>45853</v>
      </c>
      <c r="O2250" s="55">
        <f ca="1" t="shared" si="149"/>
        <v>0</v>
      </c>
      <c r="P2250" s="55">
        <f ca="1" t="shared" si="150"/>
        <v>104</v>
      </c>
      <c r="Q2250" s="22" t="str">
        <f>VLOOKUP(B2250,辅助信息!E:M,9,FALSE)</f>
        <v>ZTWM-CDGS-XS-2024-0134-商投建工达州中医药科技成果示范园项目</v>
      </c>
      <c r="R2250" s="22" t="str">
        <f>_xlfn._xlws.FILTER(辅助信息!D:D,辅助信息!E:E=B2250)</f>
        <v>商投建工达州中医药科技园</v>
      </c>
    </row>
    <row r="2251" hidden="1" spans="2:18">
      <c r="B2251" s="113" t="s">
        <v>147</v>
      </c>
      <c r="C2251" s="63">
        <v>45854</v>
      </c>
      <c r="D2251" s="113" t="str">
        <f>VLOOKUP(B2251,辅助信息!E:K,7,FALSE)</f>
        <v>JWDDCD2025052800131</v>
      </c>
      <c r="E2251" s="113" t="str">
        <f>VLOOKUP(F2251,辅助信息!A:B,2,FALSE)</f>
        <v>螺纹钢</v>
      </c>
      <c r="F2251" s="113" t="s">
        <v>30</v>
      </c>
      <c r="G2251" s="114">
        <v>9</v>
      </c>
      <c r="H2251" s="127" t="str">
        <f>_xlfn.XLOOKUP(C2251&amp;F2251&amp;I2251&amp;J2251,'[1]2025年已发货'!$F:$F&amp;'[1]2025年已发货'!$C:$C&amp;'[1]2025年已发货'!$G:$G&amp;'[1]2025年已发货'!$H:$H,'[1]2025年已发货'!$E:$E,"未发货")</f>
        <v>未发货</v>
      </c>
      <c r="I2251" s="113" t="str">
        <f>VLOOKUP(B2251,辅助信息!E:I,3,FALSE)</f>
        <v>（商投建工达州中医药科技园-4工区-11号楼）达州市通川区达州中医药职业学院犀牛大道北段</v>
      </c>
      <c r="J2251" s="113" t="str">
        <f>VLOOKUP(B2251,辅助信息!E:I,4,FALSE)</f>
        <v>张扬</v>
      </c>
      <c r="K2251" s="113">
        <f>VLOOKUP(J2251,辅助信息!H:I,2,FALSE)</f>
        <v>18381904567</v>
      </c>
      <c r="L2251" s="115" t="str">
        <f>VLOOKUP(B2251,辅助信息!E:J,6,FALSE)</f>
        <v>控制炉批号！多了现场不收！,优先安排达钢,提前联系到场规格及数量</v>
      </c>
      <c r="M2251" s="84">
        <v>45853</v>
      </c>
      <c r="O2251" s="55">
        <f ca="1" t="shared" si="149"/>
        <v>0</v>
      </c>
      <c r="P2251" s="55">
        <f ca="1" t="shared" si="150"/>
        <v>104</v>
      </c>
      <c r="Q2251" s="22" t="str">
        <f>VLOOKUP(B2251,辅助信息!E:M,9,FALSE)</f>
        <v>ZTWM-CDGS-XS-2024-0134-商投建工达州中医药科技成果示范园项目</v>
      </c>
      <c r="R2251" s="22" t="str">
        <f>_xlfn._xlws.FILTER(辅助信息!D:D,辅助信息!E:E=B2251)</f>
        <v>商投建工达州中医药科技园</v>
      </c>
    </row>
    <row r="2252" hidden="1" spans="1:18">
      <c r="A2252" s="122" t="s">
        <v>191</v>
      </c>
      <c r="B2252" s="113" t="s">
        <v>156</v>
      </c>
      <c r="C2252" s="63">
        <v>45854</v>
      </c>
      <c r="D2252" s="113" t="e">
        <f>VLOOKUP(B2252,辅助信息!E:K,7,FALSE)</f>
        <v>#N/A</v>
      </c>
      <c r="E2252" s="113" t="str">
        <f>VLOOKUP(F2252,辅助信息!A:B,2,FALSE)</f>
        <v>螺纹钢</v>
      </c>
      <c r="F2252" s="113" t="s">
        <v>27</v>
      </c>
      <c r="G2252" s="114">
        <v>3</v>
      </c>
      <c r="H2252" s="127" t="e">
        <f>_xlfn.XLOOKUP(C2252&amp;F2252&amp;I2252&amp;J2252,'[1]2025年已发货'!$F:$F&amp;'[1]2025年已发货'!$C:$C&amp;'[1]2025年已发货'!$G:$G&amp;'[1]2025年已发货'!$H:$H,'[1]2025年已发货'!$E:$E,"未发货")</f>
        <v>#N/A</v>
      </c>
      <c r="I2252" s="113" t="e">
        <f>VLOOKUP(B2252,辅助信息!E:I,3,FALSE)</f>
        <v>#N/A</v>
      </c>
      <c r="J2252" s="113" t="e">
        <f>VLOOKUP(B2252,辅助信息!E:I,4,FALSE)</f>
        <v>#N/A</v>
      </c>
      <c r="K2252" s="113" t="e">
        <f>VLOOKUP(J2252,辅助信息!H:I,2,FALSE)</f>
        <v>#N/A</v>
      </c>
      <c r="L2252" s="115" t="e">
        <f>VLOOKUP(B2252,辅助信息!E:J,6,FALSE)</f>
        <v>#N/A</v>
      </c>
      <c r="M2252" s="84">
        <v>45855</v>
      </c>
      <c r="O2252" s="55">
        <f ca="1" t="shared" si="149"/>
        <v>0</v>
      </c>
      <c r="P2252" s="55">
        <f ca="1" t="shared" si="150"/>
        <v>102</v>
      </c>
      <c r="Q2252" s="22" t="e">
        <f>VLOOKUP(B2252,辅助信息!E:M,9,FALSE)</f>
        <v>#N/A</v>
      </c>
      <c r="R2252" s="22" vm="1" t="e">
        <f>_xlfn._xlws.FILTER(辅助信息!D:D,辅助信息!E:E=B2252)</f>
        <v>#VALUE!</v>
      </c>
    </row>
    <row r="2253" hidden="1" spans="1:18">
      <c r="A2253" s="122"/>
      <c r="B2253" s="113" t="s">
        <v>156</v>
      </c>
      <c r="C2253" s="63">
        <v>45854</v>
      </c>
      <c r="D2253" s="113" t="e">
        <f>VLOOKUP(B2253,辅助信息!E:K,7,FALSE)</f>
        <v>#N/A</v>
      </c>
      <c r="E2253" s="113" t="str">
        <f>VLOOKUP(F2253,辅助信息!A:B,2,FALSE)</f>
        <v>螺纹钢</v>
      </c>
      <c r="F2253" s="113" t="s">
        <v>19</v>
      </c>
      <c r="G2253" s="114">
        <v>8</v>
      </c>
      <c r="H2253" s="127" t="e">
        <f>_xlfn.XLOOKUP(C2253&amp;F2253&amp;I2253&amp;J2253,'[1]2025年已发货'!$F:$F&amp;'[1]2025年已发货'!$C:$C&amp;'[1]2025年已发货'!$G:$G&amp;'[1]2025年已发货'!$H:$H,'[1]2025年已发货'!$E:$E,"未发货")</f>
        <v>#N/A</v>
      </c>
      <c r="I2253" s="113" t="e">
        <f>VLOOKUP(B2253,辅助信息!E:I,3,FALSE)</f>
        <v>#N/A</v>
      </c>
      <c r="J2253" s="113" t="e">
        <f>VLOOKUP(B2253,辅助信息!E:I,4,FALSE)</f>
        <v>#N/A</v>
      </c>
      <c r="K2253" s="113" t="e">
        <f>VLOOKUP(J2253,辅助信息!H:I,2,FALSE)</f>
        <v>#N/A</v>
      </c>
      <c r="L2253" s="115" t="e">
        <f>VLOOKUP(B2253,辅助信息!E:J,6,FALSE)</f>
        <v>#N/A</v>
      </c>
      <c r="M2253" s="84">
        <v>45855</v>
      </c>
      <c r="O2253" s="55">
        <f ca="1" t="shared" si="149"/>
        <v>0</v>
      </c>
      <c r="P2253" s="55">
        <f ca="1" t="shared" si="150"/>
        <v>102</v>
      </c>
      <c r="Q2253" s="22" t="e">
        <f>VLOOKUP(B2253,辅助信息!E:M,9,FALSE)</f>
        <v>#N/A</v>
      </c>
      <c r="R2253" s="22" vm="1" t="e">
        <f>_xlfn._xlws.FILTER(辅助信息!D:D,辅助信息!E:E=B2253)</f>
        <v>#VALUE!</v>
      </c>
    </row>
    <row r="2254" hidden="1" spans="1:18">
      <c r="A2254" s="122"/>
      <c r="B2254" s="113" t="s">
        <v>156</v>
      </c>
      <c r="C2254" s="63">
        <v>45854</v>
      </c>
      <c r="D2254" s="113" t="e">
        <f>VLOOKUP(B2254,辅助信息!E:K,7,FALSE)</f>
        <v>#N/A</v>
      </c>
      <c r="E2254" s="113" t="str">
        <f>VLOOKUP(F2254,辅助信息!A:B,2,FALSE)</f>
        <v>螺纹钢</v>
      </c>
      <c r="F2254" s="113" t="s">
        <v>30</v>
      </c>
      <c r="G2254" s="114">
        <v>17</v>
      </c>
      <c r="H2254" s="127" t="e">
        <f>_xlfn.XLOOKUP(C2254&amp;F2254&amp;I2254&amp;J2254,'[1]2025年已发货'!$F:$F&amp;'[1]2025年已发货'!$C:$C&amp;'[1]2025年已发货'!$G:$G&amp;'[1]2025年已发货'!$H:$H,'[1]2025年已发货'!$E:$E,"未发货")</f>
        <v>#N/A</v>
      </c>
      <c r="I2254" s="113" t="e">
        <f>VLOOKUP(B2254,辅助信息!E:I,3,FALSE)</f>
        <v>#N/A</v>
      </c>
      <c r="J2254" s="113" t="e">
        <f>VLOOKUP(B2254,辅助信息!E:I,4,FALSE)</f>
        <v>#N/A</v>
      </c>
      <c r="K2254" s="113" t="e">
        <f>VLOOKUP(J2254,辅助信息!H:I,2,FALSE)</f>
        <v>#N/A</v>
      </c>
      <c r="L2254" s="115" t="e">
        <f>VLOOKUP(B2254,辅助信息!E:J,6,FALSE)</f>
        <v>#N/A</v>
      </c>
      <c r="M2254" s="84">
        <v>45855</v>
      </c>
      <c r="O2254" s="55">
        <f ca="1" t="shared" si="149"/>
        <v>0</v>
      </c>
      <c r="P2254" s="55">
        <f ca="1" t="shared" si="150"/>
        <v>102</v>
      </c>
      <c r="Q2254" s="22" t="e">
        <f>VLOOKUP(B2254,辅助信息!E:M,9,FALSE)</f>
        <v>#N/A</v>
      </c>
      <c r="R2254" s="22" vm="1" t="e">
        <f>_xlfn._xlws.FILTER(辅助信息!D:D,辅助信息!E:E=B2254)</f>
        <v>#VALUE!</v>
      </c>
    </row>
    <row r="2255" hidden="1" spans="1:18">
      <c r="A2255" s="122"/>
      <c r="B2255" s="113" t="s">
        <v>156</v>
      </c>
      <c r="C2255" s="63">
        <v>45854</v>
      </c>
      <c r="D2255" s="113" t="e">
        <f>VLOOKUP(B2255,辅助信息!E:K,7,FALSE)</f>
        <v>#N/A</v>
      </c>
      <c r="E2255" s="113" t="str">
        <f>VLOOKUP(F2255,辅助信息!A:B,2,FALSE)</f>
        <v>螺纹钢</v>
      </c>
      <c r="F2255" s="113" t="s">
        <v>18</v>
      </c>
      <c r="G2255" s="114">
        <v>8</v>
      </c>
      <c r="H2255" s="127" t="e">
        <f>_xlfn.XLOOKUP(C2255&amp;F2255&amp;I2255&amp;J2255,'[1]2025年已发货'!$F:$F&amp;'[1]2025年已发货'!$C:$C&amp;'[1]2025年已发货'!$G:$G&amp;'[1]2025年已发货'!$H:$H,'[1]2025年已发货'!$E:$E,"未发货")</f>
        <v>#N/A</v>
      </c>
      <c r="I2255" s="113" t="e">
        <f>VLOOKUP(B2255,辅助信息!E:I,3,FALSE)</f>
        <v>#N/A</v>
      </c>
      <c r="J2255" s="113" t="e">
        <f>VLOOKUP(B2255,辅助信息!E:I,4,FALSE)</f>
        <v>#N/A</v>
      </c>
      <c r="K2255" s="113" t="e">
        <f>VLOOKUP(J2255,辅助信息!H:I,2,FALSE)</f>
        <v>#N/A</v>
      </c>
      <c r="L2255" s="115" t="e">
        <f>VLOOKUP(B2255,辅助信息!E:J,6,FALSE)</f>
        <v>#N/A</v>
      </c>
      <c r="M2255" s="84">
        <v>45855</v>
      </c>
      <c r="O2255" s="55">
        <f ca="1" t="shared" si="149"/>
        <v>0</v>
      </c>
      <c r="P2255" s="55">
        <f ca="1" t="shared" si="150"/>
        <v>102</v>
      </c>
      <c r="Q2255" s="22" t="e">
        <f>VLOOKUP(B2255,辅助信息!E:M,9,FALSE)</f>
        <v>#N/A</v>
      </c>
      <c r="R2255" s="22" vm="1" t="e">
        <f>_xlfn._xlws.FILTER(辅助信息!D:D,辅助信息!E:E=B2255)</f>
        <v>#VALUE!</v>
      </c>
    </row>
    <row r="2256" hidden="1" spans="2:18">
      <c r="B2256" s="113" t="s">
        <v>47</v>
      </c>
      <c r="C2256" s="63">
        <v>45854</v>
      </c>
      <c r="D2256" s="113" t="str">
        <f>VLOOKUP(B2256,辅助信息!E:K,7,FALSE)</f>
        <v>JWDDCD2025052800131</v>
      </c>
      <c r="E2256" s="113" t="str">
        <f>VLOOKUP(F2256,辅助信息!A:B,2,FALSE)</f>
        <v>螺纹钢</v>
      </c>
      <c r="F2256" s="113" t="s">
        <v>66</v>
      </c>
      <c r="G2256" s="114">
        <v>6</v>
      </c>
      <c r="H2256" s="127" t="str">
        <f>_xlfn.XLOOKUP(C2256&amp;F2256&amp;I2256&amp;J2256,'[1]2025年已发货'!$F:$F&amp;'[1]2025年已发货'!$C:$C&amp;'[1]2025年已发货'!$G:$G&amp;'[1]2025年已发货'!$H:$H,'[1]2025年已发货'!$E:$E,"未发货")</f>
        <v>未发货</v>
      </c>
      <c r="I2256" s="113" t="str">
        <f>VLOOKUP(B2256,辅助信息!E:I,3,FALSE)</f>
        <v>（商投建工达州中医药科技园-1工区）达州市通川区达州中医药职业学院犀牛大道北段</v>
      </c>
      <c r="J2256" s="113" t="str">
        <f>VLOOKUP(B2256,辅助信息!E:I,4,FALSE)</f>
        <v>程黄刚</v>
      </c>
      <c r="K2256" s="113">
        <f>VLOOKUP(J2256,辅助信息!H:I,2,FALSE)</f>
        <v>15108211617</v>
      </c>
      <c r="L2256" s="115" t="str">
        <f>VLOOKUP(B2256,辅助信息!E:J,6,FALSE)</f>
        <v>控制炉批号！多了现场不收！,优先安排达钢,提前联系到场规格及数量</v>
      </c>
      <c r="M2256" s="84">
        <v>45855</v>
      </c>
      <c r="O2256" s="55">
        <f ca="1" t="shared" si="149"/>
        <v>0</v>
      </c>
      <c r="P2256" s="55">
        <f ca="1" t="shared" si="150"/>
        <v>102</v>
      </c>
      <c r="Q2256" s="22" t="str">
        <f>VLOOKUP(B2256,辅助信息!E:M,9,FALSE)</f>
        <v>ZTWM-CDGS-XS-2024-0134-商投建工达州中医药科技成果示范园项目</v>
      </c>
      <c r="R2256" s="22" t="str">
        <f>_xlfn._xlws.FILTER(辅助信息!D:D,辅助信息!E:E=B2256)</f>
        <v>商投建工达州中医药科技园</v>
      </c>
    </row>
    <row r="2257" hidden="1" spans="2:18">
      <c r="B2257" s="113" t="s">
        <v>47</v>
      </c>
      <c r="C2257" s="63">
        <v>45854</v>
      </c>
      <c r="D2257" s="113" t="str">
        <f>VLOOKUP(B2257,辅助信息!E:K,7,FALSE)</f>
        <v>JWDDCD2025052800131</v>
      </c>
      <c r="E2257" s="113" t="str">
        <f>VLOOKUP(F2257,辅助信息!A:B,2,FALSE)</f>
        <v>螺纹钢</v>
      </c>
      <c r="F2257" s="113" t="s">
        <v>45</v>
      </c>
      <c r="G2257" s="114">
        <v>6</v>
      </c>
      <c r="H2257" s="127" t="str">
        <f>_xlfn.XLOOKUP(C2257&amp;F2257&amp;I2257&amp;J2257,'[1]2025年已发货'!$F:$F&amp;'[1]2025年已发货'!$C:$C&amp;'[1]2025年已发货'!$G:$G&amp;'[1]2025年已发货'!$H:$H,'[1]2025年已发货'!$E:$E,"未发货")</f>
        <v>未发货</v>
      </c>
      <c r="I2257" s="113" t="str">
        <f>VLOOKUP(B2257,辅助信息!E:I,3,FALSE)</f>
        <v>（商投建工达州中医药科技园-1工区）达州市通川区达州中医药职业学院犀牛大道北段</v>
      </c>
      <c r="J2257" s="113" t="str">
        <f>VLOOKUP(B2257,辅助信息!E:I,4,FALSE)</f>
        <v>程黄刚</v>
      </c>
      <c r="K2257" s="113">
        <f>VLOOKUP(J2257,辅助信息!H:I,2,FALSE)</f>
        <v>15108211617</v>
      </c>
      <c r="L2257" s="115" t="str">
        <f>VLOOKUP(B2257,辅助信息!E:J,6,FALSE)</f>
        <v>控制炉批号！多了现场不收！,优先安排达钢,提前联系到场规格及数量</v>
      </c>
      <c r="M2257" s="84">
        <v>45855</v>
      </c>
      <c r="O2257" s="55">
        <f ca="1" t="shared" si="149"/>
        <v>0</v>
      </c>
      <c r="P2257" s="55">
        <f ca="1" t="shared" si="150"/>
        <v>102</v>
      </c>
      <c r="Q2257" s="22" t="str">
        <f>VLOOKUP(B2257,辅助信息!E:M,9,FALSE)</f>
        <v>ZTWM-CDGS-XS-2024-0134-商投建工达州中医药科技成果示范园项目</v>
      </c>
      <c r="R2257" s="22" t="str">
        <f>_xlfn._xlws.FILTER(辅助信息!D:D,辅助信息!E:E=B2257)</f>
        <v>商投建工达州中医药科技园</v>
      </c>
    </row>
    <row r="2258" hidden="1" spans="2:18">
      <c r="B2258" s="113" t="s">
        <v>47</v>
      </c>
      <c r="C2258" s="63">
        <v>45854</v>
      </c>
      <c r="D2258" s="113" t="str">
        <f>VLOOKUP(B2258,辅助信息!E:K,7,FALSE)</f>
        <v>JWDDCD2025052800131</v>
      </c>
      <c r="E2258" s="113" t="str">
        <f>VLOOKUP(F2258,辅助信息!A:B,2,FALSE)</f>
        <v>螺纹钢</v>
      </c>
      <c r="F2258" s="113" t="s">
        <v>21</v>
      </c>
      <c r="G2258" s="114">
        <v>6</v>
      </c>
      <c r="H2258" s="127" t="str">
        <f>_xlfn.XLOOKUP(C2258&amp;F2258&amp;I2258&amp;J2258,'[1]2025年已发货'!$F:$F&amp;'[1]2025年已发货'!$C:$C&amp;'[1]2025年已发货'!$G:$G&amp;'[1]2025年已发货'!$H:$H,'[1]2025年已发货'!$E:$E,"未发货")</f>
        <v>未发货</v>
      </c>
      <c r="I2258" s="113" t="str">
        <f>VLOOKUP(B2258,辅助信息!E:I,3,FALSE)</f>
        <v>（商投建工达州中医药科技园-1工区）达州市通川区达州中医药职业学院犀牛大道北段</v>
      </c>
      <c r="J2258" s="113" t="str">
        <f>VLOOKUP(B2258,辅助信息!E:I,4,FALSE)</f>
        <v>程黄刚</v>
      </c>
      <c r="K2258" s="113">
        <f>VLOOKUP(J2258,辅助信息!H:I,2,FALSE)</f>
        <v>15108211617</v>
      </c>
      <c r="L2258" s="115" t="str">
        <f>VLOOKUP(B2258,辅助信息!E:J,6,FALSE)</f>
        <v>控制炉批号！多了现场不收！,优先安排达钢,提前联系到场规格及数量</v>
      </c>
      <c r="M2258" s="84">
        <v>45855</v>
      </c>
      <c r="O2258" s="55">
        <f ca="1" t="shared" si="149"/>
        <v>0</v>
      </c>
      <c r="P2258" s="55">
        <f ca="1" t="shared" si="150"/>
        <v>102</v>
      </c>
      <c r="Q2258" s="22" t="str">
        <f>VLOOKUP(B2258,辅助信息!E:M,9,FALSE)</f>
        <v>ZTWM-CDGS-XS-2024-0134-商投建工达州中医药科技成果示范园项目</v>
      </c>
      <c r="R2258" s="22" t="str">
        <f>_xlfn._xlws.FILTER(辅助信息!D:D,辅助信息!E:E=B2258)</f>
        <v>商投建工达州中医药科技园</v>
      </c>
    </row>
    <row r="2259" hidden="1" spans="2:18">
      <c r="B2259" s="113" t="s">
        <v>47</v>
      </c>
      <c r="C2259" s="63">
        <v>45854</v>
      </c>
      <c r="D2259" s="113" t="str">
        <f>VLOOKUP(B2259,辅助信息!E:K,7,FALSE)</f>
        <v>JWDDCD2025052800131</v>
      </c>
      <c r="E2259" s="113" t="str">
        <f>VLOOKUP(F2259,辅助信息!A:B,2,FALSE)</f>
        <v>螺纹钢</v>
      </c>
      <c r="F2259" s="113" t="s">
        <v>46</v>
      </c>
      <c r="G2259" s="114">
        <v>17</v>
      </c>
      <c r="H2259" s="127" t="str">
        <f>_xlfn.XLOOKUP(C2259&amp;F2259&amp;I2259&amp;J2259,'[1]2025年已发货'!$F:$F&amp;'[1]2025年已发货'!$C:$C&amp;'[1]2025年已发货'!$G:$G&amp;'[1]2025年已发货'!$H:$H,'[1]2025年已发货'!$E:$E,"未发货")</f>
        <v>未发货</v>
      </c>
      <c r="I2259" s="113" t="str">
        <f>VLOOKUP(B2259,辅助信息!E:I,3,FALSE)</f>
        <v>（商投建工达州中医药科技园-1工区）达州市通川区达州中医药职业学院犀牛大道北段</v>
      </c>
      <c r="J2259" s="113" t="str">
        <f>VLOOKUP(B2259,辅助信息!E:I,4,FALSE)</f>
        <v>程黄刚</v>
      </c>
      <c r="K2259" s="113">
        <f>VLOOKUP(J2259,辅助信息!H:I,2,FALSE)</f>
        <v>15108211617</v>
      </c>
      <c r="L2259" s="115" t="str">
        <f>VLOOKUP(B2259,辅助信息!E:J,6,FALSE)</f>
        <v>控制炉批号！多了现场不收！,优先安排达钢,提前联系到场规格及数量</v>
      </c>
      <c r="M2259" s="84">
        <v>45855</v>
      </c>
      <c r="O2259" s="55">
        <f ca="1" t="shared" si="149"/>
        <v>0</v>
      </c>
      <c r="P2259" s="55">
        <f ca="1" t="shared" si="150"/>
        <v>102</v>
      </c>
      <c r="Q2259" s="22" t="str">
        <f>VLOOKUP(B2259,辅助信息!E:M,9,FALSE)</f>
        <v>ZTWM-CDGS-XS-2024-0134-商投建工达州中医药科技成果示范园项目</v>
      </c>
      <c r="R2259" s="22" t="str">
        <f>_xlfn._xlws.FILTER(辅助信息!D:D,辅助信息!E:E=B2259)</f>
        <v>商投建工达州中医药科技园</v>
      </c>
    </row>
    <row r="2260" hidden="1" spans="2:18">
      <c r="B2260" s="33" t="s">
        <v>187</v>
      </c>
      <c r="C2260" s="63">
        <v>45854</v>
      </c>
      <c r="D2260" s="33" t="str">
        <f>VLOOKUP(B2260,辅助信息!E:K,7,FALSE)</f>
        <v>JWDDCD2025072900121</v>
      </c>
      <c r="E2260" s="33" t="str">
        <f>VLOOKUP(F2260,辅助信息!A:B,2,FALSE)</f>
        <v>盘螺</v>
      </c>
      <c r="F2260" s="33" t="s">
        <v>40</v>
      </c>
      <c r="G2260" s="29">
        <v>3</v>
      </c>
      <c r="H2260" s="127">
        <f>_xlfn.XLOOKUP(C2260&amp;F2260&amp;I2260&amp;J2260,'[1]2025年已发货'!$F:$F&amp;'[1]2025年已发货'!$C:$C&amp;'[1]2025年已发货'!$G:$G&amp;'[1]2025年已发货'!$H:$H,'[1]2025年已发货'!$E:$E,"未发货")</f>
        <v>3</v>
      </c>
      <c r="I2260" s="33" t="str">
        <f>VLOOKUP(B2260,辅助信息!E:I,3,FALSE)</f>
        <v>(乐山市校地共建产教融合基地建设项目一标段)四川省乐山市市中区苏稽镇周山嘴</v>
      </c>
      <c r="J2260" s="33" t="str">
        <f>VLOOKUP(B2260,辅助信息!E:I,4,FALSE)</f>
        <v>范增云</v>
      </c>
      <c r="K2260" s="33">
        <f>VLOOKUP(J2260,辅助信息!H:I,2,FALSE)</f>
        <v>13668153241</v>
      </c>
      <c r="L2260" s="102" t="str">
        <f>VLOOKUP(B2260,辅助信息!E:J,6,FALSE)</f>
        <v>联系实际收货人（范增云13668153241）现场要求炉批号控制2个以下，超2个不给予签收。提前联系到场规格及数量</v>
      </c>
      <c r="M2260" s="84">
        <v>45855</v>
      </c>
      <c r="O2260" s="55">
        <f ca="1" t="shared" si="149"/>
        <v>0</v>
      </c>
      <c r="P2260" s="55">
        <f ca="1" t="shared" si="150"/>
        <v>102</v>
      </c>
      <c r="Q2260" s="22" t="str">
        <f>VLOOKUP(B2260,辅助信息!E:M,9,FALSE)</f>
        <v>ZTWM-CDGS-XS-2025-0125-四川机司-乐山市校地共建产教融合基地配套设施项目施工一标段钢筋采购合同</v>
      </c>
      <c r="R2260" s="22" t="str">
        <f>_xlfn._xlws.FILTER(辅助信息!D:D,辅助信息!E:E=B2260)</f>
        <v>乐山市校地共建产教融合基地建设项目一标段</v>
      </c>
    </row>
    <row r="2261" hidden="1" spans="2:18">
      <c r="B2261" s="33" t="s">
        <v>187</v>
      </c>
      <c r="C2261" s="63">
        <v>45854</v>
      </c>
      <c r="D2261" s="33" t="str">
        <f>VLOOKUP(B2261,辅助信息!E:K,7,FALSE)</f>
        <v>JWDDCD2025072900121</v>
      </c>
      <c r="E2261" s="33" t="str">
        <f>VLOOKUP(F2261,辅助信息!A:B,2,FALSE)</f>
        <v>螺纹钢</v>
      </c>
      <c r="F2261" s="33" t="s">
        <v>32</v>
      </c>
      <c r="G2261" s="29">
        <v>5</v>
      </c>
      <c r="H2261" s="127">
        <f>_xlfn.XLOOKUP(C2261&amp;F2261&amp;I2261&amp;J2261,'[1]2025年已发货'!$F:$F&amp;'[1]2025年已发货'!$C:$C&amp;'[1]2025年已发货'!$G:$G&amp;'[1]2025年已发货'!$H:$H,'[1]2025年已发货'!$E:$E,"未发货")</f>
        <v>5</v>
      </c>
      <c r="I2261" s="33" t="str">
        <f>VLOOKUP(B2261,辅助信息!E:I,3,FALSE)</f>
        <v>(乐山市校地共建产教融合基地建设项目一标段)四川省乐山市市中区苏稽镇周山嘴</v>
      </c>
      <c r="J2261" s="33" t="str">
        <f>VLOOKUP(B2261,辅助信息!E:I,4,FALSE)</f>
        <v>范增云</v>
      </c>
      <c r="K2261" s="33">
        <f>VLOOKUP(J2261,辅助信息!H:I,2,FALSE)</f>
        <v>13668153241</v>
      </c>
      <c r="L2261" s="102" t="str">
        <f>VLOOKUP(B2261,辅助信息!E:J,6,FALSE)</f>
        <v>联系实际收货人（范增云13668153241）现场要求炉批号控制2个以下，超2个不给予签收。提前联系到场规格及数量</v>
      </c>
      <c r="M2261" s="84">
        <v>45855</v>
      </c>
      <c r="O2261" s="55">
        <f ca="1" t="shared" si="149"/>
        <v>0</v>
      </c>
      <c r="P2261" s="55">
        <f ca="1" t="shared" si="150"/>
        <v>102</v>
      </c>
      <c r="Q2261" s="22" t="str">
        <f>VLOOKUP(B2261,辅助信息!E:M,9,FALSE)</f>
        <v>ZTWM-CDGS-XS-2025-0125-四川机司-乐山市校地共建产教融合基地配套设施项目施工一标段钢筋采购合同</v>
      </c>
      <c r="R2261" s="22" t="str">
        <f>_xlfn._xlws.FILTER(辅助信息!D:D,辅助信息!E:E=B2261)</f>
        <v>乐山市校地共建产教融合基地建设项目一标段</v>
      </c>
    </row>
    <row r="2262" hidden="1" spans="2:18">
      <c r="B2262" s="33" t="s">
        <v>187</v>
      </c>
      <c r="C2262" s="63">
        <v>45854</v>
      </c>
      <c r="D2262" s="33" t="str">
        <f>VLOOKUP(B2262,辅助信息!E:K,7,FALSE)</f>
        <v>JWDDCD2025072900121</v>
      </c>
      <c r="E2262" s="33" t="str">
        <f>VLOOKUP(F2262,辅助信息!A:B,2,FALSE)</f>
        <v>螺纹钢</v>
      </c>
      <c r="F2262" s="33" t="s">
        <v>30</v>
      </c>
      <c r="G2262" s="29">
        <v>3</v>
      </c>
      <c r="H2262" s="127">
        <f>_xlfn.XLOOKUP(C2262&amp;F2262&amp;I2262&amp;J2262,'[1]2025年已发货'!$F:$F&amp;'[1]2025年已发货'!$C:$C&amp;'[1]2025年已发货'!$G:$G&amp;'[1]2025年已发货'!$H:$H,'[1]2025年已发货'!$E:$E,"未发货")</f>
        <v>3</v>
      </c>
      <c r="I2262" s="33" t="str">
        <f>VLOOKUP(B2262,辅助信息!E:I,3,FALSE)</f>
        <v>(乐山市校地共建产教融合基地建设项目一标段)四川省乐山市市中区苏稽镇周山嘴</v>
      </c>
      <c r="J2262" s="33" t="str">
        <f>VLOOKUP(B2262,辅助信息!E:I,4,FALSE)</f>
        <v>范增云</v>
      </c>
      <c r="K2262" s="33">
        <f>VLOOKUP(J2262,辅助信息!H:I,2,FALSE)</f>
        <v>13668153241</v>
      </c>
      <c r="L2262" s="102" t="str">
        <f>VLOOKUP(B2262,辅助信息!E:J,6,FALSE)</f>
        <v>联系实际收货人（范增云13668153241）现场要求炉批号控制2个以下，超2个不给予签收。提前联系到场规格及数量</v>
      </c>
      <c r="M2262" s="84">
        <v>45855</v>
      </c>
      <c r="O2262" s="55">
        <f ca="1" t="shared" si="149"/>
        <v>0</v>
      </c>
      <c r="P2262" s="55">
        <f ca="1" t="shared" si="150"/>
        <v>102</v>
      </c>
      <c r="Q2262" s="22" t="str">
        <f>VLOOKUP(B2262,辅助信息!E:M,9,FALSE)</f>
        <v>ZTWM-CDGS-XS-2025-0125-四川机司-乐山市校地共建产教融合基地配套设施项目施工一标段钢筋采购合同</v>
      </c>
      <c r="R2262" s="22" t="str">
        <f>_xlfn._xlws.FILTER(辅助信息!D:D,辅助信息!E:E=B2262)</f>
        <v>乐山市校地共建产教融合基地建设项目一标段</v>
      </c>
    </row>
    <row r="2263" hidden="1" spans="2:18">
      <c r="B2263" s="33" t="s">
        <v>187</v>
      </c>
      <c r="C2263" s="63">
        <v>45854</v>
      </c>
      <c r="D2263" s="33" t="str">
        <f>VLOOKUP(B2263,辅助信息!E:K,7,FALSE)</f>
        <v>JWDDCD2025072900121</v>
      </c>
      <c r="E2263" s="33" t="str">
        <f>VLOOKUP(F2263,辅助信息!A:B,2,FALSE)</f>
        <v>螺纹钢</v>
      </c>
      <c r="F2263" s="33" t="s">
        <v>33</v>
      </c>
      <c r="G2263" s="29">
        <v>3</v>
      </c>
      <c r="H2263" s="127">
        <f>_xlfn.XLOOKUP(C2263&amp;F2263&amp;I2263&amp;J2263,'[1]2025年已发货'!$F:$F&amp;'[1]2025年已发货'!$C:$C&amp;'[1]2025年已发货'!$G:$G&amp;'[1]2025年已发货'!$H:$H,'[1]2025年已发货'!$E:$E,"未发货")</f>
        <v>3</v>
      </c>
      <c r="I2263" s="33" t="str">
        <f>VLOOKUP(B2263,辅助信息!E:I,3,FALSE)</f>
        <v>(乐山市校地共建产教融合基地建设项目一标段)四川省乐山市市中区苏稽镇周山嘴</v>
      </c>
      <c r="J2263" s="33" t="str">
        <f>VLOOKUP(B2263,辅助信息!E:I,4,FALSE)</f>
        <v>范增云</v>
      </c>
      <c r="K2263" s="33">
        <f>VLOOKUP(J2263,辅助信息!H:I,2,FALSE)</f>
        <v>13668153241</v>
      </c>
      <c r="L2263" s="102" t="str">
        <f>VLOOKUP(B2263,辅助信息!E:J,6,FALSE)</f>
        <v>联系实际收货人（范增云13668153241）现场要求炉批号控制2个以下，超2个不给予签收。提前联系到场规格及数量</v>
      </c>
      <c r="M2263" s="84">
        <v>45855</v>
      </c>
      <c r="O2263" s="55">
        <f ca="1" t="shared" si="149"/>
        <v>0</v>
      </c>
      <c r="P2263" s="55">
        <f ca="1" t="shared" si="150"/>
        <v>102</v>
      </c>
      <c r="Q2263" s="22" t="str">
        <f>VLOOKUP(B2263,辅助信息!E:M,9,FALSE)</f>
        <v>ZTWM-CDGS-XS-2025-0125-四川机司-乐山市校地共建产教融合基地配套设施项目施工一标段钢筋采购合同</v>
      </c>
      <c r="R2263" s="22" t="str">
        <f>_xlfn._xlws.FILTER(辅助信息!D:D,辅助信息!E:E=B2263)</f>
        <v>乐山市校地共建产教融合基地建设项目一标段</v>
      </c>
    </row>
    <row r="2264" hidden="1" spans="2:18">
      <c r="B2264" s="33" t="s">
        <v>187</v>
      </c>
      <c r="C2264" s="63">
        <v>45854</v>
      </c>
      <c r="D2264" s="33" t="str">
        <f>VLOOKUP(B2264,辅助信息!E:K,7,FALSE)</f>
        <v>JWDDCD2025072900121</v>
      </c>
      <c r="E2264" s="33" t="str">
        <f>VLOOKUP(F2264,辅助信息!A:B,2,FALSE)</f>
        <v>螺纹钢</v>
      </c>
      <c r="F2264" s="33" t="s">
        <v>28</v>
      </c>
      <c r="G2264" s="29">
        <v>3</v>
      </c>
      <c r="H2264" s="127">
        <f>_xlfn.XLOOKUP(C2264&amp;F2264&amp;I2264&amp;J2264,'[1]2025年已发货'!$F:$F&amp;'[1]2025年已发货'!$C:$C&amp;'[1]2025年已发货'!$G:$G&amp;'[1]2025年已发货'!$H:$H,'[1]2025年已发货'!$E:$E,"未发货")</f>
        <v>3</v>
      </c>
      <c r="I2264" s="33" t="str">
        <f>VLOOKUP(B2264,辅助信息!E:I,3,FALSE)</f>
        <v>(乐山市校地共建产教融合基地建设项目一标段)四川省乐山市市中区苏稽镇周山嘴</v>
      </c>
      <c r="J2264" s="33" t="str">
        <f>VLOOKUP(B2264,辅助信息!E:I,4,FALSE)</f>
        <v>范增云</v>
      </c>
      <c r="K2264" s="33">
        <f>VLOOKUP(J2264,辅助信息!H:I,2,FALSE)</f>
        <v>13668153241</v>
      </c>
      <c r="L2264" s="102" t="str">
        <f>VLOOKUP(B2264,辅助信息!E:J,6,FALSE)</f>
        <v>联系实际收货人（范增云13668153241）现场要求炉批号控制2个以下，超2个不给予签收。提前联系到场规格及数量</v>
      </c>
      <c r="M2264" s="84">
        <v>45855</v>
      </c>
      <c r="O2264" s="55">
        <f ca="1" t="shared" si="149"/>
        <v>0</v>
      </c>
      <c r="P2264" s="55">
        <f ca="1" t="shared" si="150"/>
        <v>102</v>
      </c>
      <c r="Q2264" s="22" t="str">
        <f>VLOOKUP(B2264,辅助信息!E:M,9,FALSE)</f>
        <v>ZTWM-CDGS-XS-2025-0125-四川机司-乐山市校地共建产教融合基地配套设施项目施工一标段钢筋采购合同</v>
      </c>
      <c r="R2264" s="22" t="str">
        <f>_xlfn._xlws.FILTER(辅助信息!D:D,辅助信息!E:E=B2264)</f>
        <v>乐山市校地共建产教融合基地建设项目一标段</v>
      </c>
    </row>
    <row r="2265" hidden="1" spans="2:18">
      <c r="B2265" s="33" t="s">
        <v>187</v>
      </c>
      <c r="C2265" s="63">
        <v>45854</v>
      </c>
      <c r="D2265" s="33" t="str">
        <f>VLOOKUP(B2265,辅助信息!E:K,7,FALSE)</f>
        <v>JWDDCD2025072900121</v>
      </c>
      <c r="E2265" s="33" t="str">
        <f>VLOOKUP(F2265,辅助信息!A:B,2,FALSE)</f>
        <v>螺纹钢</v>
      </c>
      <c r="F2265" s="33" t="s">
        <v>18</v>
      </c>
      <c r="G2265" s="29">
        <v>18</v>
      </c>
      <c r="H2265" s="127">
        <f>_xlfn.XLOOKUP(C2265&amp;F2265&amp;I2265&amp;J2265,'[1]2025年已发货'!$F:$F&amp;'[1]2025年已发货'!$C:$C&amp;'[1]2025年已发货'!$G:$G&amp;'[1]2025年已发货'!$H:$H,'[1]2025年已发货'!$E:$E,"未发货")</f>
        <v>18</v>
      </c>
      <c r="I2265" s="33" t="str">
        <f>VLOOKUP(B2265,辅助信息!E:I,3,FALSE)</f>
        <v>(乐山市校地共建产教融合基地建设项目一标段)四川省乐山市市中区苏稽镇周山嘴</v>
      </c>
      <c r="J2265" s="33" t="str">
        <f>VLOOKUP(B2265,辅助信息!E:I,4,FALSE)</f>
        <v>范增云</v>
      </c>
      <c r="K2265" s="33">
        <f>VLOOKUP(J2265,辅助信息!H:I,2,FALSE)</f>
        <v>13668153241</v>
      </c>
      <c r="L2265" s="102" t="str">
        <f>VLOOKUP(B2265,辅助信息!E:J,6,FALSE)</f>
        <v>联系实际收货人（范增云13668153241）现场要求炉批号控制2个以下，超2个不给予签收。提前联系到场规格及数量</v>
      </c>
      <c r="M2265" s="84">
        <v>45855</v>
      </c>
      <c r="O2265" s="55">
        <f ca="1" t="shared" si="149"/>
        <v>0</v>
      </c>
      <c r="P2265" s="55">
        <f ca="1" t="shared" si="150"/>
        <v>102</v>
      </c>
      <c r="Q2265" s="22" t="str">
        <f>VLOOKUP(B2265,辅助信息!E:M,9,FALSE)</f>
        <v>ZTWM-CDGS-XS-2025-0125-四川机司-乐山市校地共建产教融合基地配套设施项目施工一标段钢筋采购合同</v>
      </c>
      <c r="R2265" s="22" t="str">
        <f>_xlfn._xlws.FILTER(辅助信息!D:D,辅助信息!E:E=B2265)</f>
        <v>乐山市校地共建产教融合基地建设项目一标段</v>
      </c>
    </row>
    <row r="2266" hidden="1" spans="2:18">
      <c r="B2266" s="33" t="s">
        <v>162</v>
      </c>
      <c r="C2266" s="63">
        <v>45854</v>
      </c>
      <c r="D2266" s="33" t="str">
        <f>VLOOKUP(B2266,辅助信息!E:K,7,FALSE)</f>
        <v>JWDD2025071500089</v>
      </c>
      <c r="E2266" s="33" t="str">
        <f>VLOOKUP(F2266,辅助信息!A:B,2,FALSE)</f>
        <v>螺纹钢</v>
      </c>
      <c r="F2266" s="33" t="s">
        <v>30</v>
      </c>
      <c r="G2266" s="29">
        <v>35</v>
      </c>
      <c r="H2266" s="127" t="str">
        <f>_xlfn.XLOOKUP(C2266&amp;F2266&amp;I2266&amp;J2266,'[1]2025年已发货'!$F:$F&amp;'[1]2025年已发货'!$C:$C&amp;'[1]2025年已发货'!$G:$G&amp;'[1]2025年已发货'!$H:$H,'[1]2025年已发货'!$E:$E,"未发货")</f>
        <v>未发货</v>
      </c>
      <c r="I2266" s="33" t="str">
        <f>VLOOKUP(B2266,辅助信息!E:I,3,FALSE)</f>
        <v>(宜宾兴港三江新区长江工业园保障性租赁住房建设项目-2标)四川省宜宾市翠屏区永善路南段宜宾市三江新区长江工业园区</v>
      </c>
      <c r="J2266" s="33" t="str">
        <f>VLOOKUP(B2266,辅助信息!E:I,4,FALSE)</f>
        <v>赵元虎</v>
      </c>
      <c r="K2266" s="33">
        <f>VLOOKUP(J2266,辅助信息!H:I,2,FALSE)</f>
        <v>13684167136</v>
      </c>
      <c r="L2266" s="102" t="str">
        <f>VLOOKUP(B2266,辅助信息!E:J,6,FALSE)</f>
        <v>现场要求调度统一联系指定收货人，不单独发司机位置。锈货不收，装货前联系收货人核实到场规格,没提前告知进场规格现场不给予接收</v>
      </c>
      <c r="O2266" s="55" t="str">
        <f ca="1" t="shared" si="149"/>
        <v/>
      </c>
      <c r="P2266" s="55" t="str">
        <f ca="1" t="shared" si="150"/>
        <v/>
      </c>
      <c r="Q2266" s="22" t="str">
        <f>VLOOKUP(B2266,辅助信息!E:M,9,FALSE)</f>
        <v>ZTWM-CDYXGS-XS-2025-0014-宜宾兴港建材-三江新区长江工业园片区保障性租赁住房建设项目</v>
      </c>
      <c r="R2266" s="22" t="str">
        <f>_xlfn._xlws.FILTER(辅助信息!D:D,辅助信息!E:E=B2266)</f>
        <v>宜宾兴港三江新区长江工业园建设项目</v>
      </c>
    </row>
    <row r="2267" hidden="1" spans="1:18">
      <c r="A2267" s="130" t="s">
        <v>193</v>
      </c>
      <c r="B2267" s="33" t="s">
        <v>161</v>
      </c>
      <c r="C2267" s="63">
        <v>45854</v>
      </c>
      <c r="D2267" s="33" t="str">
        <f>VLOOKUP(B2267,辅助信息!E:K,7,FALSE)</f>
        <v>JWDD2025071500089</v>
      </c>
      <c r="E2267" s="33" t="str">
        <f>VLOOKUP(F2267,辅助信息!A:B,2,FALSE)</f>
        <v>盘螺</v>
      </c>
      <c r="F2267" s="33" t="s">
        <v>26</v>
      </c>
      <c r="G2267" s="29">
        <v>20</v>
      </c>
      <c r="H2267" s="127" t="str">
        <f>_xlfn.XLOOKUP(C2267&amp;F2267&amp;I2267&amp;J2267,'[1]2025年已发货'!$F:$F&amp;'[1]2025年已发货'!$C:$C&amp;'[1]2025年已发货'!$G:$G&amp;'[1]2025年已发货'!$H:$H,'[1]2025年已发货'!$E:$E,"未发货")</f>
        <v>未发货</v>
      </c>
      <c r="I2267" s="33" t="str">
        <f>VLOOKUP(B2267,辅助信息!E:I,3,FALSE)</f>
        <v>(宜宾兴港三江新区长江工业园保障性租赁住房建设项目-1标)四川省宜宾市翠屏区永善路南段宜宾市三江新区长江工业园区</v>
      </c>
      <c r="J2267" s="33" t="str">
        <f>VLOOKUP(B2267,辅助信息!E:I,4,FALSE)</f>
        <v>赵元虎</v>
      </c>
      <c r="K2267" s="33">
        <f>VLOOKUP(J2267,辅助信息!H:I,2,FALSE)</f>
        <v>13684167136</v>
      </c>
      <c r="L2267" s="102" t="str">
        <f>VLOOKUP(B2267,辅助信息!E:J,6,FALSE)</f>
        <v>现场要求调度统一联系指定收货人，不单独发司机位置。锈货不收，装货前联系收货人核实到场规格,没提前告知进场规格现场不给予接收</v>
      </c>
      <c r="O2267" s="55" t="str">
        <f ca="1" t="shared" si="149"/>
        <v/>
      </c>
      <c r="P2267" s="55" t="str">
        <f ca="1" t="shared" si="150"/>
        <v/>
      </c>
      <c r="Q2267" s="22" t="str">
        <f>VLOOKUP(B2267,辅助信息!E:M,9,FALSE)</f>
        <v>ZTWM-CDYXGS-XS-2025-0014-宜宾兴港建材-三江新区长江工业园片区保障性租赁住房建设项目</v>
      </c>
      <c r="R2267" s="22" t="str">
        <f>_xlfn._xlws.FILTER(辅助信息!D:D,辅助信息!E:E=B2267)</f>
        <v>宜宾兴港三江新区长江工业园建设项目</v>
      </c>
    </row>
    <row r="2268" hidden="1" spans="1:18">
      <c r="A2268" s="130"/>
      <c r="B2268" s="33" t="s">
        <v>161</v>
      </c>
      <c r="C2268" s="63">
        <v>45854</v>
      </c>
      <c r="D2268" s="33" t="str">
        <f>VLOOKUP(B2268,辅助信息!E:K,7,FALSE)</f>
        <v>JWDD2025071500089</v>
      </c>
      <c r="E2268" s="33" t="str">
        <f>VLOOKUP(F2268,辅助信息!A:B,2,FALSE)</f>
        <v>螺纹钢</v>
      </c>
      <c r="F2268" s="33" t="s">
        <v>32</v>
      </c>
      <c r="G2268" s="29">
        <v>3</v>
      </c>
      <c r="H2268" s="127" t="str">
        <f>_xlfn.XLOOKUP(C2268&amp;F2268&amp;I2268&amp;J2268,'[1]2025年已发货'!$F:$F&amp;'[1]2025年已发货'!$C:$C&amp;'[1]2025年已发货'!$G:$G&amp;'[1]2025年已发货'!$H:$H,'[1]2025年已发货'!$E:$E,"未发货")</f>
        <v>未发货</v>
      </c>
      <c r="I2268" s="33" t="str">
        <f>VLOOKUP(B2268,辅助信息!E:I,3,FALSE)</f>
        <v>(宜宾兴港三江新区长江工业园保障性租赁住房建设项目-1标)四川省宜宾市翠屏区永善路南段宜宾市三江新区长江工业园区</v>
      </c>
      <c r="J2268" s="33" t="str">
        <f>VLOOKUP(B2268,辅助信息!E:I,4,FALSE)</f>
        <v>赵元虎</v>
      </c>
      <c r="K2268" s="33">
        <f>VLOOKUP(J2268,辅助信息!H:I,2,FALSE)</f>
        <v>13684167136</v>
      </c>
      <c r="L2268" s="102" t="str">
        <f>VLOOKUP(B2268,辅助信息!E:J,6,FALSE)</f>
        <v>现场要求调度统一联系指定收货人，不单独发司机位置。锈货不收，装货前联系收货人核实到场规格,没提前告知进场规格现场不给予接收</v>
      </c>
      <c r="O2268" s="55" t="str">
        <f ca="1" t="shared" si="149"/>
        <v/>
      </c>
      <c r="P2268" s="55" t="str">
        <f ca="1" t="shared" si="150"/>
        <v/>
      </c>
      <c r="Q2268" s="22" t="str">
        <f>VLOOKUP(B2268,辅助信息!E:M,9,FALSE)</f>
        <v>ZTWM-CDYXGS-XS-2025-0014-宜宾兴港建材-三江新区长江工业园片区保障性租赁住房建设项目</v>
      </c>
      <c r="R2268" s="22" t="str">
        <f>_xlfn._xlws.FILTER(辅助信息!D:D,辅助信息!E:E=B2268)</f>
        <v>宜宾兴港三江新区长江工业园建设项目</v>
      </c>
    </row>
    <row r="2269" hidden="1" spans="1:18">
      <c r="A2269" s="130"/>
      <c r="B2269" s="33" t="s">
        <v>194</v>
      </c>
      <c r="C2269" s="63">
        <v>45854</v>
      </c>
      <c r="D2269" s="33" t="str">
        <f>VLOOKUP(B2269,辅助信息!E:K,7,FALSE)</f>
        <v>JWDD2025071500089</v>
      </c>
      <c r="E2269" s="33" t="str">
        <f>VLOOKUP(F2269,辅助信息!A:B,2,FALSE)</f>
        <v>螺纹钢</v>
      </c>
      <c r="F2269" s="33" t="s">
        <v>18</v>
      </c>
      <c r="G2269" s="29">
        <v>12</v>
      </c>
      <c r="H2269" s="127" t="str">
        <f>_xlfn.XLOOKUP(C2269&amp;F2269&amp;I2269&amp;J2269,'[1]2025年已发货'!$F:$F&amp;'[1]2025年已发货'!$C:$C&amp;'[1]2025年已发货'!$G:$G&amp;'[1]2025年已发货'!$H:$H,'[1]2025年已发货'!$E:$E,"未发货")</f>
        <v>未发货</v>
      </c>
      <c r="I2269" s="33" t="str">
        <f>VLOOKUP(B2269,辅助信息!E:I,3,FALSE)</f>
        <v>(宜宾兴港三江新区长江工业园保障性租赁住房建设项目-土建)四川省宜宾市翠屏区永善路南段宜宾市三江新区长江工业园区</v>
      </c>
      <c r="J2269" s="33" t="str">
        <f>VLOOKUP(B2269,辅助信息!E:I,4,FALSE)</f>
        <v>赵元虎</v>
      </c>
      <c r="K2269" s="33">
        <f>VLOOKUP(J2269,辅助信息!H:I,2,FALSE)</f>
        <v>13684167136</v>
      </c>
      <c r="L2269" s="102" t="str">
        <f>VLOOKUP(B2269,辅助信息!E:J,6,FALSE)</f>
        <v>现场要求调度统一联系指定收货人，不单独发司机位置。锈货不收，装货前联系收货人核实到场规格,没提前告知进场规格现场不给予接收</v>
      </c>
      <c r="O2269" s="55" t="str">
        <f ca="1" t="shared" si="149"/>
        <v/>
      </c>
      <c r="P2269" s="55" t="str">
        <f ca="1" t="shared" si="150"/>
        <v/>
      </c>
      <c r="Q2269" s="22" t="str">
        <f>VLOOKUP(B2269,辅助信息!E:M,9,FALSE)</f>
        <v>ZTWM-CDYXGS-XS-2025-0014-宜宾兴港建材-三江新区长江工业园片区保障性租赁住房建设项目</v>
      </c>
      <c r="R2269" s="22" t="str">
        <f>_xlfn._xlws.FILTER(辅助信息!D:D,辅助信息!E:E=B2269)</f>
        <v>宜宾兴港三江新区长江工业园建设项目</v>
      </c>
    </row>
    <row r="2270" hidden="1" spans="2:18">
      <c r="B2270" s="33" t="s">
        <v>192</v>
      </c>
      <c r="C2270" s="63">
        <v>45854</v>
      </c>
      <c r="D2270" s="33" t="str">
        <f>VLOOKUP(B2270,辅助信息!E:K,7,FALSE)</f>
        <v>JWDDCD2025102100475</v>
      </c>
      <c r="E2270" s="33" t="str">
        <f>VLOOKUP(F2270,辅助信息!A:B,2,FALSE)</f>
        <v>盘螺</v>
      </c>
      <c r="F2270" s="33" t="s">
        <v>40</v>
      </c>
      <c r="G2270" s="29">
        <v>5</v>
      </c>
      <c r="H2270" s="127">
        <f>_xlfn.XLOOKUP(C2270&amp;F2270&amp;I2270&amp;J2270,'[1]2025年已发货'!$F:$F&amp;'[1]2025年已发货'!$C:$C&amp;'[1]2025年已发货'!$G:$G&amp;'[1]2025年已发货'!$H:$H,'[1]2025年已发货'!$E:$E,"未发货")</f>
        <v>5</v>
      </c>
      <c r="I2270" s="33" t="str">
        <f>VLOOKUP(B2270,辅助信息!E:I,3,FALSE)</f>
        <v>(五冶建设成都国际铁路港多式联项目)四川省成都市青白江区桂平大道成都中远海运陆港多式联运有限公司</v>
      </c>
      <c r="J2270" s="33" t="str">
        <f>VLOOKUP(B2270,辅助信息!E:I,4,FALSE)</f>
        <v>黄勇杰</v>
      </c>
      <c r="K2270" s="33">
        <f>VLOOKUP(J2270,辅助信息!H:I,2,FALSE)</f>
        <v>13880580196</v>
      </c>
      <c r="L2270" s="102"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84">
        <v>45855</v>
      </c>
      <c r="O2270" s="55">
        <f ca="1" t="shared" si="149"/>
        <v>0</v>
      </c>
      <c r="P2270" s="55">
        <f ca="1" t="shared" si="150"/>
        <v>102</v>
      </c>
      <c r="Q2270" s="22" t="str">
        <f>VLOOKUP(B2270,辅助信息!E:M,9,FALSE)</f>
        <v>ZTWM-CDGS-XS-2025-0073-五冶天府-成都怡心湖片区及龙泉驿医院等项目</v>
      </c>
      <c r="R2270" s="22" t="str">
        <f>_xlfn._xlws.FILTER(辅助信息!D:D,辅助信息!E:E=B2270)</f>
        <v>五冶建设成都国际铁路港多式联项目</v>
      </c>
    </row>
    <row r="2271" hidden="1" spans="2:18">
      <c r="B2271" s="33" t="s">
        <v>192</v>
      </c>
      <c r="C2271" s="63">
        <v>45854</v>
      </c>
      <c r="D2271" s="33" t="str">
        <f>VLOOKUP(B2271,辅助信息!E:K,7,FALSE)</f>
        <v>JWDDCD2025102100475</v>
      </c>
      <c r="E2271" s="33" t="str">
        <f>VLOOKUP(F2271,辅助信息!A:B,2,FALSE)</f>
        <v>盘螺</v>
      </c>
      <c r="F2271" s="33" t="s">
        <v>41</v>
      </c>
      <c r="G2271" s="29">
        <v>30</v>
      </c>
      <c r="H2271" s="127">
        <f>_xlfn.XLOOKUP(C2271&amp;F2271&amp;I2271&amp;J2271,'[1]2025年已发货'!$F:$F&amp;'[1]2025年已发货'!$C:$C&amp;'[1]2025年已发货'!$G:$G&amp;'[1]2025年已发货'!$H:$H,'[1]2025年已发货'!$E:$E,"未发货")</f>
        <v>30</v>
      </c>
      <c r="I2271" s="33" t="str">
        <f>VLOOKUP(B2271,辅助信息!E:I,3,FALSE)</f>
        <v>(五冶建设成都国际铁路港多式联项目)四川省成都市青白江区桂平大道成都中远海运陆港多式联运有限公司</v>
      </c>
      <c r="J2271" s="33" t="str">
        <f>VLOOKUP(B2271,辅助信息!E:I,4,FALSE)</f>
        <v>黄勇杰</v>
      </c>
      <c r="K2271" s="33">
        <f>VLOOKUP(J2271,辅助信息!H:I,2,FALSE)</f>
        <v>13880580196</v>
      </c>
      <c r="L2271" s="102"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84">
        <v>45855</v>
      </c>
      <c r="O2271" s="55">
        <f ca="1" t="shared" si="149"/>
        <v>0</v>
      </c>
      <c r="P2271" s="55">
        <f ca="1" t="shared" si="150"/>
        <v>102</v>
      </c>
      <c r="Q2271" s="22" t="str">
        <f>VLOOKUP(B2271,辅助信息!E:M,9,FALSE)</f>
        <v>ZTWM-CDGS-XS-2025-0073-五冶天府-成都怡心湖片区及龙泉驿医院等项目</v>
      </c>
      <c r="R2271" s="22" t="str">
        <f>_xlfn._xlws.FILTER(辅助信息!D:D,辅助信息!E:E=B2271)</f>
        <v>五冶建设成都国际铁路港多式联项目</v>
      </c>
    </row>
    <row r="2272" hidden="1" spans="2:18">
      <c r="B2272" s="33" t="s">
        <v>192</v>
      </c>
      <c r="C2272" s="63">
        <v>45854</v>
      </c>
      <c r="D2272" s="33" t="str">
        <f>VLOOKUP(B2272,辅助信息!E:K,7,FALSE)</f>
        <v>JWDDCD2025102100475</v>
      </c>
      <c r="E2272" s="33" t="str">
        <f>VLOOKUP(F2272,辅助信息!A:B,2,FALSE)</f>
        <v>螺纹钢</v>
      </c>
      <c r="F2272" s="33" t="s">
        <v>27</v>
      </c>
      <c r="G2272" s="29">
        <v>6</v>
      </c>
      <c r="H2272" s="127">
        <f>_xlfn.XLOOKUP(C2272&amp;F2272&amp;I2272&amp;J2272,'[1]2025年已发货'!$F:$F&amp;'[1]2025年已发货'!$C:$C&amp;'[1]2025年已发货'!$G:$G&amp;'[1]2025年已发货'!$H:$H,'[1]2025年已发货'!$E:$E,"未发货")</f>
        <v>6</v>
      </c>
      <c r="I2272" s="33" t="str">
        <f>VLOOKUP(B2272,辅助信息!E:I,3,FALSE)</f>
        <v>(五冶建设成都国际铁路港多式联项目)四川省成都市青白江区桂平大道成都中远海运陆港多式联运有限公司</v>
      </c>
      <c r="J2272" s="33" t="str">
        <f>VLOOKUP(B2272,辅助信息!E:I,4,FALSE)</f>
        <v>黄勇杰</v>
      </c>
      <c r="K2272" s="33">
        <f>VLOOKUP(J2272,辅助信息!H:I,2,FALSE)</f>
        <v>13880580196</v>
      </c>
      <c r="L2272" s="102"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84">
        <v>45855</v>
      </c>
      <c r="O2272" s="55">
        <f ca="1" t="shared" si="149"/>
        <v>0</v>
      </c>
      <c r="P2272" s="55">
        <f ca="1" t="shared" si="150"/>
        <v>102</v>
      </c>
      <c r="Q2272" s="22" t="str">
        <f>VLOOKUP(B2272,辅助信息!E:M,9,FALSE)</f>
        <v>ZTWM-CDGS-XS-2025-0073-五冶天府-成都怡心湖片区及龙泉驿医院等项目</v>
      </c>
      <c r="R2272" s="22" t="str">
        <f>_xlfn._xlws.FILTER(辅助信息!D:D,辅助信息!E:E=B2272)</f>
        <v>五冶建设成都国际铁路港多式联项目</v>
      </c>
    </row>
    <row r="2273" hidden="1" spans="2:18">
      <c r="B2273" s="33" t="s">
        <v>192</v>
      </c>
      <c r="C2273" s="63">
        <v>45854</v>
      </c>
      <c r="D2273" s="33" t="str">
        <f>VLOOKUP(B2273,辅助信息!E:K,7,FALSE)</f>
        <v>JWDDCD2025102100475</v>
      </c>
      <c r="E2273" s="33" t="str">
        <f>VLOOKUP(F2273,辅助信息!A:B,2,FALSE)</f>
        <v>螺纹钢</v>
      </c>
      <c r="F2273" s="33" t="s">
        <v>19</v>
      </c>
      <c r="G2273" s="29">
        <v>9</v>
      </c>
      <c r="H2273" s="127">
        <f>_xlfn.XLOOKUP(C2273&amp;F2273&amp;I2273&amp;J2273,'[1]2025年已发货'!$F:$F&amp;'[1]2025年已发货'!$C:$C&amp;'[1]2025年已发货'!$G:$G&amp;'[1]2025年已发货'!$H:$H,'[1]2025年已发货'!$E:$E,"未发货")</f>
        <v>9</v>
      </c>
      <c r="I2273" s="33" t="str">
        <f>VLOOKUP(B2273,辅助信息!E:I,3,FALSE)</f>
        <v>(五冶建设成都国际铁路港多式联项目)四川省成都市青白江区桂平大道成都中远海运陆港多式联运有限公司</v>
      </c>
      <c r="J2273" s="33" t="str">
        <f>VLOOKUP(B2273,辅助信息!E:I,4,FALSE)</f>
        <v>黄勇杰</v>
      </c>
      <c r="K2273" s="33">
        <f>VLOOKUP(J2273,辅助信息!H:I,2,FALSE)</f>
        <v>13880580196</v>
      </c>
      <c r="L2273" s="102"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84">
        <v>45855</v>
      </c>
      <c r="O2273" s="55">
        <f ca="1" t="shared" si="149"/>
        <v>0</v>
      </c>
      <c r="P2273" s="55">
        <f ca="1" t="shared" si="150"/>
        <v>102</v>
      </c>
      <c r="Q2273" s="22" t="str">
        <f>VLOOKUP(B2273,辅助信息!E:M,9,FALSE)</f>
        <v>ZTWM-CDGS-XS-2025-0073-五冶天府-成都怡心湖片区及龙泉驿医院等项目</v>
      </c>
      <c r="R2273" s="22" t="str">
        <f>_xlfn._xlws.FILTER(辅助信息!D:D,辅助信息!E:E=B2273)</f>
        <v>五冶建设成都国际铁路港多式联项目</v>
      </c>
    </row>
    <row r="2274" hidden="1" spans="2:18">
      <c r="B2274" s="33" t="s">
        <v>192</v>
      </c>
      <c r="C2274" s="63">
        <v>45854</v>
      </c>
      <c r="D2274" s="33" t="str">
        <f>VLOOKUP(B2274,辅助信息!E:K,7,FALSE)</f>
        <v>JWDDCD2025102100475</v>
      </c>
      <c r="E2274" s="33" t="str">
        <f>VLOOKUP(F2274,辅助信息!A:B,2,FALSE)</f>
        <v>螺纹钢</v>
      </c>
      <c r="F2274" s="33" t="s">
        <v>32</v>
      </c>
      <c r="G2274" s="29">
        <v>6</v>
      </c>
      <c r="H2274" s="127">
        <f>_xlfn.XLOOKUP(C2274&amp;F2274&amp;I2274&amp;J2274,'[1]2025年已发货'!$F:$F&amp;'[1]2025年已发货'!$C:$C&amp;'[1]2025年已发货'!$G:$G&amp;'[1]2025年已发货'!$H:$H,'[1]2025年已发货'!$E:$E,"未发货")</f>
        <v>6</v>
      </c>
      <c r="I2274" s="33" t="str">
        <f>VLOOKUP(B2274,辅助信息!E:I,3,FALSE)</f>
        <v>(五冶建设成都国际铁路港多式联项目)四川省成都市青白江区桂平大道成都中远海运陆港多式联运有限公司</v>
      </c>
      <c r="J2274" s="33" t="str">
        <f>VLOOKUP(B2274,辅助信息!E:I,4,FALSE)</f>
        <v>黄勇杰</v>
      </c>
      <c r="K2274" s="33">
        <f>VLOOKUP(J2274,辅助信息!H:I,2,FALSE)</f>
        <v>13880580196</v>
      </c>
      <c r="L2274" s="102"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84">
        <v>45855</v>
      </c>
      <c r="O2274" s="55">
        <f ca="1" t="shared" si="149"/>
        <v>0</v>
      </c>
      <c r="P2274" s="55">
        <f ca="1" t="shared" si="150"/>
        <v>102</v>
      </c>
      <c r="Q2274" s="22" t="str">
        <f>VLOOKUP(B2274,辅助信息!E:M,9,FALSE)</f>
        <v>ZTWM-CDGS-XS-2025-0073-五冶天府-成都怡心湖片区及龙泉驿医院等项目</v>
      </c>
      <c r="R2274" s="22" t="str">
        <f>_xlfn._xlws.FILTER(辅助信息!D:D,辅助信息!E:E=B2274)</f>
        <v>五冶建设成都国际铁路港多式联项目</v>
      </c>
    </row>
    <row r="2275" hidden="1" spans="2:18">
      <c r="B2275" s="33" t="s">
        <v>192</v>
      </c>
      <c r="C2275" s="63">
        <v>45854</v>
      </c>
      <c r="D2275" s="33" t="str">
        <f>VLOOKUP(B2275,辅助信息!E:K,7,FALSE)</f>
        <v>JWDDCD2025102100475</v>
      </c>
      <c r="E2275" s="33" t="str">
        <f>VLOOKUP(F2275,辅助信息!A:B,2,FALSE)</f>
        <v>螺纹钢</v>
      </c>
      <c r="F2275" s="33" t="s">
        <v>30</v>
      </c>
      <c r="G2275" s="29">
        <v>6</v>
      </c>
      <c r="H2275" s="127">
        <f>_xlfn.XLOOKUP(C2275&amp;F2275&amp;I2275&amp;J2275,'[1]2025年已发货'!$F:$F&amp;'[1]2025年已发货'!$C:$C&amp;'[1]2025年已发货'!$G:$G&amp;'[1]2025年已发货'!$H:$H,'[1]2025年已发货'!$E:$E,"未发货")</f>
        <v>6</v>
      </c>
      <c r="I2275" s="33" t="str">
        <f>VLOOKUP(B2275,辅助信息!E:I,3,FALSE)</f>
        <v>(五冶建设成都国际铁路港多式联项目)四川省成都市青白江区桂平大道成都中远海运陆港多式联运有限公司</v>
      </c>
      <c r="J2275" s="33" t="str">
        <f>VLOOKUP(B2275,辅助信息!E:I,4,FALSE)</f>
        <v>黄勇杰</v>
      </c>
      <c r="K2275" s="33">
        <f>VLOOKUP(J2275,辅助信息!H:I,2,FALSE)</f>
        <v>13880580196</v>
      </c>
      <c r="L2275" s="102"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84">
        <v>45855</v>
      </c>
      <c r="O2275" s="55">
        <f ca="1" t="shared" ref="O2275:O2332" si="151">IF(OR(M2275="",N2275&lt;&gt;""),"",MAX(M2275-TODAY(),0))</f>
        <v>0</v>
      </c>
      <c r="P2275" s="55">
        <f ca="1" t="shared" ref="P2275:P2332" si="152">IF(M2275="","",IF(N2275&lt;&gt;"",MAX(N2275-M2275,0),IF(TODAY()&gt;M2275,TODAY()-M2275,0)))</f>
        <v>102</v>
      </c>
      <c r="Q2275" s="22" t="str">
        <f>VLOOKUP(B2275,辅助信息!E:M,9,FALSE)</f>
        <v>ZTWM-CDGS-XS-2025-0073-五冶天府-成都怡心湖片区及龙泉驿医院等项目</v>
      </c>
      <c r="R2275" s="22" t="str">
        <f>_xlfn._xlws.FILTER(辅助信息!D:D,辅助信息!E:E=B2275)</f>
        <v>五冶建设成都国际铁路港多式联项目</v>
      </c>
    </row>
    <row r="2276" hidden="1" spans="2:18">
      <c r="B2276" s="33" t="s">
        <v>192</v>
      </c>
      <c r="C2276" s="63">
        <v>45854</v>
      </c>
      <c r="D2276" s="33" t="str">
        <f>VLOOKUP(B2276,辅助信息!E:K,7,FALSE)</f>
        <v>JWDDCD2025102100475</v>
      </c>
      <c r="E2276" s="33" t="str">
        <f>VLOOKUP(F2276,辅助信息!A:B,2,FALSE)</f>
        <v>螺纹钢</v>
      </c>
      <c r="F2276" s="33" t="s">
        <v>33</v>
      </c>
      <c r="G2276" s="29">
        <v>3</v>
      </c>
      <c r="H2276" s="127">
        <f>_xlfn.XLOOKUP(C2276&amp;F2276&amp;I2276&amp;J2276,'[1]2025年已发货'!$F:$F&amp;'[1]2025年已发货'!$C:$C&amp;'[1]2025年已发货'!$G:$G&amp;'[1]2025年已发货'!$H:$H,'[1]2025年已发货'!$E:$E,"未发货")</f>
        <v>3</v>
      </c>
      <c r="I2276" s="33" t="str">
        <f>VLOOKUP(B2276,辅助信息!E:I,3,FALSE)</f>
        <v>(五冶建设成都国际铁路港多式联项目)四川省成都市青白江区桂平大道成都中远海运陆港多式联运有限公司</v>
      </c>
      <c r="J2276" s="33" t="str">
        <f>VLOOKUP(B2276,辅助信息!E:I,4,FALSE)</f>
        <v>黄勇杰</v>
      </c>
      <c r="K2276" s="33">
        <f>VLOOKUP(J2276,辅助信息!H:I,2,FALSE)</f>
        <v>13880580196</v>
      </c>
      <c r="L2276" s="102"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84">
        <v>45855</v>
      </c>
      <c r="O2276" s="55">
        <f ca="1" t="shared" si="151"/>
        <v>0</v>
      </c>
      <c r="P2276" s="55">
        <f ca="1" t="shared" si="152"/>
        <v>102</v>
      </c>
      <c r="Q2276" s="22" t="str">
        <f>VLOOKUP(B2276,辅助信息!E:M,9,FALSE)</f>
        <v>ZTWM-CDGS-XS-2025-0073-五冶天府-成都怡心湖片区及龙泉驿医院等项目</v>
      </c>
      <c r="R2276" s="22" t="str">
        <f>_xlfn._xlws.FILTER(辅助信息!D:D,辅助信息!E:E=B2276)</f>
        <v>五冶建设成都国际铁路港多式联项目</v>
      </c>
    </row>
    <row r="2277" hidden="1" spans="2:18">
      <c r="B2277" s="33" t="s">
        <v>192</v>
      </c>
      <c r="C2277" s="63">
        <v>45854</v>
      </c>
      <c r="D2277" s="33" t="str">
        <f>VLOOKUP(B2277,辅助信息!E:K,7,FALSE)</f>
        <v>JWDDCD2025102100475</v>
      </c>
      <c r="E2277" s="33" t="str">
        <f>VLOOKUP(F2277,辅助信息!A:B,2,FALSE)</f>
        <v>螺纹钢</v>
      </c>
      <c r="F2277" s="33" t="s">
        <v>28</v>
      </c>
      <c r="G2277" s="29">
        <v>6</v>
      </c>
      <c r="H2277" s="127">
        <f>_xlfn.XLOOKUP(C2277&amp;F2277&amp;I2277&amp;J2277,'[1]2025年已发货'!$F:$F&amp;'[1]2025年已发货'!$C:$C&amp;'[1]2025年已发货'!$G:$G&amp;'[1]2025年已发货'!$H:$H,'[1]2025年已发货'!$E:$E,"未发货")</f>
        <v>6</v>
      </c>
      <c r="I2277" s="33" t="str">
        <f>VLOOKUP(B2277,辅助信息!E:I,3,FALSE)</f>
        <v>(五冶建设成都国际铁路港多式联项目)四川省成都市青白江区桂平大道成都中远海运陆港多式联运有限公司</v>
      </c>
      <c r="J2277" s="33" t="str">
        <f>VLOOKUP(B2277,辅助信息!E:I,4,FALSE)</f>
        <v>黄勇杰</v>
      </c>
      <c r="K2277" s="33">
        <f>VLOOKUP(J2277,辅助信息!H:I,2,FALSE)</f>
        <v>13880580196</v>
      </c>
      <c r="L2277" s="102"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84">
        <v>45855</v>
      </c>
      <c r="O2277" s="55">
        <f ca="1" t="shared" si="151"/>
        <v>0</v>
      </c>
      <c r="P2277" s="55">
        <f ca="1" t="shared" si="152"/>
        <v>102</v>
      </c>
      <c r="Q2277" s="22" t="str">
        <f>VLOOKUP(B2277,辅助信息!E:M,9,FALSE)</f>
        <v>ZTWM-CDGS-XS-2025-0073-五冶天府-成都怡心湖片区及龙泉驿医院等项目</v>
      </c>
      <c r="R2277" s="22" t="str">
        <f>_xlfn._xlws.FILTER(辅助信息!D:D,辅助信息!E:E=B2277)</f>
        <v>五冶建设成都国际铁路港多式联项目</v>
      </c>
    </row>
    <row r="2278" hidden="1" spans="1:18">
      <c r="A2278" s="50" t="s">
        <v>195</v>
      </c>
      <c r="B2278" s="113" t="s">
        <v>180</v>
      </c>
      <c r="C2278" s="63">
        <v>45855</v>
      </c>
      <c r="D2278" s="113" t="str">
        <f>VLOOKUP(B2278,辅助信息!E:K,7,FALSE)</f>
        <v>JWDDCD2025052800131</v>
      </c>
      <c r="E2278" s="113" t="str">
        <f>VLOOKUP(F2278,辅助信息!A:B,2,FALSE)</f>
        <v>盘螺</v>
      </c>
      <c r="F2278" s="113" t="s">
        <v>40</v>
      </c>
      <c r="G2278" s="114">
        <v>8</v>
      </c>
      <c r="H2278" s="127">
        <f>_xlfn.XLOOKUP(C2278&amp;F2278&amp;I2278&amp;J2278,'[1]2025年已发货'!$F:$F&amp;'[1]2025年已发货'!$C:$C&amp;'[1]2025年已发货'!$G:$G&amp;'[1]2025年已发货'!$H:$H,'[1]2025年已发货'!$E:$E,"未发货")</f>
        <v>8</v>
      </c>
      <c r="I2278" s="113" t="str">
        <f>VLOOKUP(B2278,辅助信息!E:I,3,FALSE)</f>
        <v>（商投建工达州中医药科技园-4工区-8号楼）达州市通川区达州中医药职业学院犀牛大道北段</v>
      </c>
      <c r="J2278" s="113" t="str">
        <f>VLOOKUP(B2278,辅助信息!E:I,4,FALSE)</f>
        <v>张扬</v>
      </c>
      <c r="K2278" s="113">
        <f>VLOOKUP(J2278,辅助信息!H:I,2,FALSE)</f>
        <v>18381904567</v>
      </c>
      <c r="L2278" s="115" t="str">
        <f>VLOOKUP(B2278,辅助信息!E:J,6,FALSE)</f>
        <v>控制炉批号！多了现场不收！,优先安排达钢,提前联系到场规格及数量</v>
      </c>
      <c r="M2278" s="84"/>
      <c r="O2278" s="55" t="str">
        <f ca="1" t="shared" si="151"/>
        <v/>
      </c>
      <c r="P2278" s="55" t="str">
        <f ca="1" t="shared" si="152"/>
        <v/>
      </c>
      <c r="Q2278" s="22" t="str">
        <f>VLOOKUP(B2278,辅助信息!E:M,9,FALSE)</f>
        <v>ZTWM-CDGS-XS-2024-0134-商投建工达州中医药科技成果示范园项目</v>
      </c>
      <c r="R2278" s="22" t="str">
        <f>_xlfn._xlws.FILTER(辅助信息!D:D,辅助信息!E:E=B2278)</f>
        <v>商投建工达州中医药科技园</v>
      </c>
    </row>
    <row r="2279" hidden="1" spans="2:18">
      <c r="B2279" s="113" t="s">
        <v>180</v>
      </c>
      <c r="C2279" s="63">
        <v>45855</v>
      </c>
      <c r="D2279" s="113" t="str">
        <f>VLOOKUP(B2279,辅助信息!E:K,7,FALSE)</f>
        <v>JWDDCD2025052800131</v>
      </c>
      <c r="E2279" s="113" t="str">
        <f>VLOOKUP(F2279,辅助信息!A:B,2,FALSE)</f>
        <v>螺纹钢</v>
      </c>
      <c r="F2279" s="113" t="s">
        <v>30</v>
      </c>
      <c r="G2279" s="114">
        <v>12</v>
      </c>
      <c r="H2279" s="127">
        <f>_xlfn.XLOOKUP(C2279&amp;F2279&amp;I2279&amp;J2279,'[1]2025年已发货'!$F:$F&amp;'[1]2025年已发货'!$C:$C&amp;'[1]2025年已发货'!$G:$G&amp;'[1]2025年已发货'!$H:$H,'[1]2025年已发货'!$E:$E,"未发货")</f>
        <v>6</v>
      </c>
      <c r="I2279" s="113" t="str">
        <f>VLOOKUP(B2279,辅助信息!E:I,3,FALSE)</f>
        <v>（商投建工达州中医药科技园-4工区-8号楼）达州市通川区达州中医药职业学院犀牛大道北段</v>
      </c>
      <c r="J2279" s="113" t="str">
        <f>VLOOKUP(B2279,辅助信息!E:I,4,FALSE)</f>
        <v>张扬</v>
      </c>
      <c r="K2279" s="113">
        <f>VLOOKUP(J2279,辅助信息!H:I,2,FALSE)</f>
        <v>18381904567</v>
      </c>
      <c r="L2279" s="115" t="str">
        <f>VLOOKUP(B2279,辅助信息!E:J,6,FALSE)</f>
        <v>控制炉批号！多了现场不收！,优先安排达钢,提前联系到场规格及数量</v>
      </c>
      <c r="M2279" s="84"/>
      <c r="O2279" s="55" t="str">
        <f ca="1" t="shared" si="151"/>
        <v/>
      </c>
      <c r="P2279" s="55" t="str">
        <f ca="1" t="shared" si="152"/>
        <v/>
      </c>
      <c r="Q2279" s="22" t="str">
        <f>VLOOKUP(B2279,辅助信息!E:M,9,FALSE)</f>
        <v>ZTWM-CDGS-XS-2024-0134-商投建工达州中医药科技成果示范园项目</v>
      </c>
      <c r="R2279" s="22" t="str">
        <f>_xlfn._xlws.FILTER(辅助信息!D:D,辅助信息!E:E=B2279)</f>
        <v>商投建工达州中医药科技园</v>
      </c>
    </row>
    <row r="2280" hidden="1" spans="2:18">
      <c r="B2280" s="113" t="s">
        <v>180</v>
      </c>
      <c r="C2280" s="63">
        <v>45855</v>
      </c>
      <c r="D2280" s="113" t="str">
        <f>VLOOKUP(B2280,辅助信息!E:K,7,FALSE)</f>
        <v>JWDDCD2025052800131</v>
      </c>
      <c r="E2280" s="113" t="str">
        <f>VLOOKUP(F2280,辅助信息!A:B,2,FALSE)</f>
        <v>螺纹钢</v>
      </c>
      <c r="F2280" s="113" t="s">
        <v>28</v>
      </c>
      <c r="G2280" s="114">
        <v>6</v>
      </c>
      <c r="H2280" s="127">
        <f>_xlfn.XLOOKUP(C2280&amp;F2280&amp;I2280&amp;J2280,'[1]2025年已发货'!$F:$F&amp;'[1]2025年已发货'!$C:$C&amp;'[1]2025年已发货'!$G:$G&amp;'[1]2025年已发货'!$H:$H,'[1]2025年已发货'!$E:$E,"未发货")</f>
        <v>6</v>
      </c>
      <c r="I2280" s="113" t="str">
        <f>VLOOKUP(B2280,辅助信息!E:I,3,FALSE)</f>
        <v>（商投建工达州中医药科技园-4工区-8号楼）达州市通川区达州中医药职业学院犀牛大道北段</v>
      </c>
      <c r="J2280" s="113" t="str">
        <f>VLOOKUP(B2280,辅助信息!E:I,4,FALSE)</f>
        <v>张扬</v>
      </c>
      <c r="K2280" s="113">
        <f>VLOOKUP(J2280,辅助信息!H:I,2,FALSE)</f>
        <v>18381904567</v>
      </c>
      <c r="L2280" s="115" t="str">
        <f>VLOOKUP(B2280,辅助信息!E:J,6,FALSE)</f>
        <v>控制炉批号！多了现场不收！,优先安排达钢,提前联系到场规格及数量</v>
      </c>
      <c r="M2280" s="84"/>
      <c r="O2280" s="55" t="str">
        <f ca="1" t="shared" si="151"/>
        <v/>
      </c>
      <c r="P2280" s="55" t="str">
        <f ca="1" t="shared" si="152"/>
        <v/>
      </c>
      <c r="Q2280" s="22" t="str">
        <f>VLOOKUP(B2280,辅助信息!E:M,9,FALSE)</f>
        <v>ZTWM-CDGS-XS-2024-0134-商投建工达州中医药科技成果示范园项目</v>
      </c>
      <c r="R2280" s="22" t="str">
        <f>_xlfn._xlws.FILTER(辅助信息!D:D,辅助信息!E:E=B2280)</f>
        <v>商投建工达州中医药科技园</v>
      </c>
    </row>
    <row r="2281" hidden="1" spans="2:18">
      <c r="B2281" s="113" t="s">
        <v>180</v>
      </c>
      <c r="C2281" s="63">
        <v>45855</v>
      </c>
      <c r="D2281" s="113" t="str">
        <f>VLOOKUP(B2281,辅助信息!E:K,7,FALSE)</f>
        <v>JWDDCD2025052800131</v>
      </c>
      <c r="E2281" s="113" t="str">
        <f>VLOOKUP(F2281,辅助信息!A:B,2,FALSE)</f>
        <v>螺纹钢</v>
      </c>
      <c r="F2281" s="113" t="s">
        <v>18</v>
      </c>
      <c r="G2281" s="114">
        <v>15</v>
      </c>
      <c r="H2281" s="127">
        <f>_xlfn.XLOOKUP(C2281&amp;F2281&amp;I2281&amp;J2281,'[1]2025年已发货'!$F:$F&amp;'[1]2025年已发货'!$C:$C&amp;'[1]2025年已发货'!$G:$G&amp;'[1]2025年已发货'!$H:$H,'[1]2025年已发货'!$E:$E,"未发货")</f>
        <v>15</v>
      </c>
      <c r="I2281" s="113" t="str">
        <f>VLOOKUP(B2281,辅助信息!E:I,3,FALSE)</f>
        <v>（商投建工达州中医药科技园-4工区-8号楼）达州市通川区达州中医药职业学院犀牛大道北段</v>
      </c>
      <c r="J2281" s="113" t="str">
        <f>VLOOKUP(B2281,辅助信息!E:I,4,FALSE)</f>
        <v>张扬</v>
      </c>
      <c r="K2281" s="113">
        <f>VLOOKUP(J2281,辅助信息!H:I,2,FALSE)</f>
        <v>18381904567</v>
      </c>
      <c r="L2281" s="115" t="str">
        <f>VLOOKUP(B2281,辅助信息!E:J,6,FALSE)</f>
        <v>控制炉批号！多了现场不收！,优先安排达钢,提前联系到场规格及数量</v>
      </c>
      <c r="M2281" s="84"/>
      <c r="O2281" s="55" t="str">
        <f ca="1" t="shared" si="151"/>
        <v/>
      </c>
      <c r="P2281" s="55" t="str">
        <f ca="1" t="shared" si="152"/>
        <v/>
      </c>
      <c r="Q2281" s="22" t="str">
        <f>VLOOKUP(B2281,辅助信息!E:M,9,FALSE)</f>
        <v>ZTWM-CDGS-XS-2024-0134-商投建工达州中医药科技成果示范园项目</v>
      </c>
      <c r="R2281" s="22" t="str">
        <f>_xlfn._xlws.FILTER(辅助信息!D:D,辅助信息!E:E=B2281)</f>
        <v>商投建工达州中医药科技园</v>
      </c>
    </row>
    <row r="2282" hidden="1" spans="2:18">
      <c r="B2282" s="113" t="s">
        <v>180</v>
      </c>
      <c r="C2282" s="63">
        <v>45855</v>
      </c>
      <c r="D2282" s="113" t="str">
        <f>VLOOKUP(B2282,辅助信息!E:K,7,FALSE)</f>
        <v>JWDDCD2025052800131</v>
      </c>
      <c r="E2282" s="113" t="str">
        <f>VLOOKUP(F2282,辅助信息!A:B,2,FALSE)</f>
        <v>螺纹钢</v>
      </c>
      <c r="F2282" s="113" t="s">
        <v>21</v>
      </c>
      <c r="G2282" s="114">
        <v>6</v>
      </c>
      <c r="H2282" s="127" t="str">
        <f>_xlfn.XLOOKUP(C2282&amp;F2282&amp;I2282&amp;J2282,'[1]2025年已发货'!$F:$F&amp;'[1]2025年已发货'!$C:$C&amp;'[1]2025年已发货'!$G:$G&amp;'[1]2025年已发货'!$H:$H,'[1]2025年已发货'!$E:$E,"未发货")</f>
        <v>未发货</v>
      </c>
      <c r="I2282" s="113" t="str">
        <f>VLOOKUP(B2282,辅助信息!E:I,3,FALSE)</f>
        <v>（商投建工达州中医药科技园-4工区-8号楼）达州市通川区达州中医药职业学院犀牛大道北段</v>
      </c>
      <c r="J2282" s="113" t="str">
        <f>VLOOKUP(B2282,辅助信息!E:I,4,FALSE)</f>
        <v>张扬</v>
      </c>
      <c r="K2282" s="113">
        <f>VLOOKUP(J2282,辅助信息!H:I,2,FALSE)</f>
        <v>18381904567</v>
      </c>
      <c r="L2282" s="115" t="str">
        <f>VLOOKUP(B2282,辅助信息!E:J,6,FALSE)</f>
        <v>控制炉批号！多了现场不收！,优先安排达钢,提前联系到场规格及数量</v>
      </c>
      <c r="M2282" s="84">
        <v>45853</v>
      </c>
      <c r="O2282" s="55">
        <f ca="1" t="shared" si="151"/>
        <v>0</v>
      </c>
      <c r="P2282" s="55">
        <f ca="1" t="shared" si="152"/>
        <v>104</v>
      </c>
      <c r="Q2282" s="22" t="str">
        <f>VLOOKUP(B2282,辅助信息!E:M,9,FALSE)</f>
        <v>ZTWM-CDGS-XS-2024-0134-商投建工达州中医药科技成果示范园项目</v>
      </c>
      <c r="R2282" s="22" t="str">
        <f>_xlfn._xlws.FILTER(辅助信息!D:D,辅助信息!E:E=B2282)</f>
        <v>商投建工达州中医药科技园</v>
      </c>
    </row>
    <row r="2283" hidden="1" spans="2:18">
      <c r="B2283" s="113" t="s">
        <v>147</v>
      </c>
      <c r="C2283" s="63">
        <v>45855</v>
      </c>
      <c r="D2283" s="113" t="str">
        <f>VLOOKUP(B2283,辅助信息!E:K,7,FALSE)</f>
        <v>JWDDCD2025052800131</v>
      </c>
      <c r="E2283" s="113" t="str">
        <f>VLOOKUP(F2283,辅助信息!A:B,2,FALSE)</f>
        <v>螺纹钢</v>
      </c>
      <c r="F2283" s="113" t="s">
        <v>30</v>
      </c>
      <c r="G2283" s="114">
        <v>9</v>
      </c>
      <c r="H2283" s="127" t="str">
        <f>_xlfn.XLOOKUP(C2283&amp;F2283&amp;I2283&amp;J2283,'[1]2025年已发货'!$F:$F&amp;'[1]2025年已发货'!$C:$C&amp;'[1]2025年已发货'!$G:$G&amp;'[1]2025年已发货'!$H:$H,'[1]2025年已发货'!$E:$E,"未发货")</f>
        <v>未发货</v>
      </c>
      <c r="I2283" s="113" t="str">
        <f>VLOOKUP(B2283,辅助信息!E:I,3,FALSE)</f>
        <v>（商投建工达州中医药科技园-4工区-11号楼）达州市通川区达州中医药职业学院犀牛大道北段</v>
      </c>
      <c r="J2283" s="113" t="str">
        <f>VLOOKUP(B2283,辅助信息!E:I,4,FALSE)</f>
        <v>张扬</v>
      </c>
      <c r="K2283" s="113">
        <f>VLOOKUP(J2283,辅助信息!H:I,2,FALSE)</f>
        <v>18381904567</v>
      </c>
      <c r="L2283" s="115" t="str">
        <f>VLOOKUP(B2283,辅助信息!E:J,6,FALSE)</f>
        <v>控制炉批号！多了现场不收！,优先安排达钢,提前联系到场规格及数量</v>
      </c>
      <c r="M2283" s="84">
        <v>45853</v>
      </c>
      <c r="O2283" s="55">
        <f ca="1" t="shared" si="151"/>
        <v>0</v>
      </c>
      <c r="P2283" s="55">
        <f ca="1" t="shared" si="152"/>
        <v>104</v>
      </c>
      <c r="Q2283" s="22" t="str">
        <f>VLOOKUP(B2283,辅助信息!E:M,9,FALSE)</f>
        <v>ZTWM-CDGS-XS-2024-0134-商投建工达州中医药科技成果示范园项目</v>
      </c>
      <c r="R2283" s="22" t="str">
        <f>_xlfn._xlws.FILTER(辅助信息!D:D,辅助信息!E:E=B2283)</f>
        <v>商投建工达州中医药科技园</v>
      </c>
    </row>
    <row r="2284" hidden="1" spans="1:18">
      <c r="A2284" s="122" t="s">
        <v>191</v>
      </c>
      <c r="B2284" s="113" t="s">
        <v>156</v>
      </c>
      <c r="C2284" s="63">
        <v>45855</v>
      </c>
      <c r="D2284" s="113" t="e">
        <f>VLOOKUP(B2284,辅助信息!E:K,7,FALSE)</f>
        <v>#N/A</v>
      </c>
      <c r="E2284" s="113" t="str">
        <f>VLOOKUP(F2284,辅助信息!A:B,2,FALSE)</f>
        <v>螺纹钢</v>
      </c>
      <c r="F2284" s="113" t="s">
        <v>27</v>
      </c>
      <c r="G2284" s="114">
        <v>3</v>
      </c>
      <c r="H2284" s="127" t="e">
        <f>_xlfn.XLOOKUP(C2284&amp;F2284&amp;I2284&amp;J2284,'[1]2025年已发货'!$F:$F&amp;'[1]2025年已发货'!$C:$C&amp;'[1]2025年已发货'!$G:$G&amp;'[1]2025年已发货'!$H:$H,'[1]2025年已发货'!$E:$E,"未发货")</f>
        <v>#N/A</v>
      </c>
      <c r="I2284" s="113" t="e">
        <f>VLOOKUP(B2284,辅助信息!E:I,3,FALSE)</f>
        <v>#N/A</v>
      </c>
      <c r="J2284" s="113" t="e">
        <f>VLOOKUP(B2284,辅助信息!E:I,4,FALSE)</f>
        <v>#N/A</v>
      </c>
      <c r="K2284" s="113" t="e">
        <f>VLOOKUP(J2284,辅助信息!H:I,2,FALSE)</f>
        <v>#N/A</v>
      </c>
      <c r="L2284" s="115" t="e">
        <f>VLOOKUP(B2284,辅助信息!E:J,6,FALSE)</f>
        <v>#N/A</v>
      </c>
      <c r="M2284" s="84">
        <v>45855</v>
      </c>
      <c r="O2284" s="55">
        <f ca="1" t="shared" si="151"/>
        <v>0</v>
      </c>
      <c r="P2284" s="55">
        <f ca="1" t="shared" si="152"/>
        <v>102</v>
      </c>
      <c r="Q2284" s="22" t="e">
        <f>VLOOKUP(B2284,辅助信息!E:M,9,FALSE)</f>
        <v>#N/A</v>
      </c>
      <c r="R2284" s="22" vm="1" t="e">
        <f>_xlfn._xlws.FILTER(辅助信息!D:D,辅助信息!E:E=B2284)</f>
        <v>#VALUE!</v>
      </c>
    </row>
    <row r="2285" hidden="1" spans="1:18">
      <c r="A2285" s="122"/>
      <c r="B2285" s="113" t="s">
        <v>156</v>
      </c>
      <c r="C2285" s="63">
        <v>45855</v>
      </c>
      <c r="D2285" s="113" t="e">
        <f>VLOOKUP(B2285,辅助信息!E:K,7,FALSE)</f>
        <v>#N/A</v>
      </c>
      <c r="E2285" s="113" t="str">
        <f>VLOOKUP(F2285,辅助信息!A:B,2,FALSE)</f>
        <v>螺纹钢</v>
      </c>
      <c r="F2285" s="113" t="s">
        <v>19</v>
      </c>
      <c r="G2285" s="114">
        <v>8</v>
      </c>
      <c r="H2285" s="127" t="e">
        <f>_xlfn.XLOOKUP(C2285&amp;F2285&amp;I2285&amp;J2285,'[1]2025年已发货'!$F:$F&amp;'[1]2025年已发货'!$C:$C&amp;'[1]2025年已发货'!$G:$G&amp;'[1]2025年已发货'!$H:$H,'[1]2025年已发货'!$E:$E,"未发货")</f>
        <v>#N/A</v>
      </c>
      <c r="I2285" s="113" t="e">
        <f>VLOOKUP(B2285,辅助信息!E:I,3,FALSE)</f>
        <v>#N/A</v>
      </c>
      <c r="J2285" s="113" t="e">
        <f>VLOOKUP(B2285,辅助信息!E:I,4,FALSE)</f>
        <v>#N/A</v>
      </c>
      <c r="K2285" s="113" t="e">
        <f>VLOOKUP(J2285,辅助信息!H:I,2,FALSE)</f>
        <v>#N/A</v>
      </c>
      <c r="L2285" s="115" t="e">
        <f>VLOOKUP(B2285,辅助信息!E:J,6,FALSE)</f>
        <v>#N/A</v>
      </c>
      <c r="M2285" s="84">
        <v>45855</v>
      </c>
      <c r="O2285" s="55">
        <f ca="1" t="shared" si="151"/>
        <v>0</v>
      </c>
      <c r="P2285" s="55">
        <f ca="1" t="shared" si="152"/>
        <v>102</v>
      </c>
      <c r="Q2285" s="22" t="e">
        <f>VLOOKUP(B2285,辅助信息!E:M,9,FALSE)</f>
        <v>#N/A</v>
      </c>
      <c r="R2285" s="22" vm="1" t="e">
        <f>_xlfn._xlws.FILTER(辅助信息!D:D,辅助信息!E:E=B2285)</f>
        <v>#VALUE!</v>
      </c>
    </row>
    <row r="2286" hidden="1" spans="1:18">
      <c r="A2286" s="122"/>
      <c r="B2286" s="113" t="s">
        <v>156</v>
      </c>
      <c r="C2286" s="63">
        <v>45855</v>
      </c>
      <c r="D2286" s="113" t="e">
        <f>VLOOKUP(B2286,辅助信息!E:K,7,FALSE)</f>
        <v>#N/A</v>
      </c>
      <c r="E2286" s="113" t="str">
        <f>VLOOKUP(F2286,辅助信息!A:B,2,FALSE)</f>
        <v>螺纹钢</v>
      </c>
      <c r="F2286" s="113" t="s">
        <v>30</v>
      </c>
      <c r="G2286" s="114">
        <v>17</v>
      </c>
      <c r="H2286" s="127" t="e">
        <f>_xlfn.XLOOKUP(C2286&amp;F2286&amp;I2286&amp;J2286,'[1]2025年已发货'!$F:$F&amp;'[1]2025年已发货'!$C:$C&amp;'[1]2025年已发货'!$G:$G&amp;'[1]2025年已发货'!$H:$H,'[1]2025年已发货'!$E:$E,"未发货")</f>
        <v>#N/A</v>
      </c>
      <c r="I2286" s="113" t="e">
        <f>VLOOKUP(B2286,辅助信息!E:I,3,FALSE)</f>
        <v>#N/A</v>
      </c>
      <c r="J2286" s="113" t="e">
        <f>VLOOKUP(B2286,辅助信息!E:I,4,FALSE)</f>
        <v>#N/A</v>
      </c>
      <c r="K2286" s="113" t="e">
        <f>VLOOKUP(J2286,辅助信息!H:I,2,FALSE)</f>
        <v>#N/A</v>
      </c>
      <c r="L2286" s="115" t="e">
        <f>VLOOKUP(B2286,辅助信息!E:J,6,FALSE)</f>
        <v>#N/A</v>
      </c>
      <c r="M2286" s="84">
        <v>45855</v>
      </c>
      <c r="O2286" s="55">
        <f ca="1" t="shared" si="151"/>
        <v>0</v>
      </c>
      <c r="P2286" s="55">
        <f ca="1" t="shared" si="152"/>
        <v>102</v>
      </c>
      <c r="Q2286" s="22" t="e">
        <f>VLOOKUP(B2286,辅助信息!E:M,9,FALSE)</f>
        <v>#N/A</v>
      </c>
      <c r="R2286" s="22" vm="1" t="e">
        <f>_xlfn._xlws.FILTER(辅助信息!D:D,辅助信息!E:E=B2286)</f>
        <v>#VALUE!</v>
      </c>
    </row>
    <row r="2287" hidden="1" spans="1:18">
      <c r="A2287" s="122"/>
      <c r="B2287" s="113" t="s">
        <v>156</v>
      </c>
      <c r="C2287" s="63">
        <v>45855</v>
      </c>
      <c r="D2287" s="113" t="e">
        <f>VLOOKUP(B2287,辅助信息!E:K,7,FALSE)</f>
        <v>#N/A</v>
      </c>
      <c r="E2287" s="113" t="str">
        <f>VLOOKUP(F2287,辅助信息!A:B,2,FALSE)</f>
        <v>螺纹钢</v>
      </c>
      <c r="F2287" s="113" t="s">
        <v>18</v>
      </c>
      <c r="G2287" s="114">
        <v>8</v>
      </c>
      <c r="H2287" s="127" t="e">
        <f>_xlfn.XLOOKUP(C2287&amp;F2287&amp;I2287&amp;J2287,'[1]2025年已发货'!$F:$F&amp;'[1]2025年已发货'!$C:$C&amp;'[1]2025年已发货'!$G:$G&amp;'[1]2025年已发货'!$H:$H,'[1]2025年已发货'!$E:$E,"未发货")</f>
        <v>#N/A</v>
      </c>
      <c r="I2287" s="113" t="e">
        <f>VLOOKUP(B2287,辅助信息!E:I,3,FALSE)</f>
        <v>#N/A</v>
      </c>
      <c r="J2287" s="113" t="e">
        <f>VLOOKUP(B2287,辅助信息!E:I,4,FALSE)</f>
        <v>#N/A</v>
      </c>
      <c r="K2287" s="113" t="e">
        <f>VLOOKUP(J2287,辅助信息!H:I,2,FALSE)</f>
        <v>#N/A</v>
      </c>
      <c r="L2287" s="115" t="e">
        <f>VLOOKUP(B2287,辅助信息!E:J,6,FALSE)</f>
        <v>#N/A</v>
      </c>
      <c r="M2287" s="84">
        <v>45855</v>
      </c>
      <c r="O2287" s="55">
        <f ca="1" t="shared" si="151"/>
        <v>0</v>
      </c>
      <c r="P2287" s="55">
        <f ca="1" t="shared" si="152"/>
        <v>102</v>
      </c>
      <c r="Q2287" s="22" t="e">
        <f>VLOOKUP(B2287,辅助信息!E:M,9,FALSE)</f>
        <v>#N/A</v>
      </c>
      <c r="R2287" s="22" vm="1" t="e">
        <f>_xlfn._xlws.FILTER(辅助信息!D:D,辅助信息!E:E=B2287)</f>
        <v>#VALUE!</v>
      </c>
    </row>
    <row r="2288" hidden="1" spans="2:18">
      <c r="B2288" s="113" t="s">
        <v>47</v>
      </c>
      <c r="C2288" s="63">
        <v>45855</v>
      </c>
      <c r="D2288" s="113" t="str">
        <f>VLOOKUP(B2288,辅助信息!E:K,7,FALSE)</f>
        <v>JWDDCD2025052800131</v>
      </c>
      <c r="E2288" s="113" t="str">
        <f>VLOOKUP(F2288,辅助信息!A:B,2,FALSE)</f>
        <v>螺纹钢</v>
      </c>
      <c r="F2288" s="113" t="s">
        <v>66</v>
      </c>
      <c r="G2288" s="114">
        <v>6</v>
      </c>
      <c r="H2288" s="127">
        <f>_xlfn.XLOOKUP(C2288&amp;F2288&amp;I2288&amp;J2288,'[1]2025年已发货'!$F:$F&amp;'[1]2025年已发货'!$C:$C&amp;'[1]2025年已发货'!$G:$G&amp;'[1]2025年已发货'!$H:$H,'[1]2025年已发货'!$E:$E,"未发货")</f>
        <v>6</v>
      </c>
      <c r="I2288" s="113" t="str">
        <f>VLOOKUP(B2288,辅助信息!E:I,3,FALSE)</f>
        <v>（商投建工达州中医药科技园-1工区）达州市通川区达州中医药职业学院犀牛大道北段</v>
      </c>
      <c r="J2288" s="113" t="str">
        <f>VLOOKUP(B2288,辅助信息!E:I,4,FALSE)</f>
        <v>程黄刚</v>
      </c>
      <c r="K2288" s="113">
        <f>VLOOKUP(J2288,辅助信息!H:I,2,FALSE)</f>
        <v>15108211617</v>
      </c>
      <c r="L2288" s="115" t="str">
        <f>VLOOKUP(B2288,辅助信息!E:J,6,FALSE)</f>
        <v>控制炉批号！多了现场不收！,优先安排达钢,提前联系到场规格及数量</v>
      </c>
      <c r="M2288" s="84">
        <v>45855</v>
      </c>
      <c r="O2288" s="55">
        <f ca="1" t="shared" si="151"/>
        <v>0</v>
      </c>
      <c r="P2288" s="55">
        <f ca="1" t="shared" si="152"/>
        <v>102</v>
      </c>
      <c r="Q2288" s="22" t="str">
        <f>VLOOKUP(B2288,辅助信息!E:M,9,FALSE)</f>
        <v>ZTWM-CDGS-XS-2024-0134-商投建工达州中医药科技成果示范园项目</v>
      </c>
      <c r="R2288" s="22" t="str">
        <f>_xlfn._xlws.FILTER(辅助信息!D:D,辅助信息!E:E=B2288)</f>
        <v>商投建工达州中医药科技园</v>
      </c>
    </row>
    <row r="2289" hidden="1" spans="2:18">
      <c r="B2289" s="113" t="s">
        <v>47</v>
      </c>
      <c r="C2289" s="63">
        <v>45855</v>
      </c>
      <c r="D2289" s="113" t="str">
        <f>VLOOKUP(B2289,辅助信息!E:K,7,FALSE)</f>
        <v>JWDDCD2025052800131</v>
      </c>
      <c r="E2289" s="113" t="str">
        <f>VLOOKUP(F2289,辅助信息!A:B,2,FALSE)</f>
        <v>螺纹钢</v>
      </c>
      <c r="F2289" s="113" t="s">
        <v>45</v>
      </c>
      <c r="G2289" s="114">
        <v>6</v>
      </c>
      <c r="H2289" s="127">
        <f>_xlfn.XLOOKUP(C2289&amp;F2289&amp;I2289&amp;J2289,'[1]2025年已发货'!$F:$F&amp;'[1]2025年已发货'!$C:$C&amp;'[1]2025年已发货'!$G:$G&amp;'[1]2025年已发货'!$H:$H,'[1]2025年已发货'!$E:$E,"未发货")</f>
        <v>6</v>
      </c>
      <c r="I2289" s="113" t="str">
        <f>VLOOKUP(B2289,辅助信息!E:I,3,FALSE)</f>
        <v>（商投建工达州中医药科技园-1工区）达州市通川区达州中医药职业学院犀牛大道北段</v>
      </c>
      <c r="J2289" s="113" t="str">
        <f>VLOOKUP(B2289,辅助信息!E:I,4,FALSE)</f>
        <v>程黄刚</v>
      </c>
      <c r="K2289" s="113">
        <f>VLOOKUP(J2289,辅助信息!H:I,2,FALSE)</f>
        <v>15108211617</v>
      </c>
      <c r="L2289" s="115" t="str">
        <f>VLOOKUP(B2289,辅助信息!E:J,6,FALSE)</f>
        <v>控制炉批号！多了现场不收！,优先安排达钢,提前联系到场规格及数量</v>
      </c>
      <c r="M2289" s="84">
        <v>45855</v>
      </c>
      <c r="O2289" s="55">
        <f ca="1" t="shared" si="151"/>
        <v>0</v>
      </c>
      <c r="P2289" s="55">
        <f ca="1" t="shared" si="152"/>
        <v>102</v>
      </c>
      <c r="Q2289" s="22" t="str">
        <f>VLOOKUP(B2289,辅助信息!E:M,9,FALSE)</f>
        <v>ZTWM-CDGS-XS-2024-0134-商投建工达州中医药科技成果示范园项目</v>
      </c>
      <c r="R2289" s="22" t="str">
        <f>_xlfn._xlws.FILTER(辅助信息!D:D,辅助信息!E:E=B2289)</f>
        <v>商投建工达州中医药科技园</v>
      </c>
    </row>
    <row r="2290" hidden="1" spans="2:18">
      <c r="B2290" s="113" t="s">
        <v>47</v>
      </c>
      <c r="C2290" s="63">
        <v>45855</v>
      </c>
      <c r="D2290" s="113" t="str">
        <f>VLOOKUP(B2290,辅助信息!E:K,7,FALSE)</f>
        <v>JWDDCD2025052800131</v>
      </c>
      <c r="E2290" s="113" t="str">
        <f>VLOOKUP(F2290,辅助信息!A:B,2,FALSE)</f>
        <v>螺纹钢</v>
      </c>
      <c r="F2290" s="113" t="s">
        <v>21</v>
      </c>
      <c r="G2290" s="114">
        <v>6</v>
      </c>
      <c r="H2290" s="127">
        <f>_xlfn.XLOOKUP(C2290&amp;F2290&amp;I2290&amp;J2290,'[1]2025年已发货'!$F:$F&amp;'[1]2025年已发货'!$C:$C&amp;'[1]2025年已发货'!$G:$G&amp;'[1]2025年已发货'!$H:$H,'[1]2025年已发货'!$E:$E,"未发货")</f>
        <v>6</v>
      </c>
      <c r="I2290" s="113" t="str">
        <f>VLOOKUP(B2290,辅助信息!E:I,3,FALSE)</f>
        <v>（商投建工达州中医药科技园-1工区）达州市通川区达州中医药职业学院犀牛大道北段</v>
      </c>
      <c r="J2290" s="113" t="str">
        <f>VLOOKUP(B2290,辅助信息!E:I,4,FALSE)</f>
        <v>程黄刚</v>
      </c>
      <c r="K2290" s="113">
        <f>VLOOKUP(J2290,辅助信息!H:I,2,FALSE)</f>
        <v>15108211617</v>
      </c>
      <c r="L2290" s="115" t="str">
        <f>VLOOKUP(B2290,辅助信息!E:J,6,FALSE)</f>
        <v>控制炉批号！多了现场不收！,优先安排达钢,提前联系到场规格及数量</v>
      </c>
      <c r="M2290" s="84">
        <v>45855</v>
      </c>
      <c r="O2290" s="55">
        <f ca="1" t="shared" si="151"/>
        <v>0</v>
      </c>
      <c r="P2290" s="55">
        <f ca="1" t="shared" si="152"/>
        <v>102</v>
      </c>
      <c r="Q2290" s="22" t="str">
        <f>VLOOKUP(B2290,辅助信息!E:M,9,FALSE)</f>
        <v>ZTWM-CDGS-XS-2024-0134-商投建工达州中医药科技成果示范园项目</v>
      </c>
      <c r="R2290" s="22" t="str">
        <f>_xlfn._xlws.FILTER(辅助信息!D:D,辅助信息!E:E=B2290)</f>
        <v>商投建工达州中医药科技园</v>
      </c>
    </row>
    <row r="2291" hidden="1" spans="2:18">
      <c r="B2291" s="113" t="s">
        <v>47</v>
      </c>
      <c r="C2291" s="63">
        <v>45855</v>
      </c>
      <c r="D2291" s="113" t="str">
        <f>VLOOKUP(B2291,辅助信息!E:K,7,FALSE)</f>
        <v>JWDDCD2025052800131</v>
      </c>
      <c r="E2291" s="113" t="str">
        <f>VLOOKUP(F2291,辅助信息!A:B,2,FALSE)</f>
        <v>螺纹钢</v>
      </c>
      <c r="F2291" s="113" t="s">
        <v>46</v>
      </c>
      <c r="G2291" s="114">
        <v>17</v>
      </c>
      <c r="H2291" s="127">
        <f>_xlfn.XLOOKUP(C2291&amp;F2291&amp;I2291&amp;J2291,'[1]2025年已发货'!$F:$F&amp;'[1]2025年已发货'!$C:$C&amp;'[1]2025年已发货'!$G:$G&amp;'[1]2025年已发货'!$H:$H,'[1]2025年已发货'!$E:$E,"未发货")</f>
        <v>17</v>
      </c>
      <c r="I2291" s="113" t="str">
        <f>VLOOKUP(B2291,辅助信息!E:I,3,FALSE)</f>
        <v>（商投建工达州中医药科技园-1工区）达州市通川区达州中医药职业学院犀牛大道北段</v>
      </c>
      <c r="J2291" s="113" t="str">
        <f>VLOOKUP(B2291,辅助信息!E:I,4,FALSE)</f>
        <v>程黄刚</v>
      </c>
      <c r="K2291" s="113">
        <f>VLOOKUP(J2291,辅助信息!H:I,2,FALSE)</f>
        <v>15108211617</v>
      </c>
      <c r="L2291" s="115" t="str">
        <f>VLOOKUP(B2291,辅助信息!E:J,6,FALSE)</f>
        <v>控制炉批号！多了现场不收！,优先安排达钢,提前联系到场规格及数量</v>
      </c>
      <c r="M2291" s="84">
        <v>45855</v>
      </c>
      <c r="O2291" s="55">
        <f ca="1" t="shared" si="151"/>
        <v>0</v>
      </c>
      <c r="P2291" s="55">
        <f ca="1" t="shared" si="152"/>
        <v>102</v>
      </c>
      <c r="Q2291" s="22" t="str">
        <f>VLOOKUP(B2291,辅助信息!E:M,9,FALSE)</f>
        <v>ZTWM-CDGS-XS-2024-0134-商投建工达州中医药科技成果示范园项目</v>
      </c>
      <c r="R2291" s="22" t="str">
        <f>_xlfn._xlws.FILTER(辅助信息!D:D,辅助信息!E:E=B2291)</f>
        <v>商投建工达州中医药科技园</v>
      </c>
    </row>
    <row r="2292" hidden="1" spans="2:18">
      <c r="B2292" s="113" t="s">
        <v>162</v>
      </c>
      <c r="C2292" s="63">
        <v>45854</v>
      </c>
      <c r="D2292" s="113" t="str">
        <f>VLOOKUP(B2292,辅助信息!E:K,7,FALSE)</f>
        <v>JWDD2025071500089</v>
      </c>
      <c r="E2292" s="113" t="str">
        <f>VLOOKUP(F2292,辅助信息!A:B,2,FALSE)</f>
        <v>螺纹钢</v>
      </c>
      <c r="F2292" s="113" t="s">
        <v>30</v>
      </c>
      <c r="G2292" s="114">
        <v>35</v>
      </c>
      <c r="H2292" s="127" t="str">
        <f>_xlfn.XLOOKUP(C2292&amp;F2292&amp;I2292&amp;J2292,'[1]2025年已发货'!$F:$F&amp;'[1]2025年已发货'!$C:$C&amp;'[1]2025年已发货'!$G:$G&amp;'[1]2025年已发货'!$H:$H,'[1]2025年已发货'!$E:$E,"未发货")</f>
        <v>未发货</v>
      </c>
      <c r="I2292" s="113" t="str">
        <f>VLOOKUP(B2292,辅助信息!E:I,3,FALSE)</f>
        <v>(宜宾兴港三江新区长江工业园保障性租赁住房建设项目-2标)四川省宜宾市翠屏区永善路南段宜宾市三江新区长江工业园区</v>
      </c>
      <c r="J2292" s="113" t="str">
        <f>VLOOKUP(B2292,辅助信息!E:I,4,FALSE)</f>
        <v>赵元虎</v>
      </c>
      <c r="K2292" s="113">
        <f>VLOOKUP(J2292,辅助信息!H:I,2,FALSE)</f>
        <v>13684167136</v>
      </c>
      <c r="L2292" s="115" t="str">
        <f>VLOOKUP(B2292,辅助信息!E:J,6,FALSE)</f>
        <v>现场要求调度统一联系指定收货人，不单独发司机位置。锈货不收，装货前联系收货人核实到场规格,没提前告知进场规格现场不给予接收</v>
      </c>
      <c r="O2292" s="55" t="str">
        <f ca="1" t="shared" si="151"/>
        <v/>
      </c>
      <c r="P2292" s="55" t="str">
        <f ca="1" t="shared" si="152"/>
        <v/>
      </c>
      <c r="Q2292" s="22" t="str">
        <f>VLOOKUP(B2292,辅助信息!E:M,9,FALSE)</f>
        <v>ZTWM-CDYXGS-XS-2025-0014-宜宾兴港建材-三江新区长江工业园片区保障性租赁住房建设项目</v>
      </c>
      <c r="R2292" s="22" t="str">
        <f>_xlfn._xlws.FILTER(辅助信息!D:D,辅助信息!E:E=B2292)</f>
        <v>宜宾兴港三江新区长江工业园建设项目</v>
      </c>
    </row>
    <row r="2293" hidden="1" spans="2:18">
      <c r="B2293" s="33" t="s">
        <v>194</v>
      </c>
      <c r="C2293" s="63">
        <v>45855</v>
      </c>
      <c r="D2293" s="33" t="str">
        <f>VLOOKUP(B2293,辅助信息!E:K,7,FALSE)</f>
        <v>JWDD2025071500089</v>
      </c>
      <c r="E2293" s="33" t="str">
        <f>VLOOKUP(F2293,辅助信息!A:B,2,FALSE)</f>
        <v>盘螺</v>
      </c>
      <c r="F2293" s="33" t="s">
        <v>41</v>
      </c>
      <c r="G2293" s="29">
        <v>8</v>
      </c>
      <c r="H2293" s="127" t="str">
        <f>_xlfn.XLOOKUP(C2293&amp;F2293&amp;I2293&amp;J2293,'[1]2025年已发货'!$F:$F&amp;'[1]2025年已发货'!$C:$C&amp;'[1]2025年已发货'!$G:$G&amp;'[1]2025年已发货'!$H:$H,'[1]2025年已发货'!$E:$E,"未发货")</f>
        <v>未发货</v>
      </c>
      <c r="I2293" s="33" t="str">
        <f>VLOOKUP(B2293,辅助信息!E:I,3,FALSE)</f>
        <v>(宜宾兴港三江新区长江工业园保障性租赁住房建设项目-土建)四川省宜宾市翠屏区永善路南段宜宾市三江新区长江工业园区</v>
      </c>
      <c r="J2293" s="33" t="str">
        <f>VLOOKUP(B2293,辅助信息!E:I,4,FALSE)</f>
        <v>赵元虎</v>
      </c>
      <c r="K2293" s="33">
        <f>VLOOKUP(J2293,辅助信息!H:I,2,FALSE)</f>
        <v>13684167136</v>
      </c>
      <c r="L2293" s="102" t="str">
        <f>VLOOKUP(B2293,辅助信息!E:J,6,FALSE)</f>
        <v>现场要求调度统一联系指定收货人，不单独发司机位置。锈货不收，装货前联系收货人核实到场规格,没提前告知进场规格现场不给予接收</v>
      </c>
      <c r="M2293" s="84">
        <v>45860</v>
      </c>
      <c r="O2293" s="55">
        <f ca="1" t="shared" si="151"/>
        <v>0</v>
      </c>
      <c r="P2293" s="55">
        <f ca="1" t="shared" si="152"/>
        <v>97</v>
      </c>
      <c r="Q2293" s="22" t="str">
        <f>VLOOKUP(B2293,辅助信息!E:M,9,FALSE)</f>
        <v>ZTWM-CDYXGS-XS-2025-0014-宜宾兴港建材-三江新区长江工业园片区保障性租赁住房建设项目</v>
      </c>
      <c r="R2293" s="22" t="str">
        <f>_xlfn._xlws.FILTER(辅助信息!D:D,辅助信息!E:E=B2293)</f>
        <v>宜宾兴港三江新区长江工业园建设项目</v>
      </c>
    </row>
    <row r="2294" hidden="1" spans="2:18">
      <c r="B2294" s="33" t="s">
        <v>194</v>
      </c>
      <c r="C2294" s="63">
        <v>45855</v>
      </c>
      <c r="D2294" s="33" t="str">
        <f>VLOOKUP(B2294,辅助信息!E:K,7,FALSE)</f>
        <v>JWDD2025071500089</v>
      </c>
      <c r="E2294" s="33" t="str">
        <f>VLOOKUP(F2294,辅助信息!A:B,2,FALSE)</f>
        <v>螺纹钢</v>
      </c>
      <c r="F2294" s="33" t="s">
        <v>27</v>
      </c>
      <c r="G2294" s="29">
        <v>10</v>
      </c>
      <c r="H2294" s="127" t="str">
        <f>_xlfn.XLOOKUP(C2294&amp;F2294&amp;I2294&amp;J2294,'[1]2025年已发货'!$F:$F&amp;'[1]2025年已发货'!$C:$C&amp;'[1]2025年已发货'!$G:$G&amp;'[1]2025年已发货'!$H:$H,'[1]2025年已发货'!$E:$E,"未发货")</f>
        <v>未发货</v>
      </c>
      <c r="I2294" s="33" t="str">
        <f>VLOOKUP(B2294,辅助信息!E:I,3,FALSE)</f>
        <v>(宜宾兴港三江新区长江工业园保障性租赁住房建设项目-土建)四川省宜宾市翠屏区永善路南段宜宾市三江新区长江工业园区</v>
      </c>
      <c r="J2294" s="33" t="str">
        <f>VLOOKUP(B2294,辅助信息!E:I,4,FALSE)</f>
        <v>赵元虎</v>
      </c>
      <c r="K2294" s="33">
        <f>VLOOKUP(J2294,辅助信息!H:I,2,FALSE)</f>
        <v>13684167136</v>
      </c>
      <c r="L2294" s="102" t="str">
        <f>VLOOKUP(B2294,辅助信息!E:J,6,FALSE)</f>
        <v>现场要求调度统一联系指定收货人，不单独发司机位置。锈货不收，装货前联系收货人核实到场规格,没提前告知进场规格现场不给予接收</v>
      </c>
      <c r="M2294" s="84">
        <v>45860</v>
      </c>
      <c r="O2294" s="55">
        <f ca="1" t="shared" si="151"/>
        <v>0</v>
      </c>
      <c r="P2294" s="55">
        <f ca="1" t="shared" si="152"/>
        <v>97</v>
      </c>
      <c r="Q2294" s="22" t="str">
        <f>VLOOKUP(B2294,辅助信息!E:M,9,FALSE)</f>
        <v>ZTWM-CDYXGS-XS-2025-0014-宜宾兴港建材-三江新区长江工业园片区保障性租赁住房建设项目</v>
      </c>
      <c r="R2294" s="22" t="str">
        <f>_xlfn._xlws.FILTER(辅助信息!D:D,辅助信息!E:E=B2294)</f>
        <v>宜宾兴港三江新区长江工业园建设项目</v>
      </c>
    </row>
    <row r="2295" hidden="1" spans="2:18">
      <c r="B2295" s="33" t="s">
        <v>194</v>
      </c>
      <c r="C2295" s="63">
        <v>45855</v>
      </c>
      <c r="D2295" s="33" t="str">
        <f>VLOOKUP(B2295,辅助信息!E:K,7,FALSE)</f>
        <v>JWDD2025071500089</v>
      </c>
      <c r="E2295" s="33" t="str">
        <f>VLOOKUP(F2295,辅助信息!A:B,2,FALSE)</f>
        <v>螺纹钢</v>
      </c>
      <c r="F2295" s="33" t="s">
        <v>19</v>
      </c>
      <c r="G2295" s="29">
        <v>50</v>
      </c>
      <c r="H2295" s="127" t="str">
        <f>_xlfn.XLOOKUP(C2295&amp;F2295&amp;I2295&amp;J2295,'[1]2025年已发货'!$F:$F&amp;'[1]2025年已发货'!$C:$C&amp;'[1]2025年已发货'!$G:$G&amp;'[1]2025年已发货'!$H:$H,'[1]2025年已发货'!$E:$E,"未发货")</f>
        <v>未发货</v>
      </c>
      <c r="I2295" s="33" t="str">
        <f>VLOOKUP(B2295,辅助信息!E:I,3,FALSE)</f>
        <v>(宜宾兴港三江新区长江工业园保障性租赁住房建设项目-土建)四川省宜宾市翠屏区永善路南段宜宾市三江新区长江工业园区</v>
      </c>
      <c r="J2295" s="33" t="str">
        <f>VLOOKUP(B2295,辅助信息!E:I,4,FALSE)</f>
        <v>赵元虎</v>
      </c>
      <c r="K2295" s="33">
        <f>VLOOKUP(J2295,辅助信息!H:I,2,FALSE)</f>
        <v>13684167136</v>
      </c>
      <c r="L2295" s="102" t="str">
        <f>VLOOKUP(B2295,辅助信息!E:J,6,FALSE)</f>
        <v>现场要求调度统一联系指定收货人，不单独发司机位置。锈货不收，装货前联系收货人核实到场规格,没提前告知进场规格现场不给予接收</v>
      </c>
      <c r="M2295" s="84">
        <v>45860</v>
      </c>
      <c r="O2295" s="55">
        <f ca="1" t="shared" si="151"/>
        <v>0</v>
      </c>
      <c r="P2295" s="55">
        <f ca="1" t="shared" si="152"/>
        <v>97</v>
      </c>
      <c r="Q2295" s="22" t="str">
        <f>VLOOKUP(B2295,辅助信息!E:M,9,FALSE)</f>
        <v>ZTWM-CDYXGS-XS-2025-0014-宜宾兴港建材-三江新区长江工业园片区保障性租赁住房建设项目</v>
      </c>
      <c r="R2295" s="22" t="str">
        <f>_xlfn._xlws.FILTER(辅助信息!D:D,辅助信息!E:E=B2295)</f>
        <v>宜宾兴港三江新区长江工业园建设项目</v>
      </c>
    </row>
    <row r="2296" hidden="1" spans="2:18">
      <c r="B2296" s="33" t="s">
        <v>194</v>
      </c>
      <c r="C2296" s="63">
        <v>45855</v>
      </c>
      <c r="D2296" s="33" t="str">
        <f>VLOOKUP(B2296,辅助信息!E:K,7,FALSE)</f>
        <v>JWDD2025071500089</v>
      </c>
      <c r="E2296" s="33" t="str">
        <f>VLOOKUP(F2296,辅助信息!A:B,2,FALSE)</f>
        <v>螺纹钢</v>
      </c>
      <c r="F2296" s="33" t="s">
        <v>32</v>
      </c>
      <c r="G2296" s="29">
        <v>50</v>
      </c>
      <c r="H2296" s="127" t="str">
        <f>_xlfn.XLOOKUP(C2296&amp;F2296&amp;I2296&amp;J2296,'[1]2025年已发货'!$F:$F&amp;'[1]2025年已发货'!$C:$C&amp;'[1]2025年已发货'!$G:$G&amp;'[1]2025年已发货'!$H:$H,'[1]2025年已发货'!$E:$E,"未发货")</f>
        <v>未发货</v>
      </c>
      <c r="I2296" s="33" t="str">
        <f>VLOOKUP(B2296,辅助信息!E:I,3,FALSE)</f>
        <v>(宜宾兴港三江新区长江工业园保障性租赁住房建设项目-土建)四川省宜宾市翠屏区永善路南段宜宾市三江新区长江工业园区</v>
      </c>
      <c r="J2296" s="33" t="str">
        <f>VLOOKUP(B2296,辅助信息!E:I,4,FALSE)</f>
        <v>赵元虎</v>
      </c>
      <c r="K2296" s="33">
        <f>VLOOKUP(J2296,辅助信息!H:I,2,FALSE)</f>
        <v>13684167136</v>
      </c>
      <c r="L2296" s="102" t="str">
        <f>VLOOKUP(B2296,辅助信息!E:J,6,FALSE)</f>
        <v>现场要求调度统一联系指定收货人，不单独发司机位置。锈货不收，装货前联系收货人核实到场规格,没提前告知进场规格现场不给予接收</v>
      </c>
      <c r="M2296" s="84">
        <v>45860</v>
      </c>
      <c r="O2296" s="55">
        <f ca="1" t="shared" si="151"/>
        <v>0</v>
      </c>
      <c r="P2296" s="55">
        <f ca="1" t="shared" si="152"/>
        <v>97</v>
      </c>
      <c r="Q2296" s="22" t="str">
        <f>VLOOKUP(B2296,辅助信息!E:M,9,FALSE)</f>
        <v>ZTWM-CDYXGS-XS-2025-0014-宜宾兴港建材-三江新区长江工业园片区保障性租赁住房建设项目</v>
      </c>
      <c r="R2296" s="22" t="str">
        <f>_xlfn._xlws.FILTER(辅助信息!D:D,辅助信息!E:E=B2296)</f>
        <v>宜宾兴港三江新区长江工业园建设项目</v>
      </c>
    </row>
    <row r="2297" hidden="1" spans="2:18">
      <c r="B2297" s="33" t="s">
        <v>194</v>
      </c>
      <c r="C2297" s="63">
        <v>45855</v>
      </c>
      <c r="D2297" s="33" t="str">
        <f>VLOOKUP(B2297,辅助信息!E:K,7,FALSE)</f>
        <v>JWDD2025071500089</v>
      </c>
      <c r="E2297" s="33" t="str">
        <f>VLOOKUP(F2297,辅助信息!A:B,2,FALSE)</f>
        <v>螺纹钢</v>
      </c>
      <c r="F2297" s="33" t="s">
        <v>30</v>
      </c>
      <c r="G2297" s="29">
        <v>25</v>
      </c>
      <c r="H2297" s="127" t="str">
        <f>_xlfn.XLOOKUP(C2297&amp;F2297&amp;I2297&amp;J2297,'[1]2025年已发货'!$F:$F&amp;'[1]2025年已发货'!$C:$C&amp;'[1]2025年已发货'!$G:$G&amp;'[1]2025年已发货'!$H:$H,'[1]2025年已发货'!$E:$E,"未发货")</f>
        <v>未发货</v>
      </c>
      <c r="I2297" s="33" t="str">
        <f>VLOOKUP(B2297,辅助信息!E:I,3,FALSE)</f>
        <v>(宜宾兴港三江新区长江工业园保障性租赁住房建设项目-土建)四川省宜宾市翠屏区永善路南段宜宾市三江新区长江工业园区</v>
      </c>
      <c r="J2297" s="33" t="str">
        <f>VLOOKUP(B2297,辅助信息!E:I,4,FALSE)</f>
        <v>赵元虎</v>
      </c>
      <c r="K2297" s="33">
        <f>VLOOKUP(J2297,辅助信息!H:I,2,FALSE)</f>
        <v>13684167136</v>
      </c>
      <c r="L2297" s="102" t="str">
        <f>VLOOKUP(B2297,辅助信息!E:J,6,FALSE)</f>
        <v>现场要求调度统一联系指定收货人，不单独发司机位置。锈货不收，装货前联系收货人核实到场规格,没提前告知进场规格现场不给予接收</v>
      </c>
      <c r="M2297" s="84">
        <v>45860</v>
      </c>
      <c r="O2297" s="55">
        <f ca="1" t="shared" si="151"/>
        <v>0</v>
      </c>
      <c r="P2297" s="55">
        <f ca="1" t="shared" si="152"/>
        <v>97</v>
      </c>
      <c r="Q2297" s="22" t="str">
        <f>VLOOKUP(B2297,辅助信息!E:M,9,FALSE)</f>
        <v>ZTWM-CDYXGS-XS-2025-0014-宜宾兴港建材-三江新区长江工业园片区保障性租赁住房建设项目</v>
      </c>
      <c r="R2297" s="22" t="str">
        <f>_xlfn._xlws.FILTER(辅助信息!D:D,辅助信息!E:E=B2297)</f>
        <v>宜宾兴港三江新区长江工业园建设项目</v>
      </c>
    </row>
    <row r="2298" hidden="1" spans="2:18">
      <c r="B2298" s="33" t="s">
        <v>194</v>
      </c>
      <c r="C2298" s="63">
        <v>45855</v>
      </c>
      <c r="D2298" s="33" t="str">
        <f>VLOOKUP(B2298,辅助信息!E:K,7,FALSE)</f>
        <v>JWDD2025071500089</v>
      </c>
      <c r="E2298" s="33" t="str">
        <f>VLOOKUP(F2298,辅助信息!A:B,2,FALSE)</f>
        <v>螺纹钢</v>
      </c>
      <c r="F2298" s="33" t="s">
        <v>28</v>
      </c>
      <c r="G2298" s="29">
        <v>6</v>
      </c>
      <c r="H2298" s="127" t="str">
        <f>_xlfn.XLOOKUP(C2298&amp;F2298&amp;I2298&amp;J2298,'[1]2025年已发货'!$F:$F&amp;'[1]2025年已发货'!$C:$C&amp;'[1]2025年已发货'!$G:$G&amp;'[1]2025年已发货'!$H:$H,'[1]2025年已发货'!$E:$E,"未发货")</f>
        <v>未发货</v>
      </c>
      <c r="I2298" s="33" t="str">
        <f>VLOOKUP(B2298,辅助信息!E:I,3,FALSE)</f>
        <v>(宜宾兴港三江新区长江工业园保障性租赁住房建设项目-土建)四川省宜宾市翠屏区永善路南段宜宾市三江新区长江工业园区</v>
      </c>
      <c r="J2298" s="33" t="str">
        <f>VLOOKUP(B2298,辅助信息!E:I,4,FALSE)</f>
        <v>赵元虎</v>
      </c>
      <c r="K2298" s="33">
        <f>VLOOKUP(J2298,辅助信息!H:I,2,FALSE)</f>
        <v>13684167136</v>
      </c>
      <c r="L2298" s="102" t="str">
        <f>VLOOKUP(B2298,辅助信息!E:J,6,FALSE)</f>
        <v>现场要求调度统一联系指定收货人，不单独发司机位置。锈货不收，装货前联系收货人核实到场规格,没提前告知进场规格现场不给予接收</v>
      </c>
      <c r="M2298" s="84">
        <v>45860</v>
      </c>
      <c r="O2298" s="55">
        <f ca="1" t="shared" si="151"/>
        <v>0</v>
      </c>
      <c r="P2298" s="55">
        <f ca="1" t="shared" si="152"/>
        <v>97</v>
      </c>
      <c r="Q2298" s="22" t="str">
        <f>VLOOKUP(B2298,辅助信息!E:M,9,FALSE)</f>
        <v>ZTWM-CDYXGS-XS-2025-0014-宜宾兴港建材-三江新区长江工业园片区保障性租赁住房建设项目</v>
      </c>
      <c r="R2298" s="22" t="str">
        <f>_xlfn._xlws.FILTER(辅助信息!D:D,辅助信息!E:E=B2298)</f>
        <v>宜宾兴港三江新区长江工业园建设项目</v>
      </c>
    </row>
    <row r="2299" hidden="1" spans="2:18">
      <c r="B2299" s="33" t="s">
        <v>194</v>
      </c>
      <c r="C2299" s="63">
        <v>45855</v>
      </c>
      <c r="D2299" s="33" t="str">
        <f>VLOOKUP(B2299,辅助信息!E:K,7,FALSE)</f>
        <v>JWDD2025071500089</v>
      </c>
      <c r="E2299" s="33" t="str">
        <f>VLOOKUP(F2299,辅助信息!A:B,2,FALSE)</f>
        <v>螺纹钢</v>
      </c>
      <c r="F2299" s="33" t="s">
        <v>18</v>
      </c>
      <c r="G2299" s="29">
        <v>38</v>
      </c>
      <c r="H2299" s="127" t="str">
        <f>_xlfn.XLOOKUP(C2299&amp;F2299&amp;I2299&amp;J2299,'[1]2025年已发货'!$F:$F&amp;'[1]2025年已发货'!$C:$C&amp;'[1]2025年已发货'!$G:$G&amp;'[1]2025年已发货'!$H:$H,'[1]2025年已发货'!$E:$E,"未发货")</f>
        <v>未发货</v>
      </c>
      <c r="I2299" s="33" t="str">
        <f>VLOOKUP(B2299,辅助信息!E:I,3,FALSE)</f>
        <v>(宜宾兴港三江新区长江工业园保障性租赁住房建设项目-土建)四川省宜宾市翠屏区永善路南段宜宾市三江新区长江工业园区</v>
      </c>
      <c r="J2299" s="33" t="str">
        <f>VLOOKUP(B2299,辅助信息!E:I,4,FALSE)</f>
        <v>赵元虎</v>
      </c>
      <c r="K2299" s="33">
        <f>VLOOKUP(J2299,辅助信息!H:I,2,FALSE)</f>
        <v>13684167136</v>
      </c>
      <c r="L2299" s="102" t="str">
        <f>VLOOKUP(B2299,辅助信息!E:J,6,FALSE)</f>
        <v>现场要求调度统一联系指定收货人，不单独发司机位置。锈货不收，装货前联系收货人核实到场规格,没提前告知进场规格现场不给予接收</v>
      </c>
      <c r="M2299" s="84">
        <v>45860</v>
      </c>
      <c r="O2299" s="55">
        <f ca="1" t="shared" si="151"/>
        <v>0</v>
      </c>
      <c r="P2299" s="55">
        <f ca="1" t="shared" si="152"/>
        <v>97</v>
      </c>
      <c r="Q2299" s="22" t="str">
        <f>VLOOKUP(B2299,辅助信息!E:M,9,FALSE)</f>
        <v>ZTWM-CDYXGS-XS-2025-0014-宜宾兴港建材-三江新区长江工业园片区保障性租赁住房建设项目</v>
      </c>
      <c r="R2299" s="22" t="str">
        <f>_xlfn._xlws.FILTER(辅助信息!D:D,辅助信息!E:E=B2299)</f>
        <v>宜宾兴港三江新区长江工业园建设项目</v>
      </c>
    </row>
    <row r="2300" hidden="1" spans="2:18">
      <c r="B2300" s="33" t="s">
        <v>167</v>
      </c>
      <c r="C2300" s="63">
        <v>45856</v>
      </c>
      <c r="D2300" s="33" t="str">
        <f>VLOOKUP(B2300,辅助信息!E:K,7,FALSE)</f>
        <v>JWDDCD2025102100473</v>
      </c>
      <c r="E2300" s="33" t="str">
        <f>VLOOKUP(F2300,辅助信息!A:B,2,FALSE)</f>
        <v>螺纹钢</v>
      </c>
      <c r="F2300" s="33" t="s">
        <v>19</v>
      </c>
      <c r="G2300" s="29">
        <v>12</v>
      </c>
      <c r="H2300" s="127">
        <f>_xlfn.XLOOKUP(C2300&amp;F2300&amp;I2300&amp;J2300,'[1]2025年已发货'!$F:$F&amp;'[1]2025年已发货'!$C:$C&amp;'[1]2025年已发货'!$G:$G&amp;'[1]2025年已发货'!$H:$H,'[1]2025年已发货'!$E:$E,"未发货")</f>
        <v>12</v>
      </c>
      <c r="I2300" s="33" t="str">
        <f>VLOOKUP(B2300,辅助信息!E:I,3,FALSE)</f>
        <v>(五冶建设扩建艺体中学二期工程)四川省成都市双流区光荣路成都艺体中学南200米</v>
      </c>
      <c r="J2300" s="33" t="str">
        <f>VLOOKUP(B2300,辅助信息!E:I,4,FALSE)</f>
        <v>谢序强</v>
      </c>
      <c r="K2300" s="33">
        <f>VLOOKUP(J2300,辅助信息!H:I,2,FALSE)</f>
        <v>13458588232</v>
      </c>
      <c r="L2300" s="102"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84">
        <v>45860</v>
      </c>
      <c r="O2300" s="55">
        <f ca="1" t="shared" si="151"/>
        <v>0</v>
      </c>
      <c r="P2300" s="55">
        <f ca="1" t="shared" si="152"/>
        <v>97</v>
      </c>
      <c r="Q2300" s="22" t="str">
        <f>VLOOKUP(B2300,辅助信息!E:M,9,FALSE)</f>
        <v>ZTWM-CDGS-XS-2025-0073-五冶天府-成都怡心湖片区及龙泉驿医院等项目</v>
      </c>
      <c r="R2300" s="22" t="str">
        <f>_xlfn._xlws.FILTER(辅助信息!D:D,辅助信息!E:E=B2300)</f>
        <v>五冶建设扩建艺体中学二期工程</v>
      </c>
    </row>
    <row r="2301" hidden="1" spans="2:18">
      <c r="B2301" s="33" t="s">
        <v>167</v>
      </c>
      <c r="C2301" s="63">
        <v>45856</v>
      </c>
      <c r="D2301" s="33" t="str">
        <f>VLOOKUP(B2301,辅助信息!E:K,7,FALSE)</f>
        <v>JWDDCD2025102100473</v>
      </c>
      <c r="E2301" s="33" t="str">
        <f>VLOOKUP(F2301,辅助信息!A:B,2,FALSE)</f>
        <v>螺纹钢</v>
      </c>
      <c r="F2301" s="33" t="s">
        <v>32</v>
      </c>
      <c r="G2301" s="29">
        <v>40</v>
      </c>
      <c r="H2301" s="127">
        <f>_xlfn.XLOOKUP(C2301&amp;F2301&amp;I2301&amp;J2301,'[1]2025年已发货'!$F:$F&amp;'[1]2025年已发货'!$C:$C&amp;'[1]2025年已发货'!$G:$G&amp;'[1]2025年已发货'!$H:$H,'[1]2025年已发货'!$E:$E,"未发货")</f>
        <v>40</v>
      </c>
      <c r="I2301" s="33" t="str">
        <f>VLOOKUP(B2301,辅助信息!E:I,3,FALSE)</f>
        <v>(五冶建设扩建艺体中学二期工程)四川省成都市双流区光荣路成都艺体中学南200米</v>
      </c>
      <c r="J2301" s="33" t="str">
        <f>VLOOKUP(B2301,辅助信息!E:I,4,FALSE)</f>
        <v>谢序强</v>
      </c>
      <c r="K2301" s="33">
        <f>VLOOKUP(J2301,辅助信息!H:I,2,FALSE)</f>
        <v>13458588232</v>
      </c>
      <c r="L2301" s="102"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84">
        <v>45860</v>
      </c>
      <c r="O2301" s="55">
        <f ca="1" t="shared" si="151"/>
        <v>0</v>
      </c>
      <c r="P2301" s="55">
        <f ca="1" t="shared" si="152"/>
        <v>97</v>
      </c>
      <c r="Q2301" s="22" t="str">
        <f>VLOOKUP(B2301,辅助信息!E:M,9,FALSE)</f>
        <v>ZTWM-CDGS-XS-2025-0073-五冶天府-成都怡心湖片区及龙泉驿医院等项目</v>
      </c>
      <c r="R2301" s="22" t="str">
        <f>_xlfn._xlws.FILTER(辅助信息!D:D,辅助信息!E:E=B2301)</f>
        <v>五冶建设扩建艺体中学二期工程</v>
      </c>
    </row>
    <row r="2302" hidden="1" spans="2:18">
      <c r="B2302" s="33" t="s">
        <v>167</v>
      </c>
      <c r="C2302" s="63">
        <v>45856</v>
      </c>
      <c r="D2302" s="33" t="str">
        <f>VLOOKUP(B2302,辅助信息!E:K,7,FALSE)</f>
        <v>JWDDCD2025102100473</v>
      </c>
      <c r="E2302" s="33" t="str">
        <f>VLOOKUP(F2302,辅助信息!A:B,2,FALSE)</f>
        <v>螺纹钢</v>
      </c>
      <c r="F2302" s="33" t="s">
        <v>30</v>
      </c>
      <c r="G2302" s="29">
        <f>205-70</f>
        <v>135</v>
      </c>
      <c r="H2302" s="127">
        <f>_xlfn.XLOOKUP(C2302&amp;F2302&amp;I2302&amp;J2302,'[1]2025年已发货'!$F:$F&amp;'[1]2025年已发货'!$C:$C&amp;'[1]2025年已发货'!$G:$G&amp;'[1]2025年已发货'!$H:$H,'[1]2025年已发货'!$E:$E,"未发货")</f>
        <v>70</v>
      </c>
      <c r="I2302" s="33" t="str">
        <f>VLOOKUP(B2302,辅助信息!E:I,3,FALSE)</f>
        <v>(五冶建设扩建艺体中学二期工程)四川省成都市双流区光荣路成都艺体中学南200米</v>
      </c>
      <c r="J2302" s="33" t="str">
        <f>VLOOKUP(B2302,辅助信息!E:I,4,FALSE)</f>
        <v>谢序强</v>
      </c>
      <c r="K2302" s="33">
        <f>VLOOKUP(J2302,辅助信息!H:I,2,FALSE)</f>
        <v>13458588232</v>
      </c>
      <c r="L2302" s="102"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84">
        <v>45860</v>
      </c>
      <c r="O2302" s="55">
        <f ca="1" t="shared" si="151"/>
        <v>0</v>
      </c>
      <c r="P2302" s="55">
        <f ca="1" t="shared" si="152"/>
        <v>97</v>
      </c>
      <c r="Q2302" s="22" t="str">
        <f>VLOOKUP(B2302,辅助信息!E:M,9,FALSE)</f>
        <v>ZTWM-CDGS-XS-2025-0073-五冶天府-成都怡心湖片区及龙泉驿医院等项目</v>
      </c>
      <c r="R2302" s="22" t="str">
        <f>_xlfn._xlws.FILTER(辅助信息!D:D,辅助信息!E:E=B2302)</f>
        <v>五冶建设扩建艺体中学二期工程</v>
      </c>
    </row>
    <row r="2303" hidden="1" spans="2:18">
      <c r="B2303" s="33" t="s">
        <v>167</v>
      </c>
      <c r="C2303" s="63">
        <v>45856</v>
      </c>
      <c r="D2303" s="33" t="str">
        <f>VLOOKUP(B2303,辅助信息!E:K,7,FALSE)</f>
        <v>JWDDCD2025102100473</v>
      </c>
      <c r="E2303" s="33" t="str">
        <f>VLOOKUP(F2303,辅助信息!A:B,2,FALSE)</f>
        <v>螺纹钢</v>
      </c>
      <c r="F2303" s="33" t="s">
        <v>28</v>
      </c>
      <c r="G2303" s="29">
        <v>21</v>
      </c>
      <c r="H2303" s="127">
        <f>_xlfn.XLOOKUP(C2303&amp;F2303&amp;I2303&amp;J2303,'[1]2025年已发货'!$F:$F&amp;'[1]2025年已发货'!$C:$C&amp;'[1]2025年已发货'!$G:$G&amp;'[1]2025年已发货'!$H:$H,'[1]2025年已发货'!$E:$E,"未发货")</f>
        <v>21</v>
      </c>
      <c r="I2303" s="33" t="str">
        <f>VLOOKUP(B2303,辅助信息!E:I,3,FALSE)</f>
        <v>(五冶建设扩建艺体中学二期工程)四川省成都市双流区光荣路成都艺体中学南200米</v>
      </c>
      <c r="J2303" s="33" t="str">
        <f>VLOOKUP(B2303,辅助信息!E:I,4,FALSE)</f>
        <v>谢序强</v>
      </c>
      <c r="K2303" s="33">
        <f>VLOOKUP(J2303,辅助信息!H:I,2,FALSE)</f>
        <v>13458588232</v>
      </c>
      <c r="L2303" s="102"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84">
        <v>45860</v>
      </c>
      <c r="O2303" s="55">
        <f ca="1" t="shared" si="151"/>
        <v>0</v>
      </c>
      <c r="P2303" s="55">
        <f ca="1" t="shared" si="152"/>
        <v>97</v>
      </c>
      <c r="Q2303" s="22" t="str">
        <f>VLOOKUP(B2303,辅助信息!E:M,9,FALSE)</f>
        <v>ZTWM-CDGS-XS-2025-0073-五冶天府-成都怡心湖片区及龙泉驿医院等项目</v>
      </c>
      <c r="R2303" s="22" t="str">
        <f>_xlfn._xlws.FILTER(辅助信息!D:D,辅助信息!E:E=B2303)</f>
        <v>五冶建设扩建艺体中学二期工程</v>
      </c>
    </row>
    <row r="2304" hidden="1" spans="2:18">
      <c r="B2304" s="33" t="s">
        <v>31</v>
      </c>
      <c r="C2304" s="63">
        <v>45856</v>
      </c>
      <c r="D2304" s="33" t="str">
        <f>VLOOKUP(B2304,辅助信息!E:K,7,FALSE)</f>
        <v>JWDDCD2024121000136</v>
      </c>
      <c r="E2304" s="33" t="str">
        <f>VLOOKUP(F2304,辅助信息!A:B,2,FALSE)</f>
        <v>盘螺</v>
      </c>
      <c r="F2304" s="33" t="s">
        <v>49</v>
      </c>
      <c r="G2304" s="29">
        <v>26</v>
      </c>
      <c r="H2304" s="127">
        <f>_xlfn.XLOOKUP(C2304&amp;F2304&amp;I2304&amp;J2304,'[1]2025年已发货'!$F:$F&amp;'[1]2025年已发货'!$C:$C&amp;'[1]2025年已发货'!$G:$G&amp;'[1]2025年已发货'!$H:$H,'[1]2025年已发货'!$E:$E,"未发货")</f>
        <v>26</v>
      </c>
      <c r="I2304" s="33" t="str">
        <f>VLOOKUP(B2304,辅助信息!E:I,3,FALSE)</f>
        <v>（四川商建-射洪城乡一体化项目）遂宁市射洪市忠新幼儿园北侧约220米新溪小区</v>
      </c>
      <c r="J2304" s="33" t="str">
        <f>VLOOKUP(B2304,辅助信息!E:I,4,FALSE)</f>
        <v>柏子刚</v>
      </c>
      <c r="K2304" s="33">
        <f>VLOOKUP(J2304,辅助信息!H:I,2,FALSE)</f>
        <v>15692885305</v>
      </c>
      <c r="L2304" s="102" t="str">
        <f>VLOOKUP(B2304,辅助信息!E:J,6,FALSE)</f>
        <v>提前联系到场规格及数量</v>
      </c>
      <c r="M2304" s="84">
        <v>45860</v>
      </c>
      <c r="O2304" s="55">
        <f ca="1" t="shared" si="151"/>
        <v>0</v>
      </c>
      <c r="P2304" s="55">
        <f ca="1" t="shared" si="152"/>
        <v>97</v>
      </c>
      <c r="Q2304" s="22" t="str">
        <f>VLOOKUP(B2304,辅助信息!E:M,9,FALSE)</f>
        <v>ZTWM-CDGS-XS-2024-0179-四川商投-射洪城乡一体化建设项目</v>
      </c>
      <c r="R2304" s="22" t="str">
        <f>_xlfn._xlws.FILTER(辅助信息!D:D,辅助信息!E:E=B2304)</f>
        <v>四川商建
射洪城乡一体化项目</v>
      </c>
    </row>
    <row r="2305" hidden="1" spans="2:18">
      <c r="B2305" s="33" t="s">
        <v>31</v>
      </c>
      <c r="C2305" s="63">
        <v>45856</v>
      </c>
      <c r="D2305" s="33" t="str">
        <f>VLOOKUP(B2305,辅助信息!E:K,7,FALSE)</f>
        <v>JWDDCD2024121000136</v>
      </c>
      <c r="E2305" s="33" t="str">
        <f>VLOOKUP(F2305,辅助信息!A:B,2,FALSE)</f>
        <v>螺纹钢</v>
      </c>
      <c r="F2305" s="33" t="s">
        <v>18</v>
      </c>
      <c r="G2305" s="29">
        <v>9</v>
      </c>
      <c r="H2305" s="127">
        <f>_xlfn.XLOOKUP(C2305&amp;F2305&amp;I2305&amp;J2305,'[1]2025年已发货'!$F:$F&amp;'[1]2025年已发货'!$C:$C&amp;'[1]2025年已发货'!$G:$G&amp;'[1]2025年已发货'!$H:$H,'[1]2025年已发货'!$E:$E,"未发货")</f>
        <v>9</v>
      </c>
      <c r="I2305" s="33" t="str">
        <f>VLOOKUP(B2305,辅助信息!E:I,3,FALSE)</f>
        <v>（四川商建-射洪城乡一体化项目）遂宁市射洪市忠新幼儿园北侧约220米新溪小区</v>
      </c>
      <c r="J2305" s="33" t="str">
        <f>VLOOKUP(B2305,辅助信息!E:I,4,FALSE)</f>
        <v>柏子刚</v>
      </c>
      <c r="K2305" s="33">
        <f>VLOOKUP(J2305,辅助信息!H:I,2,FALSE)</f>
        <v>15692885305</v>
      </c>
      <c r="L2305" s="102" t="str">
        <f>VLOOKUP(B2305,辅助信息!E:J,6,FALSE)</f>
        <v>提前联系到场规格及数量</v>
      </c>
      <c r="M2305" s="84">
        <v>45860</v>
      </c>
      <c r="O2305" s="55">
        <f ca="1" t="shared" si="151"/>
        <v>0</v>
      </c>
      <c r="P2305" s="55">
        <f ca="1" t="shared" si="152"/>
        <v>97</v>
      </c>
      <c r="Q2305" s="22" t="str">
        <f>VLOOKUP(B2305,辅助信息!E:M,9,FALSE)</f>
        <v>ZTWM-CDGS-XS-2024-0179-四川商投-射洪城乡一体化建设项目</v>
      </c>
      <c r="R2305" s="22" t="str">
        <f>_xlfn._xlws.FILTER(辅助信息!D:D,辅助信息!E:E=B2305)</f>
        <v>四川商建
射洪城乡一体化项目</v>
      </c>
    </row>
    <row r="2306" hidden="1" spans="2:18">
      <c r="B2306" s="33" t="s">
        <v>196</v>
      </c>
      <c r="C2306" s="63">
        <v>45857</v>
      </c>
      <c r="D2306" s="33" t="str">
        <f>VLOOKUP(B2306,辅助信息!E:K,7,FALSE)</f>
        <v>JWDDCD2025102100476</v>
      </c>
      <c r="E2306" s="33" t="str">
        <f>VLOOKUP(F2306,辅助信息!A:B,2,FALSE)</f>
        <v>盘螺</v>
      </c>
      <c r="F2306" s="33" t="s">
        <v>49</v>
      </c>
      <c r="G2306" s="29">
        <v>2.5</v>
      </c>
      <c r="H2306" s="127">
        <v>2.5</v>
      </c>
      <c r="I2306" s="33" t="str">
        <f>VLOOKUP(B2306,辅助信息!E:I,3,FALSE)</f>
        <v>(五冶建设师大附中外语校新建教学楼工程)四川省成都市成华区大观堰2号(四川师范大学附属中学外国语学校)</v>
      </c>
      <c r="J2306" s="33" t="str">
        <f>VLOOKUP(B2306,辅助信息!E:I,4,FALSE)</f>
        <v>蔡浩</v>
      </c>
      <c r="K2306" s="33">
        <f>VLOOKUP(J2306,辅助信息!H:I,2,FALSE)</f>
        <v>13980880820</v>
      </c>
      <c r="L2306" s="102"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84">
        <v>45860</v>
      </c>
      <c r="O2306" s="55">
        <f ca="1" t="shared" si="151"/>
        <v>0</v>
      </c>
      <c r="P2306" s="55">
        <f ca="1" t="shared" si="152"/>
        <v>97</v>
      </c>
      <c r="Q2306" s="22" t="str">
        <f>VLOOKUP(B2306,辅助信息!E:M,9,FALSE)</f>
        <v>ZTWM-CDGS-XS-2025-0073-五冶天府-成都怡心湖片区及龙泉驿医院等项目</v>
      </c>
      <c r="R2306" s="22" t="str">
        <f>_xlfn._xlws.FILTER(辅助信息!D:D,辅助信息!E:E=B2306)</f>
        <v>五冶建设师大附中外语校新建教学楼工程</v>
      </c>
    </row>
    <row r="2307" hidden="1" spans="2:18">
      <c r="B2307" s="33" t="s">
        <v>196</v>
      </c>
      <c r="C2307" s="63">
        <v>45857</v>
      </c>
      <c r="D2307" s="33" t="str">
        <f>VLOOKUP(B2307,辅助信息!E:K,7,FALSE)</f>
        <v>JWDDCD2025102100476</v>
      </c>
      <c r="E2307" s="33" t="str">
        <f>VLOOKUP(F2307,辅助信息!A:B,2,FALSE)</f>
        <v>盘螺</v>
      </c>
      <c r="F2307" s="33" t="s">
        <v>40</v>
      </c>
      <c r="G2307" s="29">
        <v>5</v>
      </c>
      <c r="H2307" s="127">
        <v>5</v>
      </c>
      <c r="I2307" s="33" t="str">
        <f>VLOOKUP(B2307,辅助信息!E:I,3,FALSE)</f>
        <v>(五冶建设师大附中外语校新建教学楼工程)四川省成都市成华区大观堰2号(四川师范大学附属中学外国语学校)</v>
      </c>
      <c r="J2307" s="33" t="str">
        <f>VLOOKUP(B2307,辅助信息!E:I,4,FALSE)</f>
        <v>蔡浩</v>
      </c>
      <c r="K2307" s="33">
        <f>VLOOKUP(J2307,辅助信息!H:I,2,FALSE)</f>
        <v>13980880820</v>
      </c>
      <c r="L2307" s="102"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84">
        <v>45860</v>
      </c>
      <c r="O2307" s="55">
        <f ca="1" t="shared" si="151"/>
        <v>0</v>
      </c>
      <c r="P2307" s="55">
        <f ca="1" t="shared" si="152"/>
        <v>97</v>
      </c>
      <c r="Q2307" s="22" t="str">
        <f>VLOOKUP(B2307,辅助信息!E:M,9,FALSE)</f>
        <v>ZTWM-CDGS-XS-2025-0073-五冶天府-成都怡心湖片区及龙泉驿医院等项目</v>
      </c>
      <c r="R2307" s="22" t="str">
        <f>_xlfn._xlws.FILTER(辅助信息!D:D,辅助信息!E:E=B2307)</f>
        <v>五冶建设师大附中外语校新建教学楼工程</v>
      </c>
    </row>
    <row r="2308" hidden="1" spans="2:18">
      <c r="B2308" s="33" t="s">
        <v>196</v>
      </c>
      <c r="C2308" s="63">
        <v>45857</v>
      </c>
      <c r="D2308" s="33" t="str">
        <f>VLOOKUP(B2308,辅助信息!E:K,7,FALSE)</f>
        <v>JWDDCD2025102100476</v>
      </c>
      <c r="E2308" s="33" t="str">
        <f>VLOOKUP(F2308,辅助信息!A:B,2,FALSE)</f>
        <v>盘螺</v>
      </c>
      <c r="F2308" s="33" t="s">
        <v>41</v>
      </c>
      <c r="G2308" s="29">
        <v>2.5</v>
      </c>
      <c r="H2308" s="127">
        <v>2.5</v>
      </c>
      <c r="I2308" s="33" t="str">
        <f>VLOOKUP(B2308,辅助信息!E:I,3,FALSE)</f>
        <v>(五冶建设师大附中外语校新建教学楼工程)四川省成都市成华区大观堰2号(四川师范大学附属中学外国语学校)</v>
      </c>
      <c r="J2308" s="33" t="str">
        <f>VLOOKUP(B2308,辅助信息!E:I,4,FALSE)</f>
        <v>蔡浩</v>
      </c>
      <c r="K2308" s="33">
        <f>VLOOKUP(J2308,辅助信息!H:I,2,FALSE)</f>
        <v>13980880820</v>
      </c>
      <c r="L2308" s="102"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84">
        <v>45860</v>
      </c>
      <c r="O2308" s="55">
        <f ca="1" t="shared" si="151"/>
        <v>0</v>
      </c>
      <c r="P2308" s="55">
        <f ca="1" t="shared" si="152"/>
        <v>97</v>
      </c>
      <c r="Q2308" s="22" t="str">
        <f>VLOOKUP(B2308,辅助信息!E:M,9,FALSE)</f>
        <v>ZTWM-CDGS-XS-2025-0073-五冶天府-成都怡心湖片区及龙泉驿医院等项目</v>
      </c>
      <c r="R2308" s="22" t="str">
        <f>_xlfn._xlws.FILTER(辅助信息!D:D,辅助信息!E:E=B2308)</f>
        <v>五冶建设师大附中外语校新建教学楼工程</v>
      </c>
    </row>
    <row r="2309" hidden="1" spans="2:18">
      <c r="B2309" s="33" t="s">
        <v>196</v>
      </c>
      <c r="C2309" s="63">
        <v>45857</v>
      </c>
      <c r="D2309" s="33" t="str">
        <f>VLOOKUP(B2309,辅助信息!E:K,7,FALSE)</f>
        <v>JWDDCD2025102100476</v>
      </c>
      <c r="E2309" s="33" t="str">
        <f>VLOOKUP(F2309,辅助信息!A:B,2,FALSE)</f>
        <v>螺纹钢</v>
      </c>
      <c r="F2309" s="33" t="s">
        <v>27</v>
      </c>
      <c r="G2309" s="29">
        <v>40</v>
      </c>
      <c r="H2309" s="127">
        <v>40</v>
      </c>
      <c r="I2309" s="33" t="str">
        <f>VLOOKUP(B2309,辅助信息!E:I,3,FALSE)</f>
        <v>(五冶建设师大附中外语校新建教学楼工程)四川省成都市成华区大观堰2号(四川师范大学附属中学外国语学校)</v>
      </c>
      <c r="J2309" s="33" t="str">
        <f>VLOOKUP(B2309,辅助信息!E:I,4,FALSE)</f>
        <v>蔡浩</v>
      </c>
      <c r="K2309" s="33">
        <f>VLOOKUP(J2309,辅助信息!H:I,2,FALSE)</f>
        <v>13980880820</v>
      </c>
      <c r="L2309" s="102"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84">
        <v>45860</v>
      </c>
      <c r="O2309" s="55">
        <f ca="1" t="shared" si="151"/>
        <v>0</v>
      </c>
      <c r="P2309" s="55">
        <f ca="1" t="shared" si="152"/>
        <v>97</v>
      </c>
      <c r="Q2309" s="22" t="str">
        <f>VLOOKUP(B2309,辅助信息!E:M,9,FALSE)</f>
        <v>ZTWM-CDGS-XS-2025-0073-五冶天府-成都怡心湖片区及龙泉驿医院等项目</v>
      </c>
      <c r="R2309" s="22" t="str">
        <f>_xlfn._xlws.FILTER(辅助信息!D:D,辅助信息!E:E=B2309)</f>
        <v>五冶建设师大附中外语校新建教学楼工程</v>
      </c>
    </row>
    <row r="2310" hidden="1" spans="2:18">
      <c r="B2310" s="33" t="s">
        <v>196</v>
      </c>
      <c r="C2310" s="63">
        <v>45857</v>
      </c>
      <c r="D2310" s="33" t="str">
        <f>VLOOKUP(B2310,辅助信息!E:K,7,FALSE)</f>
        <v>JWDDCD2025102100476</v>
      </c>
      <c r="E2310" s="33" t="str">
        <f>VLOOKUP(F2310,辅助信息!A:B,2,FALSE)</f>
        <v>螺纹钢</v>
      </c>
      <c r="F2310" s="33" t="s">
        <v>19</v>
      </c>
      <c r="G2310" s="29">
        <v>70</v>
      </c>
      <c r="H2310" s="127">
        <v>70</v>
      </c>
      <c r="I2310" s="33" t="str">
        <f>VLOOKUP(B2310,辅助信息!E:I,3,FALSE)</f>
        <v>(五冶建设师大附中外语校新建教学楼工程)四川省成都市成华区大观堰2号(四川师范大学附属中学外国语学校)</v>
      </c>
      <c r="J2310" s="33" t="str">
        <f>VLOOKUP(B2310,辅助信息!E:I,4,FALSE)</f>
        <v>蔡浩</v>
      </c>
      <c r="K2310" s="33">
        <f>VLOOKUP(J2310,辅助信息!H:I,2,FALSE)</f>
        <v>13980880820</v>
      </c>
      <c r="L2310" s="102"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84">
        <v>45860</v>
      </c>
      <c r="O2310" s="55">
        <f ca="1" t="shared" si="151"/>
        <v>0</v>
      </c>
      <c r="P2310" s="55">
        <f ca="1" t="shared" si="152"/>
        <v>97</v>
      </c>
      <c r="Q2310" s="22" t="str">
        <f>VLOOKUP(B2310,辅助信息!E:M,9,FALSE)</f>
        <v>ZTWM-CDGS-XS-2025-0073-五冶天府-成都怡心湖片区及龙泉驿医院等项目</v>
      </c>
      <c r="R2310" s="22" t="str">
        <f>_xlfn._xlws.FILTER(辅助信息!D:D,辅助信息!E:E=B2310)</f>
        <v>五冶建设师大附中外语校新建教学楼工程</v>
      </c>
    </row>
    <row r="2311" hidden="1" spans="2:18">
      <c r="B2311" s="33" t="s">
        <v>196</v>
      </c>
      <c r="C2311" s="63">
        <v>45857</v>
      </c>
      <c r="D2311" s="33" t="str">
        <f>VLOOKUP(B2311,辅助信息!E:K,7,FALSE)</f>
        <v>JWDDCD2025102100476</v>
      </c>
      <c r="E2311" s="33" t="str">
        <f>VLOOKUP(F2311,辅助信息!A:B,2,FALSE)</f>
        <v>螺纹钢</v>
      </c>
      <c r="F2311" s="33" t="s">
        <v>32</v>
      </c>
      <c r="G2311" s="29">
        <v>15</v>
      </c>
      <c r="H2311" s="127">
        <v>15</v>
      </c>
      <c r="I2311" s="33" t="str">
        <f>VLOOKUP(B2311,辅助信息!E:I,3,FALSE)</f>
        <v>(五冶建设师大附中外语校新建教学楼工程)四川省成都市成华区大观堰2号(四川师范大学附属中学外国语学校)</v>
      </c>
      <c r="J2311" s="33" t="str">
        <f>VLOOKUP(B2311,辅助信息!E:I,4,FALSE)</f>
        <v>蔡浩</v>
      </c>
      <c r="K2311" s="33">
        <f>VLOOKUP(J2311,辅助信息!H:I,2,FALSE)</f>
        <v>13980880820</v>
      </c>
      <c r="L2311" s="102"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84">
        <v>45860</v>
      </c>
      <c r="O2311" s="55">
        <f ca="1" t="shared" si="151"/>
        <v>0</v>
      </c>
      <c r="P2311" s="55">
        <f ca="1" t="shared" si="152"/>
        <v>97</v>
      </c>
      <c r="Q2311" s="22" t="str">
        <f>VLOOKUP(B2311,辅助信息!E:M,9,FALSE)</f>
        <v>ZTWM-CDGS-XS-2025-0073-五冶天府-成都怡心湖片区及龙泉驿医院等项目</v>
      </c>
      <c r="R2311" s="22" t="str">
        <f>_xlfn._xlws.FILTER(辅助信息!D:D,辅助信息!E:E=B2311)</f>
        <v>五冶建设师大附中外语校新建教学楼工程</v>
      </c>
    </row>
    <row r="2312" hidden="1" spans="2:18">
      <c r="B2312" s="33" t="s">
        <v>196</v>
      </c>
      <c r="C2312" s="63">
        <v>45857</v>
      </c>
      <c r="D2312" s="33" t="str">
        <f>VLOOKUP(B2312,辅助信息!E:K,7,FALSE)</f>
        <v>JWDDCD2025102100476</v>
      </c>
      <c r="E2312" s="33" t="str">
        <f>VLOOKUP(F2312,辅助信息!A:B,2,FALSE)</f>
        <v>螺纹钢</v>
      </c>
      <c r="F2312" s="33" t="s">
        <v>30</v>
      </c>
      <c r="G2312" s="29">
        <v>30</v>
      </c>
      <c r="H2312" s="127">
        <v>30</v>
      </c>
      <c r="I2312" s="33" t="str">
        <f>VLOOKUP(B2312,辅助信息!E:I,3,FALSE)</f>
        <v>(五冶建设师大附中外语校新建教学楼工程)四川省成都市成华区大观堰2号(四川师范大学附属中学外国语学校)</v>
      </c>
      <c r="J2312" s="33" t="str">
        <f>VLOOKUP(B2312,辅助信息!E:I,4,FALSE)</f>
        <v>蔡浩</v>
      </c>
      <c r="K2312" s="33">
        <f>VLOOKUP(J2312,辅助信息!H:I,2,FALSE)</f>
        <v>13980880820</v>
      </c>
      <c r="L2312" s="102"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84">
        <v>45860</v>
      </c>
      <c r="O2312" s="55">
        <f ca="1" t="shared" si="151"/>
        <v>0</v>
      </c>
      <c r="P2312" s="55">
        <f ca="1" t="shared" si="152"/>
        <v>97</v>
      </c>
      <c r="Q2312" s="22" t="str">
        <f>VLOOKUP(B2312,辅助信息!E:M,9,FALSE)</f>
        <v>ZTWM-CDGS-XS-2025-0073-五冶天府-成都怡心湖片区及龙泉驿医院等项目</v>
      </c>
      <c r="R2312" s="22" t="str">
        <f>_xlfn._xlws.FILTER(辅助信息!D:D,辅助信息!E:E=B2312)</f>
        <v>五冶建设师大附中外语校新建教学楼工程</v>
      </c>
    </row>
    <row r="2313" hidden="1" spans="2:18">
      <c r="B2313" s="33" t="s">
        <v>196</v>
      </c>
      <c r="C2313" s="63">
        <v>45857</v>
      </c>
      <c r="D2313" s="33" t="str">
        <f>VLOOKUP(B2313,辅助信息!E:K,7,FALSE)</f>
        <v>JWDDCD2025102100476</v>
      </c>
      <c r="E2313" s="33" t="str">
        <f>VLOOKUP(F2313,辅助信息!A:B,2,FALSE)</f>
        <v>螺纹钢</v>
      </c>
      <c r="F2313" s="33" t="s">
        <v>33</v>
      </c>
      <c r="G2313" s="29">
        <v>10</v>
      </c>
      <c r="H2313" s="127">
        <v>10</v>
      </c>
      <c r="I2313" s="33" t="str">
        <f>VLOOKUP(B2313,辅助信息!E:I,3,FALSE)</f>
        <v>(五冶建设师大附中外语校新建教学楼工程)四川省成都市成华区大观堰2号(四川师范大学附属中学外国语学校)</v>
      </c>
      <c r="J2313" s="33" t="str">
        <f>VLOOKUP(B2313,辅助信息!E:I,4,FALSE)</f>
        <v>蔡浩</v>
      </c>
      <c r="K2313" s="33">
        <f>VLOOKUP(J2313,辅助信息!H:I,2,FALSE)</f>
        <v>13980880820</v>
      </c>
      <c r="L2313" s="102"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84">
        <v>45860</v>
      </c>
      <c r="O2313" s="55">
        <f ca="1" t="shared" si="151"/>
        <v>0</v>
      </c>
      <c r="P2313" s="55">
        <f ca="1" t="shared" si="152"/>
        <v>97</v>
      </c>
      <c r="Q2313" s="22" t="str">
        <f>VLOOKUP(B2313,辅助信息!E:M,9,FALSE)</f>
        <v>ZTWM-CDGS-XS-2025-0073-五冶天府-成都怡心湖片区及龙泉驿医院等项目</v>
      </c>
      <c r="R2313" s="22" t="str">
        <f>_xlfn._xlws.FILTER(辅助信息!D:D,辅助信息!E:E=B2313)</f>
        <v>五冶建设师大附中外语校新建教学楼工程</v>
      </c>
    </row>
    <row r="2314" hidden="1" spans="2:18">
      <c r="B2314" s="33" t="s">
        <v>196</v>
      </c>
      <c r="C2314" s="63">
        <v>45857</v>
      </c>
      <c r="D2314" s="33" t="str">
        <f>VLOOKUP(B2314,辅助信息!E:K,7,FALSE)</f>
        <v>JWDDCD2025102100476</v>
      </c>
      <c r="E2314" s="33" t="str">
        <f>VLOOKUP(F2314,辅助信息!A:B,2,FALSE)</f>
        <v>螺纹钢</v>
      </c>
      <c r="F2314" s="33" t="s">
        <v>28</v>
      </c>
      <c r="G2314" s="29">
        <v>10</v>
      </c>
      <c r="H2314" s="127">
        <v>10</v>
      </c>
      <c r="I2314" s="33" t="str">
        <f>VLOOKUP(B2314,辅助信息!E:I,3,FALSE)</f>
        <v>(五冶建设师大附中外语校新建教学楼工程)四川省成都市成华区大观堰2号(四川师范大学附属中学外国语学校)</v>
      </c>
      <c r="J2314" s="33" t="str">
        <f>VLOOKUP(B2314,辅助信息!E:I,4,FALSE)</f>
        <v>蔡浩</v>
      </c>
      <c r="K2314" s="33">
        <f>VLOOKUP(J2314,辅助信息!H:I,2,FALSE)</f>
        <v>13980880820</v>
      </c>
      <c r="L2314" s="102"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84">
        <v>45860</v>
      </c>
      <c r="O2314" s="55">
        <f ca="1" t="shared" si="151"/>
        <v>0</v>
      </c>
      <c r="P2314" s="55">
        <f ca="1" t="shared" si="152"/>
        <v>97</v>
      </c>
      <c r="Q2314" s="22" t="str">
        <f>VLOOKUP(B2314,辅助信息!E:M,9,FALSE)</f>
        <v>ZTWM-CDGS-XS-2025-0073-五冶天府-成都怡心湖片区及龙泉驿医院等项目</v>
      </c>
      <c r="R2314" s="22" t="str">
        <f>_xlfn._xlws.FILTER(辅助信息!D:D,辅助信息!E:E=B2314)</f>
        <v>五冶建设师大附中外语校新建教学楼工程</v>
      </c>
    </row>
    <row r="2315" hidden="1" spans="2:18">
      <c r="B2315" s="33" t="s">
        <v>196</v>
      </c>
      <c r="C2315" s="63">
        <v>45857</v>
      </c>
      <c r="D2315" s="33" t="str">
        <f>VLOOKUP(B2315,辅助信息!E:K,7,FALSE)</f>
        <v>JWDDCD2025102100476</v>
      </c>
      <c r="E2315" s="33" t="str">
        <f>VLOOKUP(F2315,辅助信息!A:B,2,FALSE)</f>
        <v>螺纹钢</v>
      </c>
      <c r="F2315" s="33" t="s">
        <v>18</v>
      </c>
      <c r="G2315" s="29">
        <v>20</v>
      </c>
      <c r="H2315" s="127">
        <v>20</v>
      </c>
      <c r="I2315" s="33" t="str">
        <f>VLOOKUP(B2315,辅助信息!E:I,3,FALSE)</f>
        <v>(五冶建设师大附中外语校新建教学楼工程)四川省成都市成华区大观堰2号(四川师范大学附属中学外国语学校)</v>
      </c>
      <c r="J2315" s="33" t="str">
        <f>VLOOKUP(B2315,辅助信息!E:I,4,FALSE)</f>
        <v>蔡浩</v>
      </c>
      <c r="K2315" s="33">
        <f>VLOOKUP(J2315,辅助信息!H:I,2,FALSE)</f>
        <v>13980880820</v>
      </c>
      <c r="L2315" s="102"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84">
        <v>45860</v>
      </c>
      <c r="O2315" s="55">
        <f ca="1" t="shared" si="151"/>
        <v>0</v>
      </c>
      <c r="P2315" s="55">
        <f ca="1" t="shared" si="152"/>
        <v>97</v>
      </c>
      <c r="Q2315" s="22" t="str">
        <f>VLOOKUP(B2315,辅助信息!E:M,9,FALSE)</f>
        <v>ZTWM-CDGS-XS-2025-0073-五冶天府-成都怡心湖片区及龙泉驿医院等项目</v>
      </c>
      <c r="R2315" s="22" t="str">
        <f>_xlfn._xlws.FILTER(辅助信息!D:D,辅助信息!E:E=B2315)</f>
        <v>五冶建设师大附中外语校新建教学楼工程</v>
      </c>
    </row>
    <row r="2316" hidden="1" spans="2:18">
      <c r="B2316" s="33" t="s">
        <v>196</v>
      </c>
      <c r="C2316" s="63">
        <v>45857</v>
      </c>
      <c r="D2316" s="33" t="str">
        <f>VLOOKUP(B2316,辅助信息!E:K,7,FALSE)</f>
        <v>JWDDCD2025102100476</v>
      </c>
      <c r="E2316" s="33" t="str">
        <f>VLOOKUP(F2316,辅助信息!A:B,2,FALSE)</f>
        <v>螺纹钢</v>
      </c>
      <c r="F2316" s="33" t="s">
        <v>65</v>
      </c>
      <c r="G2316" s="29">
        <v>12.5</v>
      </c>
      <c r="H2316" s="127">
        <v>12.5</v>
      </c>
      <c r="I2316" s="33" t="str">
        <f>VLOOKUP(B2316,辅助信息!E:I,3,FALSE)</f>
        <v>(五冶建设师大附中外语校新建教学楼工程)四川省成都市成华区大观堰2号(四川师范大学附属中学外国语学校)</v>
      </c>
      <c r="J2316" s="33" t="str">
        <f>VLOOKUP(B2316,辅助信息!E:I,4,FALSE)</f>
        <v>蔡浩</v>
      </c>
      <c r="K2316" s="33">
        <f>VLOOKUP(J2316,辅助信息!H:I,2,FALSE)</f>
        <v>13980880820</v>
      </c>
      <c r="L2316" s="102"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84">
        <v>45860</v>
      </c>
      <c r="O2316" s="55">
        <f ca="1" t="shared" si="151"/>
        <v>0</v>
      </c>
      <c r="P2316" s="55">
        <f ca="1" t="shared" si="152"/>
        <v>97</v>
      </c>
      <c r="Q2316" s="22" t="str">
        <f>VLOOKUP(B2316,辅助信息!E:M,9,FALSE)</f>
        <v>ZTWM-CDGS-XS-2025-0073-五冶天府-成都怡心湖片区及龙泉驿医院等项目</v>
      </c>
      <c r="R2316" s="22" t="str">
        <f>_xlfn._xlws.FILTER(辅助信息!D:D,辅助信息!E:E=B2316)</f>
        <v>五冶建设师大附中外语校新建教学楼工程</v>
      </c>
    </row>
    <row r="2317" hidden="1" spans="2:18">
      <c r="B2317" s="33" t="s">
        <v>196</v>
      </c>
      <c r="C2317" s="63">
        <v>45857</v>
      </c>
      <c r="D2317" s="33" t="str">
        <f>VLOOKUP(B2317,辅助信息!E:K,7,FALSE)</f>
        <v>JWDDCD2025102100476</v>
      </c>
      <c r="E2317" s="33" t="str">
        <f>VLOOKUP(F2317,辅助信息!A:B,2,FALSE)</f>
        <v>螺纹钢</v>
      </c>
      <c r="F2317" s="33" t="s">
        <v>45</v>
      </c>
      <c r="G2317" s="29">
        <v>2.5</v>
      </c>
      <c r="H2317" s="127">
        <v>2.5</v>
      </c>
      <c r="I2317" s="33" t="str">
        <f>VLOOKUP(B2317,辅助信息!E:I,3,FALSE)</f>
        <v>(五冶建设师大附中外语校新建教学楼工程)四川省成都市成华区大观堰2号(四川师范大学附属中学外国语学校)</v>
      </c>
      <c r="J2317" s="33" t="str">
        <f>VLOOKUP(B2317,辅助信息!E:I,4,FALSE)</f>
        <v>蔡浩</v>
      </c>
      <c r="K2317" s="33">
        <f>VLOOKUP(J2317,辅助信息!H:I,2,FALSE)</f>
        <v>13980880820</v>
      </c>
      <c r="L2317" s="102"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84">
        <v>45860</v>
      </c>
      <c r="O2317" s="55">
        <f ca="1" t="shared" si="151"/>
        <v>0</v>
      </c>
      <c r="P2317" s="55">
        <f ca="1" t="shared" si="152"/>
        <v>97</v>
      </c>
      <c r="Q2317" s="22" t="str">
        <f>VLOOKUP(B2317,辅助信息!E:M,9,FALSE)</f>
        <v>ZTWM-CDGS-XS-2025-0073-五冶天府-成都怡心湖片区及龙泉驿医院等项目</v>
      </c>
      <c r="R2317" s="22" t="str">
        <f>_xlfn._xlws.FILTER(辅助信息!D:D,辅助信息!E:E=B2317)</f>
        <v>五冶建设师大附中外语校新建教学楼工程</v>
      </c>
    </row>
    <row r="2318" hidden="1" spans="2:18">
      <c r="B2318" s="33" t="s">
        <v>196</v>
      </c>
      <c r="C2318" s="63">
        <v>45857</v>
      </c>
      <c r="D2318" s="33" t="str">
        <f>VLOOKUP(B2318,辅助信息!E:K,7,FALSE)</f>
        <v>JWDDCD2025102100476</v>
      </c>
      <c r="E2318" s="33" t="str">
        <f>VLOOKUP(F2318,辅助信息!A:B,2,FALSE)</f>
        <v>螺纹钢</v>
      </c>
      <c r="F2318" s="33" t="s">
        <v>21</v>
      </c>
      <c r="G2318" s="29">
        <v>2.5</v>
      </c>
      <c r="H2318" s="127">
        <v>2.5</v>
      </c>
      <c r="I2318" s="33" t="str">
        <f>VLOOKUP(B2318,辅助信息!E:I,3,FALSE)</f>
        <v>(五冶建设师大附中外语校新建教学楼工程)四川省成都市成华区大观堰2号(四川师范大学附属中学外国语学校)</v>
      </c>
      <c r="J2318" s="33" t="str">
        <f>VLOOKUP(B2318,辅助信息!E:I,4,FALSE)</f>
        <v>蔡浩</v>
      </c>
      <c r="K2318" s="33">
        <f>VLOOKUP(J2318,辅助信息!H:I,2,FALSE)</f>
        <v>13980880820</v>
      </c>
      <c r="L2318" s="102"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84">
        <v>45860</v>
      </c>
      <c r="O2318" s="55">
        <f ca="1" t="shared" si="151"/>
        <v>0</v>
      </c>
      <c r="P2318" s="55">
        <f ca="1" t="shared" si="152"/>
        <v>97</v>
      </c>
      <c r="Q2318" s="22" t="str">
        <f>VLOOKUP(B2318,辅助信息!E:M,9,FALSE)</f>
        <v>ZTWM-CDGS-XS-2025-0073-五冶天府-成都怡心湖片区及龙泉驿医院等项目</v>
      </c>
      <c r="R2318" s="22" t="str">
        <f>_xlfn._xlws.FILTER(辅助信息!D:D,辅助信息!E:E=B2318)</f>
        <v>五冶建设师大附中外语校新建教学楼工程</v>
      </c>
    </row>
    <row r="2319" hidden="1" spans="2:18">
      <c r="B2319" s="33" t="s">
        <v>196</v>
      </c>
      <c r="C2319" s="63">
        <v>45857</v>
      </c>
      <c r="D2319" s="33" t="str">
        <f>VLOOKUP(B2319,辅助信息!E:K,7,FALSE)</f>
        <v>JWDDCD2025102100476</v>
      </c>
      <c r="E2319" s="33" t="str">
        <f>VLOOKUP(F2319,辅助信息!A:B,2,FALSE)</f>
        <v>螺纹钢</v>
      </c>
      <c r="F2319" s="33" t="s">
        <v>58</v>
      </c>
      <c r="G2319" s="29">
        <v>2.5</v>
      </c>
      <c r="H2319" s="127">
        <v>2.5</v>
      </c>
      <c r="I2319" s="33" t="str">
        <f>VLOOKUP(B2319,辅助信息!E:I,3,FALSE)</f>
        <v>(五冶建设师大附中外语校新建教学楼工程)四川省成都市成华区大观堰2号(四川师范大学附属中学外国语学校)</v>
      </c>
      <c r="J2319" s="33" t="str">
        <f>VLOOKUP(B2319,辅助信息!E:I,4,FALSE)</f>
        <v>蔡浩</v>
      </c>
      <c r="K2319" s="33">
        <f>VLOOKUP(J2319,辅助信息!H:I,2,FALSE)</f>
        <v>13980880820</v>
      </c>
      <c r="L2319" s="102"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84">
        <v>45860</v>
      </c>
      <c r="O2319" s="55">
        <f ca="1" t="shared" si="151"/>
        <v>0</v>
      </c>
      <c r="P2319" s="55">
        <f ca="1" t="shared" si="152"/>
        <v>97</v>
      </c>
      <c r="Q2319" s="22" t="str">
        <f>VLOOKUP(B2319,辅助信息!E:M,9,FALSE)</f>
        <v>ZTWM-CDGS-XS-2025-0073-五冶天府-成都怡心湖片区及龙泉驿医院等项目</v>
      </c>
      <c r="R2319" s="22" t="str">
        <f>_xlfn._xlws.FILTER(辅助信息!D:D,辅助信息!E:E=B2319)</f>
        <v>五冶建设师大附中外语校新建教学楼工程</v>
      </c>
    </row>
    <row r="2320" hidden="1" spans="2:18">
      <c r="B2320" s="33" t="s">
        <v>196</v>
      </c>
      <c r="C2320" s="63">
        <v>45857</v>
      </c>
      <c r="D2320" s="33" t="str">
        <f>VLOOKUP(B2320,辅助信息!E:K,7,FALSE)</f>
        <v>JWDDCD2025102100476</v>
      </c>
      <c r="E2320" s="33" t="str">
        <f>VLOOKUP(F2320,辅助信息!A:B,2,FALSE)</f>
        <v>螺纹钢</v>
      </c>
      <c r="F2320" s="33" t="s">
        <v>46</v>
      </c>
      <c r="G2320" s="29">
        <v>2.5</v>
      </c>
      <c r="H2320" s="127">
        <v>2.5</v>
      </c>
      <c r="I2320" s="33" t="str">
        <f>VLOOKUP(B2320,辅助信息!E:I,3,FALSE)</f>
        <v>(五冶建设师大附中外语校新建教学楼工程)四川省成都市成华区大观堰2号(四川师范大学附属中学外国语学校)</v>
      </c>
      <c r="J2320" s="33" t="str">
        <f>VLOOKUP(B2320,辅助信息!E:I,4,FALSE)</f>
        <v>蔡浩</v>
      </c>
      <c r="K2320" s="33">
        <f>VLOOKUP(J2320,辅助信息!H:I,2,FALSE)</f>
        <v>13980880820</v>
      </c>
      <c r="L2320" s="102"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84">
        <v>45860</v>
      </c>
      <c r="O2320" s="55">
        <f ca="1" t="shared" si="151"/>
        <v>0</v>
      </c>
      <c r="P2320" s="55">
        <f ca="1" t="shared" si="152"/>
        <v>97</v>
      </c>
      <c r="Q2320" s="22" t="str">
        <f>VLOOKUP(B2320,辅助信息!E:M,9,FALSE)</f>
        <v>ZTWM-CDGS-XS-2025-0073-五冶天府-成都怡心湖片区及龙泉驿医院等项目</v>
      </c>
      <c r="R2320" s="22" t="str">
        <f>_xlfn._xlws.FILTER(辅助信息!D:D,辅助信息!E:E=B2320)</f>
        <v>五冶建设师大附中外语校新建教学楼工程</v>
      </c>
    </row>
    <row r="2321" hidden="1" spans="2:18">
      <c r="B2321" s="33" t="s">
        <v>196</v>
      </c>
      <c r="C2321" s="63">
        <v>45857</v>
      </c>
      <c r="D2321" s="33" t="str">
        <f>VLOOKUP(B2321,辅助信息!E:K,7,FALSE)</f>
        <v>JWDDCD2025102100476</v>
      </c>
      <c r="E2321" s="33" t="str">
        <f>VLOOKUP(F2321,辅助信息!A:B,2,FALSE)</f>
        <v>螺纹钢</v>
      </c>
      <c r="F2321" s="33" t="s">
        <v>22</v>
      </c>
      <c r="G2321" s="29">
        <v>10</v>
      </c>
      <c r="H2321" s="127">
        <v>10</v>
      </c>
      <c r="I2321" s="33" t="str">
        <f>VLOOKUP(B2321,辅助信息!E:I,3,FALSE)</f>
        <v>(五冶建设师大附中外语校新建教学楼工程)四川省成都市成华区大观堰2号(四川师范大学附属中学外国语学校)</v>
      </c>
      <c r="J2321" s="33" t="str">
        <f>VLOOKUP(B2321,辅助信息!E:I,4,FALSE)</f>
        <v>蔡浩</v>
      </c>
      <c r="K2321" s="33">
        <f>VLOOKUP(J2321,辅助信息!H:I,2,FALSE)</f>
        <v>13980880820</v>
      </c>
      <c r="L2321" s="102"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84">
        <v>45860</v>
      </c>
      <c r="O2321" s="55">
        <f ca="1" t="shared" si="151"/>
        <v>0</v>
      </c>
      <c r="P2321" s="55">
        <f ca="1" t="shared" si="152"/>
        <v>97</v>
      </c>
      <c r="Q2321" s="22" t="str">
        <f>VLOOKUP(B2321,辅助信息!E:M,9,FALSE)</f>
        <v>ZTWM-CDGS-XS-2025-0073-五冶天府-成都怡心湖片区及龙泉驿医院等项目</v>
      </c>
      <c r="R2321" s="22" t="str">
        <f>_xlfn._xlws.FILTER(辅助信息!D:D,辅助信息!E:E=B2321)</f>
        <v>五冶建设师大附中外语校新建教学楼工程</v>
      </c>
    </row>
    <row r="2322" hidden="1" spans="2:18">
      <c r="B2322" s="33" t="s">
        <v>196</v>
      </c>
      <c r="C2322" s="63">
        <v>45857</v>
      </c>
      <c r="D2322" s="33" t="str">
        <f>VLOOKUP(B2322,辅助信息!E:K,7,FALSE)</f>
        <v>JWDDCD2025102100476</v>
      </c>
      <c r="E2322" s="33" t="str">
        <f>VLOOKUP(F2322,辅助信息!A:B,2,FALSE)</f>
        <v>螺纹钢</v>
      </c>
      <c r="F2322" s="33" t="s">
        <v>181</v>
      </c>
      <c r="G2322" s="29">
        <v>12.5</v>
      </c>
      <c r="H2322" s="127">
        <v>12.5</v>
      </c>
      <c r="I2322" s="33" t="str">
        <f>VLOOKUP(B2322,辅助信息!E:I,3,FALSE)</f>
        <v>(五冶建设师大附中外语校新建教学楼工程)四川省成都市成华区大观堰2号(四川师范大学附属中学外国语学校)</v>
      </c>
      <c r="J2322" s="33" t="str">
        <f>VLOOKUP(B2322,辅助信息!E:I,4,FALSE)</f>
        <v>蔡浩</v>
      </c>
      <c r="K2322" s="33">
        <f>VLOOKUP(J2322,辅助信息!H:I,2,FALSE)</f>
        <v>13980880820</v>
      </c>
      <c r="L2322" s="102"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84">
        <v>45860</v>
      </c>
      <c r="O2322" s="55">
        <f ca="1" t="shared" si="151"/>
        <v>0</v>
      </c>
      <c r="P2322" s="55">
        <f ca="1" t="shared" si="152"/>
        <v>97</v>
      </c>
      <c r="Q2322" s="22" t="str">
        <f>VLOOKUP(B2322,辅助信息!E:M,9,FALSE)</f>
        <v>ZTWM-CDGS-XS-2025-0073-五冶天府-成都怡心湖片区及龙泉驿医院等项目</v>
      </c>
      <c r="R2322" s="22" t="str">
        <f>_xlfn._xlws.FILTER(辅助信息!D:D,辅助信息!E:E=B2322)</f>
        <v>五冶建设师大附中外语校新建教学楼工程</v>
      </c>
    </row>
    <row r="2323" hidden="1" spans="2:18">
      <c r="B2323" s="33" t="s">
        <v>196</v>
      </c>
      <c r="C2323" s="63">
        <v>45857</v>
      </c>
      <c r="D2323" s="33" t="str">
        <f>VLOOKUP(B2323,辅助信息!E:K,7,FALSE)</f>
        <v>JWDDCD2025102100476</v>
      </c>
      <c r="E2323" s="33" t="str">
        <f>VLOOKUP(F2323,辅助信息!A:B,2,FALSE)</f>
        <v>螺纹钢</v>
      </c>
      <c r="F2323" s="33" t="s">
        <v>182</v>
      </c>
      <c r="G2323" s="29">
        <v>15</v>
      </c>
      <c r="H2323" s="127">
        <v>15</v>
      </c>
      <c r="I2323" s="33" t="str">
        <f>VLOOKUP(B2323,辅助信息!E:I,3,FALSE)</f>
        <v>(五冶建设师大附中外语校新建教学楼工程)四川省成都市成华区大观堰2号(四川师范大学附属中学外国语学校)</v>
      </c>
      <c r="J2323" s="33" t="str">
        <f>VLOOKUP(B2323,辅助信息!E:I,4,FALSE)</f>
        <v>蔡浩</v>
      </c>
      <c r="K2323" s="33">
        <f>VLOOKUP(J2323,辅助信息!H:I,2,FALSE)</f>
        <v>13980880820</v>
      </c>
      <c r="L2323" s="102"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84">
        <v>45860</v>
      </c>
      <c r="O2323" s="55">
        <f ca="1" t="shared" si="151"/>
        <v>0</v>
      </c>
      <c r="P2323" s="55">
        <f ca="1" t="shared" si="152"/>
        <v>97</v>
      </c>
      <c r="Q2323" s="22" t="str">
        <f>VLOOKUP(B2323,辅助信息!E:M,9,FALSE)</f>
        <v>ZTWM-CDGS-XS-2025-0073-五冶天府-成都怡心湖片区及龙泉驿医院等项目</v>
      </c>
      <c r="R2323" s="22" t="str">
        <f>_xlfn._xlws.FILTER(辅助信息!D:D,辅助信息!E:E=B2323)</f>
        <v>五冶建设师大附中外语校新建教学楼工程</v>
      </c>
    </row>
    <row r="2324" hidden="1" spans="2:18">
      <c r="B2324" s="90" t="s">
        <v>186</v>
      </c>
      <c r="C2324" s="63">
        <v>45857</v>
      </c>
      <c r="D2324" s="33" t="str">
        <f>VLOOKUP(B2324,辅助信息!E:K,7,FALSE)</f>
        <v>JWDDCD2025072900123</v>
      </c>
      <c r="E2324" s="33" t="str">
        <f>VLOOKUP(F2324,辅助信息!A:B,2,FALSE)</f>
        <v>螺纹钢</v>
      </c>
      <c r="F2324" s="33" t="s">
        <v>197</v>
      </c>
      <c r="G2324" s="29">
        <v>5</v>
      </c>
      <c r="H2324" s="127">
        <f>_xlfn.XLOOKUP(C2324&amp;F2324&amp;I2324&amp;J2324,'[1]2025年已发货'!$F:$F&amp;'[1]2025年已发货'!$C:$C&amp;'[1]2025年已发货'!$G:$G&amp;'[1]2025年已发货'!$H:$H,'[1]2025年已发货'!$E:$E,"未发货")</f>
        <v>5</v>
      </c>
      <c r="I2324" s="33" t="str">
        <f>VLOOKUP(B2324,辅助信息!E:I,3,FALSE)</f>
        <v>(乐山市校地共建产教融合基地建设项目二标段)四川省乐山市市中区苏稽镇</v>
      </c>
      <c r="J2324" s="33" t="str">
        <f>VLOOKUP(B2324,辅助信息!E:I,4,FALSE)</f>
        <v>彭江涛</v>
      </c>
      <c r="K2324" s="33">
        <f>VLOOKUP(J2324,辅助信息!H:I,2,FALSE)</f>
        <v>13990276572</v>
      </c>
      <c r="L2324" s="102" t="str">
        <f>VLOOKUP(B2324,辅助信息!E:J,6,FALSE)</f>
        <v>联系实际收货人（彭江涛13990276572）现场要求炉批号控制2个以下，超2个不给予签收。提前联系到场规格及数量</v>
      </c>
      <c r="M2324" s="84">
        <v>45860</v>
      </c>
      <c r="O2324" s="55">
        <f ca="1" t="shared" si="151"/>
        <v>0</v>
      </c>
      <c r="P2324" s="55">
        <f ca="1" t="shared" si="152"/>
        <v>97</v>
      </c>
      <c r="Q2324" s="22" t="str">
        <f>VLOOKUP(B2324,辅助信息!E:M,9,FALSE)</f>
        <v>ZTWM-CDGS-XS-2025-0126-四川机司-乐山市校地共建产教融合基地配套设施项目施工二标段钢筋采购合同</v>
      </c>
      <c r="R2324" s="22" t="str">
        <f>_xlfn._xlws.FILTER(辅助信息!D:D,辅助信息!E:E=B2324)</f>
        <v>乐山市校地共建产教融合基地建设项目二标段</v>
      </c>
    </row>
    <row r="2325" hidden="1" spans="2:18">
      <c r="B2325" s="90" t="s">
        <v>186</v>
      </c>
      <c r="C2325" s="63">
        <v>45857</v>
      </c>
      <c r="D2325" s="33" t="str">
        <f>VLOOKUP(B2325,辅助信息!E:K,7,FALSE)</f>
        <v>JWDDCD2025072900123</v>
      </c>
      <c r="E2325" s="33" t="str">
        <f>VLOOKUP(F2325,辅助信息!A:B,2,FALSE)</f>
        <v>螺纹钢</v>
      </c>
      <c r="F2325" s="33" t="s">
        <v>198</v>
      </c>
      <c r="G2325" s="29">
        <v>12</v>
      </c>
      <c r="H2325" s="127">
        <f>_xlfn.XLOOKUP(C2325&amp;F2325&amp;I2325&amp;J2325,'[1]2025年已发货'!$F:$F&amp;'[1]2025年已发货'!$C:$C&amp;'[1]2025年已发货'!$G:$G&amp;'[1]2025年已发货'!$H:$H,'[1]2025年已发货'!$E:$E,"未发货")</f>
        <v>12.5</v>
      </c>
      <c r="I2325" s="33" t="str">
        <f>VLOOKUP(B2325,辅助信息!E:I,3,FALSE)</f>
        <v>(乐山市校地共建产教融合基地建设项目二标段)四川省乐山市市中区苏稽镇</v>
      </c>
      <c r="J2325" s="33" t="str">
        <f>VLOOKUP(B2325,辅助信息!E:I,4,FALSE)</f>
        <v>彭江涛</v>
      </c>
      <c r="K2325" s="33">
        <f>VLOOKUP(J2325,辅助信息!H:I,2,FALSE)</f>
        <v>13990276572</v>
      </c>
      <c r="L2325" s="102" t="str">
        <f>VLOOKUP(B2325,辅助信息!E:J,6,FALSE)</f>
        <v>联系实际收货人（彭江涛13990276572）现场要求炉批号控制2个以下，超2个不给予签收。提前联系到场规格及数量</v>
      </c>
      <c r="M2325" s="84">
        <v>45860</v>
      </c>
      <c r="O2325" s="55">
        <f ca="1" t="shared" si="151"/>
        <v>0</v>
      </c>
      <c r="P2325" s="55">
        <f ca="1" t="shared" si="152"/>
        <v>97</v>
      </c>
      <c r="Q2325" s="22" t="str">
        <f>VLOOKUP(B2325,辅助信息!E:M,9,FALSE)</f>
        <v>ZTWM-CDGS-XS-2025-0126-四川机司-乐山市校地共建产教融合基地配套设施项目施工二标段钢筋采购合同</v>
      </c>
      <c r="R2325" s="22" t="str">
        <f>_xlfn._xlws.FILTER(辅助信息!D:D,辅助信息!E:E=B2325)</f>
        <v>乐山市校地共建产教融合基地建设项目二标段</v>
      </c>
    </row>
    <row r="2326" hidden="1" spans="2:18">
      <c r="B2326" s="90" t="s">
        <v>186</v>
      </c>
      <c r="C2326" s="63">
        <v>45857</v>
      </c>
      <c r="D2326" s="33" t="str">
        <f>VLOOKUP(B2326,辅助信息!E:K,7,FALSE)</f>
        <v>JWDDCD2025072900123</v>
      </c>
      <c r="E2326" s="33" t="str">
        <f>VLOOKUP(F2326,辅助信息!A:B,2,FALSE)</f>
        <v>螺纹钢</v>
      </c>
      <c r="F2326" s="33" t="s">
        <v>199</v>
      </c>
      <c r="G2326" s="29">
        <v>10</v>
      </c>
      <c r="H2326" s="127">
        <f>_xlfn.XLOOKUP(C2326&amp;F2326&amp;I2326&amp;J2326,'[1]2025年已发货'!$F:$F&amp;'[1]2025年已发货'!$C:$C&amp;'[1]2025年已发货'!$G:$G&amp;'[1]2025年已发货'!$H:$H,'[1]2025年已发货'!$E:$E,"未发货")</f>
        <v>10</v>
      </c>
      <c r="I2326" s="33" t="str">
        <f>VLOOKUP(B2326,辅助信息!E:I,3,FALSE)</f>
        <v>(乐山市校地共建产教融合基地建设项目二标段)四川省乐山市市中区苏稽镇</v>
      </c>
      <c r="J2326" s="33" t="str">
        <f>VLOOKUP(B2326,辅助信息!E:I,4,FALSE)</f>
        <v>彭江涛</v>
      </c>
      <c r="K2326" s="33">
        <f>VLOOKUP(J2326,辅助信息!H:I,2,FALSE)</f>
        <v>13990276572</v>
      </c>
      <c r="L2326" s="102" t="str">
        <f>VLOOKUP(B2326,辅助信息!E:J,6,FALSE)</f>
        <v>联系实际收货人（彭江涛13990276572）现场要求炉批号控制2个以下，超2个不给予签收。提前联系到场规格及数量</v>
      </c>
      <c r="M2326" s="84">
        <v>45860</v>
      </c>
      <c r="O2326" s="55">
        <f ca="1" t="shared" si="151"/>
        <v>0</v>
      </c>
      <c r="P2326" s="55">
        <f ca="1" t="shared" si="152"/>
        <v>97</v>
      </c>
      <c r="Q2326" s="22" t="str">
        <f>VLOOKUP(B2326,辅助信息!E:M,9,FALSE)</f>
        <v>ZTWM-CDGS-XS-2025-0126-四川机司-乐山市校地共建产教融合基地配套设施项目施工二标段钢筋采购合同</v>
      </c>
      <c r="R2326" s="22" t="str">
        <f>_xlfn._xlws.FILTER(辅助信息!D:D,辅助信息!E:E=B2326)</f>
        <v>乐山市校地共建产教融合基地建设项目二标段</v>
      </c>
    </row>
    <row r="2327" hidden="1" spans="2:18">
      <c r="B2327" s="90" t="s">
        <v>186</v>
      </c>
      <c r="C2327" s="63">
        <v>45857</v>
      </c>
      <c r="D2327" s="33" t="str">
        <f>VLOOKUP(B2327,辅助信息!E:K,7,FALSE)</f>
        <v>JWDDCD2025072900123</v>
      </c>
      <c r="E2327" s="33" t="str">
        <f>VLOOKUP(F2327,辅助信息!A:B,2,FALSE)</f>
        <v>螺纹钢</v>
      </c>
      <c r="F2327" s="33" t="s">
        <v>141</v>
      </c>
      <c r="G2327" s="29">
        <v>17</v>
      </c>
      <c r="H2327" s="127">
        <f>_xlfn.XLOOKUP(C2327&amp;F2327&amp;I2327&amp;J2327,'[1]2025年已发货'!$F:$F&amp;'[1]2025年已发货'!$C:$C&amp;'[1]2025年已发货'!$G:$G&amp;'[1]2025年已发货'!$H:$H,'[1]2025年已发货'!$E:$E,"未发货")</f>
        <v>17</v>
      </c>
      <c r="I2327" s="33" t="str">
        <f>VLOOKUP(B2327,辅助信息!E:I,3,FALSE)</f>
        <v>(乐山市校地共建产教融合基地建设项目二标段)四川省乐山市市中区苏稽镇</v>
      </c>
      <c r="J2327" s="33" t="str">
        <f>VLOOKUP(B2327,辅助信息!E:I,4,FALSE)</f>
        <v>彭江涛</v>
      </c>
      <c r="K2327" s="33">
        <f>VLOOKUP(J2327,辅助信息!H:I,2,FALSE)</f>
        <v>13990276572</v>
      </c>
      <c r="L2327" s="102" t="str">
        <f>VLOOKUP(B2327,辅助信息!E:J,6,FALSE)</f>
        <v>联系实际收货人（彭江涛13990276572）现场要求炉批号控制2个以下，超2个不给予签收。提前联系到场规格及数量</v>
      </c>
      <c r="M2327" s="84">
        <v>45860</v>
      </c>
      <c r="O2327" s="55">
        <f ca="1" t="shared" si="151"/>
        <v>0</v>
      </c>
      <c r="P2327" s="55">
        <f ca="1" t="shared" si="152"/>
        <v>97</v>
      </c>
      <c r="Q2327" s="22" t="str">
        <f>VLOOKUP(B2327,辅助信息!E:M,9,FALSE)</f>
        <v>ZTWM-CDGS-XS-2025-0126-四川机司-乐山市校地共建产教融合基地配套设施项目施工二标段钢筋采购合同</v>
      </c>
      <c r="R2327" s="22" t="str">
        <f>_xlfn._xlws.FILTER(辅助信息!D:D,辅助信息!E:E=B2327)</f>
        <v>乐山市校地共建产教融合基地建设项目二标段</v>
      </c>
    </row>
    <row r="2328" hidden="1" spans="2:18">
      <c r="B2328" s="90" t="s">
        <v>186</v>
      </c>
      <c r="C2328" s="63">
        <v>45857</v>
      </c>
      <c r="D2328" s="33" t="str">
        <f>VLOOKUP(B2328,辅助信息!E:K,7,FALSE)</f>
        <v>JWDDCD2025072900123</v>
      </c>
      <c r="E2328" s="33" t="str">
        <f>VLOOKUP(F2328,辅助信息!A:B,2,FALSE)</f>
        <v>螺纹钢</v>
      </c>
      <c r="F2328" s="33" t="s">
        <v>142</v>
      </c>
      <c r="G2328" s="29">
        <v>12</v>
      </c>
      <c r="H2328" s="127">
        <f>_xlfn.XLOOKUP(C2328&amp;F2328&amp;I2328&amp;J2328,'[1]2025年已发货'!$F:$F&amp;'[1]2025年已发货'!$C:$C&amp;'[1]2025年已发货'!$G:$G&amp;'[1]2025年已发货'!$H:$H,'[1]2025年已发货'!$E:$E,"未发货")</f>
        <v>12</v>
      </c>
      <c r="I2328" s="33" t="str">
        <f>VLOOKUP(B2328,辅助信息!E:I,3,FALSE)</f>
        <v>(乐山市校地共建产教融合基地建设项目二标段)四川省乐山市市中区苏稽镇</v>
      </c>
      <c r="J2328" s="33" t="str">
        <f>VLOOKUP(B2328,辅助信息!E:I,4,FALSE)</f>
        <v>彭江涛</v>
      </c>
      <c r="K2328" s="33">
        <f>VLOOKUP(J2328,辅助信息!H:I,2,FALSE)</f>
        <v>13990276572</v>
      </c>
      <c r="L2328" s="102" t="str">
        <f>VLOOKUP(B2328,辅助信息!E:J,6,FALSE)</f>
        <v>联系实际收货人（彭江涛13990276572）现场要求炉批号控制2个以下，超2个不给予签收。提前联系到场规格及数量</v>
      </c>
      <c r="M2328" s="84">
        <v>45860</v>
      </c>
      <c r="O2328" s="55">
        <f ca="1" t="shared" si="151"/>
        <v>0</v>
      </c>
      <c r="P2328" s="55">
        <f ca="1" t="shared" si="152"/>
        <v>97</v>
      </c>
      <c r="Q2328" s="22" t="str">
        <f>VLOOKUP(B2328,辅助信息!E:M,9,FALSE)</f>
        <v>ZTWM-CDGS-XS-2025-0126-四川机司-乐山市校地共建产教融合基地配套设施项目施工二标段钢筋采购合同</v>
      </c>
      <c r="R2328" s="22" t="str">
        <f>_xlfn._xlws.FILTER(辅助信息!D:D,辅助信息!E:E=B2328)</f>
        <v>乐山市校地共建产教融合基地建设项目二标段</v>
      </c>
    </row>
    <row r="2329" hidden="1" spans="2:18">
      <c r="B2329" s="90" t="s">
        <v>186</v>
      </c>
      <c r="C2329" s="63">
        <v>45857</v>
      </c>
      <c r="D2329" s="33" t="str">
        <f>VLOOKUP(B2329,辅助信息!E:K,7,FALSE)</f>
        <v>JWDDCD2025072900123</v>
      </c>
      <c r="E2329" s="33" t="str">
        <f>VLOOKUP(F2329,辅助信息!A:B,2,FALSE)</f>
        <v>螺纹钢</v>
      </c>
      <c r="F2329" s="33" t="s">
        <v>200</v>
      </c>
      <c r="G2329" s="29">
        <v>6</v>
      </c>
      <c r="H2329" s="127">
        <f>_xlfn.XLOOKUP(C2329&amp;F2329&amp;I2329&amp;J2329,'[1]2025年已发货'!$F:$F&amp;'[1]2025年已发货'!$C:$C&amp;'[1]2025年已发货'!$G:$G&amp;'[1]2025年已发货'!$H:$H,'[1]2025年已发货'!$E:$E,"未发货")</f>
        <v>6</v>
      </c>
      <c r="I2329" s="33" t="str">
        <f>VLOOKUP(B2329,辅助信息!E:I,3,FALSE)</f>
        <v>(乐山市校地共建产教融合基地建设项目二标段)四川省乐山市市中区苏稽镇</v>
      </c>
      <c r="J2329" s="33" t="str">
        <f>VLOOKUP(B2329,辅助信息!E:I,4,FALSE)</f>
        <v>彭江涛</v>
      </c>
      <c r="K2329" s="33">
        <f>VLOOKUP(J2329,辅助信息!H:I,2,FALSE)</f>
        <v>13990276572</v>
      </c>
      <c r="L2329" s="102" t="str">
        <f>VLOOKUP(B2329,辅助信息!E:J,6,FALSE)</f>
        <v>联系实际收货人（彭江涛13990276572）现场要求炉批号控制2个以下，超2个不给予签收。提前联系到场规格及数量</v>
      </c>
      <c r="M2329" s="84">
        <v>45860</v>
      </c>
      <c r="O2329" s="55">
        <f ca="1" t="shared" si="151"/>
        <v>0</v>
      </c>
      <c r="P2329" s="55">
        <f ca="1" t="shared" si="152"/>
        <v>97</v>
      </c>
      <c r="Q2329" s="22" t="str">
        <f>VLOOKUP(B2329,辅助信息!E:M,9,FALSE)</f>
        <v>ZTWM-CDGS-XS-2025-0126-四川机司-乐山市校地共建产教融合基地配套设施项目施工二标段钢筋采购合同</v>
      </c>
      <c r="R2329" s="22" t="str">
        <f>_xlfn._xlws.FILTER(辅助信息!D:D,辅助信息!E:E=B2329)</f>
        <v>乐山市校地共建产教融合基地建设项目二标段</v>
      </c>
    </row>
    <row r="2330" hidden="1" spans="2:18">
      <c r="B2330" s="90" t="s">
        <v>186</v>
      </c>
      <c r="C2330" s="63">
        <v>45857</v>
      </c>
      <c r="D2330" s="33" t="str">
        <f>VLOOKUP(B2330,辅助信息!E:K,7,FALSE)</f>
        <v>JWDDCD2025072900123</v>
      </c>
      <c r="E2330" s="33" t="str">
        <f>VLOOKUP(F2330,辅助信息!A:B,2,FALSE)</f>
        <v>螺纹钢</v>
      </c>
      <c r="F2330" s="33" t="s">
        <v>201</v>
      </c>
      <c r="G2330" s="29">
        <v>7</v>
      </c>
      <c r="H2330" s="127">
        <f>_xlfn.XLOOKUP(C2330&amp;F2330&amp;I2330&amp;J2330,'[1]2025年已发货'!$F:$F&amp;'[1]2025年已发货'!$C:$C&amp;'[1]2025年已发货'!$G:$G&amp;'[1]2025年已发货'!$H:$H,'[1]2025年已发货'!$E:$E,"未发货")</f>
        <v>7.5</v>
      </c>
      <c r="I2330" s="33" t="str">
        <f>VLOOKUP(B2330,辅助信息!E:I,3,FALSE)</f>
        <v>(乐山市校地共建产教融合基地建设项目二标段)四川省乐山市市中区苏稽镇</v>
      </c>
      <c r="J2330" s="33" t="str">
        <f>VLOOKUP(B2330,辅助信息!E:I,4,FALSE)</f>
        <v>彭江涛</v>
      </c>
      <c r="K2330" s="33">
        <f>VLOOKUP(J2330,辅助信息!H:I,2,FALSE)</f>
        <v>13990276572</v>
      </c>
      <c r="L2330" s="102" t="str">
        <f>VLOOKUP(B2330,辅助信息!E:J,6,FALSE)</f>
        <v>联系实际收货人（彭江涛13990276572）现场要求炉批号控制2个以下，超2个不给予签收。提前联系到场规格及数量</v>
      </c>
      <c r="M2330" s="84">
        <v>45860</v>
      </c>
      <c r="O2330" s="55">
        <f ca="1" t="shared" si="151"/>
        <v>0</v>
      </c>
      <c r="P2330" s="55">
        <f ca="1" t="shared" si="152"/>
        <v>97</v>
      </c>
      <c r="Q2330" s="22" t="str">
        <f>VLOOKUP(B2330,辅助信息!E:M,9,FALSE)</f>
        <v>ZTWM-CDGS-XS-2025-0126-四川机司-乐山市校地共建产教融合基地配套设施项目施工二标段钢筋采购合同</v>
      </c>
      <c r="R2330" s="22" t="str">
        <f>_xlfn._xlws.FILTER(辅助信息!D:D,辅助信息!E:E=B2330)</f>
        <v>乐山市校地共建产教融合基地建设项目二标段</v>
      </c>
    </row>
    <row r="2331" hidden="1" spans="1:18">
      <c r="A2331" s="64" t="s">
        <v>100</v>
      </c>
      <c r="B2331" s="90" t="s">
        <v>147</v>
      </c>
      <c r="C2331" s="63">
        <v>45857</v>
      </c>
      <c r="D2331" s="33" t="str">
        <f>VLOOKUP(B2331,辅助信息!E:K,7,FALSE)</f>
        <v>JWDDCD2025052800131</v>
      </c>
      <c r="E2331" s="33" t="str">
        <f>VLOOKUP(F2331,辅助信息!A:B,2,FALSE)</f>
        <v>盘螺</v>
      </c>
      <c r="F2331" s="33" t="s">
        <v>40</v>
      </c>
      <c r="G2331" s="29">
        <v>15</v>
      </c>
      <c r="H2331" s="127">
        <f>_xlfn.XLOOKUP(C2331&amp;F2331&amp;I2331&amp;J2331,'[1]2025年已发货'!$F:$F&amp;'[1]2025年已发货'!$C:$C&amp;'[1]2025年已发货'!$G:$G&amp;'[1]2025年已发货'!$H:$H,'[1]2025年已发货'!$E:$E,"未发货")</f>
        <v>15</v>
      </c>
      <c r="I2331" s="33" t="str">
        <f>VLOOKUP(B2331,辅助信息!E:I,3,FALSE)</f>
        <v>（商投建工达州中医药科技园-4工区-11号楼）达州市通川区达州中医药职业学院犀牛大道北段</v>
      </c>
      <c r="J2331" s="33" t="str">
        <f>VLOOKUP(B2331,辅助信息!E:I,4,FALSE)</f>
        <v>张扬</v>
      </c>
      <c r="K2331" s="33">
        <f>VLOOKUP(J2331,辅助信息!H:I,2,FALSE)</f>
        <v>18381904567</v>
      </c>
      <c r="L2331" s="102" t="str">
        <f>VLOOKUP(B2331,辅助信息!E:J,6,FALSE)</f>
        <v>控制炉批号！多了现场不收！,优先安排达钢,提前联系到场规格及数量</v>
      </c>
      <c r="M2331" s="84">
        <v>45860</v>
      </c>
      <c r="O2331" s="55">
        <f ca="1" t="shared" si="151"/>
        <v>0</v>
      </c>
      <c r="P2331" s="55">
        <f ca="1" t="shared" si="152"/>
        <v>97</v>
      </c>
      <c r="Q2331" s="22" t="str">
        <f>VLOOKUP(B2331,辅助信息!E:M,9,FALSE)</f>
        <v>ZTWM-CDGS-XS-2024-0134-商投建工达州中医药科技成果示范园项目</v>
      </c>
      <c r="R2331" s="22" t="str">
        <f>_xlfn._xlws.FILTER(辅助信息!D:D,辅助信息!E:E=B2331)</f>
        <v>商投建工达州中医药科技园</v>
      </c>
    </row>
    <row r="2332" hidden="1" spans="1:18">
      <c r="A2332" s="64"/>
      <c r="B2332" s="90" t="s">
        <v>147</v>
      </c>
      <c r="C2332" s="63">
        <v>45857</v>
      </c>
      <c r="D2332" s="33" t="str">
        <f>VLOOKUP(B2332,辅助信息!E:K,7,FALSE)</f>
        <v>JWDDCD2025052800131</v>
      </c>
      <c r="E2332" s="33" t="str">
        <f>VLOOKUP(F2332,辅助信息!A:B,2,FALSE)</f>
        <v>螺纹钢</v>
      </c>
      <c r="F2332" s="33" t="s">
        <v>30</v>
      </c>
      <c r="G2332" s="29">
        <v>30</v>
      </c>
      <c r="H2332" s="127">
        <f>_xlfn.XLOOKUP(C2332&amp;F2332&amp;I2332&amp;J2332,'[1]2025年已发货'!$F:$F&amp;'[1]2025年已发货'!$C:$C&amp;'[1]2025年已发货'!$G:$G&amp;'[1]2025年已发货'!$H:$H,'[1]2025年已发货'!$E:$E,"未发货")</f>
        <v>30</v>
      </c>
      <c r="I2332" s="33" t="str">
        <f>VLOOKUP(B2332,辅助信息!E:I,3,FALSE)</f>
        <v>（商投建工达州中医药科技园-4工区-11号楼）达州市通川区达州中医药职业学院犀牛大道北段</v>
      </c>
      <c r="J2332" s="33" t="str">
        <f>VLOOKUP(B2332,辅助信息!E:I,4,FALSE)</f>
        <v>张扬</v>
      </c>
      <c r="K2332" s="33">
        <f>VLOOKUP(J2332,辅助信息!H:I,2,FALSE)</f>
        <v>18381904567</v>
      </c>
      <c r="L2332" s="102" t="str">
        <f>VLOOKUP(B2332,辅助信息!E:J,6,FALSE)</f>
        <v>控制炉批号！多了现场不收！,优先安排达钢,提前联系到场规格及数量</v>
      </c>
      <c r="M2332" s="84">
        <v>45860</v>
      </c>
      <c r="O2332" s="55">
        <f ca="1" t="shared" si="151"/>
        <v>0</v>
      </c>
      <c r="P2332" s="55">
        <f ca="1" t="shared" si="152"/>
        <v>97</v>
      </c>
      <c r="Q2332" s="22" t="str">
        <f>VLOOKUP(B2332,辅助信息!E:M,9,FALSE)</f>
        <v>ZTWM-CDGS-XS-2024-0134-商投建工达州中医药科技成果示范园项目</v>
      </c>
      <c r="R2332" s="22" t="str">
        <f>_xlfn._xlws.FILTER(辅助信息!D:D,辅助信息!E:E=B2332)</f>
        <v>商投建工达州中医药科技园</v>
      </c>
    </row>
    <row r="2333" hidden="1" spans="2:18">
      <c r="B2333" s="90" t="s">
        <v>147</v>
      </c>
      <c r="C2333" s="63">
        <v>45857</v>
      </c>
      <c r="D2333" s="33" t="str">
        <f>VLOOKUP(B2333,辅助信息!E:K,7,FALSE)</f>
        <v>JWDDCD2025052800131</v>
      </c>
      <c r="E2333" s="33" t="str">
        <f>VLOOKUP(F2333,辅助信息!A:B,2,FALSE)</f>
        <v>螺纹钢</v>
      </c>
      <c r="F2333" s="33" t="s">
        <v>21</v>
      </c>
      <c r="G2333" s="29">
        <v>12</v>
      </c>
      <c r="H2333" s="127">
        <f>_xlfn.XLOOKUP(C2333&amp;F2333&amp;I2333&amp;J2333,'[1]2025年已发货'!$F:$F&amp;'[1]2025年已发货'!$C:$C&amp;'[1]2025年已发货'!$G:$G&amp;'[1]2025年已发货'!$H:$H,'[1]2025年已发货'!$E:$E,"未发货")</f>
        <v>10</v>
      </c>
      <c r="I2333" s="33" t="str">
        <f>VLOOKUP(B2333,辅助信息!E:I,3,FALSE)</f>
        <v>（商投建工达州中医药科技园-4工区-11号楼）达州市通川区达州中医药职业学院犀牛大道北段</v>
      </c>
      <c r="J2333" s="33" t="str">
        <f>VLOOKUP(B2333,辅助信息!E:I,4,FALSE)</f>
        <v>张扬</v>
      </c>
      <c r="K2333" s="33">
        <f>VLOOKUP(J2333,辅助信息!H:I,2,FALSE)</f>
        <v>18381904567</v>
      </c>
      <c r="L2333" s="102" t="str">
        <f>VLOOKUP(B2333,辅助信息!E:J,6,FALSE)</f>
        <v>控制炉批号！多了现场不收！,优先安排达钢,提前联系到场规格及数量</v>
      </c>
      <c r="M2333" s="84">
        <v>45860</v>
      </c>
      <c r="O2333" s="55">
        <f ca="1" t="shared" ref="O2333:O2396" si="153">IF(OR(M2333="",N2333&lt;&gt;""),"",MAX(M2333-TODAY(),0))</f>
        <v>0</v>
      </c>
      <c r="P2333" s="55">
        <f ca="1" t="shared" ref="P2333:P2396" si="154">IF(M2333="","",IF(N2333&lt;&gt;"",MAX(N2333-M2333,0),IF(TODAY()&gt;M2333,TODAY()-M2333,0)))</f>
        <v>97</v>
      </c>
      <c r="Q2333" s="22" t="str">
        <f>VLOOKUP(B2333,辅助信息!E:M,9,FALSE)</f>
        <v>ZTWM-CDGS-XS-2024-0134-商投建工达州中医药科技成果示范园项目</v>
      </c>
      <c r="R2333" s="22" t="str">
        <f>_xlfn._xlws.FILTER(辅助信息!D:D,辅助信息!E:E=B2333)</f>
        <v>商投建工达州中医药科技园</v>
      </c>
    </row>
    <row r="2334" hidden="1" spans="2:18">
      <c r="B2334" s="90" t="s">
        <v>147</v>
      </c>
      <c r="C2334" s="63">
        <v>45857</v>
      </c>
      <c r="D2334" s="33" t="str">
        <f>VLOOKUP(B2334,辅助信息!E:K,7,FALSE)</f>
        <v>JWDDCD2025052800131</v>
      </c>
      <c r="E2334" s="33" t="str">
        <f>VLOOKUP(F2334,辅助信息!A:B,2,FALSE)</f>
        <v>螺纹钢</v>
      </c>
      <c r="F2334" s="33" t="s">
        <v>58</v>
      </c>
      <c r="G2334" s="29">
        <v>9</v>
      </c>
      <c r="H2334" s="127">
        <f>_xlfn.XLOOKUP(C2334&amp;F2334&amp;I2334&amp;J2334,'[1]2025年已发货'!$F:$F&amp;'[1]2025年已发货'!$C:$C&amp;'[1]2025年已发货'!$G:$G&amp;'[1]2025年已发货'!$H:$H,'[1]2025年已发货'!$E:$E,"未发货")</f>
        <v>7.5</v>
      </c>
      <c r="I2334" s="33" t="str">
        <f>VLOOKUP(B2334,辅助信息!E:I,3,FALSE)</f>
        <v>（商投建工达州中医药科技园-4工区-11号楼）达州市通川区达州中医药职业学院犀牛大道北段</v>
      </c>
      <c r="J2334" s="33" t="str">
        <f>VLOOKUP(B2334,辅助信息!E:I,4,FALSE)</f>
        <v>张扬</v>
      </c>
      <c r="K2334" s="33">
        <f>VLOOKUP(J2334,辅助信息!H:I,2,FALSE)</f>
        <v>18381904567</v>
      </c>
      <c r="L2334" s="102" t="str">
        <f>VLOOKUP(B2334,辅助信息!E:J,6,FALSE)</f>
        <v>控制炉批号！多了现场不收！,优先安排达钢,提前联系到场规格及数量</v>
      </c>
      <c r="M2334" s="84">
        <v>45860</v>
      </c>
      <c r="O2334" s="55">
        <f ca="1" t="shared" si="153"/>
        <v>0</v>
      </c>
      <c r="P2334" s="55">
        <f ca="1" t="shared" si="154"/>
        <v>97</v>
      </c>
      <c r="Q2334" s="22" t="str">
        <f>VLOOKUP(B2334,辅助信息!E:M,9,FALSE)</f>
        <v>ZTWM-CDGS-XS-2024-0134-商投建工达州中医药科技成果示范园项目</v>
      </c>
      <c r="R2334" s="22" t="str">
        <f>_xlfn._xlws.FILTER(辅助信息!D:D,辅助信息!E:E=B2334)</f>
        <v>商投建工达州中医药科技园</v>
      </c>
    </row>
    <row r="2335" hidden="1" spans="2:18">
      <c r="B2335" s="90" t="s">
        <v>147</v>
      </c>
      <c r="C2335" s="63">
        <v>45857</v>
      </c>
      <c r="D2335" s="33" t="str">
        <f>VLOOKUP(B2335,辅助信息!E:K,7,FALSE)</f>
        <v>JWDDCD2025052800131</v>
      </c>
      <c r="E2335" s="33" t="str">
        <f>VLOOKUP(F2335,辅助信息!A:B,2,FALSE)</f>
        <v>螺纹钢</v>
      </c>
      <c r="F2335" s="33" t="s">
        <v>46</v>
      </c>
      <c r="G2335" s="29">
        <v>9</v>
      </c>
      <c r="H2335" s="127">
        <f>_xlfn.XLOOKUP(C2335&amp;F2335&amp;I2335&amp;J2335,'[1]2025年已发货'!$F:$F&amp;'[1]2025年已发货'!$C:$C&amp;'[1]2025年已发货'!$G:$G&amp;'[1]2025年已发货'!$H:$H,'[1]2025年已发货'!$E:$E,"未发货")</f>
        <v>7.5</v>
      </c>
      <c r="I2335" s="33" t="str">
        <f>VLOOKUP(B2335,辅助信息!E:I,3,FALSE)</f>
        <v>（商投建工达州中医药科技园-4工区-11号楼）达州市通川区达州中医药职业学院犀牛大道北段</v>
      </c>
      <c r="J2335" s="33" t="str">
        <f>VLOOKUP(B2335,辅助信息!E:I,4,FALSE)</f>
        <v>张扬</v>
      </c>
      <c r="K2335" s="33">
        <f>VLOOKUP(J2335,辅助信息!H:I,2,FALSE)</f>
        <v>18381904567</v>
      </c>
      <c r="L2335" s="102" t="str">
        <f>VLOOKUP(B2335,辅助信息!E:J,6,FALSE)</f>
        <v>控制炉批号！多了现场不收！,优先安排达钢,提前联系到场规格及数量</v>
      </c>
      <c r="M2335" s="84">
        <v>45860</v>
      </c>
      <c r="O2335" s="55">
        <f ca="1" t="shared" si="153"/>
        <v>0</v>
      </c>
      <c r="P2335" s="55">
        <f ca="1" t="shared" si="154"/>
        <v>97</v>
      </c>
      <c r="Q2335" s="22" t="str">
        <f>VLOOKUP(B2335,辅助信息!E:M,9,FALSE)</f>
        <v>ZTWM-CDGS-XS-2024-0134-商投建工达州中医药科技成果示范园项目</v>
      </c>
      <c r="R2335" s="22" t="str">
        <f>_xlfn._xlws.FILTER(辅助信息!D:D,辅助信息!E:E=B2335)</f>
        <v>商投建工达州中医药科技园</v>
      </c>
    </row>
    <row r="2336" hidden="1" spans="2:18">
      <c r="B2336" s="90" t="s">
        <v>147</v>
      </c>
      <c r="C2336" s="63">
        <v>45857</v>
      </c>
      <c r="D2336" s="33" t="str">
        <f>VLOOKUP(B2336,辅助信息!E:K,7,FALSE)</f>
        <v>JWDDCD2025052800131</v>
      </c>
      <c r="E2336" s="33" t="str">
        <f>VLOOKUP(F2336,辅助信息!A:B,2,FALSE)</f>
        <v>螺纹钢</v>
      </c>
      <c r="F2336" s="33" t="s">
        <v>22</v>
      </c>
      <c r="G2336" s="29">
        <v>12</v>
      </c>
      <c r="H2336" s="127">
        <f>_xlfn.XLOOKUP(C2336&amp;F2336&amp;I2336&amp;J2336,'[1]2025年已发货'!$F:$F&amp;'[1]2025年已发货'!$C:$C&amp;'[1]2025年已发货'!$G:$G&amp;'[1]2025年已发货'!$H:$H,'[1]2025年已发货'!$E:$E,"未发货")</f>
        <v>10</v>
      </c>
      <c r="I2336" s="33" t="str">
        <f>VLOOKUP(B2336,辅助信息!E:I,3,FALSE)</f>
        <v>（商投建工达州中医药科技园-4工区-11号楼）达州市通川区达州中医药职业学院犀牛大道北段</v>
      </c>
      <c r="J2336" s="33" t="str">
        <f>VLOOKUP(B2336,辅助信息!E:I,4,FALSE)</f>
        <v>张扬</v>
      </c>
      <c r="K2336" s="33">
        <f>VLOOKUP(J2336,辅助信息!H:I,2,FALSE)</f>
        <v>18381904567</v>
      </c>
      <c r="L2336" s="102" t="str">
        <f>VLOOKUP(B2336,辅助信息!E:J,6,FALSE)</f>
        <v>控制炉批号！多了现场不收！,优先安排达钢,提前联系到场规格及数量</v>
      </c>
      <c r="M2336" s="84">
        <v>45860</v>
      </c>
      <c r="O2336" s="55">
        <f ca="1" t="shared" si="153"/>
        <v>0</v>
      </c>
      <c r="P2336" s="55">
        <f ca="1" t="shared" si="154"/>
        <v>97</v>
      </c>
      <c r="Q2336" s="22" t="str">
        <f>VLOOKUP(B2336,辅助信息!E:M,9,FALSE)</f>
        <v>ZTWM-CDGS-XS-2024-0134-商投建工达州中医药科技成果示范园项目</v>
      </c>
      <c r="R2336" s="22" t="str">
        <f>_xlfn._xlws.FILTER(辅助信息!D:D,辅助信息!E:E=B2336)</f>
        <v>商投建工达州中医药科技园</v>
      </c>
    </row>
    <row r="2337" hidden="1" spans="2:18">
      <c r="B2337" s="90" t="s">
        <v>167</v>
      </c>
      <c r="C2337" s="63">
        <v>45857</v>
      </c>
      <c r="D2337" s="33" t="str">
        <f>VLOOKUP(B2337,辅助信息!E:K,7,FALSE)</f>
        <v>JWDDCD2025102100473</v>
      </c>
      <c r="E2337" s="33" t="str">
        <f>VLOOKUP(F2337,辅助信息!A:B,2,FALSE)</f>
        <v>螺纹钢</v>
      </c>
      <c r="F2337" s="33" t="s">
        <v>30</v>
      </c>
      <c r="G2337" s="29">
        <f>205-70</f>
        <v>135</v>
      </c>
      <c r="H2337" s="127" t="str">
        <f>_xlfn.XLOOKUP(C2337&amp;F2337&amp;I2337&amp;J2337,'[1]2025年已发货'!$F:$F&amp;'[1]2025年已发货'!$C:$C&amp;'[1]2025年已发货'!$G:$G&amp;'[1]2025年已发货'!$H:$H,'[1]2025年已发货'!$E:$E,"未发货")</f>
        <v>未发货</v>
      </c>
      <c r="I2337" s="33" t="str">
        <f>VLOOKUP(B2337,辅助信息!E:I,3,FALSE)</f>
        <v>(五冶建设扩建艺体中学二期工程)四川省成都市双流区光荣路成都艺体中学南200米</v>
      </c>
      <c r="J2337" s="33" t="str">
        <f>VLOOKUP(B2337,辅助信息!E:I,4,FALSE)</f>
        <v>谢序强</v>
      </c>
      <c r="K2337" s="33">
        <f>VLOOKUP(J2337,辅助信息!H:I,2,FALSE)</f>
        <v>13458588232</v>
      </c>
      <c r="L2337" s="102"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84">
        <v>45860</v>
      </c>
      <c r="O2337" s="55">
        <f ca="1" t="shared" si="153"/>
        <v>0</v>
      </c>
      <c r="P2337" s="55">
        <f ca="1" t="shared" si="154"/>
        <v>97</v>
      </c>
      <c r="Q2337" s="22" t="str">
        <f>VLOOKUP(B2337,辅助信息!E:M,9,FALSE)</f>
        <v>ZTWM-CDGS-XS-2025-0073-五冶天府-成都怡心湖片区及龙泉驿医院等项目</v>
      </c>
      <c r="R2337" s="22" t="str">
        <f>_xlfn._xlws.FILTER(辅助信息!D:D,辅助信息!E:E=B2337)</f>
        <v>五冶建设扩建艺体中学二期工程</v>
      </c>
    </row>
    <row r="2338" hidden="1" spans="2:18">
      <c r="B2338" s="90" t="s">
        <v>167</v>
      </c>
      <c r="C2338" s="63">
        <v>45859</v>
      </c>
      <c r="D2338" s="33" t="str">
        <f>VLOOKUP(B2338,辅助信息!E:K,7,FALSE)</f>
        <v>JWDDCD2025102100473</v>
      </c>
      <c r="E2338" s="33" t="str">
        <f>VLOOKUP(F2338,辅助信息!A:B,2,FALSE)</f>
        <v>螺纹钢</v>
      </c>
      <c r="F2338" s="33" t="s">
        <v>30</v>
      </c>
      <c r="G2338" s="29">
        <f>205-70</f>
        <v>135</v>
      </c>
      <c r="H2338" s="127">
        <f>_xlfn.XLOOKUP(C2338&amp;F2338&amp;I2338&amp;J2338,'[1]2025年已发货'!$F:$F&amp;'[1]2025年已发货'!$C:$C&amp;'[1]2025年已发货'!$G:$G&amp;'[1]2025年已发货'!$H:$H,'[1]2025年已发货'!$E:$E,"未发货")</f>
        <v>70</v>
      </c>
      <c r="I2338" s="33" t="str">
        <f>VLOOKUP(B2338,辅助信息!E:I,3,FALSE)</f>
        <v>(五冶建设扩建艺体中学二期工程)四川省成都市双流区光荣路成都艺体中学南200米</v>
      </c>
      <c r="J2338" s="33" t="str">
        <f>VLOOKUP(B2338,辅助信息!E:I,4,FALSE)</f>
        <v>谢序强</v>
      </c>
      <c r="K2338" s="33">
        <f>VLOOKUP(J2338,辅助信息!H:I,2,FALSE)</f>
        <v>13458588232</v>
      </c>
      <c r="L2338" s="102"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84">
        <v>45860</v>
      </c>
      <c r="O2338" s="55">
        <f ca="1" t="shared" si="153"/>
        <v>0</v>
      </c>
      <c r="P2338" s="55">
        <f ca="1" t="shared" si="154"/>
        <v>97</v>
      </c>
      <c r="Q2338" s="22" t="str">
        <f>VLOOKUP(B2338,辅助信息!E:M,9,FALSE)</f>
        <v>ZTWM-CDGS-XS-2025-0073-五冶天府-成都怡心湖片区及龙泉驿医院等项目</v>
      </c>
      <c r="R2338" s="22" t="str">
        <f>_xlfn._xlws.FILTER(辅助信息!D:D,辅助信息!E:E=B2338)</f>
        <v>五冶建设扩建艺体中学二期工程</v>
      </c>
    </row>
    <row r="2339" hidden="1" spans="2:18">
      <c r="B2339" s="33" t="s">
        <v>92</v>
      </c>
      <c r="C2339" s="63">
        <v>45859</v>
      </c>
      <c r="D2339" s="33" t="str">
        <f>VLOOKUP(B2339,辅助信息!E:K,7,FALSE)</f>
        <v>JWDDCD2025051800046</v>
      </c>
      <c r="E2339" s="33" t="str">
        <f>VLOOKUP(F2339,辅助信息!A:B,2,FALSE)</f>
        <v>盘螺</v>
      </c>
      <c r="F2339" s="33" t="s">
        <v>40</v>
      </c>
      <c r="G2339" s="29">
        <v>5</v>
      </c>
      <c r="H2339" s="127">
        <f>_xlfn.XLOOKUP(C2339&amp;F2339&amp;I2339&amp;J2339,'[1]2025年已发货'!$F:$F&amp;'[1]2025年已发货'!$C:$C&amp;'[1]2025年已发货'!$G:$G&amp;'[1]2025年已发货'!$H:$H,'[1]2025年已发货'!$E:$E,"未发货")</f>
        <v>5</v>
      </c>
      <c r="I2339" s="33" t="str">
        <f>VLOOKUP(B2339,辅助信息!E:I,3,FALSE)</f>
        <v>（华西萌海科创农业生态谷）成都市简阳市白金山水库</v>
      </c>
      <c r="J2339" s="33" t="str">
        <f>VLOOKUP(B2339,辅助信息!E:I,4,FALSE)</f>
        <v>石清国</v>
      </c>
      <c r="K2339" s="33">
        <f>VLOOKUP(J2339,辅助信息!H:I,2,FALSE)</f>
        <v>13458642015</v>
      </c>
      <c r="L2339" s="102" t="str">
        <f>VLOOKUP(B2339,辅助信息!E:J,6,FALSE)</f>
        <v>优先威钢,我方卸车,新老国标钢厂不加价可直发</v>
      </c>
      <c r="M2339" s="84">
        <v>45860</v>
      </c>
      <c r="O2339" s="55">
        <f ca="1" t="shared" si="153"/>
        <v>0</v>
      </c>
      <c r="P2339" s="55">
        <f ca="1" t="shared" si="154"/>
        <v>97</v>
      </c>
      <c r="Q2339" s="22" t="str">
        <f>VLOOKUP(B2339,辅助信息!E:M,9,FALSE)</f>
        <v>ZTWM-CDGS-XS-2024-0092-华西-萌海科创农业生态谷</v>
      </c>
      <c r="R2339" s="22" t="str">
        <f>_xlfn._xlws.FILTER(辅助信息!D:D,辅助信息!E:E=B2339)</f>
        <v>华西萌海-科创农业生态谷</v>
      </c>
    </row>
    <row r="2340" hidden="1" spans="2:18">
      <c r="B2340" s="33" t="s">
        <v>92</v>
      </c>
      <c r="C2340" s="63">
        <v>45859</v>
      </c>
      <c r="D2340" s="33" t="str">
        <f>VLOOKUP(B2340,辅助信息!E:K,7,FALSE)</f>
        <v>JWDDCD2025051800046</v>
      </c>
      <c r="E2340" s="33" t="str">
        <f>VLOOKUP(F2340,辅助信息!A:B,2,FALSE)</f>
        <v>螺纹钢</v>
      </c>
      <c r="F2340" s="33" t="s">
        <v>27</v>
      </c>
      <c r="G2340" s="29">
        <v>5</v>
      </c>
      <c r="H2340" s="127">
        <f>_xlfn.XLOOKUP(C2340&amp;F2340&amp;I2340&amp;J2340,'[1]2025年已发货'!$F:$F&amp;'[1]2025年已发货'!$C:$C&amp;'[1]2025年已发货'!$G:$G&amp;'[1]2025年已发货'!$H:$H,'[1]2025年已发货'!$E:$E,"未发货")</f>
        <v>5</v>
      </c>
      <c r="I2340" s="33" t="str">
        <f>VLOOKUP(B2340,辅助信息!E:I,3,FALSE)</f>
        <v>（华西萌海科创农业生态谷）成都市简阳市白金山水库</v>
      </c>
      <c r="J2340" s="33" t="str">
        <f>VLOOKUP(B2340,辅助信息!E:I,4,FALSE)</f>
        <v>石清国</v>
      </c>
      <c r="K2340" s="33">
        <f>VLOOKUP(J2340,辅助信息!H:I,2,FALSE)</f>
        <v>13458642015</v>
      </c>
      <c r="L2340" s="102" t="str">
        <f>VLOOKUP(B2340,辅助信息!E:J,6,FALSE)</f>
        <v>优先威钢,我方卸车,新老国标钢厂不加价可直发</v>
      </c>
      <c r="M2340" s="84">
        <v>45860</v>
      </c>
      <c r="O2340" s="55">
        <f ca="1" t="shared" si="153"/>
        <v>0</v>
      </c>
      <c r="P2340" s="55">
        <f ca="1" t="shared" si="154"/>
        <v>97</v>
      </c>
      <c r="Q2340" s="22" t="str">
        <f>VLOOKUP(B2340,辅助信息!E:M,9,FALSE)</f>
        <v>ZTWM-CDGS-XS-2024-0092-华西-萌海科创农业生态谷</v>
      </c>
      <c r="R2340" s="22" t="str">
        <f>_xlfn._xlws.FILTER(辅助信息!D:D,辅助信息!E:E=B2340)</f>
        <v>华西萌海-科创农业生态谷</v>
      </c>
    </row>
    <row r="2341" hidden="1" spans="2:18">
      <c r="B2341" s="33" t="s">
        <v>92</v>
      </c>
      <c r="C2341" s="63">
        <v>45859</v>
      </c>
      <c r="D2341" s="33" t="str">
        <f>VLOOKUP(B2341,辅助信息!E:K,7,FALSE)</f>
        <v>JWDDCD2025051800046</v>
      </c>
      <c r="E2341" s="33" t="str">
        <f>VLOOKUP(F2341,辅助信息!A:B,2,FALSE)</f>
        <v>螺纹钢</v>
      </c>
      <c r="F2341" s="33" t="s">
        <v>33</v>
      </c>
      <c r="G2341" s="29">
        <v>5</v>
      </c>
      <c r="H2341" s="127">
        <f>_xlfn.XLOOKUP(C2341&amp;F2341&amp;I2341&amp;J2341,'[1]2025年已发货'!$F:$F&amp;'[1]2025年已发货'!$C:$C&amp;'[1]2025年已发货'!$G:$G&amp;'[1]2025年已发货'!$H:$H,'[1]2025年已发货'!$E:$E,"未发货")</f>
        <v>5</v>
      </c>
      <c r="I2341" s="33" t="str">
        <f>VLOOKUP(B2341,辅助信息!E:I,3,FALSE)</f>
        <v>（华西萌海科创农业生态谷）成都市简阳市白金山水库</v>
      </c>
      <c r="J2341" s="33" t="str">
        <f>VLOOKUP(B2341,辅助信息!E:I,4,FALSE)</f>
        <v>石清国</v>
      </c>
      <c r="K2341" s="33">
        <f>VLOOKUP(J2341,辅助信息!H:I,2,FALSE)</f>
        <v>13458642015</v>
      </c>
      <c r="L2341" s="102" t="str">
        <f>VLOOKUP(B2341,辅助信息!E:J,6,FALSE)</f>
        <v>优先威钢,我方卸车,新老国标钢厂不加价可直发</v>
      </c>
      <c r="M2341" s="84">
        <v>45860</v>
      </c>
      <c r="O2341" s="55">
        <f ca="1" t="shared" si="153"/>
        <v>0</v>
      </c>
      <c r="P2341" s="55">
        <f ca="1" t="shared" si="154"/>
        <v>97</v>
      </c>
      <c r="Q2341" s="22" t="str">
        <f>VLOOKUP(B2341,辅助信息!E:M,9,FALSE)</f>
        <v>ZTWM-CDGS-XS-2024-0092-华西-萌海科创农业生态谷</v>
      </c>
      <c r="R2341" s="22" t="str">
        <f>_xlfn._xlws.FILTER(辅助信息!D:D,辅助信息!E:E=B2341)</f>
        <v>华西萌海-科创农业生态谷</v>
      </c>
    </row>
    <row r="2342" hidden="1" spans="2:18">
      <c r="B2342" s="33" t="s">
        <v>92</v>
      </c>
      <c r="C2342" s="63">
        <v>45859</v>
      </c>
      <c r="D2342" s="33" t="str">
        <f>VLOOKUP(B2342,辅助信息!E:K,7,FALSE)</f>
        <v>JWDDCD2025051800046</v>
      </c>
      <c r="E2342" s="33" t="str">
        <f>VLOOKUP(F2342,辅助信息!A:B,2,FALSE)</f>
        <v>螺纹钢</v>
      </c>
      <c r="F2342" s="33" t="s">
        <v>22</v>
      </c>
      <c r="G2342" s="29">
        <v>20</v>
      </c>
      <c r="H2342" s="127">
        <f>_xlfn.XLOOKUP(C2342&amp;F2342&amp;I2342&amp;J2342,'[1]2025年已发货'!$F:$F&amp;'[1]2025年已发货'!$C:$C&amp;'[1]2025年已发货'!$G:$G&amp;'[1]2025年已发货'!$H:$H,'[1]2025年已发货'!$E:$E,"未发货")</f>
        <v>20</v>
      </c>
      <c r="I2342" s="33" t="str">
        <f>VLOOKUP(B2342,辅助信息!E:I,3,FALSE)</f>
        <v>（华西萌海科创农业生态谷）成都市简阳市白金山水库</v>
      </c>
      <c r="J2342" s="33" t="str">
        <f>VLOOKUP(B2342,辅助信息!E:I,4,FALSE)</f>
        <v>石清国</v>
      </c>
      <c r="K2342" s="33">
        <f>VLOOKUP(J2342,辅助信息!H:I,2,FALSE)</f>
        <v>13458642015</v>
      </c>
      <c r="L2342" s="102" t="str">
        <f>VLOOKUP(B2342,辅助信息!E:J,6,FALSE)</f>
        <v>优先威钢,我方卸车,新老国标钢厂不加价可直发</v>
      </c>
      <c r="M2342" s="84">
        <v>45860</v>
      </c>
      <c r="O2342" s="55">
        <f ca="1" t="shared" si="153"/>
        <v>0</v>
      </c>
      <c r="P2342" s="55">
        <f ca="1" t="shared" si="154"/>
        <v>97</v>
      </c>
      <c r="Q2342" s="22" t="str">
        <f>VLOOKUP(B2342,辅助信息!E:M,9,FALSE)</f>
        <v>ZTWM-CDGS-XS-2024-0092-华西-萌海科创农业生态谷</v>
      </c>
      <c r="R2342" s="22" t="str">
        <f>_xlfn._xlws.FILTER(辅助信息!D:D,辅助信息!E:E=B2342)</f>
        <v>华西萌海-科创农业生态谷</v>
      </c>
    </row>
    <row r="2343" hidden="1" spans="2:18">
      <c r="B2343" s="33" t="s">
        <v>106</v>
      </c>
      <c r="C2343" s="63">
        <v>45859</v>
      </c>
      <c r="D2343" s="33" t="str">
        <f>VLOOKUP(B2343,辅助信息!E:K,7,FALSE)</f>
        <v>JWDDCD2024101600133</v>
      </c>
      <c r="E2343" s="33" t="str">
        <f>VLOOKUP(F2343,辅助信息!A:B,2,FALSE)</f>
        <v>盘螺</v>
      </c>
      <c r="F2343" s="33" t="s">
        <v>40</v>
      </c>
      <c r="G2343" s="29">
        <v>10</v>
      </c>
      <c r="H2343" s="127">
        <f>_xlfn.XLOOKUP(C2343&amp;F2343&amp;I2343&amp;J2343,'[1]2025年已发货'!$F:$F&amp;'[1]2025年已发货'!$C:$C&amp;'[1]2025年已发货'!$G:$G&amp;'[1]2025年已发货'!$H:$H,'[1]2025年已发货'!$E:$E,"未发货")</f>
        <v>10</v>
      </c>
      <c r="I2343" s="33" t="str">
        <f>VLOOKUP(B2343,辅助信息!E:I,3,FALSE)</f>
        <v>（五冶钢构宜宾高县月江镇建设项目）  四川省宜宾市高县月江镇刚记超市斜对面(还阳组团沪碳二期项目)</v>
      </c>
      <c r="J2343" s="33" t="str">
        <f>VLOOKUP(B2343,辅助信息!E:I,4,FALSE)</f>
        <v>张朝亮</v>
      </c>
      <c r="K2343" s="33">
        <f>VLOOKUP(J2343,辅助信息!H:I,2,FALSE)</f>
        <v>15228205853</v>
      </c>
      <c r="L2343" s="102" t="str">
        <f>VLOOKUP(B2343,辅助信息!E:J,6,FALSE)</f>
        <v>提前联系到场规格</v>
      </c>
      <c r="M2343" s="84">
        <v>45860</v>
      </c>
      <c r="O2343" s="55">
        <f ca="1" t="shared" si="153"/>
        <v>0</v>
      </c>
      <c r="P2343" s="55">
        <f ca="1" t="shared" si="154"/>
        <v>97</v>
      </c>
      <c r="Q2343" s="22" t="str">
        <f>VLOOKUP(B2343,辅助信息!E:M,9,FALSE)</f>
        <v>ZTWM-CDGS-XS-2024-0169-中冶西部钢构-宜宾市南溪区幸福路东路,高县月江镇建设项目</v>
      </c>
      <c r="R2343" s="22" t="str">
        <f>_xlfn._xlws.FILTER(辅助信息!D:D,辅助信息!E:E=B2343)</f>
        <v>五冶钢构-宜宾市南溪区高县月江镇建设项目</v>
      </c>
    </row>
    <row r="2344" hidden="1" spans="2:18">
      <c r="B2344" s="33" t="s">
        <v>106</v>
      </c>
      <c r="C2344" s="63">
        <v>45859</v>
      </c>
      <c r="D2344" s="33" t="str">
        <f>VLOOKUP(B2344,辅助信息!E:K,7,FALSE)</f>
        <v>JWDDCD2024101600133</v>
      </c>
      <c r="E2344" s="33" t="str">
        <f>VLOOKUP(F2344,辅助信息!A:B,2,FALSE)</f>
        <v>盘螺</v>
      </c>
      <c r="F2344" s="33" t="s">
        <v>41</v>
      </c>
      <c r="G2344" s="29">
        <v>25</v>
      </c>
      <c r="H2344" s="127">
        <f>_xlfn.XLOOKUP(C2344&amp;F2344&amp;I2344&amp;J2344,'[1]2025年已发货'!$F:$F&amp;'[1]2025年已发货'!$C:$C&amp;'[1]2025年已发货'!$G:$G&amp;'[1]2025年已发货'!$H:$H,'[1]2025年已发货'!$E:$E,"未发货")</f>
        <v>25</v>
      </c>
      <c r="I2344" s="33" t="str">
        <f>VLOOKUP(B2344,辅助信息!E:I,3,FALSE)</f>
        <v>（五冶钢构宜宾高县月江镇建设项目）  四川省宜宾市高县月江镇刚记超市斜对面(还阳组团沪碳二期项目)</v>
      </c>
      <c r="J2344" s="33" t="str">
        <f>VLOOKUP(B2344,辅助信息!E:I,4,FALSE)</f>
        <v>张朝亮</v>
      </c>
      <c r="K2344" s="33">
        <f>VLOOKUP(J2344,辅助信息!H:I,2,FALSE)</f>
        <v>15228205853</v>
      </c>
      <c r="L2344" s="102" t="str">
        <f>VLOOKUP(B2344,辅助信息!E:J,6,FALSE)</f>
        <v>提前联系到场规格</v>
      </c>
      <c r="M2344" s="84">
        <v>45860</v>
      </c>
      <c r="O2344" s="55">
        <f ca="1" t="shared" si="153"/>
        <v>0</v>
      </c>
      <c r="P2344" s="55">
        <f ca="1" t="shared" si="154"/>
        <v>97</v>
      </c>
      <c r="Q2344" s="22" t="str">
        <f>VLOOKUP(B2344,辅助信息!E:M,9,FALSE)</f>
        <v>ZTWM-CDGS-XS-2024-0169-中冶西部钢构-宜宾市南溪区幸福路东路,高县月江镇建设项目</v>
      </c>
      <c r="R2344" s="22" t="str">
        <f>_xlfn._xlws.FILTER(辅助信息!D:D,辅助信息!E:E=B2344)</f>
        <v>五冶钢构-宜宾市南溪区高县月江镇建设项目</v>
      </c>
    </row>
    <row r="2345" hidden="1" spans="2:18">
      <c r="B2345" s="33" t="s">
        <v>106</v>
      </c>
      <c r="C2345" s="63">
        <v>45859</v>
      </c>
      <c r="D2345" s="33" t="str">
        <f>VLOOKUP(B2345,辅助信息!E:K,7,FALSE)</f>
        <v>JWDDCD2024101600133</v>
      </c>
      <c r="E2345" s="33" t="str">
        <f>VLOOKUP(F2345,辅助信息!A:B,2,FALSE)</f>
        <v>螺纹钢</v>
      </c>
      <c r="F2345" s="33" t="s">
        <v>27</v>
      </c>
      <c r="G2345" s="29">
        <v>9</v>
      </c>
      <c r="H2345" s="127">
        <f>_xlfn.XLOOKUP(C2345&amp;F2345&amp;I2345&amp;J2345,'[1]2025年已发货'!$F:$F&amp;'[1]2025年已发货'!$C:$C&amp;'[1]2025年已发货'!$G:$G&amp;'[1]2025年已发货'!$H:$H,'[1]2025年已发货'!$E:$E,"未发货")</f>
        <v>9</v>
      </c>
      <c r="I2345" s="33" t="str">
        <f>VLOOKUP(B2345,辅助信息!E:I,3,FALSE)</f>
        <v>（五冶钢构宜宾高县月江镇建设项目）  四川省宜宾市高县月江镇刚记超市斜对面(还阳组团沪碳二期项目)</v>
      </c>
      <c r="J2345" s="33" t="str">
        <f>VLOOKUP(B2345,辅助信息!E:I,4,FALSE)</f>
        <v>张朝亮</v>
      </c>
      <c r="K2345" s="33">
        <f>VLOOKUP(J2345,辅助信息!H:I,2,FALSE)</f>
        <v>15228205853</v>
      </c>
      <c r="L2345" s="102" t="str">
        <f>VLOOKUP(B2345,辅助信息!E:J,6,FALSE)</f>
        <v>提前联系到场规格</v>
      </c>
      <c r="M2345" s="84">
        <v>45860</v>
      </c>
      <c r="O2345" s="55">
        <f ca="1" t="shared" si="153"/>
        <v>0</v>
      </c>
      <c r="P2345" s="55">
        <f ca="1" t="shared" si="154"/>
        <v>97</v>
      </c>
      <c r="Q2345" s="22" t="str">
        <f>VLOOKUP(B2345,辅助信息!E:M,9,FALSE)</f>
        <v>ZTWM-CDGS-XS-2024-0169-中冶西部钢构-宜宾市南溪区幸福路东路,高县月江镇建设项目</v>
      </c>
      <c r="R2345" s="22" t="str">
        <f>_xlfn._xlws.FILTER(辅助信息!D:D,辅助信息!E:E=B2345)</f>
        <v>五冶钢构-宜宾市南溪区高县月江镇建设项目</v>
      </c>
    </row>
    <row r="2346" hidden="1" spans="2:18">
      <c r="B2346" s="33" t="s">
        <v>106</v>
      </c>
      <c r="C2346" s="63">
        <v>45859</v>
      </c>
      <c r="D2346" s="33" t="str">
        <f>VLOOKUP(B2346,辅助信息!E:K,7,FALSE)</f>
        <v>JWDDCD2024101600133</v>
      </c>
      <c r="E2346" s="33" t="str">
        <f>VLOOKUP(F2346,辅助信息!A:B,2,FALSE)</f>
        <v>螺纹钢</v>
      </c>
      <c r="F2346" s="33" t="s">
        <v>19</v>
      </c>
      <c r="G2346" s="29">
        <v>9</v>
      </c>
      <c r="H2346" s="127">
        <f>_xlfn.XLOOKUP(C2346&amp;F2346&amp;I2346&amp;J2346,'[1]2025年已发货'!$F:$F&amp;'[1]2025年已发货'!$C:$C&amp;'[1]2025年已发货'!$G:$G&amp;'[1]2025年已发货'!$H:$H,'[1]2025年已发货'!$E:$E,"未发货")</f>
        <v>9</v>
      </c>
      <c r="I2346" s="33" t="str">
        <f>VLOOKUP(B2346,辅助信息!E:I,3,FALSE)</f>
        <v>（五冶钢构宜宾高县月江镇建设项目）  四川省宜宾市高县月江镇刚记超市斜对面(还阳组团沪碳二期项目)</v>
      </c>
      <c r="J2346" s="33" t="str">
        <f>VLOOKUP(B2346,辅助信息!E:I,4,FALSE)</f>
        <v>张朝亮</v>
      </c>
      <c r="K2346" s="33">
        <f>VLOOKUP(J2346,辅助信息!H:I,2,FALSE)</f>
        <v>15228205853</v>
      </c>
      <c r="L2346" s="102" t="str">
        <f>VLOOKUP(B2346,辅助信息!E:J,6,FALSE)</f>
        <v>提前联系到场规格</v>
      </c>
      <c r="M2346" s="84">
        <v>45860</v>
      </c>
      <c r="O2346" s="55">
        <f ca="1" t="shared" si="153"/>
        <v>0</v>
      </c>
      <c r="P2346" s="55">
        <f ca="1" t="shared" si="154"/>
        <v>97</v>
      </c>
      <c r="Q2346" s="22" t="str">
        <f>VLOOKUP(B2346,辅助信息!E:M,9,FALSE)</f>
        <v>ZTWM-CDGS-XS-2024-0169-中冶西部钢构-宜宾市南溪区幸福路东路,高县月江镇建设项目</v>
      </c>
      <c r="R2346" s="22" t="str">
        <f>_xlfn._xlws.FILTER(辅助信息!D:D,辅助信息!E:E=B2346)</f>
        <v>五冶钢构-宜宾市南溪区高县月江镇建设项目</v>
      </c>
    </row>
    <row r="2347" hidden="1" spans="2:18">
      <c r="B2347" s="33" t="s">
        <v>106</v>
      </c>
      <c r="C2347" s="63">
        <v>45859</v>
      </c>
      <c r="D2347" s="33" t="str">
        <f>VLOOKUP(B2347,辅助信息!E:K,7,FALSE)</f>
        <v>JWDDCD2024101600133</v>
      </c>
      <c r="E2347" s="33" t="str">
        <f>VLOOKUP(F2347,辅助信息!A:B,2,FALSE)</f>
        <v>螺纹钢</v>
      </c>
      <c r="F2347" s="33" t="s">
        <v>32</v>
      </c>
      <c r="G2347" s="29">
        <v>9</v>
      </c>
      <c r="H2347" s="127">
        <f>_xlfn.XLOOKUP(C2347&amp;F2347&amp;I2347&amp;J2347,'[1]2025年已发货'!$F:$F&amp;'[1]2025年已发货'!$C:$C&amp;'[1]2025年已发货'!$G:$G&amp;'[1]2025年已发货'!$H:$H,'[1]2025年已发货'!$E:$E,"未发货")</f>
        <v>9</v>
      </c>
      <c r="I2347" s="33" t="str">
        <f>VLOOKUP(B2347,辅助信息!E:I,3,FALSE)</f>
        <v>（五冶钢构宜宾高县月江镇建设项目）  四川省宜宾市高县月江镇刚记超市斜对面(还阳组团沪碳二期项目)</v>
      </c>
      <c r="J2347" s="33" t="str">
        <f>VLOOKUP(B2347,辅助信息!E:I,4,FALSE)</f>
        <v>张朝亮</v>
      </c>
      <c r="K2347" s="33">
        <f>VLOOKUP(J2347,辅助信息!H:I,2,FALSE)</f>
        <v>15228205853</v>
      </c>
      <c r="L2347" s="102" t="str">
        <f>VLOOKUP(B2347,辅助信息!E:J,6,FALSE)</f>
        <v>提前联系到场规格</v>
      </c>
      <c r="M2347" s="84">
        <v>45860</v>
      </c>
      <c r="O2347" s="55">
        <f ca="1" t="shared" si="153"/>
        <v>0</v>
      </c>
      <c r="P2347" s="55">
        <f ca="1" t="shared" si="154"/>
        <v>97</v>
      </c>
      <c r="Q2347" s="22" t="str">
        <f>VLOOKUP(B2347,辅助信息!E:M,9,FALSE)</f>
        <v>ZTWM-CDGS-XS-2024-0169-中冶西部钢构-宜宾市南溪区幸福路东路,高县月江镇建设项目</v>
      </c>
      <c r="R2347" s="22" t="str">
        <f>_xlfn._xlws.FILTER(辅助信息!D:D,辅助信息!E:E=B2347)</f>
        <v>五冶钢构-宜宾市南溪区高县月江镇建设项目</v>
      </c>
    </row>
    <row r="2348" hidden="1" spans="2:18">
      <c r="B2348" s="33" t="s">
        <v>106</v>
      </c>
      <c r="C2348" s="63">
        <v>45859</v>
      </c>
      <c r="D2348" s="33" t="str">
        <f>VLOOKUP(B2348,辅助信息!E:K,7,FALSE)</f>
        <v>JWDDCD2024101600133</v>
      </c>
      <c r="E2348" s="33" t="str">
        <f>VLOOKUP(F2348,辅助信息!A:B,2,FALSE)</f>
        <v>螺纹钢</v>
      </c>
      <c r="F2348" s="33" t="s">
        <v>33</v>
      </c>
      <c r="G2348" s="29">
        <v>9</v>
      </c>
      <c r="H2348" s="127">
        <f>_xlfn.XLOOKUP(C2348&amp;F2348&amp;I2348&amp;J2348,'[1]2025年已发货'!$F:$F&amp;'[1]2025年已发货'!$C:$C&amp;'[1]2025年已发货'!$G:$G&amp;'[1]2025年已发货'!$H:$H,'[1]2025年已发货'!$E:$E,"未发货")</f>
        <v>9</v>
      </c>
      <c r="I2348" s="33" t="str">
        <f>VLOOKUP(B2348,辅助信息!E:I,3,FALSE)</f>
        <v>（五冶钢构宜宾高县月江镇建设项目）  四川省宜宾市高县月江镇刚记超市斜对面(还阳组团沪碳二期项目)</v>
      </c>
      <c r="J2348" s="33" t="str">
        <f>VLOOKUP(B2348,辅助信息!E:I,4,FALSE)</f>
        <v>张朝亮</v>
      </c>
      <c r="K2348" s="33">
        <f>VLOOKUP(J2348,辅助信息!H:I,2,FALSE)</f>
        <v>15228205853</v>
      </c>
      <c r="L2348" s="102" t="str">
        <f>VLOOKUP(B2348,辅助信息!E:J,6,FALSE)</f>
        <v>提前联系到场规格</v>
      </c>
      <c r="M2348" s="84">
        <v>45860</v>
      </c>
      <c r="O2348" s="55">
        <f ca="1" t="shared" si="153"/>
        <v>0</v>
      </c>
      <c r="P2348" s="55">
        <f ca="1" t="shared" si="154"/>
        <v>97</v>
      </c>
      <c r="Q2348" s="22" t="str">
        <f>VLOOKUP(B2348,辅助信息!E:M,9,FALSE)</f>
        <v>ZTWM-CDGS-XS-2024-0169-中冶西部钢构-宜宾市南溪区幸福路东路,高县月江镇建设项目</v>
      </c>
      <c r="R2348" s="22" t="str">
        <f>_xlfn._xlws.FILTER(辅助信息!D:D,辅助信息!E:E=B2348)</f>
        <v>五冶钢构-宜宾市南溪区高县月江镇建设项目</v>
      </c>
    </row>
    <row r="2349" hidden="1" spans="2:18">
      <c r="B2349" s="33" t="s">
        <v>167</v>
      </c>
      <c r="C2349" s="63">
        <v>45860</v>
      </c>
      <c r="D2349" s="33" t="str">
        <f>VLOOKUP(B2349,辅助信息!E:K,7,FALSE)</f>
        <v>JWDDCD2025102100473</v>
      </c>
      <c r="E2349" s="33" t="str">
        <f>VLOOKUP(F2349,辅助信息!A:B,2,FALSE)</f>
        <v>螺纹钢</v>
      </c>
      <c r="F2349" s="33" t="s">
        <v>30</v>
      </c>
      <c r="G2349" s="29">
        <v>70</v>
      </c>
      <c r="H2349" s="127">
        <f>_xlfn.XLOOKUP(C2349&amp;F2349&amp;I2349&amp;J2349,'[1]2025年已发货'!$F:$F&amp;'[1]2025年已发货'!$C:$C&amp;'[1]2025年已发货'!$G:$G&amp;'[1]2025年已发货'!$H:$H,'[1]2025年已发货'!$E:$E,"未发货")</f>
        <v>70</v>
      </c>
      <c r="I2349" s="33" t="str">
        <f>VLOOKUP(B2349,辅助信息!E:I,3,FALSE)</f>
        <v>(五冶建设扩建艺体中学二期工程)四川省成都市双流区光荣路成都艺体中学南200米</v>
      </c>
      <c r="J2349" s="33" t="str">
        <f>VLOOKUP(B2349,辅助信息!E:I,4,FALSE)</f>
        <v>谢序强</v>
      </c>
      <c r="K2349" s="33">
        <f>VLOOKUP(J2349,辅助信息!H:I,2,FALSE)</f>
        <v>13458588232</v>
      </c>
      <c r="L2349" s="102"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84">
        <v>45860</v>
      </c>
      <c r="O2349" s="55">
        <f ca="1" t="shared" si="153"/>
        <v>0</v>
      </c>
      <c r="P2349" s="55">
        <f ca="1" t="shared" si="154"/>
        <v>97</v>
      </c>
      <c r="Q2349" s="22" t="str">
        <f>VLOOKUP(B2349,辅助信息!E:M,9,FALSE)</f>
        <v>ZTWM-CDGS-XS-2025-0073-五冶天府-成都怡心湖片区及龙泉驿医院等项目</v>
      </c>
      <c r="R2349" s="22" t="str">
        <f>_xlfn._xlws.FILTER(辅助信息!D:D,辅助信息!E:E=B2349)</f>
        <v>五冶建设扩建艺体中学二期工程</v>
      </c>
    </row>
    <row r="2350" hidden="1" spans="2:18">
      <c r="B2350" s="33" t="s">
        <v>167</v>
      </c>
      <c r="C2350" s="63">
        <v>45860</v>
      </c>
      <c r="D2350" s="33" t="str">
        <f>VLOOKUP(B2350,辅助信息!E:K,7,FALSE)</f>
        <v>JWDDCD2025102100473</v>
      </c>
      <c r="E2350" s="33" t="str">
        <f>VLOOKUP(F2350,辅助信息!A:B,2,FALSE)</f>
        <v>盘螺</v>
      </c>
      <c r="F2350" s="33" t="s">
        <v>40</v>
      </c>
      <c r="G2350" s="29">
        <v>14</v>
      </c>
      <c r="H2350" s="127">
        <f>_xlfn.XLOOKUP(C2350&amp;F2350&amp;I2350&amp;J2350,'[1]2025年已发货'!$F:$F&amp;'[1]2025年已发货'!$C:$C&amp;'[1]2025年已发货'!$G:$G&amp;'[1]2025年已发货'!$H:$H,'[1]2025年已发货'!$E:$E,"未发货")</f>
        <v>14</v>
      </c>
      <c r="I2350" s="33" t="str">
        <f>VLOOKUP(B2350,辅助信息!E:I,3,FALSE)</f>
        <v>(五冶建设扩建艺体中学二期工程)四川省成都市双流区光荣路成都艺体中学南200米</v>
      </c>
      <c r="J2350" s="33" t="str">
        <f>VLOOKUP(B2350,辅助信息!E:I,4,FALSE)</f>
        <v>谢序强</v>
      </c>
      <c r="K2350" s="33">
        <f>VLOOKUP(J2350,辅助信息!H:I,2,FALSE)</f>
        <v>13458588232</v>
      </c>
      <c r="L2350" s="102"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84">
        <v>45861</v>
      </c>
      <c r="O2350" s="55">
        <f ca="1" t="shared" si="153"/>
        <v>0</v>
      </c>
      <c r="P2350" s="55">
        <f ca="1" t="shared" si="154"/>
        <v>96</v>
      </c>
      <c r="Q2350" s="22" t="str">
        <f>VLOOKUP(B2350,辅助信息!E:M,9,FALSE)</f>
        <v>ZTWM-CDGS-XS-2025-0073-五冶天府-成都怡心湖片区及龙泉驿医院等项目</v>
      </c>
      <c r="R2350" s="22" t="str">
        <f>_xlfn._xlws.FILTER(辅助信息!D:D,辅助信息!E:E=B2350)</f>
        <v>五冶建设扩建艺体中学二期工程</v>
      </c>
    </row>
    <row r="2351" hidden="1" spans="2:18">
      <c r="B2351" s="33" t="s">
        <v>167</v>
      </c>
      <c r="C2351" s="63">
        <v>45860</v>
      </c>
      <c r="D2351" s="33" t="str">
        <f>VLOOKUP(B2351,辅助信息!E:K,7,FALSE)</f>
        <v>JWDDCD2025102100473</v>
      </c>
      <c r="E2351" s="33" t="str">
        <f>VLOOKUP(F2351,辅助信息!A:B,2,FALSE)</f>
        <v>盘螺</v>
      </c>
      <c r="F2351" s="33" t="s">
        <v>41</v>
      </c>
      <c r="G2351" s="29">
        <v>21</v>
      </c>
      <c r="H2351" s="127">
        <f>_xlfn.XLOOKUP(C2351&amp;F2351&amp;I2351&amp;J2351,'[1]2025年已发货'!$F:$F&amp;'[1]2025年已发货'!$C:$C&amp;'[1]2025年已发货'!$G:$G&amp;'[1]2025年已发货'!$H:$H,'[1]2025年已发货'!$E:$E,"未发货")</f>
        <v>21</v>
      </c>
      <c r="I2351" s="33" t="str">
        <f>VLOOKUP(B2351,辅助信息!E:I,3,FALSE)</f>
        <v>(五冶建设扩建艺体中学二期工程)四川省成都市双流区光荣路成都艺体中学南200米</v>
      </c>
      <c r="J2351" s="33" t="str">
        <f>VLOOKUP(B2351,辅助信息!E:I,4,FALSE)</f>
        <v>谢序强</v>
      </c>
      <c r="K2351" s="33">
        <f>VLOOKUP(J2351,辅助信息!H:I,2,FALSE)</f>
        <v>13458588232</v>
      </c>
      <c r="L2351" s="102"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84">
        <v>45861</v>
      </c>
      <c r="O2351" s="55">
        <f ca="1" t="shared" si="153"/>
        <v>0</v>
      </c>
      <c r="P2351" s="55">
        <f ca="1" t="shared" si="154"/>
        <v>96</v>
      </c>
      <c r="Q2351" s="22" t="str">
        <f>VLOOKUP(B2351,辅助信息!E:M,9,FALSE)</f>
        <v>ZTWM-CDGS-XS-2025-0073-五冶天府-成都怡心湖片区及龙泉驿医院等项目</v>
      </c>
      <c r="R2351" s="22" t="str">
        <f>_xlfn._xlws.FILTER(辅助信息!D:D,辅助信息!E:E=B2351)</f>
        <v>五冶建设扩建艺体中学二期工程</v>
      </c>
    </row>
    <row r="2352" hidden="1" spans="2:18">
      <c r="B2352" s="33" t="s">
        <v>180</v>
      </c>
      <c r="C2352" s="63">
        <v>45860</v>
      </c>
      <c r="D2352" s="33" t="str">
        <f>VLOOKUP(B2352,辅助信息!E:K,7,FALSE)</f>
        <v>JWDDCD2025052800131</v>
      </c>
      <c r="E2352" s="33" t="str">
        <f>VLOOKUP(F2352,辅助信息!A:B,2,FALSE)</f>
        <v>螺纹钢</v>
      </c>
      <c r="F2352" s="33" t="s">
        <v>45</v>
      </c>
      <c r="G2352" s="29">
        <v>6</v>
      </c>
      <c r="H2352" s="127">
        <f>_xlfn.XLOOKUP(C2352&amp;F2352&amp;I2352&amp;J2352,'[1]2025年已发货'!$F:$F&amp;'[1]2025年已发货'!$C:$C&amp;'[1]2025年已发货'!$G:$G&amp;'[1]2025年已发货'!$H:$H,'[1]2025年已发货'!$E:$E,"未发货")</f>
        <v>6</v>
      </c>
      <c r="I2352" s="33" t="str">
        <f>VLOOKUP(B2352,辅助信息!E:I,3,FALSE)</f>
        <v>（商投建工达州中医药科技园-4工区-8号楼）达州市通川区达州中医药职业学院犀牛大道北段</v>
      </c>
      <c r="J2352" s="33" t="str">
        <f>VLOOKUP(B2352,辅助信息!E:I,4,FALSE)</f>
        <v>张扬</v>
      </c>
      <c r="K2352" s="33">
        <f>VLOOKUP(J2352,辅助信息!H:I,2,FALSE)</f>
        <v>18381904567</v>
      </c>
      <c r="L2352" s="102" t="str">
        <f>VLOOKUP(B2352,辅助信息!E:J,6,FALSE)</f>
        <v>控制炉批号！多了现场不收！,优先安排达钢,提前联系到场规格及数量</v>
      </c>
      <c r="M2352" s="84">
        <v>45861</v>
      </c>
      <c r="O2352" s="55">
        <f ca="1" t="shared" si="153"/>
        <v>0</v>
      </c>
      <c r="P2352" s="55">
        <f ca="1" t="shared" si="154"/>
        <v>96</v>
      </c>
      <c r="Q2352" s="22" t="str">
        <f>VLOOKUP(B2352,辅助信息!E:M,9,FALSE)</f>
        <v>ZTWM-CDGS-XS-2024-0134-商投建工达州中医药科技成果示范园项目</v>
      </c>
      <c r="R2352" s="22" t="str">
        <f>_xlfn._xlws.FILTER(辅助信息!D:D,辅助信息!E:E=B2352)</f>
        <v>商投建工达州中医药科技园</v>
      </c>
    </row>
    <row r="2353" hidden="1" spans="2:18">
      <c r="B2353" s="33" t="s">
        <v>180</v>
      </c>
      <c r="C2353" s="63">
        <v>45860</v>
      </c>
      <c r="D2353" s="33" t="str">
        <f>VLOOKUP(B2353,辅助信息!E:K,7,FALSE)</f>
        <v>JWDDCD2025052800131</v>
      </c>
      <c r="E2353" s="33" t="str">
        <f>VLOOKUP(F2353,辅助信息!A:B,2,FALSE)</f>
        <v>螺纹钢</v>
      </c>
      <c r="F2353" s="33" t="s">
        <v>21</v>
      </c>
      <c r="G2353" s="29">
        <v>20</v>
      </c>
      <c r="H2353" s="127">
        <f>_xlfn.XLOOKUP(C2353&amp;F2353&amp;I2353&amp;J2353,'[1]2025年已发货'!$F:$F&amp;'[1]2025年已发货'!$C:$C&amp;'[1]2025年已发货'!$G:$G&amp;'[1]2025年已发货'!$H:$H,'[1]2025年已发货'!$E:$E,"未发货")</f>
        <v>20</v>
      </c>
      <c r="I2353" s="33" t="str">
        <f>VLOOKUP(B2353,辅助信息!E:I,3,FALSE)</f>
        <v>（商投建工达州中医药科技园-4工区-8号楼）达州市通川区达州中医药职业学院犀牛大道北段</v>
      </c>
      <c r="J2353" s="33" t="str">
        <f>VLOOKUP(B2353,辅助信息!E:I,4,FALSE)</f>
        <v>张扬</v>
      </c>
      <c r="K2353" s="33">
        <f>VLOOKUP(J2353,辅助信息!H:I,2,FALSE)</f>
        <v>18381904567</v>
      </c>
      <c r="L2353" s="102" t="str">
        <f>VLOOKUP(B2353,辅助信息!E:J,6,FALSE)</f>
        <v>控制炉批号！多了现场不收！,优先安排达钢,提前联系到场规格及数量</v>
      </c>
      <c r="M2353" s="84">
        <v>45861</v>
      </c>
      <c r="O2353" s="55">
        <f ca="1" t="shared" si="153"/>
        <v>0</v>
      </c>
      <c r="P2353" s="55">
        <f ca="1" t="shared" si="154"/>
        <v>96</v>
      </c>
      <c r="Q2353" s="22" t="str">
        <f>VLOOKUP(B2353,辅助信息!E:M,9,FALSE)</f>
        <v>ZTWM-CDGS-XS-2024-0134-商投建工达州中医药科技成果示范园项目</v>
      </c>
      <c r="R2353" s="22" t="str">
        <f>_xlfn._xlws.FILTER(辅助信息!D:D,辅助信息!E:E=B2353)</f>
        <v>商投建工达州中医药科技园</v>
      </c>
    </row>
    <row r="2354" hidden="1" spans="2:18">
      <c r="B2354" s="33" t="s">
        <v>180</v>
      </c>
      <c r="C2354" s="63">
        <v>45860</v>
      </c>
      <c r="D2354" s="33" t="str">
        <f>VLOOKUP(B2354,辅助信息!E:K,7,FALSE)</f>
        <v>JWDDCD2025052800131</v>
      </c>
      <c r="E2354" s="33" t="str">
        <f>VLOOKUP(F2354,辅助信息!A:B,2,FALSE)</f>
        <v>螺纹钢</v>
      </c>
      <c r="F2354" s="33" t="s">
        <v>58</v>
      </c>
      <c r="G2354" s="29">
        <v>10</v>
      </c>
      <c r="H2354" s="127">
        <f>_xlfn.XLOOKUP(C2354&amp;F2354&amp;I2354&amp;J2354,'[1]2025年已发货'!$F:$F&amp;'[1]2025年已发货'!$C:$C&amp;'[1]2025年已发货'!$G:$G&amp;'[1]2025年已发货'!$H:$H,'[1]2025年已发货'!$E:$E,"未发货")</f>
        <v>10</v>
      </c>
      <c r="I2354" s="33" t="str">
        <f>VLOOKUP(B2354,辅助信息!E:I,3,FALSE)</f>
        <v>（商投建工达州中医药科技园-4工区-8号楼）达州市通川区达州中医药职业学院犀牛大道北段</v>
      </c>
      <c r="J2354" s="33" t="str">
        <f>VLOOKUP(B2354,辅助信息!E:I,4,FALSE)</f>
        <v>张扬</v>
      </c>
      <c r="K2354" s="33">
        <f>VLOOKUP(J2354,辅助信息!H:I,2,FALSE)</f>
        <v>18381904567</v>
      </c>
      <c r="L2354" s="102" t="str">
        <f>VLOOKUP(B2354,辅助信息!E:J,6,FALSE)</f>
        <v>控制炉批号！多了现场不收！,优先安排达钢,提前联系到场规格及数量</v>
      </c>
      <c r="M2354" s="84">
        <v>45861</v>
      </c>
      <c r="O2354" s="55">
        <f ca="1" t="shared" si="153"/>
        <v>0</v>
      </c>
      <c r="P2354" s="55">
        <f ca="1" t="shared" si="154"/>
        <v>96</v>
      </c>
      <c r="Q2354" s="22" t="str">
        <f>VLOOKUP(B2354,辅助信息!E:M,9,FALSE)</f>
        <v>ZTWM-CDGS-XS-2024-0134-商投建工达州中医药科技成果示范园项目</v>
      </c>
      <c r="R2354" s="22" t="str">
        <f>_xlfn._xlws.FILTER(辅助信息!D:D,辅助信息!E:E=B2354)</f>
        <v>商投建工达州中医药科技园</v>
      </c>
    </row>
    <row r="2355" hidden="1" spans="2:18">
      <c r="B2355" s="33" t="s">
        <v>161</v>
      </c>
      <c r="C2355" s="63">
        <v>45860</v>
      </c>
      <c r="D2355" s="33" t="str">
        <f>VLOOKUP(B2355,辅助信息!E:K,7,FALSE)</f>
        <v>JWDD2025071500089</v>
      </c>
      <c r="E2355" s="33" t="str">
        <f>VLOOKUP(F2355,辅助信息!A:B,2,FALSE)</f>
        <v>螺纹钢</v>
      </c>
      <c r="F2355" s="33" t="s">
        <v>32</v>
      </c>
      <c r="G2355" s="29">
        <v>10</v>
      </c>
      <c r="H2355" s="127" t="str">
        <f>_xlfn.XLOOKUP(C2355&amp;F2355&amp;I2355&amp;J2355,'[1]2025年已发货'!$F:$F&amp;'[1]2025年已发货'!$C:$C&amp;'[1]2025年已发货'!$G:$G&amp;'[1]2025年已发货'!$H:$H,'[1]2025年已发货'!$E:$E,"未发货")</f>
        <v>未发货</v>
      </c>
      <c r="I2355" s="33" t="str">
        <f>VLOOKUP(B2355,辅助信息!E:I,3,FALSE)</f>
        <v>(宜宾兴港三江新区长江工业园保障性租赁住房建设项目-1标)四川省宜宾市翠屏区永善路南段宜宾市三江新区长江工业园区</v>
      </c>
      <c r="J2355" s="33" t="str">
        <f>VLOOKUP(B2355,辅助信息!E:I,4,FALSE)</f>
        <v>赵元虎</v>
      </c>
      <c r="K2355" s="33">
        <f>VLOOKUP(J2355,辅助信息!H:I,2,FALSE)</f>
        <v>13684167136</v>
      </c>
      <c r="L2355" s="102" t="str">
        <f>VLOOKUP(B2355,辅助信息!E:J,6,FALSE)</f>
        <v>现场要求调度统一联系指定收货人，不单独发司机位置。锈货不收，装货前联系收货人核实到场规格,没提前告知进场规格现场不给予接收</v>
      </c>
      <c r="M2355" s="84">
        <v>45861</v>
      </c>
      <c r="O2355" s="55">
        <f ca="1" t="shared" si="153"/>
        <v>0</v>
      </c>
      <c r="P2355" s="55">
        <f ca="1" t="shared" si="154"/>
        <v>96</v>
      </c>
      <c r="Q2355" s="22" t="str">
        <f>VLOOKUP(B2355,辅助信息!E:M,9,FALSE)</f>
        <v>ZTWM-CDYXGS-XS-2025-0014-宜宾兴港建材-三江新区长江工业园片区保障性租赁住房建设项目</v>
      </c>
      <c r="R2355" s="22" t="str">
        <f>_xlfn._xlws.FILTER(辅助信息!D:D,辅助信息!E:E=B2355)</f>
        <v>宜宾兴港三江新区长江工业园建设项目</v>
      </c>
    </row>
    <row r="2356" hidden="1" spans="2:18">
      <c r="B2356" s="33" t="s">
        <v>161</v>
      </c>
      <c r="C2356" s="63">
        <v>45860</v>
      </c>
      <c r="D2356" s="33" t="str">
        <f>VLOOKUP(B2356,辅助信息!E:K,7,FALSE)</f>
        <v>JWDD2025071500089</v>
      </c>
      <c r="E2356" s="33" t="str">
        <f>VLOOKUP(F2356,辅助信息!A:B,2,FALSE)</f>
        <v>螺纹钢</v>
      </c>
      <c r="F2356" s="33" t="s">
        <v>30</v>
      </c>
      <c r="G2356" s="29">
        <v>25</v>
      </c>
      <c r="H2356" s="127" t="str">
        <f>_xlfn.XLOOKUP(C2356&amp;F2356&amp;I2356&amp;J2356,'[1]2025年已发货'!$F:$F&amp;'[1]2025年已发货'!$C:$C&amp;'[1]2025年已发货'!$G:$G&amp;'[1]2025年已发货'!$H:$H,'[1]2025年已发货'!$E:$E,"未发货")</f>
        <v>未发货</v>
      </c>
      <c r="I2356" s="33" t="str">
        <f>VLOOKUP(B2356,辅助信息!E:I,3,FALSE)</f>
        <v>(宜宾兴港三江新区长江工业园保障性租赁住房建设项目-1标)四川省宜宾市翠屏区永善路南段宜宾市三江新区长江工业园区</v>
      </c>
      <c r="J2356" s="33" t="str">
        <f>VLOOKUP(B2356,辅助信息!E:I,4,FALSE)</f>
        <v>赵元虎</v>
      </c>
      <c r="K2356" s="33">
        <f>VLOOKUP(J2356,辅助信息!H:I,2,FALSE)</f>
        <v>13684167136</v>
      </c>
      <c r="L2356" s="102" t="str">
        <f>VLOOKUP(B2356,辅助信息!E:J,6,FALSE)</f>
        <v>现场要求调度统一联系指定收货人，不单独发司机位置。锈货不收，装货前联系收货人核实到场规格,没提前告知进场规格现场不给予接收</v>
      </c>
      <c r="M2356" s="84">
        <v>45861</v>
      </c>
      <c r="O2356" s="55">
        <f ca="1" t="shared" si="153"/>
        <v>0</v>
      </c>
      <c r="P2356" s="55">
        <f ca="1" t="shared" si="154"/>
        <v>96</v>
      </c>
      <c r="Q2356" s="22" t="str">
        <f>VLOOKUP(B2356,辅助信息!E:M,9,FALSE)</f>
        <v>ZTWM-CDYXGS-XS-2025-0014-宜宾兴港建材-三江新区长江工业园片区保障性租赁住房建设项目</v>
      </c>
      <c r="R2356" s="22" t="str">
        <f>_xlfn._xlws.FILTER(辅助信息!D:D,辅助信息!E:E=B2356)</f>
        <v>宜宾兴港三江新区长江工业园建设项目</v>
      </c>
    </row>
    <row r="2357" hidden="1" spans="2:18">
      <c r="B2357" s="33" t="s">
        <v>161</v>
      </c>
      <c r="C2357" s="63">
        <v>45860</v>
      </c>
      <c r="D2357" s="33" t="str">
        <f>VLOOKUP(B2357,辅助信息!E:K,7,FALSE)</f>
        <v>JWDD2025071500089</v>
      </c>
      <c r="E2357" s="33" t="str">
        <f>VLOOKUP(F2357,辅助信息!A:B,2,FALSE)</f>
        <v>螺纹钢</v>
      </c>
      <c r="F2357" s="33" t="s">
        <v>18</v>
      </c>
      <c r="G2357" s="29">
        <v>15</v>
      </c>
      <c r="H2357" s="127" t="str">
        <f>_xlfn.XLOOKUP(C2357&amp;F2357&amp;I2357&amp;J2357,'[1]2025年已发货'!$F:$F&amp;'[1]2025年已发货'!$C:$C&amp;'[1]2025年已发货'!$G:$G&amp;'[1]2025年已发货'!$H:$H,'[1]2025年已发货'!$E:$E,"未发货")</f>
        <v>未发货</v>
      </c>
      <c r="I2357" s="33" t="str">
        <f>VLOOKUP(B2357,辅助信息!E:I,3,FALSE)</f>
        <v>(宜宾兴港三江新区长江工业园保障性租赁住房建设项目-1标)四川省宜宾市翠屏区永善路南段宜宾市三江新区长江工业园区</v>
      </c>
      <c r="J2357" s="33" t="str">
        <f>VLOOKUP(B2357,辅助信息!E:I,4,FALSE)</f>
        <v>赵元虎</v>
      </c>
      <c r="K2357" s="33">
        <f>VLOOKUP(J2357,辅助信息!H:I,2,FALSE)</f>
        <v>13684167136</v>
      </c>
      <c r="L2357" s="102" t="str">
        <f>VLOOKUP(B2357,辅助信息!E:J,6,FALSE)</f>
        <v>现场要求调度统一联系指定收货人，不单独发司机位置。锈货不收，装货前联系收货人核实到场规格,没提前告知进场规格现场不给予接收</v>
      </c>
      <c r="M2357" s="84">
        <v>45861</v>
      </c>
      <c r="O2357" s="55">
        <f ca="1" t="shared" si="153"/>
        <v>0</v>
      </c>
      <c r="P2357" s="55">
        <f ca="1" t="shared" si="154"/>
        <v>96</v>
      </c>
      <c r="Q2357" s="22" t="str">
        <f>VLOOKUP(B2357,辅助信息!E:M,9,FALSE)</f>
        <v>ZTWM-CDYXGS-XS-2025-0014-宜宾兴港建材-三江新区长江工业园片区保障性租赁住房建设项目</v>
      </c>
      <c r="R2357" s="22" t="str">
        <f>_xlfn._xlws.FILTER(辅助信息!D:D,辅助信息!E:E=B2357)</f>
        <v>宜宾兴港三江新区长江工业园建设项目</v>
      </c>
    </row>
    <row r="2358" hidden="1" spans="2:18">
      <c r="B2358" s="33" t="s">
        <v>161</v>
      </c>
      <c r="C2358" s="63">
        <v>45860</v>
      </c>
      <c r="D2358" s="33" t="str">
        <f>VLOOKUP(B2358,辅助信息!E:K,7,FALSE)</f>
        <v>JWDD2025071500089</v>
      </c>
      <c r="E2358" s="33" t="str">
        <f>VLOOKUP(F2358,辅助信息!A:B,2,FALSE)</f>
        <v>盘螺</v>
      </c>
      <c r="F2358" s="33" t="s">
        <v>26</v>
      </c>
      <c r="G2358" s="29">
        <v>20</v>
      </c>
      <c r="H2358" s="127" t="str">
        <f>_xlfn.XLOOKUP(C2358&amp;F2358&amp;I2358&amp;J2358,'[1]2025年已发货'!$F:$F&amp;'[1]2025年已发货'!$C:$C&amp;'[1]2025年已发货'!$G:$G&amp;'[1]2025年已发货'!$H:$H,'[1]2025年已发货'!$E:$E,"未发货")</f>
        <v>未发货</v>
      </c>
      <c r="I2358" s="33" t="str">
        <f>VLOOKUP(B2358,辅助信息!E:I,3,FALSE)</f>
        <v>(宜宾兴港三江新区长江工业园保障性租赁住房建设项目-1标)四川省宜宾市翠屏区永善路南段宜宾市三江新区长江工业园区</v>
      </c>
      <c r="J2358" s="33" t="str">
        <f>VLOOKUP(B2358,辅助信息!E:I,4,FALSE)</f>
        <v>赵元虎</v>
      </c>
      <c r="K2358" s="33">
        <f>VLOOKUP(J2358,辅助信息!H:I,2,FALSE)</f>
        <v>13684167136</v>
      </c>
      <c r="L2358" s="102" t="str">
        <f>VLOOKUP(B2358,辅助信息!E:J,6,FALSE)</f>
        <v>现场要求调度统一联系指定收货人，不单独发司机位置。锈货不收，装货前联系收货人核实到场规格,没提前告知进场规格现场不给予接收</v>
      </c>
      <c r="M2358" s="84">
        <v>45861</v>
      </c>
      <c r="O2358" s="55">
        <f ca="1" t="shared" si="153"/>
        <v>0</v>
      </c>
      <c r="P2358" s="55">
        <f ca="1" t="shared" si="154"/>
        <v>96</v>
      </c>
      <c r="Q2358" s="22" t="str">
        <f>VLOOKUP(B2358,辅助信息!E:M,9,FALSE)</f>
        <v>ZTWM-CDYXGS-XS-2025-0014-宜宾兴港建材-三江新区长江工业园片区保障性租赁住房建设项目</v>
      </c>
      <c r="R2358" s="22" t="str">
        <f>_xlfn._xlws.FILTER(辅助信息!D:D,辅助信息!E:E=B2358)</f>
        <v>宜宾兴港三江新区长江工业园建设项目</v>
      </c>
    </row>
    <row r="2359" hidden="1" spans="2:18">
      <c r="B2359" s="33" t="s">
        <v>194</v>
      </c>
      <c r="C2359" s="63">
        <v>45861</v>
      </c>
      <c r="D2359" s="33" t="str">
        <f>VLOOKUP(B2359,辅助信息!E:K,7,FALSE)</f>
        <v>JWDD2025071500089</v>
      </c>
      <c r="E2359" s="33" t="str">
        <f>VLOOKUP(F2359,辅助信息!A:B,2,FALSE)</f>
        <v>盘螺</v>
      </c>
      <c r="F2359" s="33" t="s">
        <v>49</v>
      </c>
      <c r="G2359" s="29">
        <v>5</v>
      </c>
      <c r="H2359" s="127" t="str">
        <f>_xlfn.XLOOKUP(C2359&amp;F2359&amp;I2359&amp;J2359,'[1]2025年已发货'!$F:$F&amp;'[1]2025年已发货'!$C:$C&amp;'[1]2025年已发货'!$G:$G&amp;'[1]2025年已发货'!$H:$H,'[1]2025年已发货'!$E:$E,"未发货")</f>
        <v>未发货</v>
      </c>
      <c r="I2359" s="33" t="str">
        <f>VLOOKUP(B2359,辅助信息!E:I,3,FALSE)</f>
        <v>(宜宾兴港三江新区长江工业园保障性租赁住房建设项目-土建)四川省宜宾市翠屏区永善路南段宜宾市三江新区长江工业园区</v>
      </c>
      <c r="J2359" s="33" t="str">
        <f>VLOOKUP(B2359,辅助信息!E:I,4,FALSE)</f>
        <v>赵元虎</v>
      </c>
      <c r="K2359" s="33">
        <f>VLOOKUP(J2359,辅助信息!H:I,2,FALSE)</f>
        <v>13684167136</v>
      </c>
      <c r="L2359" s="102" t="str">
        <f>VLOOKUP(B2359,辅助信息!E:J,6,FALSE)</f>
        <v>现场要求调度统一联系指定收货人，不单独发司机位置。锈货不收，装货前联系收货人核实到场规格,没提前告知进场规格现场不给予接收</v>
      </c>
      <c r="M2359" s="84">
        <v>45863</v>
      </c>
      <c r="O2359" s="55">
        <f ca="1" t="shared" si="153"/>
        <v>0</v>
      </c>
      <c r="P2359" s="55">
        <f ca="1" t="shared" si="154"/>
        <v>94</v>
      </c>
      <c r="Q2359" s="22" t="str">
        <f>VLOOKUP(B2359,辅助信息!E:M,9,FALSE)</f>
        <v>ZTWM-CDYXGS-XS-2025-0014-宜宾兴港建材-三江新区长江工业园片区保障性租赁住房建设项目</v>
      </c>
      <c r="R2359" s="22" t="str">
        <f>_xlfn._xlws.FILTER(辅助信息!D:D,辅助信息!E:E=B2359)</f>
        <v>宜宾兴港三江新区长江工业园建设项目</v>
      </c>
    </row>
    <row r="2360" hidden="1" spans="2:18">
      <c r="B2360" s="33" t="s">
        <v>194</v>
      </c>
      <c r="C2360" s="63">
        <v>45861</v>
      </c>
      <c r="D2360" s="33" t="str">
        <f>VLOOKUP(B2360,辅助信息!E:K,7,FALSE)</f>
        <v>JWDD2025071500089</v>
      </c>
      <c r="E2360" s="33" t="str">
        <f>VLOOKUP(F2360,辅助信息!A:B,2,FALSE)</f>
        <v>盘螺</v>
      </c>
      <c r="F2360" s="33" t="s">
        <v>40</v>
      </c>
      <c r="G2360" s="29">
        <v>10</v>
      </c>
      <c r="H2360" s="127" t="str">
        <f>_xlfn.XLOOKUP(C2360&amp;F2360&amp;I2360&amp;J2360,'[1]2025年已发货'!$F:$F&amp;'[1]2025年已发货'!$C:$C&amp;'[1]2025年已发货'!$G:$G&amp;'[1]2025年已发货'!$H:$H,'[1]2025年已发货'!$E:$E,"未发货")</f>
        <v>未发货</v>
      </c>
      <c r="I2360" s="33" t="str">
        <f>VLOOKUP(B2360,辅助信息!E:I,3,FALSE)</f>
        <v>(宜宾兴港三江新区长江工业园保障性租赁住房建设项目-土建)四川省宜宾市翠屏区永善路南段宜宾市三江新区长江工业园区</v>
      </c>
      <c r="J2360" s="33" t="str">
        <f>VLOOKUP(B2360,辅助信息!E:I,4,FALSE)</f>
        <v>赵元虎</v>
      </c>
      <c r="K2360" s="33">
        <f>VLOOKUP(J2360,辅助信息!H:I,2,FALSE)</f>
        <v>13684167136</v>
      </c>
      <c r="L2360" s="102" t="str">
        <f>VLOOKUP(B2360,辅助信息!E:J,6,FALSE)</f>
        <v>现场要求调度统一联系指定收货人，不单独发司机位置。锈货不收，装货前联系收货人核实到场规格,没提前告知进场规格现场不给予接收</v>
      </c>
      <c r="M2360" s="84">
        <v>45863</v>
      </c>
      <c r="O2360" s="55">
        <f ca="1" t="shared" si="153"/>
        <v>0</v>
      </c>
      <c r="P2360" s="55">
        <f ca="1" t="shared" si="154"/>
        <v>94</v>
      </c>
      <c r="Q2360" s="22" t="str">
        <f>VLOOKUP(B2360,辅助信息!E:M,9,FALSE)</f>
        <v>ZTWM-CDYXGS-XS-2025-0014-宜宾兴港建材-三江新区长江工业园片区保障性租赁住房建设项目</v>
      </c>
      <c r="R2360" s="22" t="str">
        <f>_xlfn._xlws.FILTER(辅助信息!D:D,辅助信息!E:E=B2360)</f>
        <v>宜宾兴港三江新区长江工业园建设项目</v>
      </c>
    </row>
    <row r="2361" hidden="1" spans="2:18">
      <c r="B2361" s="33" t="s">
        <v>194</v>
      </c>
      <c r="C2361" s="63">
        <v>45861</v>
      </c>
      <c r="D2361" s="33" t="str">
        <f>VLOOKUP(B2361,辅助信息!E:K,7,FALSE)</f>
        <v>JWDD2025071500089</v>
      </c>
      <c r="E2361" s="33" t="str">
        <f>VLOOKUP(F2361,辅助信息!A:B,2,FALSE)</f>
        <v>盘螺</v>
      </c>
      <c r="F2361" s="33" t="s">
        <v>41</v>
      </c>
      <c r="G2361" s="29">
        <v>20</v>
      </c>
      <c r="H2361" s="127" t="str">
        <f>_xlfn.XLOOKUP(C2361&amp;F2361&amp;I2361&amp;J2361,'[1]2025年已发货'!$F:$F&amp;'[1]2025年已发货'!$C:$C&amp;'[1]2025年已发货'!$G:$G&amp;'[1]2025年已发货'!$H:$H,'[1]2025年已发货'!$E:$E,"未发货")</f>
        <v>未发货</v>
      </c>
      <c r="I2361" s="33" t="str">
        <f>VLOOKUP(B2361,辅助信息!E:I,3,FALSE)</f>
        <v>(宜宾兴港三江新区长江工业园保障性租赁住房建设项目-土建)四川省宜宾市翠屏区永善路南段宜宾市三江新区长江工业园区</v>
      </c>
      <c r="J2361" s="33" t="str">
        <f>VLOOKUP(B2361,辅助信息!E:I,4,FALSE)</f>
        <v>赵元虎</v>
      </c>
      <c r="K2361" s="33">
        <f>VLOOKUP(J2361,辅助信息!H:I,2,FALSE)</f>
        <v>13684167136</v>
      </c>
      <c r="L2361" s="102" t="str">
        <f>VLOOKUP(B2361,辅助信息!E:J,6,FALSE)</f>
        <v>现场要求调度统一联系指定收货人，不单独发司机位置。锈货不收，装货前联系收货人核实到场规格,没提前告知进场规格现场不给予接收</v>
      </c>
      <c r="M2361" s="84">
        <v>45863</v>
      </c>
      <c r="O2361" s="55">
        <f ca="1" t="shared" si="153"/>
        <v>0</v>
      </c>
      <c r="P2361" s="55">
        <f ca="1" t="shared" si="154"/>
        <v>94</v>
      </c>
      <c r="Q2361" s="22" t="str">
        <f>VLOOKUP(B2361,辅助信息!E:M,9,FALSE)</f>
        <v>ZTWM-CDYXGS-XS-2025-0014-宜宾兴港建材-三江新区长江工业园片区保障性租赁住房建设项目</v>
      </c>
      <c r="R2361" s="22" t="str">
        <f>_xlfn._xlws.FILTER(辅助信息!D:D,辅助信息!E:E=B2361)</f>
        <v>宜宾兴港三江新区长江工业园建设项目</v>
      </c>
    </row>
    <row r="2362" hidden="1" spans="2:18">
      <c r="B2362" s="33" t="s">
        <v>194</v>
      </c>
      <c r="C2362" s="63">
        <v>45861</v>
      </c>
      <c r="D2362" s="33" t="str">
        <f>VLOOKUP(B2362,辅助信息!E:K,7,FALSE)</f>
        <v>JWDD2025071500089</v>
      </c>
      <c r="E2362" s="33" t="str">
        <f>VLOOKUP(F2362,辅助信息!A:B,2,FALSE)</f>
        <v>螺纹钢</v>
      </c>
      <c r="F2362" s="33" t="s">
        <v>27</v>
      </c>
      <c r="G2362" s="29">
        <v>20</v>
      </c>
      <c r="H2362" s="127" t="str">
        <f>_xlfn.XLOOKUP(C2362&amp;F2362&amp;I2362&amp;J2362,'[1]2025年已发货'!$F:$F&amp;'[1]2025年已发货'!$C:$C&amp;'[1]2025年已发货'!$G:$G&amp;'[1]2025年已发货'!$H:$H,'[1]2025年已发货'!$E:$E,"未发货")</f>
        <v>未发货</v>
      </c>
      <c r="I2362" s="33" t="str">
        <f>VLOOKUP(B2362,辅助信息!E:I,3,FALSE)</f>
        <v>(宜宾兴港三江新区长江工业园保障性租赁住房建设项目-土建)四川省宜宾市翠屏区永善路南段宜宾市三江新区长江工业园区</v>
      </c>
      <c r="J2362" s="33" t="str">
        <f>VLOOKUP(B2362,辅助信息!E:I,4,FALSE)</f>
        <v>赵元虎</v>
      </c>
      <c r="K2362" s="33">
        <f>VLOOKUP(J2362,辅助信息!H:I,2,FALSE)</f>
        <v>13684167136</v>
      </c>
      <c r="L2362" s="102" t="str">
        <f>VLOOKUP(B2362,辅助信息!E:J,6,FALSE)</f>
        <v>现场要求调度统一联系指定收货人，不单独发司机位置。锈货不收，装货前联系收货人核实到场规格,没提前告知进场规格现场不给予接收</v>
      </c>
      <c r="M2362" s="84">
        <v>45863</v>
      </c>
      <c r="O2362" s="55">
        <f ca="1" t="shared" si="153"/>
        <v>0</v>
      </c>
      <c r="P2362" s="55">
        <f ca="1" t="shared" si="154"/>
        <v>94</v>
      </c>
      <c r="Q2362" s="22" t="str">
        <f>VLOOKUP(B2362,辅助信息!E:M,9,FALSE)</f>
        <v>ZTWM-CDYXGS-XS-2025-0014-宜宾兴港建材-三江新区长江工业园片区保障性租赁住房建设项目</v>
      </c>
      <c r="R2362" s="22" t="str">
        <f>_xlfn._xlws.FILTER(辅助信息!D:D,辅助信息!E:E=B2362)</f>
        <v>宜宾兴港三江新区长江工业园建设项目</v>
      </c>
    </row>
    <row r="2363" hidden="1" spans="2:18">
      <c r="B2363" s="33" t="s">
        <v>194</v>
      </c>
      <c r="C2363" s="63">
        <v>45861</v>
      </c>
      <c r="D2363" s="33" t="str">
        <f>VLOOKUP(B2363,辅助信息!E:K,7,FALSE)</f>
        <v>JWDD2025071500089</v>
      </c>
      <c r="E2363" s="33" t="str">
        <f>VLOOKUP(F2363,辅助信息!A:B,2,FALSE)</f>
        <v>螺纹钢</v>
      </c>
      <c r="F2363" s="33" t="s">
        <v>19</v>
      </c>
      <c r="G2363" s="29">
        <v>35</v>
      </c>
      <c r="H2363" s="127" t="str">
        <f>_xlfn.XLOOKUP(C2363&amp;F2363&amp;I2363&amp;J2363,'[1]2025年已发货'!$F:$F&amp;'[1]2025年已发货'!$C:$C&amp;'[1]2025年已发货'!$G:$G&amp;'[1]2025年已发货'!$H:$H,'[1]2025年已发货'!$E:$E,"未发货")</f>
        <v>未发货</v>
      </c>
      <c r="I2363" s="33" t="str">
        <f>VLOOKUP(B2363,辅助信息!E:I,3,FALSE)</f>
        <v>(宜宾兴港三江新区长江工业园保障性租赁住房建设项目-土建)四川省宜宾市翠屏区永善路南段宜宾市三江新区长江工业园区</v>
      </c>
      <c r="J2363" s="33" t="str">
        <f>VLOOKUP(B2363,辅助信息!E:I,4,FALSE)</f>
        <v>赵元虎</v>
      </c>
      <c r="K2363" s="33">
        <f>VLOOKUP(J2363,辅助信息!H:I,2,FALSE)</f>
        <v>13684167136</v>
      </c>
      <c r="L2363" s="102" t="str">
        <f>VLOOKUP(B2363,辅助信息!E:J,6,FALSE)</f>
        <v>现场要求调度统一联系指定收货人，不单独发司机位置。锈货不收，装货前联系收货人核实到场规格,没提前告知进场规格现场不给予接收</v>
      </c>
      <c r="M2363" s="84">
        <v>45863</v>
      </c>
      <c r="O2363" s="55">
        <f ca="1" t="shared" si="153"/>
        <v>0</v>
      </c>
      <c r="P2363" s="55">
        <f ca="1" t="shared" si="154"/>
        <v>94</v>
      </c>
      <c r="Q2363" s="22" t="str">
        <f>VLOOKUP(B2363,辅助信息!E:M,9,FALSE)</f>
        <v>ZTWM-CDYXGS-XS-2025-0014-宜宾兴港建材-三江新区长江工业园片区保障性租赁住房建设项目</v>
      </c>
      <c r="R2363" s="22" t="str">
        <f>_xlfn._xlws.FILTER(辅助信息!D:D,辅助信息!E:E=B2363)</f>
        <v>宜宾兴港三江新区长江工业园建设项目</v>
      </c>
    </row>
    <row r="2364" hidden="1" spans="2:18">
      <c r="B2364" s="33" t="s">
        <v>194</v>
      </c>
      <c r="C2364" s="63">
        <v>45861</v>
      </c>
      <c r="D2364" s="33" t="str">
        <f>VLOOKUP(B2364,辅助信息!E:K,7,FALSE)</f>
        <v>JWDD2025071500089</v>
      </c>
      <c r="E2364" s="33" t="str">
        <f>VLOOKUP(F2364,辅助信息!A:B,2,FALSE)</f>
        <v>螺纹钢</v>
      </c>
      <c r="F2364" s="33" t="s">
        <v>32</v>
      </c>
      <c r="G2364" s="29">
        <v>25</v>
      </c>
      <c r="H2364" s="127" t="str">
        <f>_xlfn.XLOOKUP(C2364&amp;F2364&amp;I2364&amp;J2364,'[1]2025年已发货'!$F:$F&amp;'[1]2025年已发货'!$C:$C&amp;'[1]2025年已发货'!$G:$G&amp;'[1]2025年已发货'!$H:$H,'[1]2025年已发货'!$E:$E,"未发货")</f>
        <v>未发货</v>
      </c>
      <c r="I2364" s="33" t="str">
        <f>VLOOKUP(B2364,辅助信息!E:I,3,FALSE)</f>
        <v>(宜宾兴港三江新区长江工业园保障性租赁住房建设项目-土建)四川省宜宾市翠屏区永善路南段宜宾市三江新区长江工业园区</v>
      </c>
      <c r="J2364" s="33" t="str">
        <f>VLOOKUP(B2364,辅助信息!E:I,4,FALSE)</f>
        <v>赵元虎</v>
      </c>
      <c r="K2364" s="33">
        <f>VLOOKUP(J2364,辅助信息!H:I,2,FALSE)</f>
        <v>13684167136</v>
      </c>
      <c r="L2364" s="102" t="str">
        <f>VLOOKUP(B2364,辅助信息!E:J,6,FALSE)</f>
        <v>现场要求调度统一联系指定收货人，不单独发司机位置。锈货不收，装货前联系收货人核实到场规格,没提前告知进场规格现场不给予接收</v>
      </c>
      <c r="M2364" s="84">
        <v>45863</v>
      </c>
      <c r="O2364" s="55">
        <f ca="1" t="shared" si="153"/>
        <v>0</v>
      </c>
      <c r="P2364" s="55">
        <f ca="1" t="shared" si="154"/>
        <v>94</v>
      </c>
      <c r="Q2364" s="22" t="str">
        <f>VLOOKUP(B2364,辅助信息!E:M,9,FALSE)</f>
        <v>ZTWM-CDYXGS-XS-2025-0014-宜宾兴港建材-三江新区长江工业园片区保障性租赁住房建设项目</v>
      </c>
      <c r="R2364" s="22" t="str">
        <f>_xlfn._xlws.FILTER(辅助信息!D:D,辅助信息!E:E=B2364)</f>
        <v>宜宾兴港三江新区长江工业园建设项目</v>
      </c>
    </row>
    <row r="2365" hidden="1" spans="2:18">
      <c r="B2365" s="33" t="s">
        <v>194</v>
      </c>
      <c r="C2365" s="63">
        <v>45861</v>
      </c>
      <c r="D2365" s="33" t="str">
        <f>VLOOKUP(B2365,辅助信息!E:K,7,FALSE)</f>
        <v>JWDD2025071500089</v>
      </c>
      <c r="E2365" s="33" t="str">
        <f>VLOOKUP(F2365,辅助信息!A:B,2,FALSE)</f>
        <v>螺纹钢</v>
      </c>
      <c r="F2365" s="33" t="s">
        <v>30</v>
      </c>
      <c r="G2365" s="29">
        <v>35</v>
      </c>
      <c r="H2365" s="127" t="str">
        <f>_xlfn.XLOOKUP(C2365&amp;F2365&amp;I2365&amp;J2365,'[1]2025年已发货'!$F:$F&amp;'[1]2025年已发货'!$C:$C&amp;'[1]2025年已发货'!$G:$G&amp;'[1]2025年已发货'!$H:$H,'[1]2025年已发货'!$E:$E,"未发货")</f>
        <v>未发货</v>
      </c>
      <c r="I2365" s="33" t="str">
        <f>VLOOKUP(B2365,辅助信息!E:I,3,FALSE)</f>
        <v>(宜宾兴港三江新区长江工业园保障性租赁住房建设项目-土建)四川省宜宾市翠屏区永善路南段宜宾市三江新区长江工业园区</v>
      </c>
      <c r="J2365" s="33" t="str">
        <f>VLOOKUP(B2365,辅助信息!E:I,4,FALSE)</f>
        <v>赵元虎</v>
      </c>
      <c r="K2365" s="33">
        <f>VLOOKUP(J2365,辅助信息!H:I,2,FALSE)</f>
        <v>13684167136</v>
      </c>
      <c r="L2365" s="102" t="str">
        <f>VLOOKUP(B2365,辅助信息!E:J,6,FALSE)</f>
        <v>现场要求调度统一联系指定收货人，不单独发司机位置。锈货不收，装货前联系收货人核实到场规格,没提前告知进场规格现场不给予接收</v>
      </c>
      <c r="M2365" s="84">
        <v>45863</v>
      </c>
      <c r="O2365" s="55">
        <f ca="1" t="shared" si="153"/>
        <v>0</v>
      </c>
      <c r="P2365" s="55">
        <f ca="1" t="shared" si="154"/>
        <v>94</v>
      </c>
      <c r="Q2365" s="22" t="str">
        <f>VLOOKUP(B2365,辅助信息!E:M,9,FALSE)</f>
        <v>ZTWM-CDYXGS-XS-2025-0014-宜宾兴港建材-三江新区长江工业园片区保障性租赁住房建设项目</v>
      </c>
      <c r="R2365" s="22" t="str">
        <f>_xlfn._xlws.FILTER(辅助信息!D:D,辅助信息!E:E=B2365)</f>
        <v>宜宾兴港三江新区长江工业园建设项目</v>
      </c>
    </row>
    <row r="2366" hidden="1" spans="2:18">
      <c r="B2366" s="33" t="s">
        <v>194</v>
      </c>
      <c r="C2366" s="63">
        <v>45861</v>
      </c>
      <c r="D2366" s="33" t="str">
        <f>VLOOKUP(B2366,辅助信息!E:K,7,FALSE)</f>
        <v>JWDD2025071500089</v>
      </c>
      <c r="E2366" s="33" t="str">
        <f>VLOOKUP(F2366,辅助信息!A:B,2,FALSE)</f>
        <v>螺纹钢</v>
      </c>
      <c r="F2366" s="33" t="s">
        <v>33</v>
      </c>
      <c r="G2366" s="29">
        <v>10</v>
      </c>
      <c r="H2366" s="127" t="str">
        <f>_xlfn.XLOOKUP(C2366&amp;F2366&amp;I2366&amp;J2366,'[1]2025年已发货'!$F:$F&amp;'[1]2025年已发货'!$C:$C&amp;'[1]2025年已发货'!$G:$G&amp;'[1]2025年已发货'!$H:$H,'[1]2025年已发货'!$E:$E,"未发货")</f>
        <v>未发货</v>
      </c>
      <c r="I2366" s="33" t="str">
        <f>VLOOKUP(B2366,辅助信息!E:I,3,FALSE)</f>
        <v>(宜宾兴港三江新区长江工业园保障性租赁住房建设项目-土建)四川省宜宾市翠屏区永善路南段宜宾市三江新区长江工业园区</v>
      </c>
      <c r="J2366" s="33" t="str">
        <f>VLOOKUP(B2366,辅助信息!E:I,4,FALSE)</f>
        <v>赵元虎</v>
      </c>
      <c r="K2366" s="33">
        <f>VLOOKUP(J2366,辅助信息!H:I,2,FALSE)</f>
        <v>13684167136</v>
      </c>
      <c r="L2366" s="102" t="str">
        <f>VLOOKUP(B2366,辅助信息!E:J,6,FALSE)</f>
        <v>现场要求调度统一联系指定收货人，不单独发司机位置。锈货不收，装货前联系收货人核实到场规格,没提前告知进场规格现场不给予接收</v>
      </c>
      <c r="M2366" s="84">
        <v>45863</v>
      </c>
      <c r="O2366" s="55">
        <f ca="1" t="shared" si="153"/>
        <v>0</v>
      </c>
      <c r="P2366" s="55">
        <f ca="1" t="shared" si="154"/>
        <v>94</v>
      </c>
      <c r="Q2366" s="22" t="str">
        <f>VLOOKUP(B2366,辅助信息!E:M,9,FALSE)</f>
        <v>ZTWM-CDYXGS-XS-2025-0014-宜宾兴港建材-三江新区长江工业园片区保障性租赁住房建设项目</v>
      </c>
      <c r="R2366" s="22" t="str">
        <f>_xlfn._xlws.FILTER(辅助信息!D:D,辅助信息!E:E=B2366)</f>
        <v>宜宾兴港三江新区长江工业园建设项目</v>
      </c>
    </row>
    <row r="2367" hidden="1" spans="2:18">
      <c r="B2367" s="33" t="s">
        <v>194</v>
      </c>
      <c r="C2367" s="63">
        <v>45861</v>
      </c>
      <c r="D2367" s="33" t="str">
        <f>VLOOKUP(B2367,辅助信息!E:K,7,FALSE)</f>
        <v>JWDD2025071500089</v>
      </c>
      <c r="E2367" s="33" t="str">
        <f>VLOOKUP(F2367,辅助信息!A:B,2,FALSE)</f>
        <v>螺纹钢</v>
      </c>
      <c r="F2367" s="33" t="s">
        <v>28</v>
      </c>
      <c r="G2367" s="29">
        <v>15</v>
      </c>
      <c r="H2367" s="127" t="str">
        <f>_xlfn.XLOOKUP(C2367&amp;F2367&amp;I2367&amp;J2367,'[1]2025年已发货'!$F:$F&amp;'[1]2025年已发货'!$C:$C&amp;'[1]2025年已发货'!$G:$G&amp;'[1]2025年已发货'!$H:$H,'[1]2025年已发货'!$E:$E,"未发货")</f>
        <v>未发货</v>
      </c>
      <c r="I2367" s="33" t="str">
        <f>VLOOKUP(B2367,辅助信息!E:I,3,FALSE)</f>
        <v>(宜宾兴港三江新区长江工业园保障性租赁住房建设项目-土建)四川省宜宾市翠屏区永善路南段宜宾市三江新区长江工业园区</v>
      </c>
      <c r="J2367" s="33" t="str">
        <f>VLOOKUP(B2367,辅助信息!E:I,4,FALSE)</f>
        <v>赵元虎</v>
      </c>
      <c r="K2367" s="33">
        <f>VLOOKUP(J2367,辅助信息!H:I,2,FALSE)</f>
        <v>13684167136</v>
      </c>
      <c r="L2367" s="102" t="str">
        <f>VLOOKUP(B2367,辅助信息!E:J,6,FALSE)</f>
        <v>现场要求调度统一联系指定收货人，不单独发司机位置。锈货不收，装货前联系收货人核实到场规格,没提前告知进场规格现场不给予接收</v>
      </c>
      <c r="M2367" s="84">
        <v>45863</v>
      </c>
      <c r="O2367" s="55">
        <f ca="1" t="shared" si="153"/>
        <v>0</v>
      </c>
      <c r="P2367" s="55">
        <f ca="1" t="shared" si="154"/>
        <v>94</v>
      </c>
      <c r="Q2367" s="22" t="str">
        <f>VLOOKUP(B2367,辅助信息!E:M,9,FALSE)</f>
        <v>ZTWM-CDYXGS-XS-2025-0014-宜宾兴港建材-三江新区长江工业园片区保障性租赁住房建设项目</v>
      </c>
      <c r="R2367" s="22" t="str">
        <f>_xlfn._xlws.FILTER(辅助信息!D:D,辅助信息!E:E=B2367)</f>
        <v>宜宾兴港三江新区长江工业园建设项目</v>
      </c>
    </row>
    <row r="2368" hidden="1" spans="2:18">
      <c r="B2368" s="33" t="s">
        <v>194</v>
      </c>
      <c r="C2368" s="63">
        <v>45861</v>
      </c>
      <c r="D2368" s="33" t="str">
        <f>VLOOKUP(B2368,辅助信息!E:K,7,FALSE)</f>
        <v>JWDD2025071500089</v>
      </c>
      <c r="E2368" s="33" t="str">
        <f>VLOOKUP(F2368,辅助信息!A:B,2,FALSE)</f>
        <v>螺纹钢</v>
      </c>
      <c r="F2368" s="33" t="s">
        <v>18</v>
      </c>
      <c r="G2368" s="29">
        <v>35</v>
      </c>
      <c r="H2368" s="127" t="str">
        <f>_xlfn.XLOOKUP(C2368&amp;F2368&amp;I2368&amp;J2368,'[1]2025年已发货'!$F:$F&amp;'[1]2025年已发货'!$C:$C&amp;'[1]2025年已发货'!$G:$G&amp;'[1]2025年已发货'!$H:$H,'[1]2025年已发货'!$E:$E,"未发货")</f>
        <v>未发货</v>
      </c>
      <c r="I2368" s="33" t="str">
        <f>VLOOKUP(B2368,辅助信息!E:I,3,FALSE)</f>
        <v>(宜宾兴港三江新区长江工业园保障性租赁住房建设项目-土建)四川省宜宾市翠屏区永善路南段宜宾市三江新区长江工业园区</v>
      </c>
      <c r="J2368" s="33" t="str">
        <f>VLOOKUP(B2368,辅助信息!E:I,4,FALSE)</f>
        <v>赵元虎</v>
      </c>
      <c r="K2368" s="33">
        <f>VLOOKUP(J2368,辅助信息!H:I,2,FALSE)</f>
        <v>13684167136</v>
      </c>
      <c r="L2368" s="102" t="str">
        <f>VLOOKUP(B2368,辅助信息!E:J,6,FALSE)</f>
        <v>现场要求调度统一联系指定收货人，不单独发司机位置。锈货不收，装货前联系收货人核实到场规格,没提前告知进场规格现场不给予接收</v>
      </c>
      <c r="M2368" s="84">
        <v>45863</v>
      </c>
      <c r="O2368" s="55">
        <f ca="1" t="shared" si="153"/>
        <v>0</v>
      </c>
      <c r="P2368" s="55">
        <f ca="1" t="shared" si="154"/>
        <v>94</v>
      </c>
      <c r="Q2368" s="22" t="str">
        <f>VLOOKUP(B2368,辅助信息!E:M,9,FALSE)</f>
        <v>ZTWM-CDYXGS-XS-2025-0014-宜宾兴港建材-三江新区长江工业园片区保障性租赁住房建设项目</v>
      </c>
      <c r="R2368" s="22" t="str">
        <f>_xlfn._xlws.FILTER(辅助信息!D:D,辅助信息!E:E=B2368)</f>
        <v>宜宾兴港三江新区长江工业园建设项目</v>
      </c>
    </row>
    <row r="2369" hidden="1" spans="2:18">
      <c r="B2369" s="33" t="s">
        <v>31</v>
      </c>
      <c r="C2369" s="63">
        <v>45861</v>
      </c>
      <c r="D2369" s="33" t="str">
        <f>VLOOKUP(B2369,辅助信息!E:K,7,FALSE)</f>
        <v>JWDDCD2024121000136</v>
      </c>
      <c r="E2369" s="33" t="str">
        <f>VLOOKUP(F2369,辅助信息!A:B,2,FALSE)</f>
        <v>螺纹钢</v>
      </c>
      <c r="F2369" s="33" t="s">
        <v>46</v>
      </c>
      <c r="G2369" s="29">
        <v>3</v>
      </c>
      <c r="H2369" s="127">
        <f>_xlfn.XLOOKUP(C2369&amp;F2369&amp;I2369&amp;J2369,'[1]2025年已发货'!$F:$F&amp;'[1]2025年已发货'!$C:$C&amp;'[1]2025年已发货'!$G:$G&amp;'[1]2025年已发货'!$H:$H,'[1]2025年已发货'!$E:$E,"未发货")</f>
        <v>3</v>
      </c>
      <c r="I2369" s="33" t="str">
        <f>VLOOKUP(B2369,辅助信息!E:I,3,FALSE)</f>
        <v>（四川商建-射洪城乡一体化项目）遂宁市射洪市忠新幼儿园北侧约220米新溪小区</v>
      </c>
      <c r="J2369" s="33" t="str">
        <f>VLOOKUP(B2369,辅助信息!E:I,4,FALSE)</f>
        <v>柏子刚</v>
      </c>
      <c r="K2369" s="33">
        <f>VLOOKUP(J2369,辅助信息!H:I,2,FALSE)</f>
        <v>15692885305</v>
      </c>
      <c r="L2369" s="102" t="str">
        <f>VLOOKUP(B2369,辅助信息!E:J,6,FALSE)</f>
        <v>提前联系到场规格及数量</v>
      </c>
      <c r="M2369" s="84">
        <v>45863</v>
      </c>
      <c r="O2369" s="55">
        <f ca="1" t="shared" si="153"/>
        <v>0</v>
      </c>
      <c r="P2369" s="55">
        <f ca="1" t="shared" si="154"/>
        <v>94</v>
      </c>
      <c r="Q2369" s="22" t="str">
        <f>VLOOKUP(B2369,辅助信息!E:M,9,FALSE)</f>
        <v>ZTWM-CDGS-XS-2024-0179-四川商投-射洪城乡一体化建设项目</v>
      </c>
      <c r="R2369" s="22" t="str">
        <f>_xlfn._xlws.FILTER(辅助信息!D:D,辅助信息!E:E=B2369)</f>
        <v>四川商建
射洪城乡一体化项目</v>
      </c>
    </row>
    <row r="2370" hidden="1" spans="2:18">
      <c r="B2370" s="33" t="s">
        <v>31</v>
      </c>
      <c r="C2370" s="63">
        <v>45861</v>
      </c>
      <c r="D2370" s="33" t="str">
        <f>VLOOKUP(B2370,辅助信息!E:K,7,FALSE)</f>
        <v>JWDDCD2024121000136</v>
      </c>
      <c r="E2370" s="33" t="str">
        <f>VLOOKUP(F2370,辅助信息!A:B,2,FALSE)</f>
        <v>螺纹钢</v>
      </c>
      <c r="F2370" s="33" t="s">
        <v>22</v>
      </c>
      <c r="G2370" s="29">
        <v>32</v>
      </c>
      <c r="H2370" s="127">
        <f>_xlfn.XLOOKUP(C2370&amp;F2370&amp;I2370&amp;J2370,'[1]2025年已发货'!$F:$F&amp;'[1]2025年已发货'!$C:$C&amp;'[1]2025年已发货'!$G:$G&amp;'[1]2025年已发货'!$H:$H,'[1]2025年已发货'!$E:$E,"未发货")</f>
        <v>32</v>
      </c>
      <c r="I2370" s="33" t="str">
        <f>VLOOKUP(B2370,辅助信息!E:I,3,FALSE)</f>
        <v>（四川商建-射洪城乡一体化项目）遂宁市射洪市忠新幼儿园北侧约220米新溪小区</v>
      </c>
      <c r="J2370" s="33" t="str">
        <f>VLOOKUP(B2370,辅助信息!E:I,4,FALSE)</f>
        <v>柏子刚</v>
      </c>
      <c r="K2370" s="33">
        <f>VLOOKUP(J2370,辅助信息!H:I,2,FALSE)</f>
        <v>15692885305</v>
      </c>
      <c r="L2370" s="102" t="str">
        <f>VLOOKUP(B2370,辅助信息!E:J,6,FALSE)</f>
        <v>提前联系到场规格及数量</v>
      </c>
      <c r="M2370" s="84">
        <v>45863</v>
      </c>
      <c r="O2370" s="55">
        <f ca="1" t="shared" si="153"/>
        <v>0</v>
      </c>
      <c r="P2370" s="55">
        <f ca="1" t="shared" si="154"/>
        <v>94</v>
      </c>
      <c r="Q2370" s="22" t="str">
        <f>VLOOKUP(B2370,辅助信息!E:M,9,FALSE)</f>
        <v>ZTWM-CDGS-XS-2024-0179-四川商投-射洪城乡一体化建设项目</v>
      </c>
      <c r="R2370" s="22" t="str">
        <f>_xlfn._xlws.FILTER(辅助信息!D:D,辅助信息!E:E=B2370)</f>
        <v>四川商建
射洪城乡一体化项目</v>
      </c>
    </row>
    <row r="2371" hidden="1" spans="2:18">
      <c r="B2371" s="33" t="s">
        <v>186</v>
      </c>
      <c r="C2371" s="63">
        <v>45861</v>
      </c>
      <c r="D2371" s="33" t="str">
        <f>VLOOKUP(B2371,辅助信息!E:K,7,FALSE)</f>
        <v>JWDDCD2025072900123</v>
      </c>
      <c r="E2371" s="33" t="str">
        <f>VLOOKUP(F2371,辅助信息!A:B,2,FALSE)</f>
        <v>高线</v>
      </c>
      <c r="F2371" s="33" t="s">
        <v>53</v>
      </c>
      <c r="G2371" s="29">
        <v>5</v>
      </c>
      <c r="H2371" s="127" t="str">
        <f>_xlfn.XLOOKUP(C2371&amp;F2371&amp;I2371&amp;J2371,'[1]2025年已发货'!$F:$F&amp;'[1]2025年已发货'!$C:$C&amp;'[1]2025年已发货'!$G:$G&amp;'[1]2025年已发货'!$H:$H,'[1]2025年已发货'!$E:$E,"未发货")</f>
        <v>未发货</v>
      </c>
      <c r="I2371" s="33" t="str">
        <f>VLOOKUP(B2371,辅助信息!E:I,3,FALSE)</f>
        <v>(乐山市校地共建产教融合基地建设项目二标段)四川省乐山市市中区苏稽镇</v>
      </c>
      <c r="J2371" s="33" t="str">
        <f>VLOOKUP(B2371,辅助信息!E:I,4,FALSE)</f>
        <v>彭江涛</v>
      </c>
      <c r="K2371" s="33">
        <f>VLOOKUP(J2371,辅助信息!H:I,2,FALSE)</f>
        <v>13990276572</v>
      </c>
      <c r="L2371" s="102" t="str">
        <f>VLOOKUP(B2371,辅助信息!E:J,6,FALSE)</f>
        <v>联系实际收货人（彭江涛13990276572）现场要求炉批号控制2个以下，超2个不给予签收。提前联系到场规格及数量</v>
      </c>
      <c r="M2371" s="84">
        <v>45863</v>
      </c>
      <c r="O2371" s="55">
        <f ca="1" t="shared" si="153"/>
        <v>0</v>
      </c>
      <c r="P2371" s="55">
        <f ca="1" t="shared" si="154"/>
        <v>94</v>
      </c>
      <c r="Q2371" s="22" t="str">
        <f>VLOOKUP(B2371,辅助信息!E:M,9,FALSE)</f>
        <v>ZTWM-CDGS-XS-2025-0126-四川机司-乐山市校地共建产教融合基地配套设施项目施工二标段钢筋采购合同</v>
      </c>
      <c r="R2371" s="22" t="str">
        <f>_xlfn._xlws.FILTER(辅助信息!D:D,辅助信息!E:E=B2371)</f>
        <v>乐山市校地共建产教融合基地建设项目二标段</v>
      </c>
    </row>
    <row r="2372" hidden="1" spans="2:18">
      <c r="B2372" s="33" t="s">
        <v>186</v>
      </c>
      <c r="C2372" s="63">
        <v>45861</v>
      </c>
      <c r="D2372" s="33" t="str">
        <f>VLOOKUP(B2372,辅助信息!E:K,7,FALSE)</f>
        <v>JWDDCD2025072900123</v>
      </c>
      <c r="E2372" s="33" t="str">
        <f>VLOOKUP(F2372,辅助信息!A:B,2,FALSE)</f>
        <v>螺纹钢</v>
      </c>
      <c r="F2372" s="33" t="s">
        <v>32</v>
      </c>
      <c r="G2372" s="29">
        <v>3</v>
      </c>
      <c r="H2372" s="127" t="str">
        <f>_xlfn.XLOOKUP(C2372&amp;F2372&amp;I2372&amp;J2372,'[1]2025年已发货'!$F:$F&amp;'[1]2025年已发货'!$C:$C&amp;'[1]2025年已发货'!$G:$G&amp;'[1]2025年已发货'!$H:$H,'[1]2025年已发货'!$E:$E,"未发货")</f>
        <v>未发货</v>
      </c>
      <c r="I2372" s="33" t="str">
        <f>VLOOKUP(B2372,辅助信息!E:I,3,FALSE)</f>
        <v>(乐山市校地共建产教融合基地建设项目二标段)四川省乐山市市中区苏稽镇</v>
      </c>
      <c r="J2372" s="33" t="str">
        <f>VLOOKUP(B2372,辅助信息!E:I,4,FALSE)</f>
        <v>彭江涛</v>
      </c>
      <c r="K2372" s="33">
        <f>VLOOKUP(J2372,辅助信息!H:I,2,FALSE)</f>
        <v>13990276572</v>
      </c>
      <c r="L2372" s="102" t="str">
        <f>VLOOKUP(B2372,辅助信息!E:J,6,FALSE)</f>
        <v>联系实际收货人（彭江涛13990276572）现场要求炉批号控制2个以下，超2个不给予签收。提前联系到场规格及数量</v>
      </c>
      <c r="M2372" s="84">
        <v>45863</v>
      </c>
      <c r="O2372" s="55">
        <f ca="1" t="shared" si="153"/>
        <v>0</v>
      </c>
      <c r="P2372" s="55">
        <f ca="1" t="shared" si="154"/>
        <v>94</v>
      </c>
      <c r="Q2372" s="22" t="str">
        <f>VLOOKUP(B2372,辅助信息!E:M,9,FALSE)</f>
        <v>ZTWM-CDGS-XS-2025-0126-四川机司-乐山市校地共建产教融合基地配套设施项目施工二标段钢筋采购合同</v>
      </c>
      <c r="R2372" s="22" t="str">
        <f>_xlfn._xlws.FILTER(辅助信息!D:D,辅助信息!E:E=B2372)</f>
        <v>乐山市校地共建产教融合基地建设项目二标段</v>
      </c>
    </row>
    <row r="2373" hidden="1" spans="2:18">
      <c r="B2373" s="33" t="s">
        <v>186</v>
      </c>
      <c r="C2373" s="63">
        <v>45861</v>
      </c>
      <c r="D2373" s="33" t="str">
        <f>VLOOKUP(B2373,辅助信息!E:K,7,FALSE)</f>
        <v>JWDDCD2025072900123</v>
      </c>
      <c r="E2373" s="33" t="str">
        <f>VLOOKUP(F2373,辅助信息!A:B,2,FALSE)</f>
        <v>螺纹钢</v>
      </c>
      <c r="F2373" s="33" t="s">
        <v>30</v>
      </c>
      <c r="G2373" s="29">
        <v>27</v>
      </c>
      <c r="H2373" s="127" t="str">
        <f>_xlfn.XLOOKUP(C2373&amp;F2373&amp;I2373&amp;J2373,'[1]2025年已发货'!$F:$F&amp;'[1]2025年已发货'!$C:$C&amp;'[1]2025年已发货'!$G:$G&amp;'[1]2025年已发货'!$H:$H,'[1]2025年已发货'!$E:$E,"未发货")</f>
        <v>未发货</v>
      </c>
      <c r="I2373" s="33" t="str">
        <f>VLOOKUP(B2373,辅助信息!E:I,3,FALSE)</f>
        <v>(乐山市校地共建产教融合基地建设项目二标段)四川省乐山市市中区苏稽镇</v>
      </c>
      <c r="J2373" s="33" t="str">
        <f>VLOOKUP(B2373,辅助信息!E:I,4,FALSE)</f>
        <v>彭江涛</v>
      </c>
      <c r="K2373" s="33">
        <f>VLOOKUP(J2373,辅助信息!H:I,2,FALSE)</f>
        <v>13990276572</v>
      </c>
      <c r="L2373" s="102" t="str">
        <f>VLOOKUP(B2373,辅助信息!E:J,6,FALSE)</f>
        <v>联系实际收货人（彭江涛13990276572）现场要求炉批号控制2个以下，超2个不给予签收。提前联系到场规格及数量</v>
      </c>
      <c r="M2373" s="84">
        <v>45863</v>
      </c>
      <c r="O2373" s="55">
        <f ca="1" t="shared" si="153"/>
        <v>0</v>
      </c>
      <c r="P2373" s="55">
        <f ca="1" t="shared" si="154"/>
        <v>94</v>
      </c>
      <c r="Q2373" s="22" t="str">
        <f>VLOOKUP(B2373,辅助信息!E:M,9,FALSE)</f>
        <v>ZTWM-CDGS-XS-2025-0126-四川机司-乐山市校地共建产教融合基地配套设施项目施工二标段钢筋采购合同</v>
      </c>
      <c r="R2373" s="22" t="str">
        <f>_xlfn._xlws.FILTER(辅助信息!D:D,辅助信息!E:E=B2373)</f>
        <v>乐山市校地共建产教融合基地建设项目二标段</v>
      </c>
    </row>
    <row r="2374" hidden="1" spans="2:18">
      <c r="B2374" s="33" t="s">
        <v>186</v>
      </c>
      <c r="C2374" s="63">
        <v>45861</v>
      </c>
      <c r="D2374" s="33" t="str">
        <f>VLOOKUP(B2374,辅助信息!E:K,7,FALSE)</f>
        <v>JWDDCD2025072900123</v>
      </c>
      <c r="E2374" s="33" t="str">
        <f>VLOOKUP(F2374,辅助信息!A:B,2,FALSE)</f>
        <v>高线</v>
      </c>
      <c r="F2374" s="33" t="s">
        <v>53</v>
      </c>
      <c r="G2374" s="29">
        <v>2.5</v>
      </c>
      <c r="H2374" s="127" t="str">
        <f>_xlfn.XLOOKUP(C2374&amp;F2374&amp;I2374&amp;J2374,'[1]2025年已发货'!$F:$F&amp;'[1]2025年已发货'!$C:$C&amp;'[1]2025年已发货'!$G:$G&amp;'[1]2025年已发货'!$H:$H,'[1]2025年已发货'!$E:$E,"未发货")</f>
        <v>未发货</v>
      </c>
      <c r="I2374" s="33" t="str">
        <f>VLOOKUP(B2374,辅助信息!E:I,3,FALSE)</f>
        <v>(乐山市校地共建产教融合基地建设项目二标段)四川省乐山市市中区苏稽镇</v>
      </c>
      <c r="J2374" s="33" t="str">
        <f>VLOOKUP(B2374,辅助信息!E:I,4,FALSE)</f>
        <v>彭江涛</v>
      </c>
      <c r="K2374" s="33">
        <f>VLOOKUP(J2374,辅助信息!H:I,2,FALSE)</f>
        <v>13990276572</v>
      </c>
      <c r="L2374" s="102" t="str">
        <f>VLOOKUP(B2374,辅助信息!E:J,6,FALSE)</f>
        <v>联系实际收货人（彭江涛13990276572）现场要求炉批号控制2个以下，超2个不给予签收。提前联系到场规格及数量</v>
      </c>
      <c r="M2374" s="84">
        <v>45863</v>
      </c>
      <c r="O2374" s="55">
        <f ca="1" t="shared" si="153"/>
        <v>0</v>
      </c>
      <c r="P2374" s="55">
        <f ca="1" t="shared" si="154"/>
        <v>94</v>
      </c>
      <c r="Q2374" s="22" t="str">
        <f>VLOOKUP(B2374,辅助信息!E:M,9,FALSE)</f>
        <v>ZTWM-CDGS-XS-2025-0126-四川机司-乐山市校地共建产教融合基地配套设施项目施工二标段钢筋采购合同</v>
      </c>
      <c r="R2374" s="22" t="str">
        <f>_xlfn._xlws.FILTER(辅助信息!D:D,辅助信息!E:E=B2374)</f>
        <v>乐山市校地共建产教融合基地建设项目二标段</v>
      </c>
    </row>
    <row r="2375" hidden="1" spans="2:18">
      <c r="B2375" s="33" t="s">
        <v>186</v>
      </c>
      <c r="C2375" s="63">
        <v>45861</v>
      </c>
      <c r="D2375" s="33" t="str">
        <f>VLOOKUP(B2375,辅助信息!E:K,7,FALSE)</f>
        <v>JWDDCD2025072900123</v>
      </c>
      <c r="E2375" s="33" t="str">
        <f>VLOOKUP(F2375,辅助信息!A:B,2,FALSE)</f>
        <v>盘螺</v>
      </c>
      <c r="F2375" s="33" t="s">
        <v>41</v>
      </c>
      <c r="G2375" s="29">
        <v>2.5</v>
      </c>
      <c r="H2375" s="127" t="str">
        <f>_xlfn.XLOOKUP(C2375&amp;F2375&amp;I2375&amp;J2375,'[1]2025年已发货'!$F:$F&amp;'[1]2025年已发货'!$C:$C&amp;'[1]2025年已发货'!$G:$G&amp;'[1]2025年已发货'!$H:$H,'[1]2025年已发货'!$E:$E,"未发货")</f>
        <v>未发货</v>
      </c>
      <c r="I2375" s="33" t="str">
        <f>VLOOKUP(B2375,辅助信息!E:I,3,FALSE)</f>
        <v>(乐山市校地共建产教融合基地建设项目二标段)四川省乐山市市中区苏稽镇</v>
      </c>
      <c r="J2375" s="33" t="str">
        <f>VLOOKUP(B2375,辅助信息!E:I,4,FALSE)</f>
        <v>彭江涛</v>
      </c>
      <c r="K2375" s="33">
        <f>VLOOKUP(J2375,辅助信息!H:I,2,FALSE)</f>
        <v>13990276572</v>
      </c>
      <c r="L2375" s="102" t="str">
        <f>VLOOKUP(B2375,辅助信息!E:J,6,FALSE)</f>
        <v>联系实际收货人（彭江涛13990276572）现场要求炉批号控制2个以下，超2个不给予签收。提前联系到场规格及数量</v>
      </c>
      <c r="M2375" s="84">
        <v>45863</v>
      </c>
      <c r="O2375" s="55">
        <f ca="1" t="shared" si="153"/>
        <v>0</v>
      </c>
      <c r="P2375" s="55">
        <f ca="1" t="shared" si="154"/>
        <v>94</v>
      </c>
      <c r="Q2375" s="22" t="str">
        <f>VLOOKUP(B2375,辅助信息!E:M,9,FALSE)</f>
        <v>ZTWM-CDGS-XS-2025-0126-四川机司-乐山市校地共建产教融合基地配套设施项目施工二标段钢筋采购合同</v>
      </c>
      <c r="R2375" s="22" t="str">
        <f>_xlfn._xlws.FILTER(辅助信息!D:D,辅助信息!E:E=B2375)</f>
        <v>乐山市校地共建产教融合基地建设项目二标段</v>
      </c>
    </row>
    <row r="2376" hidden="1" spans="2:18">
      <c r="B2376" s="33" t="s">
        <v>186</v>
      </c>
      <c r="C2376" s="63">
        <v>45861</v>
      </c>
      <c r="D2376" s="33" t="str">
        <f>VLOOKUP(B2376,辅助信息!E:K,7,FALSE)</f>
        <v>JWDDCD2025072900123</v>
      </c>
      <c r="E2376" s="33" t="str">
        <f>VLOOKUP(F2376,辅助信息!A:B,2,FALSE)</f>
        <v>盘螺</v>
      </c>
      <c r="F2376" s="33" t="s">
        <v>26</v>
      </c>
      <c r="G2376" s="29">
        <v>10</v>
      </c>
      <c r="H2376" s="127" t="str">
        <f>_xlfn.XLOOKUP(C2376&amp;F2376&amp;I2376&amp;J2376,'[1]2025年已发货'!$F:$F&amp;'[1]2025年已发货'!$C:$C&amp;'[1]2025年已发货'!$G:$G&amp;'[1]2025年已发货'!$H:$H,'[1]2025年已发货'!$E:$E,"未发货")</f>
        <v>未发货</v>
      </c>
      <c r="I2376" s="33" t="str">
        <f>VLOOKUP(B2376,辅助信息!E:I,3,FALSE)</f>
        <v>(乐山市校地共建产教融合基地建设项目二标段)四川省乐山市市中区苏稽镇</v>
      </c>
      <c r="J2376" s="33" t="str">
        <f>VLOOKUP(B2376,辅助信息!E:I,4,FALSE)</f>
        <v>彭江涛</v>
      </c>
      <c r="K2376" s="33">
        <f>VLOOKUP(J2376,辅助信息!H:I,2,FALSE)</f>
        <v>13990276572</v>
      </c>
      <c r="L2376" s="102" t="str">
        <f>VLOOKUP(B2376,辅助信息!E:J,6,FALSE)</f>
        <v>联系实际收货人（彭江涛13990276572）现场要求炉批号控制2个以下，超2个不给予签收。提前联系到场规格及数量</v>
      </c>
      <c r="M2376" s="84">
        <v>45863</v>
      </c>
      <c r="O2376" s="55">
        <f ca="1" t="shared" si="153"/>
        <v>0</v>
      </c>
      <c r="P2376" s="55">
        <f ca="1" t="shared" si="154"/>
        <v>94</v>
      </c>
      <c r="Q2376" s="22" t="str">
        <f>VLOOKUP(B2376,辅助信息!E:M,9,FALSE)</f>
        <v>ZTWM-CDGS-XS-2025-0126-四川机司-乐山市校地共建产教融合基地配套设施项目施工二标段钢筋采购合同</v>
      </c>
      <c r="R2376" s="22" t="str">
        <f>_xlfn._xlws.FILTER(辅助信息!D:D,辅助信息!E:E=B2376)</f>
        <v>乐山市校地共建产教融合基地建设项目二标段</v>
      </c>
    </row>
    <row r="2377" hidden="1" spans="2:18">
      <c r="B2377" s="33" t="s">
        <v>186</v>
      </c>
      <c r="C2377" s="63">
        <v>45861</v>
      </c>
      <c r="D2377" s="33" t="str">
        <f>VLOOKUP(B2377,辅助信息!E:K,7,FALSE)</f>
        <v>JWDDCD2025072900123</v>
      </c>
      <c r="E2377" s="33" t="str">
        <f>VLOOKUP(F2377,辅助信息!A:B,2,FALSE)</f>
        <v>螺纹钢</v>
      </c>
      <c r="F2377" s="33" t="s">
        <v>76</v>
      </c>
      <c r="G2377" s="29">
        <v>3</v>
      </c>
      <c r="H2377" s="127" t="str">
        <f>_xlfn.XLOOKUP(C2377&amp;F2377&amp;I2377&amp;J2377,'[1]2025年已发货'!$F:$F&amp;'[1]2025年已发货'!$C:$C&amp;'[1]2025年已发货'!$G:$G&amp;'[1]2025年已发货'!$H:$H,'[1]2025年已发货'!$E:$E,"未发货")</f>
        <v>未发货</v>
      </c>
      <c r="I2377" s="33" t="str">
        <f>VLOOKUP(B2377,辅助信息!E:I,3,FALSE)</f>
        <v>(乐山市校地共建产教融合基地建设项目二标段)四川省乐山市市中区苏稽镇</v>
      </c>
      <c r="J2377" s="33" t="str">
        <f>VLOOKUP(B2377,辅助信息!E:I,4,FALSE)</f>
        <v>彭江涛</v>
      </c>
      <c r="K2377" s="33">
        <f>VLOOKUP(J2377,辅助信息!H:I,2,FALSE)</f>
        <v>13990276572</v>
      </c>
      <c r="L2377" s="102" t="str">
        <f>VLOOKUP(B2377,辅助信息!E:J,6,FALSE)</f>
        <v>联系实际收货人（彭江涛13990276572）现场要求炉批号控制2个以下，超2个不给予签收。提前联系到场规格及数量</v>
      </c>
      <c r="M2377" s="84">
        <v>45863</v>
      </c>
      <c r="O2377" s="55">
        <f ca="1" t="shared" si="153"/>
        <v>0</v>
      </c>
      <c r="P2377" s="55">
        <f ca="1" t="shared" si="154"/>
        <v>94</v>
      </c>
      <c r="Q2377" s="22" t="str">
        <f>VLOOKUP(B2377,辅助信息!E:M,9,FALSE)</f>
        <v>ZTWM-CDGS-XS-2025-0126-四川机司-乐山市校地共建产教融合基地配套设施项目施工二标段钢筋采购合同</v>
      </c>
      <c r="R2377" s="22" t="str">
        <f>_xlfn._xlws.FILTER(辅助信息!D:D,辅助信息!E:E=B2377)</f>
        <v>乐山市校地共建产教融合基地建设项目二标段</v>
      </c>
    </row>
    <row r="2378" hidden="1" spans="2:18">
      <c r="B2378" s="33" t="s">
        <v>186</v>
      </c>
      <c r="C2378" s="63">
        <v>45861</v>
      </c>
      <c r="D2378" s="33" t="str">
        <f>VLOOKUP(B2378,辅助信息!E:K,7,FALSE)</f>
        <v>JWDDCD2025072900123</v>
      </c>
      <c r="E2378" s="33" t="str">
        <f>VLOOKUP(F2378,辅助信息!A:B,2,FALSE)</f>
        <v>螺纹钢</v>
      </c>
      <c r="F2378" s="33" t="s">
        <v>90</v>
      </c>
      <c r="G2378" s="29">
        <v>3</v>
      </c>
      <c r="H2378" s="127" t="str">
        <f>_xlfn.XLOOKUP(C2378&amp;F2378&amp;I2378&amp;J2378,'[1]2025年已发货'!$F:$F&amp;'[1]2025年已发货'!$C:$C&amp;'[1]2025年已发货'!$G:$G&amp;'[1]2025年已发货'!$H:$H,'[1]2025年已发货'!$E:$E,"未发货")</f>
        <v>未发货</v>
      </c>
      <c r="I2378" s="33" t="str">
        <f>VLOOKUP(B2378,辅助信息!E:I,3,FALSE)</f>
        <v>(乐山市校地共建产教融合基地建设项目二标段)四川省乐山市市中区苏稽镇</v>
      </c>
      <c r="J2378" s="33" t="str">
        <f>VLOOKUP(B2378,辅助信息!E:I,4,FALSE)</f>
        <v>彭江涛</v>
      </c>
      <c r="K2378" s="33">
        <f>VLOOKUP(J2378,辅助信息!H:I,2,FALSE)</f>
        <v>13990276572</v>
      </c>
      <c r="L2378" s="102" t="str">
        <f>VLOOKUP(B2378,辅助信息!E:J,6,FALSE)</f>
        <v>联系实际收货人（彭江涛13990276572）现场要求炉批号控制2个以下，超2个不给予签收。提前联系到场规格及数量</v>
      </c>
      <c r="M2378" s="84">
        <v>45863</v>
      </c>
      <c r="O2378" s="55">
        <f ca="1" t="shared" si="153"/>
        <v>0</v>
      </c>
      <c r="P2378" s="55">
        <f ca="1" t="shared" si="154"/>
        <v>94</v>
      </c>
      <c r="Q2378" s="22" t="str">
        <f>VLOOKUP(B2378,辅助信息!E:M,9,FALSE)</f>
        <v>ZTWM-CDGS-XS-2025-0126-四川机司-乐山市校地共建产教融合基地配套设施项目施工二标段钢筋采购合同</v>
      </c>
      <c r="R2378" s="22" t="str">
        <f>_xlfn._xlws.FILTER(辅助信息!D:D,辅助信息!E:E=B2378)</f>
        <v>乐山市校地共建产教融合基地建设项目二标段</v>
      </c>
    </row>
    <row r="2379" hidden="1" spans="2:18">
      <c r="B2379" s="33" t="s">
        <v>186</v>
      </c>
      <c r="C2379" s="63">
        <v>45861</v>
      </c>
      <c r="D2379" s="33" t="str">
        <f>VLOOKUP(B2379,辅助信息!E:K,7,FALSE)</f>
        <v>JWDDCD2025072900123</v>
      </c>
      <c r="E2379" s="33" t="str">
        <f>VLOOKUP(F2379,辅助信息!A:B,2,FALSE)</f>
        <v>螺纹钢</v>
      </c>
      <c r="F2379" s="33" t="s">
        <v>130</v>
      </c>
      <c r="G2379" s="29">
        <v>11</v>
      </c>
      <c r="H2379" s="127" t="str">
        <f>_xlfn.XLOOKUP(C2379&amp;F2379&amp;I2379&amp;J2379,'[1]2025年已发货'!$F:$F&amp;'[1]2025年已发货'!$C:$C&amp;'[1]2025年已发货'!$G:$G&amp;'[1]2025年已发货'!$H:$H,'[1]2025年已发货'!$E:$E,"未发货")</f>
        <v>未发货</v>
      </c>
      <c r="I2379" s="33" t="str">
        <f>VLOOKUP(B2379,辅助信息!E:I,3,FALSE)</f>
        <v>(乐山市校地共建产教融合基地建设项目二标段)四川省乐山市市中区苏稽镇</v>
      </c>
      <c r="J2379" s="33" t="str">
        <f>VLOOKUP(B2379,辅助信息!E:I,4,FALSE)</f>
        <v>彭江涛</v>
      </c>
      <c r="K2379" s="33">
        <f>VLOOKUP(J2379,辅助信息!H:I,2,FALSE)</f>
        <v>13990276572</v>
      </c>
      <c r="L2379" s="102" t="str">
        <f>VLOOKUP(B2379,辅助信息!E:J,6,FALSE)</f>
        <v>联系实际收货人（彭江涛13990276572）现场要求炉批号控制2个以下，超2个不给予签收。提前联系到场规格及数量</v>
      </c>
      <c r="M2379" s="84">
        <v>45863</v>
      </c>
      <c r="O2379" s="55">
        <f ca="1" t="shared" si="153"/>
        <v>0</v>
      </c>
      <c r="P2379" s="55">
        <f ca="1" t="shared" si="154"/>
        <v>94</v>
      </c>
      <c r="Q2379" s="22" t="str">
        <f>VLOOKUP(B2379,辅助信息!E:M,9,FALSE)</f>
        <v>ZTWM-CDGS-XS-2025-0126-四川机司-乐山市校地共建产教融合基地配套设施项目施工二标段钢筋采购合同</v>
      </c>
      <c r="R2379" s="22" t="str">
        <f>_xlfn._xlws.FILTER(辅助信息!D:D,辅助信息!E:E=B2379)</f>
        <v>乐山市校地共建产教融合基地建设项目二标段</v>
      </c>
    </row>
    <row r="2380" hidden="1" spans="2:18">
      <c r="B2380" s="33" t="s">
        <v>186</v>
      </c>
      <c r="C2380" s="63">
        <v>45861</v>
      </c>
      <c r="D2380" s="33" t="str">
        <f>VLOOKUP(B2380,辅助信息!E:K,7,FALSE)</f>
        <v>JWDDCD2025072900123</v>
      </c>
      <c r="E2380" s="33" t="str">
        <f>VLOOKUP(F2380,辅助信息!A:B,2,FALSE)</f>
        <v>螺纹钢</v>
      </c>
      <c r="F2380" s="33" t="s">
        <v>133</v>
      </c>
      <c r="G2380" s="29">
        <v>66</v>
      </c>
      <c r="H2380" s="127" t="str">
        <f>_xlfn.XLOOKUP(C2380&amp;F2380&amp;I2380&amp;J2380,'[1]2025年已发货'!$F:$F&amp;'[1]2025年已发货'!$C:$C&amp;'[1]2025年已发货'!$G:$G&amp;'[1]2025年已发货'!$H:$H,'[1]2025年已发货'!$E:$E,"未发货")</f>
        <v>未发货</v>
      </c>
      <c r="I2380" s="33" t="str">
        <f>VLOOKUP(B2380,辅助信息!E:I,3,FALSE)</f>
        <v>(乐山市校地共建产教融合基地建设项目二标段)四川省乐山市市中区苏稽镇</v>
      </c>
      <c r="J2380" s="33" t="str">
        <f>VLOOKUP(B2380,辅助信息!E:I,4,FALSE)</f>
        <v>彭江涛</v>
      </c>
      <c r="K2380" s="33">
        <f>VLOOKUP(J2380,辅助信息!H:I,2,FALSE)</f>
        <v>13990276572</v>
      </c>
      <c r="L2380" s="102" t="str">
        <f>VLOOKUP(B2380,辅助信息!E:J,6,FALSE)</f>
        <v>联系实际收货人（彭江涛13990276572）现场要求炉批号控制2个以下，超2个不给予签收。提前联系到场规格及数量</v>
      </c>
      <c r="M2380" s="84">
        <v>45863</v>
      </c>
      <c r="O2380" s="55">
        <f ca="1" t="shared" si="153"/>
        <v>0</v>
      </c>
      <c r="P2380" s="55">
        <f ca="1" t="shared" si="154"/>
        <v>94</v>
      </c>
      <c r="Q2380" s="22" t="str">
        <f>VLOOKUP(B2380,辅助信息!E:M,9,FALSE)</f>
        <v>ZTWM-CDGS-XS-2025-0126-四川机司-乐山市校地共建产教融合基地配套设施项目施工二标段钢筋采购合同</v>
      </c>
      <c r="R2380" s="22" t="str">
        <f>_xlfn._xlws.FILTER(辅助信息!D:D,辅助信息!E:E=B2380)</f>
        <v>乐山市校地共建产教融合基地建设项目二标段</v>
      </c>
    </row>
    <row r="2381" hidden="1" spans="2:18">
      <c r="B2381" s="33" t="s">
        <v>186</v>
      </c>
      <c r="C2381" s="63">
        <v>45861</v>
      </c>
      <c r="D2381" s="33" t="str">
        <f>VLOOKUP(B2381,辅助信息!E:K,7,FALSE)</f>
        <v>JWDDCD2025072900123</v>
      </c>
      <c r="E2381" s="33" t="str">
        <f>VLOOKUP(F2381,辅助信息!A:B,2,FALSE)</f>
        <v>螺纹钢</v>
      </c>
      <c r="F2381" s="33" t="s">
        <v>91</v>
      </c>
      <c r="G2381" s="29">
        <v>78</v>
      </c>
      <c r="H2381" s="127" t="str">
        <f>_xlfn.XLOOKUP(C2381&amp;F2381&amp;I2381&amp;J2381,'[1]2025年已发货'!$F:$F&amp;'[1]2025年已发货'!$C:$C&amp;'[1]2025年已发货'!$G:$G&amp;'[1]2025年已发货'!$H:$H,'[1]2025年已发货'!$E:$E,"未发货")</f>
        <v>未发货</v>
      </c>
      <c r="I2381" s="33" t="str">
        <f>VLOOKUP(B2381,辅助信息!E:I,3,FALSE)</f>
        <v>(乐山市校地共建产教融合基地建设项目二标段)四川省乐山市市中区苏稽镇</v>
      </c>
      <c r="J2381" s="33" t="str">
        <f>VLOOKUP(B2381,辅助信息!E:I,4,FALSE)</f>
        <v>彭江涛</v>
      </c>
      <c r="K2381" s="33">
        <f>VLOOKUP(J2381,辅助信息!H:I,2,FALSE)</f>
        <v>13990276572</v>
      </c>
      <c r="L2381" s="102" t="str">
        <f>VLOOKUP(B2381,辅助信息!E:J,6,FALSE)</f>
        <v>联系实际收货人（彭江涛13990276572）现场要求炉批号控制2个以下，超2个不给予签收。提前联系到场规格及数量</v>
      </c>
      <c r="M2381" s="84">
        <v>45863</v>
      </c>
      <c r="O2381" s="55">
        <f ca="1" t="shared" si="153"/>
        <v>0</v>
      </c>
      <c r="P2381" s="55">
        <f ca="1" t="shared" si="154"/>
        <v>94</v>
      </c>
      <c r="Q2381" s="22" t="str">
        <f>VLOOKUP(B2381,辅助信息!E:M,9,FALSE)</f>
        <v>ZTWM-CDGS-XS-2025-0126-四川机司-乐山市校地共建产教融合基地配套设施项目施工二标段钢筋采购合同</v>
      </c>
      <c r="R2381" s="22" t="str">
        <f>_xlfn._xlws.FILTER(辅助信息!D:D,辅助信息!E:E=B2381)</f>
        <v>乐山市校地共建产教融合基地建设项目二标段</v>
      </c>
    </row>
    <row r="2382" hidden="1" spans="2:18">
      <c r="B2382" s="33" t="s">
        <v>186</v>
      </c>
      <c r="C2382" s="63">
        <v>45861</v>
      </c>
      <c r="D2382" s="33" t="str">
        <f>VLOOKUP(B2382,辅助信息!E:K,7,FALSE)</f>
        <v>JWDDCD2025072900123</v>
      </c>
      <c r="E2382" s="33" t="str">
        <f>VLOOKUP(F2382,辅助信息!A:B,2,FALSE)</f>
        <v>螺纹钢</v>
      </c>
      <c r="F2382" s="33" t="s">
        <v>77</v>
      </c>
      <c r="G2382" s="29">
        <v>22</v>
      </c>
      <c r="H2382" s="127" t="str">
        <f>_xlfn.XLOOKUP(C2382&amp;F2382&amp;I2382&amp;J2382,'[1]2025年已发货'!$F:$F&amp;'[1]2025年已发货'!$C:$C&amp;'[1]2025年已发货'!$G:$G&amp;'[1]2025年已发货'!$H:$H,'[1]2025年已发货'!$E:$E,"未发货")</f>
        <v>未发货</v>
      </c>
      <c r="I2382" s="33" t="str">
        <f>VLOOKUP(B2382,辅助信息!E:I,3,FALSE)</f>
        <v>(乐山市校地共建产教融合基地建设项目二标段)四川省乐山市市中区苏稽镇</v>
      </c>
      <c r="J2382" s="33" t="str">
        <f>VLOOKUP(B2382,辅助信息!E:I,4,FALSE)</f>
        <v>彭江涛</v>
      </c>
      <c r="K2382" s="33">
        <f>VLOOKUP(J2382,辅助信息!H:I,2,FALSE)</f>
        <v>13990276572</v>
      </c>
      <c r="L2382" s="102" t="str">
        <f>VLOOKUP(B2382,辅助信息!E:J,6,FALSE)</f>
        <v>联系实际收货人（彭江涛13990276572）现场要求炉批号控制2个以下，超2个不给予签收。提前联系到场规格及数量</v>
      </c>
      <c r="M2382" s="84">
        <v>45863</v>
      </c>
      <c r="O2382" s="55">
        <f ca="1" t="shared" si="153"/>
        <v>0</v>
      </c>
      <c r="P2382" s="55">
        <f ca="1" t="shared" si="154"/>
        <v>94</v>
      </c>
      <c r="Q2382" s="22" t="str">
        <f>VLOOKUP(B2382,辅助信息!E:M,9,FALSE)</f>
        <v>ZTWM-CDGS-XS-2025-0126-四川机司-乐山市校地共建产教融合基地配套设施项目施工二标段钢筋采购合同</v>
      </c>
      <c r="R2382" s="22" t="str">
        <f>_xlfn._xlws.FILTER(辅助信息!D:D,辅助信息!E:E=B2382)</f>
        <v>乐山市校地共建产教融合基地建设项目二标段</v>
      </c>
    </row>
    <row r="2383" hidden="1" spans="2:18">
      <c r="B2383" s="33" t="s">
        <v>186</v>
      </c>
      <c r="C2383" s="63">
        <v>45861</v>
      </c>
      <c r="D2383" s="33" t="str">
        <f>VLOOKUP(B2383,辅助信息!E:K,7,FALSE)</f>
        <v>JWDDCD2025072900123</v>
      </c>
      <c r="E2383" s="33" t="str">
        <f>VLOOKUP(F2383,辅助信息!A:B,2,FALSE)</f>
        <v>高线</v>
      </c>
      <c r="F2383" s="33" t="s">
        <v>57</v>
      </c>
      <c r="G2383" s="29">
        <v>2.5</v>
      </c>
      <c r="H2383" s="127" t="str">
        <f>_xlfn.XLOOKUP(C2383&amp;F2383&amp;I2383&amp;J2383,'[1]2025年已发货'!$F:$F&amp;'[1]2025年已发货'!$C:$C&amp;'[1]2025年已发货'!$G:$G&amp;'[1]2025年已发货'!$H:$H,'[1]2025年已发货'!$E:$E,"未发货")</f>
        <v>未发货</v>
      </c>
      <c r="I2383" s="33" t="str">
        <f>VLOOKUP(B2383,辅助信息!E:I,3,FALSE)</f>
        <v>(乐山市校地共建产教融合基地建设项目二标段)四川省乐山市市中区苏稽镇</v>
      </c>
      <c r="J2383" s="33" t="str">
        <f>VLOOKUP(B2383,辅助信息!E:I,4,FALSE)</f>
        <v>彭江涛</v>
      </c>
      <c r="K2383" s="33">
        <f>VLOOKUP(J2383,辅助信息!H:I,2,FALSE)</f>
        <v>13990276572</v>
      </c>
      <c r="L2383" s="102" t="str">
        <f>VLOOKUP(B2383,辅助信息!E:J,6,FALSE)</f>
        <v>联系实际收货人（彭江涛13990276572）现场要求炉批号控制2个以下，超2个不给予签收。提前联系到场规格及数量</v>
      </c>
      <c r="M2383" s="84">
        <v>45863</v>
      </c>
      <c r="O2383" s="55">
        <f ca="1" t="shared" si="153"/>
        <v>0</v>
      </c>
      <c r="P2383" s="55">
        <f ca="1" t="shared" si="154"/>
        <v>94</v>
      </c>
      <c r="Q2383" s="22" t="str">
        <f>VLOOKUP(B2383,辅助信息!E:M,9,FALSE)</f>
        <v>ZTWM-CDGS-XS-2025-0126-四川机司-乐山市校地共建产教融合基地配套设施项目施工二标段钢筋采购合同</v>
      </c>
      <c r="R2383" s="22" t="str">
        <f>_xlfn._xlws.FILTER(辅助信息!D:D,辅助信息!E:E=B2383)</f>
        <v>乐山市校地共建产教融合基地建设项目二标段</v>
      </c>
    </row>
    <row r="2384" hidden="1" spans="2:18">
      <c r="B2384" s="33" t="s">
        <v>186</v>
      </c>
      <c r="C2384" s="63">
        <v>45861</v>
      </c>
      <c r="D2384" s="33" t="str">
        <f>VLOOKUP(B2384,辅助信息!E:K,7,FALSE)</f>
        <v>JWDDCD2025072900123</v>
      </c>
      <c r="E2384" s="33" t="str">
        <f>VLOOKUP(F2384,辅助信息!A:B,2,FALSE)</f>
        <v>高线</v>
      </c>
      <c r="F2384" s="33" t="s">
        <v>53</v>
      </c>
      <c r="G2384" s="29">
        <v>6</v>
      </c>
      <c r="H2384" s="127" t="str">
        <f>_xlfn.XLOOKUP(C2384&amp;F2384&amp;I2384&amp;J2384,'[1]2025年已发货'!$F:$F&amp;'[1]2025年已发货'!$C:$C&amp;'[1]2025年已发货'!$G:$G&amp;'[1]2025年已发货'!$H:$H,'[1]2025年已发货'!$E:$E,"未发货")</f>
        <v>未发货</v>
      </c>
      <c r="I2384" s="33" t="str">
        <f>VLOOKUP(B2384,辅助信息!E:I,3,FALSE)</f>
        <v>(乐山市校地共建产教融合基地建设项目二标段)四川省乐山市市中区苏稽镇</v>
      </c>
      <c r="J2384" s="33" t="str">
        <f>VLOOKUP(B2384,辅助信息!E:I,4,FALSE)</f>
        <v>彭江涛</v>
      </c>
      <c r="K2384" s="33">
        <f>VLOOKUP(J2384,辅助信息!H:I,2,FALSE)</f>
        <v>13990276572</v>
      </c>
      <c r="L2384" s="102" t="str">
        <f>VLOOKUP(B2384,辅助信息!E:J,6,FALSE)</f>
        <v>联系实际收货人（彭江涛13990276572）现场要求炉批号控制2个以下，超2个不给予签收。提前联系到场规格及数量</v>
      </c>
      <c r="M2384" s="84">
        <v>45863</v>
      </c>
      <c r="O2384" s="55">
        <f ca="1" t="shared" si="153"/>
        <v>0</v>
      </c>
      <c r="P2384" s="55">
        <f ca="1" t="shared" si="154"/>
        <v>94</v>
      </c>
      <c r="Q2384" s="22" t="str">
        <f>VLOOKUP(B2384,辅助信息!E:M,9,FALSE)</f>
        <v>ZTWM-CDGS-XS-2025-0126-四川机司-乐山市校地共建产教融合基地配套设施项目施工二标段钢筋采购合同</v>
      </c>
      <c r="R2384" s="22" t="str">
        <f>_xlfn._xlws.FILTER(辅助信息!D:D,辅助信息!E:E=B2384)</f>
        <v>乐山市校地共建产教融合基地建设项目二标段</v>
      </c>
    </row>
    <row r="2385" hidden="1" spans="2:18">
      <c r="B2385" s="33" t="s">
        <v>186</v>
      </c>
      <c r="C2385" s="63">
        <v>45861</v>
      </c>
      <c r="D2385" s="33" t="str">
        <f>VLOOKUP(B2385,辅助信息!E:K,7,FALSE)</f>
        <v>JWDDCD2025072900123</v>
      </c>
      <c r="E2385" s="33" t="str">
        <f>VLOOKUP(F2385,辅助信息!A:B,2,FALSE)</f>
        <v>盘螺</v>
      </c>
      <c r="F2385" s="33" t="s">
        <v>40</v>
      </c>
      <c r="G2385" s="29">
        <v>5</v>
      </c>
      <c r="H2385" s="127" t="str">
        <f>_xlfn.XLOOKUP(C2385&amp;F2385&amp;I2385&amp;J2385,'[1]2025年已发货'!$F:$F&amp;'[1]2025年已发货'!$C:$C&amp;'[1]2025年已发货'!$G:$G&amp;'[1]2025年已发货'!$H:$H,'[1]2025年已发货'!$E:$E,"未发货")</f>
        <v>未发货</v>
      </c>
      <c r="I2385" s="33" t="str">
        <f>VLOOKUP(B2385,辅助信息!E:I,3,FALSE)</f>
        <v>(乐山市校地共建产教融合基地建设项目二标段)四川省乐山市市中区苏稽镇</v>
      </c>
      <c r="J2385" s="33" t="str">
        <f>VLOOKUP(B2385,辅助信息!E:I,4,FALSE)</f>
        <v>彭江涛</v>
      </c>
      <c r="K2385" s="33">
        <f>VLOOKUP(J2385,辅助信息!H:I,2,FALSE)</f>
        <v>13990276572</v>
      </c>
      <c r="L2385" s="102" t="str">
        <f>VLOOKUP(B2385,辅助信息!E:J,6,FALSE)</f>
        <v>联系实际收货人（彭江涛13990276572）现场要求炉批号控制2个以下，超2个不给予签收。提前联系到场规格及数量</v>
      </c>
      <c r="M2385" s="84">
        <v>45863</v>
      </c>
      <c r="O2385" s="55">
        <f ca="1" t="shared" si="153"/>
        <v>0</v>
      </c>
      <c r="P2385" s="55">
        <f ca="1" t="shared" si="154"/>
        <v>94</v>
      </c>
      <c r="Q2385" s="22" t="str">
        <f>VLOOKUP(B2385,辅助信息!E:M,9,FALSE)</f>
        <v>ZTWM-CDGS-XS-2025-0126-四川机司-乐山市校地共建产教融合基地配套设施项目施工二标段钢筋采购合同</v>
      </c>
      <c r="R2385" s="22" t="str">
        <f>_xlfn._xlws.FILTER(辅助信息!D:D,辅助信息!E:E=B2385)</f>
        <v>乐山市校地共建产教融合基地建设项目二标段</v>
      </c>
    </row>
    <row r="2386" hidden="1" spans="2:18">
      <c r="B2386" s="33" t="s">
        <v>186</v>
      </c>
      <c r="C2386" s="63">
        <v>45861</v>
      </c>
      <c r="D2386" s="33" t="str">
        <f>VLOOKUP(B2386,辅助信息!E:K,7,FALSE)</f>
        <v>JWDDCD2025072900123</v>
      </c>
      <c r="E2386" s="33" t="str">
        <f>VLOOKUP(F2386,辅助信息!A:B,2,FALSE)</f>
        <v>盘螺</v>
      </c>
      <c r="F2386" s="33" t="s">
        <v>41</v>
      </c>
      <c r="G2386" s="29">
        <v>10</v>
      </c>
      <c r="H2386" s="127" t="str">
        <f>_xlfn.XLOOKUP(C2386&amp;F2386&amp;I2386&amp;J2386,'[1]2025年已发货'!$F:$F&amp;'[1]2025年已发货'!$C:$C&amp;'[1]2025年已发货'!$G:$G&amp;'[1]2025年已发货'!$H:$H,'[1]2025年已发货'!$E:$E,"未发货")</f>
        <v>未发货</v>
      </c>
      <c r="I2386" s="33" t="str">
        <f>VLOOKUP(B2386,辅助信息!E:I,3,FALSE)</f>
        <v>(乐山市校地共建产教融合基地建设项目二标段)四川省乐山市市中区苏稽镇</v>
      </c>
      <c r="J2386" s="33" t="str">
        <f>VLOOKUP(B2386,辅助信息!E:I,4,FALSE)</f>
        <v>彭江涛</v>
      </c>
      <c r="K2386" s="33">
        <f>VLOOKUP(J2386,辅助信息!H:I,2,FALSE)</f>
        <v>13990276572</v>
      </c>
      <c r="L2386" s="102" t="str">
        <f>VLOOKUP(B2386,辅助信息!E:J,6,FALSE)</f>
        <v>联系实际收货人（彭江涛13990276572）现场要求炉批号控制2个以下，超2个不给予签收。提前联系到场规格及数量</v>
      </c>
      <c r="M2386" s="84">
        <v>45863</v>
      </c>
      <c r="O2386" s="55">
        <f ca="1" t="shared" si="153"/>
        <v>0</v>
      </c>
      <c r="P2386" s="55">
        <f ca="1" t="shared" si="154"/>
        <v>94</v>
      </c>
      <c r="Q2386" s="22" t="str">
        <f>VLOOKUP(B2386,辅助信息!E:M,9,FALSE)</f>
        <v>ZTWM-CDGS-XS-2025-0126-四川机司-乐山市校地共建产教融合基地配套设施项目施工二标段钢筋采购合同</v>
      </c>
      <c r="R2386" s="22" t="str">
        <f>_xlfn._xlws.FILTER(辅助信息!D:D,辅助信息!E:E=B2386)</f>
        <v>乐山市校地共建产教融合基地建设项目二标段</v>
      </c>
    </row>
    <row r="2387" hidden="1" spans="2:18">
      <c r="B2387" s="33" t="s">
        <v>186</v>
      </c>
      <c r="C2387" s="63">
        <v>45861</v>
      </c>
      <c r="D2387" s="33" t="str">
        <f>VLOOKUP(B2387,辅助信息!E:K,7,FALSE)</f>
        <v>JWDDCD2025072900123</v>
      </c>
      <c r="E2387" s="33" t="str">
        <f>VLOOKUP(F2387,辅助信息!A:B,2,FALSE)</f>
        <v>盘螺</v>
      </c>
      <c r="F2387" s="33" t="s">
        <v>26</v>
      </c>
      <c r="G2387" s="29">
        <v>10</v>
      </c>
      <c r="H2387" s="127" t="str">
        <f>_xlfn.XLOOKUP(C2387&amp;F2387&amp;I2387&amp;J2387,'[1]2025年已发货'!$F:$F&amp;'[1]2025年已发货'!$C:$C&amp;'[1]2025年已发货'!$G:$G&amp;'[1]2025年已发货'!$H:$H,'[1]2025年已发货'!$E:$E,"未发货")</f>
        <v>未发货</v>
      </c>
      <c r="I2387" s="33" t="str">
        <f>VLOOKUP(B2387,辅助信息!E:I,3,FALSE)</f>
        <v>(乐山市校地共建产教融合基地建设项目二标段)四川省乐山市市中区苏稽镇</v>
      </c>
      <c r="J2387" s="33" t="str">
        <f>VLOOKUP(B2387,辅助信息!E:I,4,FALSE)</f>
        <v>彭江涛</v>
      </c>
      <c r="K2387" s="33">
        <f>VLOOKUP(J2387,辅助信息!H:I,2,FALSE)</f>
        <v>13990276572</v>
      </c>
      <c r="L2387" s="102" t="str">
        <f>VLOOKUP(B2387,辅助信息!E:J,6,FALSE)</f>
        <v>联系实际收货人（彭江涛13990276572）现场要求炉批号控制2个以下，超2个不给予签收。提前联系到场规格及数量</v>
      </c>
      <c r="M2387" s="84">
        <v>45863</v>
      </c>
      <c r="O2387" s="55">
        <f ca="1" t="shared" si="153"/>
        <v>0</v>
      </c>
      <c r="P2387" s="55">
        <f ca="1" t="shared" si="154"/>
        <v>94</v>
      </c>
      <c r="Q2387" s="22" t="str">
        <f>VLOOKUP(B2387,辅助信息!E:M,9,FALSE)</f>
        <v>ZTWM-CDGS-XS-2025-0126-四川机司-乐山市校地共建产教融合基地配套设施项目施工二标段钢筋采购合同</v>
      </c>
      <c r="R2387" s="22" t="str">
        <f>_xlfn._xlws.FILTER(辅助信息!D:D,辅助信息!E:E=B2387)</f>
        <v>乐山市校地共建产教融合基地建设项目二标段</v>
      </c>
    </row>
    <row r="2388" hidden="1" spans="2:18">
      <c r="B2388" s="33" t="s">
        <v>186</v>
      </c>
      <c r="C2388" s="63">
        <v>45861</v>
      </c>
      <c r="D2388" s="33" t="str">
        <f>VLOOKUP(B2388,辅助信息!E:K,7,FALSE)</f>
        <v>JWDDCD2025072900123</v>
      </c>
      <c r="E2388" s="33" t="str">
        <f>VLOOKUP(F2388,辅助信息!A:B,2,FALSE)</f>
        <v>螺纹钢</v>
      </c>
      <c r="F2388" s="33" t="s">
        <v>76</v>
      </c>
      <c r="G2388" s="29">
        <v>40</v>
      </c>
      <c r="H2388" s="127" t="str">
        <f>_xlfn.XLOOKUP(C2388&amp;F2388&amp;I2388&amp;J2388,'[1]2025年已发货'!$F:$F&amp;'[1]2025年已发货'!$C:$C&amp;'[1]2025年已发货'!$G:$G&amp;'[1]2025年已发货'!$H:$H,'[1]2025年已发货'!$E:$E,"未发货")</f>
        <v>未发货</v>
      </c>
      <c r="I2388" s="33" t="str">
        <f>VLOOKUP(B2388,辅助信息!E:I,3,FALSE)</f>
        <v>(乐山市校地共建产教融合基地建设项目二标段)四川省乐山市市中区苏稽镇</v>
      </c>
      <c r="J2388" s="33" t="str">
        <f>VLOOKUP(B2388,辅助信息!E:I,4,FALSE)</f>
        <v>彭江涛</v>
      </c>
      <c r="K2388" s="33">
        <f>VLOOKUP(J2388,辅助信息!H:I,2,FALSE)</f>
        <v>13990276572</v>
      </c>
      <c r="L2388" s="102" t="str">
        <f>VLOOKUP(B2388,辅助信息!E:J,6,FALSE)</f>
        <v>联系实际收货人（彭江涛13990276572）现场要求炉批号控制2个以下，超2个不给予签收。提前联系到场规格及数量</v>
      </c>
      <c r="M2388" s="84">
        <v>45863</v>
      </c>
      <c r="O2388" s="55">
        <f ca="1" t="shared" si="153"/>
        <v>0</v>
      </c>
      <c r="P2388" s="55">
        <f ca="1" t="shared" si="154"/>
        <v>94</v>
      </c>
      <c r="Q2388" s="22" t="str">
        <f>VLOOKUP(B2388,辅助信息!E:M,9,FALSE)</f>
        <v>ZTWM-CDGS-XS-2025-0126-四川机司-乐山市校地共建产教融合基地配套设施项目施工二标段钢筋采购合同</v>
      </c>
      <c r="R2388" s="22" t="str">
        <f>_xlfn._xlws.FILTER(辅助信息!D:D,辅助信息!E:E=B2388)</f>
        <v>乐山市校地共建产教融合基地建设项目二标段</v>
      </c>
    </row>
    <row r="2389" hidden="1" spans="2:18">
      <c r="B2389" s="33" t="s">
        <v>186</v>
      </c>
      <c r="C2389" s="63">
        <v>45861</v>
      </c>
      <c r="D2389" s="33" t="str">
        <f>VLOOKUP(B2389,辅助信息!E:K,7,FALSE)</f>
        <v>JWDDCD2025072900123</v>
      </c>
      <c r="E2389" s="33" t="str">
        <f>VLOOKUP(F2389,辅助信息!A:B,2,FALSE)</f>
        <v>螺纹钢</v>
      </c>
      <c r="F2389" s="33" t="s">
        <v>90</v>
      </c>
      <c r="G2389" s="29">
        <v>80</v>
      </c>
      <c r="H2389" s="127" t="str">
        <f>_xlfn.XLOOKUP(C2389&amp;F2389&amp;I2389&amp;J2389,'[1]2025年已发货'!$F:$F&amp;'[1]2025年已发货'!$C:$C&amp;'[1]2025年已发货'!$G:$G&amp;'[1]2025年已发货'!$H:$H,'[1]2025年已发货'!$E:$E,"未发货")</f>
        <v>未发货</v>
      </c>
      <c r="I2389" s="33" t="str">
        <f>VLOOKUP(B2389,辅助信息!E:I,3,FALSE)</f>
        <v>(乐山市校地共建产教融合基地建设项目二标段)四川省乐山市市中区苏稽镇</v>
      </c>
      <c r="J2389" s="33" t="str">
        <f>VLOOKUP(B2389,辅助信息!E:I,4,FALSE)</f>
        <v>彭江涛</v>
      </c>
      <c r="K2389" s="33">
        <f>VLOOKUP(J2389,辅助信息!H:I,2,FALSE)</f>
        <v>13990276572</v>
      </c>
      <c r="L2389" s="102" t="str">
        <f>VLOOKUP(B2389,辅助信息!E:J,6,FALSE)</f>
        <v>联系实际收货人（彭江涛13990276572）现场要求炉批号控制2个以下，超2个不给予签收。提前联系到场规格及数量</v>
      </c>
      <c r="M2389" s="84">
        <v>45863</v>
      </c>
      <c r="O2389" s="55">
        <f ca="1" t="shared" si="153"/>
        <v>0</v>
      </c>
      <c r="P2389" s="55">
        <f ca="1" t="shared" si="154"/>
        <v>94</v>
      </c>
      <c r="Q2389" s="22" t="str">
        <f>VLOOKUP(B2389,辅助信息!E:M,9,FALSE)</f>
        <v>ZTWM-CDGS-XS-2025-0126-四川机司-乐山市校地共建产教融合基地配套设施项目施工二标段钢筋采购合同</v>
      </c>
      <c r="R2389" s="22" t="str">
        <f>_xlfn._xlws.FILTER(辅助信息!D:D,辅助信息!E:E=B2389)</f>
        <v>乐山市校地共建产教融合基地建设项目二标段</v>
      </c>
    </row>
    <row r="2390" hidden="1" spans="2:18">
      <c r="B2390" s="33" t="s">
        <v>186</v>
      </c>
      <c r="C2390" s="63">
        <v>45861</v>
      </c>
      <c r="D2390" s="33" t="str">
        <f>VLOOKUP(B2390,辅助信息!E:K,7,FALSE)</f>
        <v>JWDDCD2025072900123</v>
      </c>
      <c r="E2390" s="33" t="str">
        <f>VLOOKUP(F2390,辅助信息!A:B,2,FALSE)</f>
        <v>螺纹钢</v>
      </c>
      <c r="F2390" s="33" t="s">
        <v>130</v>
      </c>
      <c r="G2390" s="29">
        <v>30</v>
      </c>
      <c r="H2390" s="127" t="str">
        <f>_xlfn.XLOOKUP(C2390&amp;F2390&amp;I2390&amp;J2390,'[1]2025年已发货'!$F:$F&amp;'[1]2025年已发货'!$C:$C&amp;'[1]2025年已发货'!$G:$G&amp;'[1]2025年已发货'!$H:$H,'[1]2025年已发货'!$E:$E,"未发货")</f>
        <v>未发货</v>
      </c>
      <c r="I2390" s="33" t="str">
        <f>VLOOKUP(B2390,辅助信息!E:I,3,FALSE)</f>
        <v>(乐山市校地共建产教融合基地建设项目二标段)四川省乐山市市中区苏稽镇</v>
      </c>
      <c r="J2390" s="33" t="str">
        <f>VLOOKUP(B2390,辅助信息!E:I,4,FALSE)</f>
        <v>彭江涛</v>
      </c>
      <c r="K2390" s="33">
        <f>VLOOKUP(J2390,辅助信息!H:I,2,FALSE)</f>
        <v>13990276572</v>
      </c>
      <c r="L2390" s="102" t="str">
        <f>VLOOKUP(B2390,辅助信息!E:J,6,FALSE)</f>
        <v>联系实际收货人（彭江涛13990276572）现场要求炉批号控制2个以下，超2个不给予签收。提前联系到场规格及数量</v>
      </c>
      <c r="M2390" s="84">
        <v>45863</v>
      </c>
      <c r="O2390" s="55">
        <f ca="1" t="shared" si="153"/>
        <v>0</v>
      </c>
      <c r="P2390" s="55">
        <f ca="1" t="shared" si="154"/>
        <v>94</v>
      </c>
      <c r="Q2390" s="22" t="str">
        <f>VLOOKUP(B2390,辅助信息!E:M,9,FALSE)</f>
        <v>ZTWM-CDGS-XS-2025-0126-四川机司-乐山市校地共建产教融合基地配套设施项目施工二标段钢筋采购合同</v>
      </c>
      <c r="R2390" s="22" t="str">
        <f>_xlfn._xlws.FILTER(辅助信息!D:D,辅助信息!E:E=B2390)</f>
        <v>乐山市校地共建产教融合基地建设项目二标段</v>
      </c>
    </row>
    <row r="2391" hidden="1" spans="2:18">
      <c r="B2391" s="33" t="s">
        <v>186</v>
      </c>
      <c r="C2391" s="63">
        <v>45861</v>
      </c>
      <c r="D2391" s="33" t="str">
        <f>VLOOKUP(B2391,辅助信息!E:K,7,FALSE)</f>
        <v>JWDDCD2025072900123</v>
      </c>
      <c r="E2391" s="33" t="str">
        <f>VLOOKUP(F2391,辅助信息!A:B,2,FALSE)</f>
        <v>螺纹钢</v>
      </c>
      <c r="F2391" s="33" t="s">
        <v>138</v>
      </c>
      <c r="G2391" s="29">
        <v>30</v>
      </c>
      <c r="H2391" s="127" t="str">
        <f>_xlfn.XLOOKUP(C2391&amp;F2391&amp;I2391&amp;J2391,'[1]2025年已发货'!$F:$F&amp;'[1]2025年已发货'!$C:$C&amp;'[1]2025年已发货'!$G:$G&amp;'[1]2025年已发货'!$H:$H,'[1]2025年已发货'!$E:$E,"未发货")</f>
        <v>未发货</v>
      </c>
      <c r="I2391" s="33" t="str">
        <f>VLOOKUP(B2391,辅助信息!E:I,3,FALSE)</f>
        <v>(乐山市校地共建产教融合基地建设项目二标段)四川省乐山市市中区苏稽镇</v>
      </c>
      <c r="J2391" s="33" t="str">
        <f>VLOOKUP(B2391,辅助信息!E:I,4,FALSE)</f>
        <v>彭江涛</v>
      </c>
      <c r="K2391" s="33">
        <f>VLOOKUP(J2391,辅助信息!H:I,2,FALSE)</f>
        <v>13990276572</v>
      </c>
      <c r="L2391" s="102" t="str">
        <f>VLOOKUP(B2391,辅助信息!E:J,6,FALSE)</f>
        <v>联系实际收货人（彭江涛13990276572）现场要求炉批号控制2个以下，超2个不给予签收。提前联系到场规格及数量</v>
      </c>
      <c r="M2391" s="84">
        <v>45863</v>
      </c>
      <c r="O2391" s="55">
        <f ca="1" t="shared" si="153"/>
        <v>0</v>
      </c>
      <c r="P2391" s="55">
        <f ca="1" t="shared" si="154"/>
        <v>94</v>
      </c>
      <c r="Q2391" s="22" t="str">
        <f>VLOOKUP(B2391,辅助信息!E:M,9,FALSE)</f>
        <v>ZTWM-CDGS-XS-2025-0126-四川机司-乐山市校地共建产教融合基地配套设施项目施工二标段钢筋采购合同</v>
      </c>
      <c r="R2391" s="22" t="str">
        <f>_xlfn._xlws.FILTER(辅助信息!D:D,辅助信息!E:E=B2391)</f>
        <v>乐山市校地共建产教融合基地建设项目二标段</v>
      </c>
    </row>
    <row r="2392" hidden="1" spans="2:18">
      <c r="B2392" s="33" t="s">
        <v>186</v>
      </c>
      <c r="C2392" s="63">
        <v>45861</v>
      </c>
      <c r="D2392" s="33" t="str">
        <f>VLOOKUP(B2392,辅助信息!E:K,7,FALSE)</f>
        <v>JWDDCD2025072900123</v>
      </c>
      <c r="E2392" s="33" t="str">
        <f>VLOOKUP(F2392,辅助信息!A:B,2,FALSE)</f>
        <v>螺纹钢</v>
      </c>
      <c r="F2392" s="33" t="s">
        <v>133</v>
      </c>
      <c r="G2392" s="29">
        <v>8</v>
      </c>
      <c r="H2392" s="127" t="str">
        <f>_xlfn.XLOOKUP(C2392&amp;F2392&amp;I2392&amp;J2392,'[1]2025年已发货'!$F:$F&amp;'[1]2025年已发货'!$C:$C&amp;'[1]2025年已发货'!$G:$G&amp;'[1]2025年已发货'!$H:$H,'[1]2025年已发货'!$E:$E,"未发货")</f>
        <v>未发货</v>
      </c>
      <c r="I2392" s="33" t="str">
        <f>VLOOKUP(B2392,辅助信息!E:I,3,FALSE)</f>
        <v>(乐山市校地共建产教融合基地建设项目二标段)四川省乐山市市中区苏稽镇</v>
      </c>
      <c r="J2392" s="33" t="str">
        <f>VLOOKUP(B2392,辅助信息!E:I,4,FALSE)</f>
        <v>彭江涛</v>
      </c>
      <c r="K2392" s="33">
        <f>VLOOKUP(J2392,辅助信息!H:I,2,FALSE)</f>
        <v>13990276572</v>
      </c>
      <c r="L2392" s="102" t="str">
        <f>VLOOKUP(B2392,辅助信息!E:J,6,FALSE)</f>
        <v>联系实际收货人（彭江涛13990276572）现场要求炉批号控制2个以下，超2个不给予签收。提前联系到场规格及数量</v>
      </c>
      <c r="M2392" s="84">
        <v>45863</v>
      </c>
      <c r="O2392" s="55">
        <f ca="1" t="shared" si="153"/>
        <v>0</v>
      </c>
      <c r="P2392" s="55">
        <f ca="1" t="shared" si="154"/>
        <v>94</v>
      </c>
      <c r="Q2392" s="22" t="str">
        <f>VLOOKUP(B2392,辅助信息!E:M,9,FALSE)</f>
        <v>ZTWM-CDGS-XS-2025-0126-四川机司-乐山市校地共建产教融合基地配套设施项目施工二标段钢筋采购合同</v>
      </c>
      <c r="R2392" s="22" t="str">
        <f>_xlfn._xlws.FILTER(辅助信息!D:D,辅助信息!E:E=B2392)</f>
        <v>乐山市校地共建产教融合基地建设项目二标段</v>
      </c>
    </row>
    <row r="2393" hidden="1" spans="2:18">
      <c r="B2393" s="33" t="s">
        <v>186</v>
      </c>
      <c r="C2393" s="63">
        <v>45861</v>
      </c>
      <c r="D2393" s="33" t="str">
        <f>VLOOKUP(B2393,辅助信息!E:K,7,FALSE)</f>
        <v>JWDDCD2025072900123</v>
      </c>
      <c r="E2393" s="33" t="str">
        <f>VLOOKUP(F2393,辅助信息!A:B,2,FALSE)</f>
        <v>螺纹钢</v>
      </c>
      <c r="F2393" s="33" t="s">
        <v>91</v>
      </c>
      <c r="G2393" s="29">
        <v>15</v>
      </c>
      <c r="H2393" s="127" t="str">
        <f>_xlfn.XLOOKUP(C2393&amp;F2393&amp;I2393&amp;J2393,'[1]2025年已发货'!$F:$F&amp;'[1]2025年已发货'!$C:$C&amp;'[1]2025年已发货'!$G:$G&amp;'[1]2025年已发货'!$H:$H,'[1]2025年已发货'!$E:$E,"未发货")</f>
        <v>未发货</v>
      </c>
      <c r="I2393" s="33" t="str">
        <f>VLOOKUP(B2393,辅助信息!E:I,3,FALSE)</f>
        <v>(乐山市校地共建产教融合基地建设项目二标段)四川省乐山市市中区苏稽镇</v>
      </c>
      <c r="J2393" s="33" t="str">
        <f>VLOOKUP(B2393,辅助信息!E:I,4,FALSE)</f>
        <v>彭江涛</v>
      </c>
      <c r="K2393" s="33">
        <f>VLOOKUP(J2393,辅助信息!H:I,2,FALSE)</f>
        <v>13990276572</v>
      </c>
      <c r="L2393" s="102" t="str">
        <f>VLOOKUP(B2393,辅助信息!E:J,6,FALSE)</f>
        <v>联系实际收货人（彭江涛13990276572）现场要求炉批号控制2个以下，超2个不给予签收。提前联系到场规格及数量</v>
      </c>
      <c r="M2393" s="84">
        <v>45863</v>
      </c>
      <c r="O2393" s="55">
        <f ca="1" t="shared" si="153"/>
        <v>0</v>
      </c>
      <c r="P2393" s="55">
        <f ca="1" t="shared" si="154"/>
        <v>94</v>
      </c>
      <c r="Q2393" s="22" t="str">
        <f>VLOOKUP(B2393,辅助信息!E:M,9,FALSE)</f>
        <v>ZTWM-CDGS-XS-2025-0126-四川机司-乐山市校地共建产教融合基地配套设施项目施工二标段钢筋采购合同</v>
      </c>
      <c r="R2393" s="22" t="str">
        <f>_xlfn._xlws.FILTER(辅助信息!D:D,辅助信息!E:E=B2393)</f>
        <v>乐山市校地共建产教融合基地建设项目二标段</v>
      </c>
    </row>
    <row r="2394" hidden="1" spans="2:18">
      <c r="B2394" s="33" t="s">
        <v>186</v>
      </c>
      <c r="C2394" s="63">
        <v>45861</v>
      </c>
      <c r="D2394" s="33" t="str">
        <f>VLOOKUP(B2394,辅助信息!E:K,7,FALSE)</f>
        <v>JWDDCD2025072900123</v>
      </c>
      <c r="E2394" s="33" t="str">
        <f>VLOOKUP(F2394,辅助信息!A:B,2,FALSE)</f>
        <v>螺纹钢</v>
      </c>
      <c r="F2394" s="33" t="s">
        <v>142</v>
      </c>
      <c r="G2394" s="29">
        <v>15</v>
      </c>
      <c r="H2394" s="127" t="str">
        <f>_xlfn.XLOOKUP(C2394&amp;F2394&amp;I2394&amp;J2394,'[1]2025年已发货'!$F:$F&amp;'[1]2025年已发货'!$C:$C&amp;'[1]2025年已发货'!$G:$G&amp;'[1]2025年已发货'!$H:$H,'[1]2025年已发货'!$E:$E,"未发货")</f>
        <v>未发货</v>
      </c>
      <c r="I2394" s="33" t="str">
        <f>VLOOKUP(B2394,辅助信息!E:I,3,FALSE)</f>
        <v>(乐山市校地共建产教融合基地建设项目二标段)四川省乐山市市中区苏稽镇</v>
      </c>
      <c r="J2394" s="33" t="str">
        <f>VLOOKUP(B2394,辅助信息!E:I,4,FALSE)</f>
        <v>彭江涛</v>
      </c>
      <c r="K2394" s="33">
        <f>VLOOKUP(J2394,辅助信息!H:I,2,FALSE)</f>
        <v>13990276572</v>
      </c>
      <c r="L2394" s="102" t="str">
        <f>VLOOKUP(B2394,辅助信息!E:J,6,FALSE)</f>
        <v>联系实际收货人（彭江涛13990276572）现场要求炉批号控制2个以下，超2个不给予签收。提前联系到场规格及数量</v>
      </c>
      <c r="M2394" s="84">
        <v>45863</v>
      </c>
      <c r="O2394" s="55">
        <f ca="1" t="shared" si="153"/>
        <v>0</v>
      </c>
      <c r="P2394" s="55">
        <f ca="1" t="shared" si="154"/>
        <v>94</v>
      </c>
      <c r="Q2394" s="22" t="str">
        <f>VLOOKUP(B2394,辅助信息!E:M,9,FALSE)</f>
        <v>ZTWM-CDGS-XS-2025-0126-四川机司-乐山市校地共建产教融合基地配套设施项目施工二标段钢筋采购合同</v>
      </c>
      <c r="R2394" s="22" t="str">
        <f>_xlfn._xlws.FILTER(辅助信息!D:D,辅助信息!E:E=B2394)</f>
        <v>乐山市校地共建产教融合基地建设项目二标段</v>
      </c>
    </row>
    <row r="2395" hidden="1" spans="2:18">
      <c r="B2395" s="33" t="s">
        <v>186</v>
      </c>
      <c r="C2395" s="63">
        <v>45861</v>
      </c>
      <c r="D2395" s="33" t="str">
        <f>VLOOKUP(B2395,辅助信息!E:K,7,FALSE)</f>
        <v>JWDDCD2025072900123</v>
      </c>
      <c r="E2395" s="33" t="str">
        <f>VLOOKUP(F2395,辅助信息!A:B,2,FALSE)</f>
        <v>螺纹钢</v>
      </c>
      <c r="F2395" s="33" t="s">
        <v>200</v>
      </c>
      <c r="G2395" s="29">
        <v>10</v>
      </c>
      <c r="H2395" s="127" t="str">
        <f>_xlfn.XLOOKUP(C2395&amp;F2395&amp;I2395&amp;J2395,'[1]2025年已发货'!$F:$F&amp;'[1]2025年已发货'!$C:$C&amp;'[1]2025年已发货'!$G:$G&amp;'[1]2025年已发货'!$H:$H,'[1]2025年已发货'!$E:$E,"未发货")</f>
        <v>未发货</v>
      </c>
      <c r="I2395" s="33" t="str">
        <f>VLOOKUP(B2395,辅助信息!E:I,3,FALSE)</f>
        <v>(乐山市校地共建产教融合基地建设项目二标段)四川省乐山市市中区苏稽镇</v>
      </c>
      <c r="J2395" s="33" t="str">
        <f>VLOOKUP(B2395,辅助信息!E:I,4,FALSE)</f>
        <v>彭江涛</v>
      </c>
      <c r="K2395" s="33">
        <f>VLOOKUP(J2395,辅助信息!H:I,2,FALSE)</f>
        <v>13990276572</v>
      </c>
      <c r="L2395" s="102" t="str">
        <f>VLOOKUP(B2395,辅助信息!E:J,6,FALSE)</f>
        <v>联系实际收货人（彭江涛13990276572）现场要求炉批号控制2个以下，超2个不给予签收。提前联系到场规格及数量</v>
      </c>
      <c r="M2395" s="84">
        <v>45863</v>
      </c>
      <c r="O2395" s="55">
        <f ca="1" t="shared" si="153"/>
        <v>0</v>
      </c>
      <c r="P2395" s="55">
        <f ca="1" t="shared" si="154"/>
        <v>94</v>
      </c>
      <c r="Q2395" s="22" t="str">
        <f>VLOOKUP(B2395,辅助信息!E:M,9,FALSE)</f>
        <v>ZTWM-CDGS-XS-2025-0126-四川机司-乐山市校地共建产教融合基地配套设施项目施工二标段钢筋采购合同</v>
      </c>
      <c r="R2395" s="22" t="str">
        <f>_xlfn._xlws.FILTER(辅助信息!D:D,辅助信息!E:E=B2395)</f>
        <v>乐山市校地共建产教融合基地建设项目二标段</v>
      </c>
    </row>
    <row r="2396" hidden="1" spans="2:18">
      <c r="B2396" s="33" t="s">
        <v>186</v>
      </c>
      <c r="C2396" s="63">
        <v>45861</v>
      </c>
      <c r="D2396" s="33" t="str">
        <f>VLOOKUP(B2396,辅助信息!E:K,7,FALSE)</f>
        <v>JWDDCD2025072900123</v>
      </c>
      <c r="E2396" s="33" t="str">
        <f>VLOOKUP(F2396,辅助信息!A:B,2,FALSE)</f>
        <v>螺纹钢</v>
      </c>
      <c r="F2396" s="33" t="s">
        <v>201</v>
      </c>
      <c r="G2396" s="29">
        <v>10</v>
      </c>
      <c r="H2396" s="127" t="str">
        <f>_xlfn.XLOOKUP(C2396&amp;F2396&amp;I2396&amp;J2396,'[1]2025年已发货'!$F:$F&amp;'[1]2025年已发货'!$C:$C&amp;'[1]2025年已发货'!$G:$G&amp;'[1]2025年已发货'!$H:$H,'[1]2025年已发货'!$E:$E,"未发货")</f>
        <v>未发货</v>
      </c>
      <c r="I2396" s="33" t="str">
        <f>VLOOKUP(B2396,辅助信息!E:I,3,FALSE)</f>
        <v>(乐山市校地共建产教融合基地建设项目二标段)四川省乐山市市中区苏稽镇</v>
      </c>
      <c r="J2396" s="33" t="str">
        <f>VLOOKUP(B2396,辅助信息!E:I,4,FALSE)</f>
        <v>彭江涛</v>
      </c>
      <c r="K2396" s="33">
        <f>VLOOKUP(J2396,辅助信息!H:I,2,FALSE)</f>
        <v>13990276572</v>
      </c>
      <c r="L2396" s="102" t="str">
        <f>VLOOKUP(B2396,辅助信息!E:J,6,FALSE)</f>
        <v>联系实际收货人（彭江涛13990276572）现场要求炉批号控制2个以下，超2个不给予签收。提前联系到场规格及数量</v>
      </c>
      <c r="M2396" s="84">
        <v>45863</v>
      </c>
      <c r="O2396" s="55">
        <f ca="1" t="shared" si="153"/>
        <v>0</v>
      </c>
      <c r="P2396" s="55">
        <f ca="1" t="shared" si="154"/>
        <v>94</v>
      </c>
      <c r="Q2396" s="22" t="str">
        <f>VLOOKUP(B2396,辅助信息!E:M,9,FALSE)</f>
        <v>ZTWM-CDGS-XS-2025-0126-四川机司-乐山市校地共建产教融合基地配套设施项目施工二标段钢筋采购合同</v>
      </c>
      <c r="R2396" s="22" t="str">
        <f>_xlfn._xlws.FILTER(辅助信息!D:D,辅助信息!E:E=B2396)</f>
        <v>乐山市校地共建产教融合基地建设项目二标段</v>
      </c>
    </row>
    <row r="2397" hidden="1" spans="2:18">
      <c r="B2397" s="33" t="s">
        <v>186</v>
      </c>
      <c r="C2397" s="63">
        <v>45861</v>
      </c>
      <c r="D2397" s="33" t="str">
        <f>VLOOKUP(B2397,辅助信息!E:K,7,FALSE)</f>
        <v>JWDDCD2025072900123</v>
      </c>
      <c r="E2397" s="33" t="str">
        <f>VLOOKUP(F2397,辅助信息!A:B,2,FALSE)</f>
        <v>盘螺</v>
      </c>
      <c r="F2397" s="33" t="s">
        <v>40</v>
      </c>
      <c r="G2397" s="29">
        <v>10</v>
      </c>
      <c r="H2397" s="127" t="str">
        <f>_xlfn.XLOOKUP(C2397&amp;F2397&amp;I2397&amp;J2397,'[1]2025年已发货'!$F:$F&amp;'[1]2025年已发货'!$C:$C&amp;'[1]2025年已发货'!$G:$G&amp;'[1]2025年已发货'!$H:$H,'[1]2025年已发货'!$E:$E,"未发货")</f>
        <v>未发货</v>
      </c>
      <c r="I2397" s="33" t="str">
        <f>VLOOKUP(B2397,辅助信息!E:I,3,FALSE)</f>
        <v>(乐山市校地共建产教融合基地建设项目二标段)四川省乐山市市中区苏稽镇</v>
      </c>
      <c r="J2397" s="33" t="str">
        <f>VLOOKUP(B2397,辅助信息!E:I,4,FALSE)</f>
        <v>彭江涛</v>
      </c>
      <c r="K2397" s="33">
        <f>VLOOKUP(J2397,辅助信息!H:I,2,FALSE)</f>
        <v>13990276572</v>
      </c>
      <c r="L2397" s="102" t="str">
        <f>VLOOKUP(B2397,辅助信息!E:J,6,FALSE)</f>
        <v>联系实际收货人（彭江涛13990276572）现场要求炉批号控制2个以下，超2个不给予签收。提前联系到场规格及数量</v>
      </c>
      <c r="M2397" s="84">
        <v>45863</v>
      </c>
      <c r="O2397" s="55">
        <f ca="1" t="shared" ref="O2397:O2460" si="155">IF(OR(M2397="",N2397&lt;&gt;""),"",MAX(M2397-TODAY(),0))</f>
        <v>0</v>
      </c>
      <c r="P2397" s="55">
        <f ca="1" t="shared" ref="P2397:P2460" si="156">IF(M2397="","",IF(N2397&lt;&gt;"",MAX(N2397-M2397,0),IF(TODAY()&gt;M2397,TODAY()-M2397,0)))</f>
        <v>94</v>
      </c>
      <c r="Q2397" s="22" t="str">
        <f>VLOOKUP(B2397,辅助信息!E:M,9,FALSE)</f>
        <v>ZTWM-CDGS-XS-2025-0126-四川机司-乐山市校地共建产教融合基地配套设施项目施工二标段钢筋采购合同</v>
      </c>
      <c r="R2397" s="22" t="str">
        <f>_xlfn._xlws.FILTER(辅助信息!D:D,辅助信息!E:E=B2397)</f>
        <v>乐山市校地共建产教融合基地建设项目二标段</v>
      </c>
    </row>
    <row r="2398" hidden="1" spans="2:18">
      <c r="B2398" s="33" t="s">
        <v>186</v>
      </c>
      <c r="C2398" s="63">
        <v>45861</v>
      </c>
      <c r="D2398" s="33" t="str">
        <f>VLOOKUP(B2398,辅助信息!E:K,7,FALSE)</f>
        <v>JWDDCD2025072900123</v>
      </c>
      <c r="E2398" s="33" t="str">
        <f>VLOOKUP(F2398,辅助信息!A:B,2,FALSE)</f>
        <v>盘螺</v>
      </c>
      <c r="F2398" s="33" t="s">
        <v>41</v>
      </c>
      <c r="G2398" s="29">
        <v>10</v>
      </c>
      <c r="H2398" s="127" t="str">
        <f>_xlfn.XLOOKUP(C2398&amp;F2398&amp;I2398&amp;J2398,'[1]2025年已发货'!$F:$F&amp;'[1]2025年已发货'!$C:$C&amp;'[1]2025年已发货'!$G:$G&amp;'[1]2025年已发货'!$H:$H,'[1]2025年已发货'!$E:$E,"未发货")</f>
        <v>未发货</v>
      </c>
      <c r="I2398" s="33" t="str">
        <f>VLOOKUP(B2398,辅助信息!E:I,3,FALSE)</f>
        <v>(乐山市校地共建产教融合基地建设项目二标段)四川省乐山市市中区苏稽镇</v>
      </c>
      <c r="J2398" s="33" t="str">
        <f>VLOOKUP(B2398,辅助信息!E:I,4,FALSE)</f>
        <v>彭江涛</v>
      </c>
      <c r="K2398" s="33">
        <f>VLOOKUP(J2398,辅助信息!H:I,2,FALSE)</f>
        <v>13990276572</v>
      </c>
      <c r="L2398" s="102" t="str">
        <f>VLOOKUP(B2398,辅助信息!E:J,6,FALSE)</f>
        <v>联系实际收货人（彭江涛13990276572）现场要求炉批号控制2个以下，超2个不给予签收。提前联系到场规格及数量</v>
      </c>
      <c r="M2398" s="84">
        <v>45863</v>
      </c>
      <c r="O2398" s="55">
        <f ca="1" t="shared" si="155"/>
        <v>0</v>
      </c>
      <c r="P2398" s="55">
        <f ca="1" t="shared" si="156"/>
        <v>94</v>
      </c>
      <c r="Q2398" s="22" t="str">
        <f>VLOOKUP(B2398,辅助信息!E:M,9,FALSE)</f>
        <v>ZTWM-CDGS-XS-2025-0126-四川机司-乐山市校地共建产教融合基地配套设施项目施工二标段钢筋采购合同</v>
      </c>
      <c r="R2398" s="22" t="str">
        <f>_xlfn._xlws.FILTER(辅助信息!D:D,辅助信息!E:E=B2398)</f>
        <v>乐山市校地共建产教融合基地建设项目二标段</v>
      </c>
    </row>
    <row r="2399" hidden="1" spans="2:18">
      <c r="B2399" s="33" t="s">
        <v>186</v>
      </c>
      <c r="C2399" s="63">
        <v>45861</v>
      </c>
      <c r="D2399" s="33" t="str">
        <f>VLOOKUP(B2399,辅助信息!E:K,7,FALSE)</f>
        <v>JWDDCD2025072900123</v>
      </c>
      <c r="E2399" s="33" t="str">
        <f>VLOOKUP(F2399,辅助信息!A:B,2,FALSE)</f>
        <v>盘螺</v>
      </c>
      <c r="F2399" s="33" t="s">
        <v>26</v>
      </c>
      <c r="G2399" s="29">
        <v>10</v>
      </c>
      <c r="H2399" s="127" t="str">
        <f>_xlfn.XLOOKUP(C2399&amp;F2399&amp;I2399&amp;J2399,'[1]2025年已发货'!$F:$F&amp;'[1]2025年已发货'!$C:$C&amp;'[1]2025年已发货'!$G:$G&amp;'[1]2025年已发货'!$H:$H,'[1]2025年已发货'!$E:$E,"未发货")</f>
        <v>未发货</v>
      </c>
      <c r="I2399" s="33" t="str">
        <f>VLOOKUP(B2399,辅助信息!E:I,3,FALSE)</f>
        <v>(乐山市校地共建产教融合基地建设项目二标段)四川省乐山市市中区苏稽镇</v>
      </c>
      <c r="J2399" s="33" t="str">
        <f>VLOOKUP(B2399,辅助信息!E:I,4,FALSE)</f>
        <v>彭江涛</v>
      </c>
      <c r="K2399" s="33">
        <f>VLOOKUP(J2399,辅助信息!H:I,2,FALSE)</f>
        <v>13990276572</v>
      </c>
      <c r="L2399" s="102" t="str">
        <f>VLOOKUP(B2399,辅助信息!E:J,6,FALSE)</f>
        <v>联系实际收货人（彭江涛13990276572）现场要求炉批号控制2个以下，超2个不给予签收。提前联系到场规格及数量</v>
      </c>
      <c r="M2399" s="84">
        <v>45863</v>
      </c>
      <c r="O2399" s="55">
        <f ca="1" t="shared" si="155"/>
        <v>0</v>
      </c>
      <c r="P2399" s="55">
        <f ca="1" t="shared" si="156"/>
        <v>94</v>
      </c>
      <c r="Q2399" s="22" t="str">
        <f>VLOOKUP(B2399,辅助信息!E:M,9,FALSE)</f>
        <v>ZTWM-CDGS-XS-2025-0126-四川机司-乐山市校地共建产教融合基地配套设施项目施工二标段钢筋采购合同</v>
      </c>
      <c r="R2399" s="22" t="str">
        <f>_xlfn._xlws.FILTER(辅助信息!D:D,辅助信息!E:E=B2399)</f>
        <v>乐山市校地共建产教融合基地建设项目二标段</v>
      </c>
    </row>
    <row r="2400" hidden="1" spans="2:18">
      <c r="B2400" s="33" t="s">
        <v>186</v>
      </c>
      <c r="C2400" s="63">
        <v>45861</v>
      </c>
      <c r="D2400" s="33" t="str">
        <f>VLOOKUP(B2400,辅助信息!E:K,7,FALSE)</f>
        <v>JWDDCD2025072900123</v>
      </c>
      <c r="E2400" s="33" t="str">
        <f>VLOOKUP(F2400,辅助信息!A:B,2,FALSE)</f>
        <v>螺纹钢</v>
      </c>
      <c r="F2400" s="33" t="s">
        <v>76</v>
      </c>
      <c r="G2400" s="29">
        <v>5</v>
      </c>
      <c r="H2400" s="127" t="str">
        <f>_xlfn.XLOOKUP(C2400&amp;F2400&amp;I2400&amp;J2400,'[1]2025年已发货'!$F:$F&amp;'[1]2025年已发货'!$C:$C&amp;'[1]2025年已发货'!$G:$G&amp;'[1]2025年已发货'!$H:$H,'[1]2025年已发货'!$E:$E,"未发货")</f>
        <v>未发货</v>
      </c>
      <c r="I2400" s="33" t="str">
        <f>VLOOKUP(B2400,辅助信息!E:I,3,FALSE)</f>
        <v>(乐山市校地共建产教融合基地建设项目二标段)四川省乐山市市中区苏稽镇</v>
      </c>
      <c r="J2400" s="33" t="str">
        <f>VLOOKUP(B2400,辅助信息!E:I,4,FALSE)</f>
        <v>彭江涛</v>
      </c>
      <c r="K2400" s="33">
        <f>VLOOKUP(J2400,辅助信息!H:I,2,FALSE)</f>
        <v>13990276572</v>
      </c>
      <c r="L2400" s="102" t="str">
        <f>VLOOKUP(B2400,辅助信息!E:J,6,FALSE)</f>
        <v>联系实际收货人（彭江涛13990276572）现场要求炉批号控制2个以下，超2个不给予签收。提前联系到场规格及数量</v>
      </c>
      <c r="M2400" s="84">
        <v>45863</v>
      </c>
      <c r="O2400" s="55">
        <f ca="1" t="shared" si="155"/>
        <v>0</v>
      </c>
      <c r="P2400" s="55">
        <f ca="1" t="shared" si="156"/>
        <v>94</v>
      </c>
      <c r="Q2400" s="22" t="str">
        <f>VLOOKUP(B2400,辅助信息!E:M,9,FALSE)</f>
        <v>ZTWM-CDGS-XS-2025-0126-四川机司-乐山市校地共建产教融合基地配套设施项目施工二标段钢筋采购合同</v>
      </c>
      <c r="R2400" s="22" t="str">
        <f>_xlfn._xlws.FILTER(辅助信息!D:D,辅助信息!E:E=B2400)</f>
        <v>乐山市校地共建产教融合基地建设项目二标段</v>
      </c>
    </row>
    <row r="2401" hidden="1" spans="2:18">
      <c r="B2401" s="33" t="s">
        <v>186</v>
      </c>
      <c r="C2401" s="63">
        <v>45861</v>
      </c>
      <c r="D2401" s="33" t="str">
        <f>VLOOKUP(B2401,辅助信息!E:K,7,FALSE)</f>
        <v>JWDDCD2025072900123</v>
      </c>
      <c r="E2401" s="33" t="str">
        <f>VLOOKUP(F2401,辅助信息!A:B,2,FALSE)</f>
        <v>螺纹钢</v>
      </c>
      <c r="F2401" s="33" t="s">
        <v>90</v>
      </c>
      <c r="G2401" s="29">
        <v>5</v>
      </c>
      <c r="H2401" s="127" t="str">
        <f>_xlfn.XLOOKUP(C2401&amp;F2401&amp;I2401&amp;J2401,'[1]2025年已发货'!$F:$F&amp;'[1]2025年已发货'!$C:$C&amp;'[1]2025年已发货'!$G:$G&amp;'[1]2025年已发货'!$H:$H,'[1]2025年已发货'!$E:$E,"未发货")</f>
        <v>未发货</v>
      </c>
      <c r="I2401" s="33" t="str">
        <f>VLOOKUP(B2401,辅助信息!E:I,3,FALSE)</f>
        <v>(乐山市校地共建产教融合基地建设项目二标段)四川省乐山市市中区苏稽镇</v>
      </c>
      <c r="J2401" s="33" t="str">
        <f>VLOOKUP(B2401,辅助信息!E:I,4,FALSE)</f>
        <v>彭江涛</v>
      </c>
      <c r="K2401" s="33">
        <f>VLOOKUP(J2401,辅助信息!H:I,2,FALSE)</f>
        <v>13990276572</v>
      </c>
      <c r="L2401" s="102" t="str">
        <f>VLOOKUP(B2401,辅助信息!E:J,6,FALSE)</f>
        <v>联系实际收货人（彭江涛13990276572）现场要求炉批号控制2个以下，超2个不给予签收。提前联系到场规格及数量</v>
      </c>
      <c r="M2401" s="84">
        <v>45863</v>
      </c>
      <c r="O2401" s="55">
        <f ca="1" t="shared" si="155"/>
        <v>0</v>
      </c>
      <c r="P2401" s="55">
        <f ca="1" t="shared" si="156"/>
        <v>94</v>
      </c>
      <c r="Q2401" s="22" t="str">
        <f>VLOOKUP(B2401,辅助信息!E:M,9,FALSE)</f>
        <v>ZTWM-CDGS-XS-2025-0126-四川机司-乐山市校地共建产教融合基地配套设施项目施工二标段钢筋采购合同</v>
      </c>
      <c r="R2401" s="22" t="str">
        <f>_xlfn._xlws.FILTER(辅助信息!D:D,辅助信息!E:E=B2401)</f>
        <v>乐山市校地共建产教融合基地建设项目二标段</v>
      </c>
    </row>
    <row r="2402" hidden="1" spans="2:18">
      <c r="B2402" s="33" t="s">
        <v>186</v>
      </c>
      <c r="C2402" s="63">
        <v>45861</v>
      </c>
      <c r="D2402" s="33" t="str">
        <f>VLOOKUP(B2402,辅助信息!E:K,7,FALSE)</f>
        <v>JWDDCD2025072900123</v>
      </c>
      <c r="E2402" s="33" t="str">
        <f>VLOOKUP(F2402,辅助信息!A:B,2,FALSE)</f>
        <v>螺纹钢</v>
      </c>
      <c r="F2402" s="33" t="s">
        <v>138</v>
      </c>
      <c r="G2402" s="29">
        <v>10</v>
      </c>
      <c r="H2402" s="127" t="str">
        <f>_xlfn.XLOOKUP(C2402&amp;F2402&amp;I2402&amp;J2402,'[1]2025年已发货'!$F:$F&amp;'[1]2025年已发货'!$C:$C&amp;'[1]2025年已发货'!$G:$G&amp;'[1]2025年已发货'!$H:$H,'[1]2025年已发货'!$E:$E,"未发货")</f>
        <v>未发货</v>
      </c>
      <c r="I2402" s="33" t="str">
        <f>VLOOKUP(B2402,辅助信息!E:I,3,FALSE)</f>
        <v>(乐山市校地共建产教融合基地建设项目二标段)四川省乐山市市中区苏稽镇</v>
      </c>
      <c r="J2402" s="33" t="str">
        <f>VLOOKUP(B2402,辅助信息!E:I,4,FALSE)</f>
        <v>彭江涛</v>
      </c>
      <c r="K2402" s="33">
        <f>VLOOKUP(J2402,辅助信息!H:I,2,FALSE)</f>
        <v>13990276572</v>
      </c>
      <c r="L2402" s="102" t="str">
        <f>VLOOKUP(B2402,辅助信息!E:J,6,FALSE)</f>
        <v>联系实际收货人（彭江涛13990276572）现场要求炉批号控制2个以下，超2个不给予签收。提前联系到场规格及数量</v>
      </c>
      <c r="M2402" s="84">
        <v>45863</v>
      </c>
      <c r="O2402" s="55">
        <f ca="1" t="shared" si="155"/>
        <v>0</v>
      </c>
      <c r="P2402" s="55">
        <f ca="1" t="shared" si="156"/>
        <v>94</v>
      </c>
      <c r="Q2402" s="22" t="str">
        <f>VLOOKUP(B2402,辅助信息!E:M,9,FALSE)</f>
        <v>ZTWM-CDGS-XS-2025-0126-四川机司-乐山市校地共建产教融合基地配套设施项目施工二标段钢筋采购合同</v>
      </c>
      <c r="R2402" s="22" t="str">
        <f>_xlfn._xlws.FILTER(辅助信息!D:D,辅助信息!E:E=B2402)</f>
        <v>乐山市校地共建产教融合基地建设项目二标段</v>
      </c>
    </row>
    <row r="2403" hidden="1" spans="2:18">
      <c r="B2403" s="33" t="s">
        <v>186</v>
      </c>
      <c r="C2403" s="63">
        <v>45861</v>
      </c>
      <c r="D2403" s="33" t="str">
        <f>VLOOKUP(B2403,辅助信息!E:K,7,FALSE)</f>
        <v>JWDDCD2025072900123</v>
      </c>
      <c r="E2403" s="33" t="str">
        <f>VLOOKUP(F2403,辅助信息!A:B,2,FALSE)</f>
        <v>螺纹钢</v>
      </c>
      <c r="F2403" s="33" t="s">
        <v>91</v>
      </c>
      <c r="G2403" s="29">
        <v>15</v>
      </c>
      <c r="H2403" s="127" t="str">
        <f>_xlfn.XLOOKUP(C2403&amp;F2403&amp;I2403&amp;J2403,'[1]2025年已发货'!$F:$F&amp;'[1]2025年已发货'!$C:$C&amp;'[1]2025年已发货'!$G:$G&amp;'[1]2025年已发货'!$H:$H,'[1]2025年已发货'!$E:$E,"未发货")</f>
        <v>未发货</v>
      </c>
      <c r="I2403" s="33" t="str">
        <f>VLOOKUP(B2403,辅助信息!E:I,3,FALSE)</f>
        <v>(乐山市校地共建产教融合基地建设项目二标段)四川省乐山市市中区苏稽镇</v>
      </c>
      <c r="J2403" s="33" t="str">
        <f>VLOOKUP(B2403,辅助信息!E:I,4,FALSE)</f>
        <v>彭江涛</v>
      </c>
      <c r="K2403" s="33">
        <f>VLOOKUP(J2403,辅助信息!H:I,2,FALSE)</f>
        <v>13990276572</v>
      </c>
      <c r="L2403" s="102" t="str">
        <f>VLOOKUP(B2403,辅助信息!E:J,6,FALSE)</f>
        <v>联系实际收货人（彭江涛13990276572）现场要求炉批号控制2个以下，超2个不给予签收。提前联系到场规格及数量</v>
      </c>
      <c r="M2403" s="84">
        <v>45863</v>
      </c>
      <c r="O2403" s="55">
        <f ca="1" t="shared" si="155"/>
        <v>0</v>
      </c>
      <c r="P2403" s="55">
        <f ca="1" t="shared" si="156"/>
        <v>94</v>
      </c>
      <c r="Q2403" s="22" t="str">
        <f>VLOOKUP(B2403,辅助信息!E:M,9,FALSE)</f>
        <v>ZTWM-CDGS-XS-2025-0126-四川机司-乐山市校地共建产教融合基地配套设施项目施工二标段钢筋采购合同</v>
      </c>
      <c r="R2403" s="22" t="str">
        <f>_xlfn._xlws.FILTER(辅助信息!D:D,辅助信息!E:E=B2403)</f>
        <v>乐山市校地共建产教融合基地建设项目二标段</v>
      </c>
    </row>
    <row r="2404" hidden="1" spans="2:18">
      <c r="B2404" s="33" t="s">
        <v>186</v>
      </c>
      <c r="C2404" s="63">
        <v>45861</v>
      </c>
      <c r="D2404" s="33" t="str">
        <f>VLOOKUP(B2404,辅助信息!E:K,7,FALSE)</f>
        <v>JWDDCD2025072900123</v>
      </c>
      <c r="E2404" s="33" t="str">
        <f>VLOOKUP(F2404,辅助信息!A:B,2,FALSE)</f>
        <v>螺纹钢</v>
      </c>
      <c r="F2404" s="33" t="s">
        <v>140</v>
      </c>
      <c r="G2404" s="29">
        <v>6</v>
      </c>
      <c r="H2404" s="127" t="str">
        <f>_xlfn.XLOOKUP(C2404&amp;F2404&amp;I2404&amp;J2404,'[1]2025年已发货'!$F:$F&amp;'[1]2025年已发货'!$C:$C&amp;'[1]2025年已发货'!$G:$G&amp;'[1]2025年已发货'!$H:$H,'[1]2025年已发货'!$E:$E,"未发货")</f>
        <v>未发货</v>
      </c>
      <c r="I2404" s="33" t="str">
        <f>VLOOKUP(B2404,辅助信息!E:I,3,FALSE)</f>
        <v>(乐山市校地共建产教融合基地建设项目二标段)四川省乐山市市中区苏稽镇</v>
      </c>
      <c r="J2404" s="33" t="str">
        <f>VLOOKUP(B2404,辅助信息!E:I,4,FALSE)</f>
        <v>彭江涛</v>
      </c>
      <c r="K2404" s="33">
        <f>VLOOKUP(J2404,辅助信息!H:I,2,FALSE)</f>
        <v>13990276572</v>
      </c>
      <c r="L2404" s="102" t="str">
        <f>VLOOKUP(B2404,辅助信息!E:J,6,FALSE)</f>
        <v>联系实际收货人（彭江涛13990276572）现场要求炉批号控制2个以下，超2个不给予签收。提前联系到场规格及数量</v>
      </c>
      <c r="M2404" s="84">
        <v>45863</v>
      </c>
      <c r="O2404" s="55">
        <f ca="1" t="shared" si="155"/>
        <v>0</v>
      </c>
      <c r="P2404" s="55">
        <f ca="1" t="shared" si="156"/>
        <v>94</v>
      </c>
      <c r="Q2404" s="22" t="str">
        <f>VLOOKUP(B2404,辅助信息!E:M,9,FALSE)</f>
        <v>ZTWM-CDGS-XS-2025-0126-四川机司-乐山市校地共建产教融合基地配套设施项目施工二标段钢筋采购合同</v>
      </c>
      <c r="R2404" s="22" t="str">
        <f>_xlfn._xlws.FILTER(辅助信息!D:D,辅助信息!E:E=B2404)</f>
        <v>乐山市校地共建产教融合基地建设项目二标段</v>
      </c>
    </row>
    <row r="2405" hidden="1" spans="2:18">
      <c r="B2405" s="33" t="s">
        <v>186</v>
      </c>
      <c r="C2405" s="63">
        <v>45861</v>
      </c>
      <c r="D2405" s="33" t="str">
        <f>VLOOKUP(B2405,辅助信息!E:K,7,FALSE)</f>
        <v>JWDDCD2025072900123</v>
      </c>
      <c r="E2405" s="33" t="str">
        <f>VLOOKUP(F2405,辅助信息!A:B,2,FALSE)</f>
        <v>螺纹钢</v>
      </c>
      <c r="F2405" s="33" t="s">
        <v>197</v>
      </c>
      <c r="G2405" s="29">
        <v>6</v>
      </c>
      <c r="H2405" s="127" t="str">
        <f>_xlfn.XLOOKUP(C2405&amp;F2405&amp;I2405&amp;J2405,'[1]2025年已发货'!$F:$F&amp;'[1]2025年已发货'!$C:$C&amp;'[1]2025年已发货'!$G:$G&amp;'[1]2025年已发货'!$H:$H,'[1]2025年已发货'!$E:$E,"未发货")</f>
        <v>未发货</v>
      </c>
      <c r="I2405" s="33" t="str">
        <f>VLOOKUP(B2405,辅助信息!E:I,3,FALSE)</f>
        <v>(乐山市校地共建产教融合基地建设项目二标段)四川省乐山市市中区苏稽镇</v>
      </c>
      <c r="J2405" s="33" t="str">
        <f>VLOOKUP(B2405,辅助信息!E:I,4,FALSE)</f>
        <v>彭江涛</v>
      </c>
      <c r="K2405" s="33">
        <f>VLOOKUP(J2405,辅助信息!H:I,2,FALSE)</f>
        <v>13990276572</v>
      </c>
      <c r="L2405" s="102" t="str">
        <f>VLOOKUP(B2405,辅助信息!E:J,6,FALSE)</f>
        <v>联系实际收货人（彭江涛13990276572）现场要求炉批号控制2个以下，超2个不给予签收。提前联系到场规格及数量</v>
      </c>
      <c r="M2405" s="84">
        <v>45863</v>
      </c>
      <c r="O2405" s="55">
        <f ca="1" t="shared" si="155"/>
        <v>0</v>
      </c>
      <c r="P2405" s="55">
        <f ca="1" t="shared" si="156"/>
        <v>94</v>
      </c>
      <c r="Q2405" s="22" t="str">
        <f>VLOOKUP(B2405,辅助信息!E:M,9,FALSE)</f>
        <v>ZTWM-CDGS-XS-2025-0126-四川机司-乐山市校地共建产教融合基地配套设施项目施工二标段钢筋采购合同</v>
      </c>
      <c r="R2405" s="22" t="str">
        <f>_xlfn._xlws.FILTER(辅助信息!D:D,辅助信息!E:E=B2405)</f>
        <v>乐山市校地共建产教融合基地建设项目二标段</v>
      </c>
    </row>
    <row r="2406" hidden="1" spans="2:18">
      <c r="B2406" s="33" t="s">
        <v>186</v>
      </c>
      <c r="C2406" s="63">
        <v>45861</v>
      </c>
      <c r="D2406" s="33" t="str">
        <f>VLOOKUP(B2406,辅助信息!E:K,7,FALSE)</f>
        <v>JWDDCD2025072900123</v>
      </c>
      <c r="E2406" s="33" t="str">
        <f>VLOOKUP(F2406,辅助信息!A:B,2,FALSE)</f>
        <v>螺纹钢</v>
      </c>
      <c r="F2406" s="33" t="s">
        <v>198</v>
      </c>
      <c r="G2406" s="29">
        <v>10</v>
      </c>
      <c r="H2406" s="127" t="str">
        <f>_xlfn.XLOOKUP(C2406&amp;F2406&amp;I2406&amp;J2406,'[1]2025年已发货'!$F:$F&amp;'[1]2025年已发货'!$C:$C&amp;'[1]2025年已发货'!$G:$G&amp;'[1]2025年已发货'!$H:$H,'[1]2025年已发货'!$E:$E,"未发货")</f>
        <v>未发货</v>
      </c>
      <c r="I2406" s="33" t="str">
        <f>VLOOKUP(B2406,辅助信息!E:I,3,FALSE)</f>
        <v>(乐山市校地共建产教融合基地建设项目二标段)四川省乐山市市中区苏稽镇</v>
      </c>
      <c r="J2406" s="33" t="str">
        <f>VLOOKUP(B2406,辅助信息!E:I,4,FALSE)</f>
        <v>彭江涛</v>
      </c>
      <c r="K2406" s="33">
        <f>VLOOKUP(J2406,辅助信息!H:I,2,FALSE)</f>
        <v>13990276572</v>
      </c>
      <c r="L2406" s="102" t="str">
        <f>VLOOKUP(B2406,辅助信息!E:J,6,FALSE)</f>
        <v>联系实际收货人（彭江涛13990276572）现场要求炉批号控制2个以下，超2个不给予签收。提前联系到场规格及数量</v>
      </c>
      <c r="M2406" s="84">
        <v>45863</v>
      </c>
      <c r="O2406" s="55">
        <f ca="1" t="shared" si="155"/>
        <v>0</v>
      </c>
      <c r="P2406" s="55">
        <f ca="1" t="shared" si="156"/>
        <v>94</v>
      </c>
      <c r="Q2406" s="22" t="str">
        <f>VLOOKUP(B2406,辅助信息!E:M,9,FALSE)</f>
        <v>ZTWM-CDGS-XS-2025-0126-四川机司-乐山市校地共建产教融合基地配套设施项目施工二标段钢筋采购合同</v>
      </c>
      <c r="R2406" s="22" t="str">
        <f>_xlfn._xlws.FILTER(辅助信息!D:D,辅助信息!E:E=B2406)</f>
        <v>乐山市校地共建产教融合基地建设项目二标段</v>
      </c>
    </row>
    <row r="2407" hidden="1" spans="2:18">
      <c r="B2407" s="33" t="s">
        <v>186</v>
      </c>
      <c r="C2407" s="63">
        <v>45861</v>
      </c>
      <c r="D2407" s="33" t="str">
        <f>VLOOKUP(B2407,辅助信息!E:K,7,FALSE)</f>
        <v>JWDDCD2025072900123</v>
      </c>
      <c r="E2407" s="33" t="str">
        <f>VLOOKUP(F2407,辅助信息!A:B,2,FALSE)</f>
        <v>螺纹钢</v>
      </c>
      <c r="F2407" s="33" t="s">
        <v>199</v>
      </c>
      <c r="G2407" s="29">
        <v>10</v>
      </c>
      <c r="H2407" s="127" t="str">
        <f>_xlfn.XLOOKUP(C2407&amp;F2407&amp;I2407&amp;J2407,'[1]2025年已发货'!$F:$F&amp;'[1]2025年已发货'!$C:$C&amp;'[1]2025年已发货'!$G:$G&amp;'[1]2025年已发货'!$H:$H,'[1]2025年已发货'!$E:$E,"未发货")</f>
        <v>未发货</v>
      </c>
      <c r="I2407" s="33" t="str">
        <f>VLOOKUP(B2407,辅助信息!E:I,3,FALSE)</f>
        <v>(乐山市校地共建产教融合基地建设项目二标段)四川省乐山市市中区苏稽镇</v>
      </c>
      <c r="J2407" s="33" t="str">
        <f>VLOOKUP(B2407,辅助信息!E:I,4,FALSE)</f>
        <v>彭江涛</v>
      </c>
      <c r="K2407" s="33">
        <f>VLOOKUP(J2407,辅助信息!H:I,2,FALSE)</f>
        <v>13990276572</v>
      </c>
      <c r="L2407" s="102" t="str">
        <f>VLOOKUP(B2407,辅助信息!E:J,6,FALSE)</f>
        <v>联系实际收货人（彭江涛13990276572）现场要求炉批号控制2个以下，超2个不给予签收。提前联系到场规格及数量</v>
      </c>
      <c r="M2407" s="84">
        <v>45863</v>
      </c>
      <c r="O2407" s="55">
        <f ca="1" t="shared" si="155"/>
        <v>0</v>
      </c>
      <c r="P2407" s="55">
        <f ca="1" t="shared" si="156"/>
        <v>94</v>
      </c>
      <c r="Q2407" s="22" t="str">
        <f>VLOOKUP(B2407,辅助信息!E:M,9,FALSE)</f>
        <v>ZTWM-CDGS-XS-2025-0126-四川机司-乐山市校地共建产教融合基地配套设施项目施工二标段钢筋采购合同</v>
      </c>
      <c r="R2407" s="22" t="str">
        <f>_xlfn._xlws.FILTER(辅助信息!D:D,辅助信息!E:E=B2407)</f>
        <v>乐山市校地共建产教融合基地建设项目二标段</v>
      </c>
    </row>
    <row r="2408" hidden="1" spans="2:18">
      <c r="B2408" s="33" t="s">
        <v>186</v>
      </c>
      <c r="C2408" s="63">
        <v>45861</v>
      </c>
      <c r="D2408" s="33" t="str">
        <f>VLOOKUP(B2408,辅助信息!E:K,7,FALSE)</f>
        <v>JWDDCD2025072900123</v>
      </c>
      <c r="E2408" s="33" t="str">
        <f>VLOOKUP(F2408,辅助信息!A:B,2,FALSE)</f>
        <v>螺纹钢</v>
      </c>
      <c r="F2408" s="33" t="s">
        <v>142</v>
      </c>
      <c r="G2408" s="29">
        <v>30</v>
      </c>
      <c r="H2408" s="127" t="str">
        <f>_xlfn.XLOOKUP(C2408&amp;F2408&amp;I2408&amp;J2408,'[1]2025年已发货'!$F:$F&amp;'[1]2025年已发货'!$C:$C&amp;'[1]2025年已发货'!$G:$G&amp;'[1]2025年已发货'!$H:$H,'[1]2025年已发货'!$E:$E,"未发货")</f>
        <v>未发货</v>
      </c>
      <c r="I2408" s="33" t="str">
        <f>VLOOKUP(B2408,辅助信息!E:I,3,FALSE)</f>
        <v>(乐山市校地共建产教融合基地建设项目二标段)四川省乐山市市中区苏稽镇</v>
      </c>
      <c r="J2408" s="33" t="str">
        <f>VLOOKUP(B2408,辅助信息!E:I,4,FALSE)</f>
        <v>彭江涛</v>
      </c>
      <c r="K2408" s="33">
        <f>VLOOKUP(J2408,辅助信息!H:I,2,FALSE)</f>
        <v>13990276572</v>
      </c>
      <c r="L2408" s="102" t="str">
        <f>VLOOKUP(B2408,辅助信息!E:J,6,FALSE)</f>
        <v>联系实际收货人（彭江涛13990276572）现场要求炉批号控制2个以下，超2个不给予签收。提前联系到场规格及数量</v>
      </c>
      <c r="M2408" s="84">
        <v>45863</v>
      </c>
      <c r="O2408" s="55">
        <f ca="1" t="shared" si="155"/>
        <v>0</v>
      </c>
      <c r="P2408" s="55">
        <f ca="1" t="shared" si="156"/>
        <v>94</v>
      </c>
      <c r="Q2408" s="22" t="str">
        <f>VLOOKUP(B2408,辅助信息!E:M,9,FALSE)</f>
        <v>ZTWM-CDGS-XS-2025-0126-四川机司-乐山市校地共建产教融合基地配套设施项目施工二标段钢筋采购合同</v>
      </c>
      <c r="R2408" s="22" t="str">
        <f>_xlfn._xlws.FILTER(辅助信息!D:D,辅助信息!E:E=B2408)</f>
        <v>乐山市校地共建产教融合基地建设项目二标段</v>
      </c>
    </row>
    <row r="2409" hidden="1" spans="2:18">
      <c r="B2409" s="33" t="s">
        <v>186</v>
      </c>
      <c r="C2409" s="63">
        <v>45861</v>
      </c>
      <c r="D2409" s="33" t="str">
        <f>VLOOKUP(B2409,辅助信息!E:K,7,FALSE)</f>
        <v>JWDDCD2025072900123</v>
      </c>
      <c r="E2409" s="33" t="str">
        <f>VLOOKUP(F2409,辅助信息!A:B,2,FALSE)</f>
        <v>螺纹钢</v>
      </c>
      <c r="F2409" s="33" t="s">
        <v>200</v>
      </c>
      <c r="G2409" s="29">
        <v>20</v>
      </c>
      <c r="H2409" s="127" t="str">
        <f>_xlfn.XLOOKUP(C2409&amp;F2409&amp;I2409&amp;J2409,'[1]2025年已发货'!$F:$F&amp;'[1]2025年已发货'!$C:$C&amp;'[1]2025年已发货'!$G:$G&amp;'[1]2025年已发货'!$H:$H,'[1]2025年已发货'!$E:$E,"未发货")</f>
        <v>未发货</v>
      </c>
      <c r="I2409" s="33" t="str">
        <f>VLOOKUP(B2409,辅助信息!E:I,3,FALSE)</f>
        <v>(乐山市校地共建产教融合基地建设项目二标段)四川省乐山市市中区苏稽镇</v>
      </c>
      <c r="J2409" s="33" t="str">
        <f>VLOOKUP(B2409,辅助信息!E:I,4,FALSE)</f>
        <v>彭江涛</v>
      </c>
      <c r="K2409" s="33">
        <f>VLOOKUP(J2409,辅助信息!H:I,2,FALSE)</f>
        <v>13990276572</v>
      </c>
      <c r="L2409" s="102" t="str">
        <f>VLOOKUP(B2409,辅助信息!E:J,6,FALSE)</f>
        <v>联系实际收货人（彭江涛13990276572）现场要求炉批号控制2个以下，超2个不给予签收。提前联系到场规格及数量</v>
      </c>
      <c r="M2409" s="84">
        <v>45863</v>
      </c>
      <c r="O2409" s="55">
        <f ca="1" t="shared" si="155"/>
        <v>0</v>
      </c>
      <c r="P2409" s="55">
        <f ca="1" t="shared" si="156"/>
        <v>94</v>
      </c>
      <c r="Q2409" s="22" t="str">
        <f>VLOOKUP(B2409,辅助信息!E:M,9,FALSE)</f>
        <v>ZTWM-CDGS-XS-2025-0126-四川机司-乐山市校地共建产教融合基地配套设施项目施工二标段钢筋采购合同</v>
      </c>
      <c r="R2409" s="22" t="str">
        <f>_xlfn._xlws.FILTER(辅助信息!D:D,辅助信息!E:E=B2409)</f>
        <v>乐山市校地共建产教融合基地建设项目二标段</v>
      </c>
    </row>
    <row r="2410" hidden="1" spans="2:18">
      <c r="B2410" s="33" t="s">
        <v>186</v>
      </c>
      <c r="C2410" s="63">
        <v>45861</v>
      </c>
      <c r="D2410" s="33" t="str">
        <f>VLOOKUP(B2410,辅助信息!E:K,7,FALSE)</f>
        <v>JWDDCD2025072900123</v>
      </c>
      <c r="E2410" s="33" t="str">
        <f>VLOOKUP(F2410,辅助信息!A:B,2,FALSE)</f>
        <v>螺纹钢</v>
      </c>
      <c r="F2410" s="33" t="s">
        <v>201</v>
      </c>
      <c r="G2410" s="29">
        <v>20</v>
      </c>
      <c r="H2410" s="127" t="str">
        <f>_xlfn.XLOOKUP(C2410&amp;F2410&amp;I2410&amp;J2410,'[1]2025年已发货'!$F:$F&amp;'[1]2025年已发货'!$C:$C&amp;'[1]2025年已发货'!$G:$G&amp;'[1]2025年已发货'!$H:$H,'[1]2025年已发货'!$E:$E,"未发货")</f>
        <v>未发货</v>
      </c>
      <c r="I2410" s="33" t="str">
        <f>VLOOKUP(B2410,辅助信息!E:I,3,FALSE)</f>
        <v>(乐山市校地共建产教融合基地建设项目二标段)四川省乐山市市中区苏稽镇</v>
      </c>
      <c r="J2410" s="33" t="str">
        <f>VLOOKUP(B2410,辅助信息!E:I,4,FALSE)</f>
        <v>彭江涛</v>
      </c>
      <c r="K2410" s="33">
        <f>VLOOKUP(J2410,辅助信息!H:I,2,FALSE)</f>
        <v>13990276572</v>
      </c>
      <c r="L2410" s="102" t="str">
        <f>VLOOKUP(B2410,辅助信息!E:J,6,FALSE)</f>
        <v>联系实际收货人（彭江涛13990276572）现场要求炉批号控制2个以下，超2个不给予签收。提前联系到场规格及数量</v>
      </c>
      <c r="M2410" s="84">
        <v>45863</v>
      </c>
      <c r="O2410" s="55">
        <f ca="1" t="shared" si="155"/>
        <v>0</v>
      </c>
      <c r="P2410" s="55">
        <f ca="1" t="shared" si="156"/>
        <v>94</v>
      </c>
      <c r="Q2410" s="22" t="str">
        <f>VLOOKUP(B2410,辅助信息!E:M,9,FALSE)</f>
        <v>ZTWM-CDGS-XS-2025-0126-四川机司-乐山市校地共建产教融合基地配套设施项目施工二标段钢筋采购合同</v>
      </c>
      <c r="R2410" s="22" t="str">
        <f>_xlfn._xlws.FILTER(辅助信息!D:D,辅助信息!E:E=B2410)</f>
        <v>乐山市校地共建产教融合基地建设项目二标段</v>
      </c>
    </row>
    <row r="2411" hidden="1" spans="2:18">
      <c r="B2411" s="33" t="s">
        <v>196</v>
      </c>
      <c r="C2411" s="63">
        <v>45861</v>
      </c>
      <c r="D2411" s="33" t="str">
        <f>VLOOKUP(B2411,辅助信息!E:K,7,FALSE)</f>
        <v>JWDDCD2025102100476</v>
      </c>
      <c r="E2411" s="33" t="str">
        <f>VLOOKUP(F2411,辅助信息!A:B,2,FALSE)</f>
        <v>盘螺</v>
      </c>
      <c r="F2411" s="33" t="s">
        <v>49</v>
      </c>
      <c r="G2411" s="29">
        <v>2.5</v>
      </c>
      <c r="H2411" s="127">
        <f>_xlfn.XLOOKUP(C2411&amp;F2411&amp;I2411&amp;J2411,'[1]2025年已发货'!$F:$F&amp;'[1]2025年已发货'!$C:$C&amp;'[1]2025年已发货'!$G:$G&amp;'[1]2025年已发货'!$H:$H,'[1]2025年已发货'!$E:$E,"未发货")</f>
        <v>2.5</v>
      </c>
      <c r="I2411" s="33" t="str">
        <f>VLOOKUP(B2411,辅助信息!E:I,3,FALSE)</f>
        <v>(五冶建设师大附中外语校新建教学楼工程)四川省成都市成华区大观堰2号(四川师范大学附属中学外国语学校)</v>
      </c>
      <c r="J2411" s="33" t="str">
        <f>VLOOKUP(B2411,辅助信息!E:I,4,FALSE)</f>
        <v>蔡浩</v>
      </c>
      <c r="K2411" s="33">
        <f>VLOOKUP(J2411,辅助信息!H:I,2,FALSE)</f>
        <v>13980880820</v>
      </c>
      <c r="L2411" s="82"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84">
        <v>45863</v>
      </c>
      <c r="O2411" s="55">
        <f ca="1" t="shared" si="155"/>
        <v>0</v>
      </c>
      <c r="P2411" s="55">
        <f ca="1" t="shared" si="156"/>
        <v>94</v>
      </c>
      <c r="Q2411" s="22" t="str">
        <f>VLOOKUP(B2411,辅助信息!E:M,9,FALSE)</f>
        <v>ZTWM-CDGS-XS-2025-0073-五冶天府-成都怡心湖片区及龙泉驿医院等项目</v>
      </c>
      <c r="R2411" s="22" t="str">
        <f>_xlfn._xlws.FILTER(辅助信息!D:D,辅助信息!E:E=B2411)</f>
        <v>五冶建设师大附中外语校新建教学楼工程</v>
      </c>
    </row>
    <row r="2412" hidden="1" spans="2:18">
      <c r="B2412" s="33" t="s">
        <v>196</v>
      </c>
      <c r="C2412" s="63">
        <v>45861</v>
      </c>
      <c r="D2412" s="33" t="str">
        <f>VLOOKUP(B2412,辅助信息!E:K,7,FALSE)</f>
        <v>JWDDCD2025102100476</v>
      </c>
      <c r="E2412" s="33" t="str">
        <f>VLOOKUP(F2412,辅助信息!A:B,2,FALSE)</f>
        <v>盘螺</v>
      </c>
      <c r="F2412" s="33" t="s">
        <v>40</v>
      </c>
      <c r="G2412" s="29">
        <v>2.5</v>
      </c>
      <c r="H2412" s="127">
        <f>_xlfn.XLOOKUP(C2412&amp;F2412&amp;I2412&amp;J2412,'[1]2025年已发货'!$F:$F&amp;'[1]2025年已发货'!$C:$C&amp;'[1]2025年已发货'!$G:$G&amp;'[1]2025年已发货'!$H:$H,'[1]2025年已发货'!$E:$E,"未发货")</f>
        <v>2.5</v>
      </c>
      <c r="I2412" s="33" t="str">
        <f>VLOOKUP(B2412,辅助信息!E:I,3,FALSE)</f>
        <v>(五冶建设师大附中外语校新建教学楼工程)四川省成都市成华区大观堰2号(四川师范大学附属中学外国语学校)</v>
      </c>
      <c r="J2412" s="33" t="str">
        <f>VLOOKUP(B2412,辅助信息!E:I,4,FALSE)</f>
        <v>蔡浩</v>
      </c>
      <c r="K2412" s="33">
        <f>VLOOKUP(J2412,辅助信息!H:I,2,FALSE)</f>
        <v>13980880820</v>
      </c>
      <c r="L2412" s="83"/>
      <c r="M2412" s="84">
        <v>45863</v>
      </c>
      <c r="O2412" s="55">
        <f ca="1" t="shared" si="155"/>
        <v>0</v>
      </c>
      <c r="P2412" s="55">
        <f ca="1" t="shared" si="156"/>
        <v>94</v>
      </c>
      <c r="Q2412" s="22" t="str">
        <f>VLOOKUP(B2412,辅助信息!E:M,9,FALSE)</f>
        <v>ZTWM-CDGS-XS-2025-0073-五冶天府-成都怡心湖片区及龙泉驿医院等项目</v>
      </c>
      <c r="R2412" s="22" t="str">
        <f>_xlfn._xlws.FILTER(辅助信息!D:D,辅助信息!E:E=B2412)</f>
        <v>五冶建设师大附中外语校新建教学楼工程</v>
      </c>
    </row>
    <row r="2413" hidden="1" spans="2:18">
      <c r="B2413" s="33" t="s">
        <v>196</v>
      </c>
      <c r="C2413" s="63">
        <v>45861</v>
      </c>
      <c r="D2413" s="33" t="str">
        <f>VLOOKUP(B2413,辅助信息!E:K,7,FALSE)</f>
        <v>JWDDCD2025102100476</v>
      </c>
      <c r="E2413" s="33" t="str">
        <f>VLOOKUP(F2413,辅助信息!A:B,2,FALSE)</f>
        <v>盘螺</v>
      </c>
      <c r="F2413" s="33" t="s">
        <v>41</v>
      </c>
      <c r="G2413" s="29">
        <v>2.5</v>
      </c>
      <c r="H2413" s="127">
        <f>_xlfn.XLOOKUP(C2413&amp;F2413&amp;I2413&amp;J2413,'[1]2025年已发货'!$F:$F&amp;'[1]2025年已发货'!$C:$C&amp;'[1]2025年已发货'!$G:$G&amp;'[1]2025年已发货'!$H:$H,'[1]2025年已发货'!$E:$E,"未发货")</f>
        <v>2.5</v>
      </c>
      <c r="I2413" s="33" t="str">
        <f>VLOOKUP(B2413,辅助信息!E:I,3,FALSE)</f>
        <v>(五冶建设师大附中外语校新建教学楼工程)四川省成都市成华区大观堰2号(四川师范大学附属中学外国语学校)</v>
      </c>
      <c r="J2413" s="33" t="str">
        <f>VLOOKUP(B2413,辅助信息!E:I,4,FALSE)</f>
        <v>蔡浩</v>
      </c>
      <c r="K2413" s="33">
        <f>VLOOKUP(J2413,辅助信息!H:I,2,FALSE)</f>
        <v>13980880820</v>
      </c>
      <c r="L2413" s="83"/>
      <c r="M2413" s="84">
        <v>45863</v>
      </c>
      <c r="O2413" s="55">
        <f ca="1" t="shared" si="155"/>
        <v>0</v>
      </c>
      <c r="P2413" s="55">
        <f ca="1" t="shared" si="156"/>
        <v>94</v>
      </c>
      <c r="Q2413" s="22" t="str">
        <f>VLOOKUP(B2413,辅助信息!E:M,9,FALSE)</f>
        <v>ZTWM-CDGS-XS-2025-0073-五冶天府-成都怡心湖片区及龙泉驿医院等项目</v>
      </c>
      <c r="R2413" s="22" t="str">
        <f>_xlfn._xlws.FILTER(辅助信息!D:D,辅助信息!E:E=B2413)</f>
        <v>五冶建设师大附中外语校新建教学楼工程</v>
      </c>
    </row>
    <row r="2414" hidden="1" spans="2:18">
      <c r="B2414" s="33" t="s">
        <v>196</v>
      </c>
      <c r="C2414" s="63">
        <v>45861</v>
      </c>
      <c r="D2414" s="33" t="str">
        <f>VLOOKUP(B2414,辅助信息!E:K,7,FALSE)</f>
        <v>JWDDCD2025102100476</v>
      </c>
      <c r="E2414" s="33" t="str">
        <f>VLOOKUP(F2414,辅助信息!A:B,2,FALSE)</f>
        <v>螺纹钢</v>
      </c>
      <c r="F2414" s="33" t="s">
        <v>27</v>
      </c>
      <c r="G2414" s="29">
        <v>10</v>
      </c>
      <c r="H2414" s="127">
        <f>_xlfn.XLOOKUP(C2414&amp;F2414&amp;I2414&amp;J2414,'[1]2025年已发货'!$F:$F&amp;'[1]2025年已发货'!$C:$C&amp;'[1]2025年已发货'!$G:$G&amp;'[1]2025年已发货'!$H:$H,'[1]2025年已发货'!$E:$E,"未发货")</f>
        <v>10</v>
      </c>
      <c r="I2414" s="33" t="str">
        <f>VLOOKUP(B2414,辅助信息!E:I,3,FALSE)</f>
        <v>(五冶建设师大附中外语校新建教学楼工程)四川省成都市成华区大观堰2号(四川师范大学附属中学外国语学校)</v>
      </c>
      <c r="J2414" s="33" t="str">
        <f>VLOOKUP(B2414,辅助信息!E:I,4,FALSE)</f>
        <v>蔡浩</v>
      </c>
      <c r="K2414" s="33">
        <f>VLOOKUP(J2414,辅助信息!H:I,2,FALSE)</f>
        <v>13980880820</v>
      </c>
      <c r="L2414" s="83"/>
      <c r="M2414" s="84">
        <v>45863</v>
      </c>
      <c r="O2414" s="55">
        <f ca="1" t="shared" si="155"/>
        <v>0</v>
      </c>
      <c r="P2414" s="55">
        <f ca="1" t="shared" si="156"/>
        <v>94</v>
      </c>
      <c r="Q2414" s="22" t="str">
        <f>VLOOKUP(B2414,辅助信息!E:M,9,FALSE)</f>
        <v>ZTWM-CDGS-XS-2025-0073-五冶天府-成都怡心湖片区及龙泉驿医院等项目</v>
      </c>
      <c r="R2414" s="22" t="str">
        <f>_xlfn._xlws.FILTER(辅助信息!D:D,辅助信息!E:E=B2414)</f>
        <v>五冶建设师大附中外语校新建教学楼工程</v>
      </c>
    </row>
    <row r="2415" hidden="1" spans="2:18">
      <c r="B2415" s="33" t="s">
        <v>196</v>
      </c>
      <c r="C2415" s="63">
        <v>45861</v>
      </c>
      <c r="D2415" s="33" t="str">
        <f>VLOOKUP(B2415,辅助信息!E:K,7,FALSE)</f>
        <v>JWDDCD2025102100476</v>
      </c>
      <c r="E2415" s="33" t="str">
        <f>VLOOKUP(F2415,辅助信息!A:B,2,FALSE)</f>
        <v>螺纹钢</v>
      </c>
      <c r="F2415" s="33" t="s">
        <v>19</v>
      </c>
      <c r="G2415" s="29">
        <v>20</v>
      </c>
      <c r="H2415" s="127">
        <f>_xlfn.XLOOKUP(C2415&amp;F2415&amp;I2415&amp;J2415,'[1]2025年已发货'!$F:$F&amp;'[1]2025年已发货'!$C:$C&amp;'[1]2025年已发货'!$G:$G&amp;'[1]2025年已发货'!$H:$H,'[1]2025年已发货'!$E:$E,"未发货")</f>
        <v>20</v>
      </c>
      <c r="I2415" s="33" t="str">
        <f>VLOOKUP(B2415,辅助信息!E:I,3,FALSE)</f>
        <v>(五冶建设师大附中外语校新建教学楼工程)四川省成都市成华区大观堰2号(四川师范大学附属中学外国语学校)</v>
      </c>
      <c r="J2415" s="33" t="str">
        <f>VLOOKUP(B2415,辅助信息!E:I,4,FALSE)</f>
        <v>蔡浩</v>
      </c>
      <c r="K2415" s="33">
        <f>VLOOKUP(J2415,辅助信息!H:I,2,FALSE)</f>
        <v>13980880820</v>
      </c>
      <c r="L2415" s="83"/>
      <c r="M2415" s="84">
        <v>45863</v>
      </c>
      <c r="O2415" s="55">
        <f ca="1" t="shared" si="155"/>
        <v>0</v>
      </c>
      <c r="P2415" s="55">
        <f ca="1" t="shared" si="156"/>
        <v>94</v>
      </c>
      <c r="Q2415" s="22" t="str">
        <f>VLOOKUP(B2415,辅助信息!E:M,9,FALSE)</f>
        <v>ZTWM-CDGS-XS-2025-0073-五冶天府-成都怡心湖片区及龙泉驿医院等项目</v>
      </c>
      <c r="R2415" s="22" t="str">
        <f>_xlfn._xlws.FILTER(辅助信息!D:D,辅助信息!E:E=B2415)</f>
        <v>五冶建设师大附中外语校新建教学楼工程</v>
      </c>
    </row>
    <row r="2416" hidden="1" spans="2:18">
      <c r="B2416" s="33" t="s">
        <v>196</v>
      </c>
      <c r="C2416" s="63">
        <v>45861</v>
      </c>
      <c r="D2416" s="33" t="str">
        <f>VLOOKUP(B2416,辅助信息!E:K,7,FALSE)</f>
        <v>JWDDCD2025102100476</v>
      </c>
      <c r="E2416" s="33" t="str">
        <f>VLOOKUP(F2416,辅助信息!A:B,2,FALSE)</f>
        <v>螺纹钢</v>
      </c>
      <c r="F2416" s="33" t="s">
        <v>32</v>
      </c>
      <c r="G2416" s="29">
        <v>10</v>
      </c>
      <c r="H2416" s="127">
        <f>_xlfn.XLOOKUP(C2416&amp;F2416&amp;I2416&amp;J2416,'[1]2025年已发货'!$F:$F&amp;'[1]2025年已发货'!$C:$C&amp;'[1]2025年已发货'!$G:$G&amp;'[1]2025年已发货'!$H:$H,'[1]2025年已发货'!$E:$E,"未发货")</f>
        <v>14</v>
      </c>
      <c r="I2416" s="33" t="str">
        <f>VLOOKUP(B2416,辅助信息!E:I,3,FALSE)</f>
        <v>(五冶建设师大附中外语校新建教学楼工程)四川省成都市成华区大观堰2号(四川师范大学附属中学外国语学校)</v>
      </c>
      <c r="J2416" s="33" t="str">
        <f>VLOOKUP(B2416,辅助信息!E:I,4,FALSE)</f>
        <v>蔡浩</v>
      </c>
      <c r="K2416" s="33">
        <f>VLOOKUP(J2416,辅助信息!H:I,2,FALSE)</f>
        <v>13980880820</v>
      </c>
      <c r="L2416" s="83"/>
      <c r="M2416" s="84">
        <v>45863</v>
      </c>
      <c r="O2416" s="55">
        <f ca="1" t="shared" si="155"/>
        <v>0</v>
      </c>
      <c r="P2416" s="55">
        <f ca="1" t="shared" si="156"/>
        <v>94</v>
      </c>
      <c r="Q2416" s="22" t="str">
        <f>VLOOKUP(B2416,辅助信息!E:M,9,FALSE)</f>
        <v>ZTWM-CDGS-XS-2025-0073-五冶天府-成都怡心湖片区及龙泉驿医院等项目</v>
      </c>
      <c r="R2416" s="22" t="str">
        <f>_xlfn._xlws.FILTER(辅助信息!D:D,辅助信息!E:E=B2416)</f>
        <v>五冶建设师大附中外语校新建教学楼工程</v>
      </c>
    </row>
    <row r="2417" hidden="1" spans="2:18">
      <c r="B2417" s="33" t="s">
        <v>196</v>
      </c>
      <c r="C2417" s="63">
        <v>45861</v>
      </c>
      <c r="D2417" s="33" t="str">
        <f>VLOOKUP(B2417,辅助信息!E:K,7,FALSE)</f>
        <v>JWDDCD2025102100476</v>
      </c>
      <c r="E2417" s="33" t="str">
        <f>VLOOKUP(F2417,辅助信息!A:B,2,FALSE)</f>
        <v>螺纹钢</v>
      </c>
      <c r="F2417" s="33" t="s">
        <v>30</v>
      </c>
      <c r="G2417" s="29">
        <v>25</v>
      </c>
      <c r="H2417" s="127">
        <f>_xlfn.XLOOKUP(C2417&amp;F2417&amp;I2417&amp;J2417,'[1]2025年已发货'!$F:$F&amp;'[1]2025年已发货'!$C:$C&amp;'[1]2025年已发货'!$G:$G&amp;'[1]2025年已发货'!$H:$H,'[1]2025年已发货'!$E:$E,"未发货")</f>
        <v>11.4</v>
      </c>
      <c r="I2417" s="33" t="str">
        <f>VLOOKUP(B2417,辅助信息!E:I,3,FALSE)</f>
        <v>(五冶建设师大附中外语校新建教学楼工程)四川省成都市成华区大观堰2号(四川师范大学附属中学外国语学校)</v>
      </c>
      <c r="J2417" s="33" t="str">
        <f>VLOOKUP(B2417,辅助信息!E:I,4,FALSE)</f>
        <v>蔡浩</v>
      </c>
      <c r="K2417" s="33">
        <f>VLOOKUP(J2417,辅助信息!H:I,2,FALSE)</f>
        <v>13980880820</v>
      </c>
      <c r="L2417" s="83"/>
      <c r="M2417" s="84">
        <v>45863</v>
      </c>
      <c r="O2417" s="55">
        <f ca="1" t="shared" si="155"/>
        <v>0</v>
      </c>
      <c r="P2417" s="55">
        <f ca="1" t="shared" si="156"/>
        <v>94</v>
      </c>
      <c r="Q2417" s="22" t="str">
        <f>VLOOKUP(B2417,辅助信息!E:M,9,FALSE)</f>
        <v>ZTWM-CDGS-XS-2025-0073-五冶天府-成都怡心湖片区及龙泉驿医院等项目</v>
      </c>
      <c r="R2417" s="22" t="str">
        <f>_xlfn._xlws.FILTER(辅助信息!D:D,辅助信息!E:E=B2417)</f>
        <v>五冶建设师大附中外语校新建教学楼工程</v>
      </c>
    </row>
    <row r="2418" hidden="1" spans="2:18">
      <c r="B2418" s="33" t="s">
        <v>196</v>
      </c>
      <c r="C2418" s="63">
        <v>45861</v>
      </c>
      <c r="D2418" s="33" t="str">
        <f>VLOOKUP(B2418,辅助信息!E:K,7,FALSE)</f>
        <v>JWDDCD2025102100476</v>
      </c>
      <c r="E2418" s="33" t="str">
        <f>VLOOKUP(F2418,辅助信息!A:B,2,FALSE)</f>
        <v>螺纹钢</v>
      </c>
      <c r="F2418" s="33" t="s">
        <v>33</v>
      </c>
      <c r="G2418" s="29">
        <v>10</v>
      </c>
      <c r="H2418" s="127">
        <f>_xlfn.XLOOKUP(C2418&amp;F2418&amp;I2418&amp;J2418,'[1]2025年已发货'!$F:$F&amp;'[1]2025年已发货'!$C:$C&amp;'[1]2025年已发货'!$G:$G&amp;'[1]2025年已发货'!$H:$H,'[1]2025年已发货'!$E:$E,"未发货")</f>
        <v>10</v>
      </c>
      <c r="I2418" s="33" t="str">
        <f>VLOOKUP(B2418,辅助信息!E:I,3,FALSE)</f>
        <v>(五冶建设师大附中外语校新建教学楼工程)四川省成都市成华区大观堰2号(四川师范大学附属中学外国语学校)</v>
      </c>
      <c r="J2418" s="33" t="str">
        <f>VLOOKUP(B2418,辅助信息!E:I,4,FALSE)</f>
        <v>蔡浩</v>
      </c>
      <c r="K2418" s="33">
        <f>VLOOKUP(J2418,辅助信息!H:I,2,FALSE)</f>
        <v>13980880820</v>
      </c>
      <c r="L2418" s="83"/>
      <c r="M2418" s="84">
        <v>45863</v>
      </c>
      <c r="O2418" s="55">
        <f ca="1" t="shared" si="155"/>
        <v>0</v>
      </c>
      <c r="P2418" s="55">
        <f ca="1" t="shared" si="156"/>
        <v>94</v>
      </c>
      <c r="Q2418" s="22" t="str">
        <f>VLOOKUP(B2418,辅助信息!E:M,9,FALSE)</f>
        <v>ZTWM-CDGS-XS-2025-0073-五冶天府-成都怡心湖片区及龙泉驿医院等项目</v>
      </c>
      <c r="R2418" s="22" t="str">
        <f>_xlfn._xlws.FILTER(辅助信息!D:D,辅助信息!E:E=B2418)</f>
        <v>五冶建设师大附中外语校新建教学楼工程</v>
      </c>
    </row>
    <row r="2419" hidden="1" spans="2:18">
      <c r="B2419" s="33" t="s">
        <v>196</v>
      </c>
      <c r="C2419" s="63">
        <v>45861</v>
      </c>
      <c r="D2419" s="33" t="str">
        <f>VLOOKUP(B2419,辅助信息!E:K,7,FALSE)</f>
        <v>JWDDCD2025102100476</v>
      </c>
      <c r="E2419" s="33" t="str">
        <f>VLOOKUP(F2419,辅助信息!A:B,2,FALSE)</f>
        <v>螺纹钢</v>
      </c>
      <c r="F2419" s="33" t="s">
        <v>28</v>
      </c>
      <c r="G2419" s="29">
        <v>10</v>
      </c>
      <c r="H2419" s="127">
        <f>_xlfn.XLOOKUP(C2419&amp;F2419&amp;I2419&amp;J2419,'[1]2025年已发货'!$F:$F&amp;'[1]2025年已发货'!$C:$C&amp;'[1]2025年已发货'!$G:$G&amp;'[1]2025年已发货'!$H:$H,'[1]2025年已发货'!$E:$E,"未发货")</f>
        <v>10</v>
      </c>
      <c r="I2419" s="33" t="str">
        <f>VLOOKUP(B2419,辅助信息!E:I,3,FALSE)</f>
        <v>(五冶建设师大附中外语校新建教学楼工程)四川省成都市成华区大观堰2号(四川师范大学附属中学外国语学校)</v>
      </c>
      <c r="J2419" s="33" t="str">
        <f>VLOOKUP(B2419,辅助信息!E:I,4,FALSE)</f>
        <v>蔡浩</v>
      </c>
      <c r="K2419" s="33">
        <f>VLOOKUP(J2419,辅助信息!H:I,2,FALSE)</f>
        <v>13980880820</v>
      </c>
      <c r="L2419" s="83"/>
      <c r="M2419" s="84">
        <v>45863</v>
      </c>
      <c r="O2419" s="55">
        <f ca="1" t="shared" si="155"/>
        <v>0</v>
      </c>
      <c r="P2419" s="55">
        <f ca="1" t="shared" si="156"/>
        <v>94</v>
      </c>
      <c r="Q2419" s="22" t="str">
        <f>VLOOKUP(B2419,辅助信息!E:M,9,FALSE)</f>
        <v>ZTWM-CDGS-XS-2025-0073-五冶天府-成都怡心湖片区及龙泉驿医院等项目</v>
      </c>
      <c r="R2419" s="22" t="str">
        <f>_xlfn._xlws.FILTER(辅助信息!D:D,辅助信息!E:E=B2419)</f>
        <v>五冶建设师大附中外语校新建教学楼工程</v>
      </c>
    </row>
    <row r="2420" hidden="1" spans="2:18">
      <c r="B2420" s="33" t="s">
        <v>196</v>
      </c>
      <c r="C2420" s="63">
        <v>45861</v>
      </c>
      <c r="D2420" s="33" t="str">
        <f>VLOOKUP(B2420,辅助信息!E:K,7,FALSE)</f>
        <v>JWDDCD2025102100476</v>
      </c>
      <c r="E2420" s="33" t="str">
        <f>VLOOKUP(F2420,辅助信息!A:B,2,FALSE)</f>
        <v>螺纹钢</v>
      </c>
      <c r="F2420" s="33" t="s">
        <v>18</v>
      </c>
      <c r="G2420" s="29">
        <v>15</v>
      </c>
      <c r="H2420" s="127">
        <f>_xlfn.XLOOKUP(C2420&amp;F2420&amp;I2420&amp;J2420,'[1]2025年已发货'!$F:$F&amp;'[1]2025年已发货'!$C:$C&amp;'[1]2025年已发货'!$G:$G&amp;'[1]2025年已发货'!$H:$H,'[1]2025年已发货'!$E:$E,"未发货")</f>
        <v>15</v>
      </c>
      <c r="I2420" s="33" t="str">
        <f>VLOOKUP(B2420,辅助信息!E:I,3,FALSE)</f>
        <v>(五冶建设师大附中外语校新建教学楼工程)四川省成都市成华区大观堰2号(四川师范大学附属中学外国语学校)</v>
      </c>
      <c r="J2420" s="33" t="str">
        <f>VLOOKUP(B2420,辅助信息!E:I,4,FALSE)</f>
        <v>蔡浩</v>
      </c>
      <c r="K2420" s="33">
        <f>VLOOKUP(J2420,辅助信息!H:I,2,FALSE)</f>
        <v>13980880820</v>
      </c>
      <c r="L2420" s="83"/>
      <c r="M2420" s="84">
        <v>45863</v>
      </c>
      <c r="O2420" s="55">
        <f ca="1" t="shared" si="155"/>
        <v>0</v>
      </c>
      <c r="P2420" s="55">
        <f ca="1" t="shared" si="156"/>
        <v>94</v>
      </c>
      <c r="Q2420" s="22" t="str">
        <f>VLOOKUP(B2420,辅助信息!E:M,9,FALSE)</f>
        <v>ZTWM-CDGS-XS-2025-0073-五冶天府-成都怡心湖片区及龙泉驿医院等项目</v>
      </c>
      <c r="R2420" s="22" t="str">
        <f>_xlfn._xlws.FILTER(辅助信息!D:D,辅助信息!E:E=B2420)</f>
        <v>五冶建设师大附中外语校新建教学楼工程</v>
      </c>
    </row>
    <row r="2421" hidden="1" spans="2:18">
      <c r="B2421" s="33" t="s">
        <v>196</v>
      </c>
      <c r="C2421" s="63">
        <v>45861</v>
      </c>
      <c r="D2421" s="33" t="str">
        <f>VLOOKUP(B2421,辅助信息!E:K,7,FALSE)</f>
        <v>JWDDCD2025102100476</v>
      </c>
      <c r="E2421" s="33" t="str">
        <f>VLOOKUP(F2421,辅助信息!A:B,2,FALSE)</f>
        <v>螺纹钢</v>
      </c>
      <c r="F2421" s="33" t="s">
        <v>65</v>
      </c>
      <c r="G2421" s="29">
        <v>10</v>
      </c>
      <c r="H2421" s="127">
        <f>_xlfn.XLOOKUP(C2421&amp;F2421&amp;I2421&amp;J2421,'[1]2025年已发货'!$F:$F&amp;'[1]2025年已发货'!$C:$C&amp;'[1]2025年已发货'!$G:$G&amp;'[1]2025年已发货'!$H:$H,'[1]2025年已发货'!$E:$E,"未发货")</f>
        <v>10</v>
      </c>
      <c r="I2421" s="33" t="str">
        <f>VLOOKUP(B2421,辅助信息!E:I,3,FALSE)</f>
        <v>(五冶建设师大附中外语校新建教学楼工程)四川省成都市成华区大观堰2号(四川师范大学附属中学外国语学校)</v>
      </c>
      <c r="J2421" s="33" t="str">
        <f>VLOOKUP(B2421,辅助信息!E:I,4,FALSE)</f>
        <v>蔡浩</v>
      </c>
      <c r="K2421" s="33">
        <f>VLOOKUP(J2421,辅助信息!H:I,2,FALSE)</f>
        <v>13980880820</v>
      </c>
      <c r="L2421" s="83"/>
      <c r="M2421" s="84">
        <v>45863</v>
      </c>
      <c r="O2421" s="55">
        <f ca="1" t="shared" si="155"/>
        <v>0</v>
      </c>
      <c r="P2421" s="55">
        <f ca="1" t="shared" si="156"/>
        <v>94</v>
      </c>
      <c r="Q2421" s="22" t="str">
        <f>VLOOKUP(B2421,辅助信息!E:M,9,FALSE)</f>
        <v>ZTWM-CDGS-XS-2025-0073-五冶天府-成都怡心湖片区及龙泉驿医院等项目</v>
      </c>
      <c r="R2421" s="22" t="str">
        <f>_xlfn._xlws.FILTER(辅助信息!D:D,辅助信息!E:E=B2421)</f>
        <v>五冶建设师大附中外语校新建教学楼工程</v>
      </c>
    </row>
    <row r="2422" hidden="1" spans="2:18">
      <c r="B2422" s="33" t="s">
        <v>196</v>
      </c>
      <c r="C2422" s="63">
        <v>45861</v>
      </c>
      <c r="D2422" s="33" t="str">
        <f>VLOOKUP(B2422,辅助信息!E:K,7,FALSE)</f>
        <v>JWDDCD2025102100476</v>
      </c>
      <c r="E2422" s="33" t="str">
        <f>VLOOKUP(F2422,辅助信息!A:B,2,FALSE)</f>
        <v>螺纹钢</v>
      </c>
      <c r="F2422" s="33" t="s">
        <v>45</v>
      </c>
      <c r="G2422" s="29">
        <v>10</v>
      </c>
      <c r="H2422" s="127">
        <f>_xlfn.XLOOKUP(C2422&amp;F2422&amp;I2422&amp;J2422,'[1]2025年已发货'!$F:$F&amp;'[1]2025年已发货'!$C:$C&amp;'[1]2025年已发货'!$G:$G&amp;'[1]2025年已发货'!$H:$H,'[1]2025年已发货'!$E:$E,"未发货")</f>
        <v>10</v>
      </c>
      <c r="I2422" s="33" t="str">
        <f>VLOOKUP(B2422,辅助信息!E:I,3,FALSE)</f>
        <v>(五冶建设师大附中外语校新建教学楼工程)四川省成都市成华区大观堰2号(四川师范大学附属中学外国语学校)</v>
      </c>
      <c r="J2422" s="33" t="str">
        <f>VLOOKUP(B2422,辅助信息!E:I,4,FALSE)</f>
        <v>蔡浩</v>
      </c>
      <c r="K2422" s="33">
        <f>VLOOKUP(J2422,辅助信息!H:I,2,FALSE)</f>
        <v>13980880820</v>
      </c>
      <c r="L2422" s="83"/>
      <c r="M2422" s="84">
        <v>45863</v>
      </c>
      <c r="O2422" s="55">
        <f ca="1" t="shared" si="155"/>
        <v>0</v>
      </c>
      <c r="P2422" s="55">
        <f ca="1" t="shared" si="156"/>
        <v>94</v>
      </c>
      <c r="Q2422" s="22" t="str">
        <f>VLOOKUP(B2422,辅助信息!E:M,9,FALSE)</f>
        <v>ZTWM-CDGS-XS-2025-0073-五冶天府-成都怡心湖片区及龙泉驿医院等项目</v>
      </c>
      <c r="R2422" s="22" t="str">
        <f>_xlfn._xlws.FILTER(辅助信息!D:D,辅助信息!E:E=B2422)</f>
        <v>五冶建设师大附中外语校新建教学楼工程</v>
      </c>
    </row>
    <row r="2423" hidden="1" spans="2:18">
      <c r="B2423" s="33" t="s">
        <v>196</v>
      </c>
      <c r="C2423" s="63">
        <v>45861</v>
      </c>
      <c r="D2423" s="33" t="str">
        <f>VLOOKUP(B2423,辅助信息!E:K,7,FALSE)</f>
        <v>JWDDCD2025102100476</v>
      </c>
      <c r="E2423" s="33" t="str">
        <f>VLOOKUP(F2423,辅助信息!A:B,2,FALSE)</f>
        <v>螺纹钢</v>
      </c>
      <c r="F2423" s="33" t="s">
        <v>21</v>
      </c>
      <c r="G2423" s="29">
        <v>5</v>
      </c>
      <c r="H2423" s="127">
        <f>_xlfn.XLOOKUP(C2423&amp;F2423&amp;I2423&amp;J2423,'[1]2025年已发货'!$F:$F&amp;'[1]2025年已发货'!$C:$C&amp;'[1]2025年已发货'!$G:$G&amp;'[1]2025年已发货'!$H:$H,'[1]2025年已发货'!$E:$E,"未发货")</f>
        <v>5</v>
      </c>
      <c r="I2423" s="33" t="str">
        <f>VLOOKUP(B2423,辅助信息!E:I,3,FALSE)</f>
        <v>(五冶建设师大附中外语校新建教学楼工程)四川省成都市成华区大观堰2号(四川师范大学附属中学外国语学校)</v>
      </c>
      <c r="J2423" s="33" t="str">
        <f>VLOOKUP(B2423,辅助信息!E:I,4,FALSE)</f>
        <v>蔡浩</v>
      </c>
      <c r="K2423" s="33">
        <f>VLOOKUP(J2423,辅助信息!H:I,2,FALSE)</f>
        <v>13980880820</v>
      </c>
      <c r="L2423" s="83"/>
      <c r="M2423" s="84">
        <v>45863</v>
      </c>
      <c r="O2423" s="55">
        <f ca="1" t="shared" si="155"/>
        <v>0</v>
      </c>
      <c r="P2423" s="55">
        <f ca="1" t="shared" si="156"/>
        <v>94</v>
      </c>
      <c r="Q2423" s="22" t="str">
        <f>VLOOKUP(B2423,辅助信息!E:M,9,FALSE)</f>
        <v>ZTWM-CDGS-XS-2025-0073-五冶天府-成都怡心湖片区及龙泉驿医院等项目</v>
      </c>
      <c r="R2423" s="22" t="str">
        <f>_xlfn._xlws.FILTER(辅助信息!D:D,辅助信息!E:E=B2423)</f>
        <v>五冶建设师大附中外语校新建教学楼工程</v>
      </c>
    </row>
    <row r="2424" hidden="1" spans="2:18">
      <c r="B2424" s="33" t="s">
        <v>196</v>
      </c>
      <c r="C2424" s="63">
        <v>45861</v>
      </c>
      <c r="D2424" s="33" t="str">
        <f>VLOOKUP(B2424,辅助信息!E:K,7,FALSE)</f>
        <v>JWDDCD2025102100476</v>
      </c>
      <c r="E2424" s="33" t="str">
        <f>VLOOKUP(F2424,辅助信息!A:B,2,FALSE)</f>
        <v>螺纹钢</v>
      </c>
      <c r="F2424" s="33" t="s">
        <v>58</v>
      </c>
      <c r="G2424" s="29">
        <v>5</v>
      </c>
      <c r="H2424" s="127">
        <f>_xlfn.XLOOKUP(C2424&amp;F2424&amp;I2424&amp;J2424,'[1]2025年已发货'!$F:$F&amp;'[1]2025年已发货'!$C:$C&amp;'[1]2025年已发货'!$G:$G&amp;'[1]2025年已发货'!$H:$H,'[1]2025年已发货'!$E:$E,"未发货")</f>
        <v>5</v>
      </c>
      <c r="I2424" s="33" t="str">
        <f>VLOOKUP(B2424,辅助信息!E:I,3,FALSE)</f>
        <v>(五冶建设师大附中外语校新建教学楼工程)四川省成都市成华区大观堰2号(四川师范大学附属中学外国语学校)</v>
      </c>
      <c r="J2424" s="33" t="str">
        <f>VLOOKUP(B2424,辅助信息!E:I,4,FALSE)</f>
        <v>蔡浩</v>
      </c>
      <c r="K2424" s="33">
        <f>VLOOKUP(J2424,辅助信息!H:I,2,FALSE)</f>
        <v>13980880820</v>
      </c>
      <c r="L2424" s="83"/>
      <c r="M2424" s="84">
        <v>45863</v>
      </c>
      <c r="O2424" s="55">
        <f ca="1" t="shared" si="155"/>
        <v>0</v>
      </c>
      <c r="P2424" s="55">
        <f ca="1" t="shared" si="156"/>
        <v>94</v>
      </c>
      <c r="Q2424" s="22" t="str">
        <f>VLOOKUP(B2424,辅助信息!E:M,9,FALSE)</f>
        <v>ZTWM-CDGS-XS-2025-0073-五冶天府-成都怡心湖片区及龙泉驿医院等项目</v>
      </c>
      <c r="R2424" s="22" t="str">
        <f>_xlfn._xlws.FILTER(辅助信息!D:D,辅助信息!E:E=B2424)</f>
        <v>五冶建设师大附中外语校新建教学楼工程</v>
      </c>
    </row>
    <row r="2425" hidden="1" spans="2:18">
      <c r="B2425" s="33" t="s">
        <v>196</v>
      </c>
      <c r="C2425" s="63">
        <v>45861</v>
      </c>
      <c r="D2425" s="33" t="str">
        <f>VLOOKUP(B2425,辅助信息!E:K,7,FALSE)</f>
        <v>JWDDCD2025102100476</v>
      </c>
      <c r="E2425" s="33" t="str">
        <f>VLOOKUP(F2425,辅助信息!A:B,2,FALSE)</f>
        <v>螺纹钢</v>
      </c>
      <c r="F2425" s="33" t="s">
        <v>46</v>
      </c>
      <c r="G2425" s="29">
        <v>3</v>
      </c>
      <c r="H2425" s="127">
        <f>_xlfn.XLOOKUP(C2425&amp;F2425&amp;I2425&amp;J2425,'[1]2025年已发货'!$F:$F&amp;'[1]2025年已发货'!$C:$C&amp;'[1]2025年已发货'!$G:$G&amp;'[1]2025年已发货'!$H:$H,'[1]2025年已发货'!$E:$E,"未发货")</f>
        <v>3</v>
      </c>
      <c r="I2425" s="33" t="str">
        <f>VLOOKUP(B2425,辅助信息!E:I,3,FALSE)</f>
        <v>(五冶建设师大附中外语校新建教学楼工程)四川省成都市成华区大观堰2号(四川师范大学附属中学外国语学校)</v>
      </c>
      <c r="J2425" s="33" t="str">
        <f>VLOOKUP(B2425,辅助信息!E:I,4,FALSE)</f>
        <v>蔡浩</v>
      </c>
      <c r="K2425" s="33">
        <f>VLOOKUP(J2425,辅助信息!H:I,2,FALSE)</f>
        <v>13980880820</v>
      </c>
      <c r="L2425" s="83"/>
      <c r="M2425" s="84">
        <v>45863</v>
      </c>
      <c r="O2425" s="55">
        <f ca="1" t="shared" si="155"/>
        <v>0</v>
      </c>
      <c r="P2425" s="55">
        <f ca="1" t="shared" si="156"/>
        <v>94</v>
      </c>
      <c r="Q2425" s="22" t="str">
        <f>VLOOKUP(B2425,辅助信息!E:M,9,FALSE)</f>
        <v>ZTWM-CDGS-XS-2025-0073-五冶天府-成都怡心湖片区及龙泉驿医院等项目</v>
      </c>
      <c r="R2425" s="22" t="str">
        <f>_xlfn._xlws.FILTER(辅助信息!D:D,辅助信息!E:E=B2425)</f>
        <v>五冶建设师大附中外语校新建教学楼工程</v>
      </c>
    </row>
    <row r="2426" hidden="1" spans="2:18">
      <c r="B2426" s="33" t="s">
        <v>196</v>
      </c>
      <c r="C2426" s="63">
        <v>45861</v>
      </c>
      <c r="D2426" s="33" t="str">
        <f>VLOOKUP(B2426,辅助信息!E:K,7,FALSE)</f>
        <v>JWDDCD2025102100476</v>
      </c>
      <c r="E2426" s="33" t="str">
        <f>VLOOKUP(F2426,辅助信息!A:B,2,FALSE)</f>
        <v>螺纹钢</v>
      </c>
      <c r="F2426" s="33" t="s">
        <v>22</v>
      </c>
      <c r="G2426" s="29">
        <v>3</v>
      </c>
      <c r="H2426" s="127">
        <f>_xlfn.XLOOKUP(C2426&amp;F2426&amp;I2426&amp;J2426,'[1]2025年已发货'!$F:$F&amp;'[1]2025年已发货'!$C:$C&amp;'[1]2025年已发货'!$G:$G&amp;'[1]2025年已发货'!$H:$H,'[1]2025年已发货'!$E:$E,"未发货")</f>
        <v>3</v>
      </c>
      <c r="I2426" s="33" t="str">
        <f>VLOOKUP(B2426,辅助信息!E:I,3,FALSE)</f>
        <v>(五冶建设师大附中外语校新建教学楼工程)四川省成都市成华区大观堰2号(四川师范大学附属中学外国语学校)</v>
      </c>
      <c r="J2426" s="33" t="str">
        <f>VLOOKUP(B2426,辅助信息!E:I,4,FALSE)</f>
        <v>蔡浩</v>
      </c>
      <c r="K2426" s="33">
        <f>VLOOKUP(J2426,辅助信息!H:I,2,FALSE)</f>
        <v>13980880820</v>
      </c>
      <c r="L2426" s="83"/>
      <c r="M2426" s="84">
        <v>45863</v>
      </c>
      <c r="O2426" s="55">
        <f ca="1" t="shared" si="155"/>
        <v>0</v>
      </c>
      <c r="P2426" s="55">
        <f ca="1" t="shared" si="156"/>
        <v>94</v>
      </c>
      <c r="Q2426" s="22" t="str">
        <f>VLOOKUP(B2426,辅助信息!E:M,9,FALSE)</f>
        <v>ZTWM-CDGS-XS-2025-0073-五冶天府-成都怡心湖片区及龙泉驿医院等项目</v>
      </c>
      <c r="R2426" s="22" t="str">
        <f>_xlfn._xlws.FILTER(辅助信息!D:D,辅助信息!E:E=B2426)</f>
        <v>五冶建设师大附中外语校新建教学楼工程</v>
      </c>
    </row>
    <row r="2427" hidden="1" spans="2:18">
      <c r="B2427" s="33" t="s">
        <v>196</v>
      </c>
      <c r="C2427" s="63">
        <v>45861</v>
      </c>
      <c r="D2427" s="33" t="str">
        <f>VLOOKUP(B2427,辅助信息!E:K,7,FALSE)</f>
        <v>JWDDCD2025102100476</v>
      </c>
      <c r="E2427" s="33" t="str">
        <f>VLOOKUP(F2427,辅助信息!A:B,2,FALSE)</f>
        <v>螺纹钢</v>
      </c>
      <c r="F2427" s="33" t="s">
        <v>181</v>
      </c>
      <c r="G2427" s="29">
        <v>3</v>
      </c>
      <c r="H2427" s="127">
        <f>_xlfn.XLOOKUP(C2427&amp;F2427&amp;I2427&amp;J2427,'[1]2025年已发货'!$F:$F&amp;'[1]2025年已发货'!$C:$C&amp;'[1]2025年已发货'!$G:$G&amp;'[1]2025年已发货'!$H:$H,'[1]2025年已发货'!$E:$E,"未发货")</f>
        <v>3</v>
      </c>
      <c r="I2427" s="33" t="str">
        <f>VLOOKUP(B2427,辅助信息!E:I,3,FALSE)</f>
        <v>(五冶建设师大附中外语校新建教学楼工程)四川省成都市成华区大观堰2号(四川师范大学附属中学外国语学校)</v>
      </c>
      <c r="J2427" s="33" t="str">
        <f>VLOOKUP(B2427,辅助信息!E:I,4,FALSE)</f>
        <v>蔡浩</v>
      </c>
      <c r="K2427" s="33">
        <f>VLOOKUP(J2427,辅助信息!H:I,2,FALSE)</f>
        <v>13980880820</v>
      </c>
      <c r="L2427" s="83"/>
      <c r="M2427" s="84">
        <v>45863</v>
      </c>
      <c r="O2427" s="55">
        <f ca="1" t="shared" si="155"/>
        <v>0</v>
      </c>
      <c r="P2427" s="55">
        <f ca="1" t="shared" si="156"/>
        <v>94</v>
      </c>
      <c r="Q2427" s="22" t="str">
        <f>VLOOKUP(B2427,辅助信息!E:M,9,FALSE)</f>
        <v>ZTWM-CDGS-XS-2025-0073-五冶天府-成都怡心湖片区及龙泉驿医院等项目</v>
      </c>
      <c r="R2427" s="22" t="str">
        <f>_xlfn._xlws.FILTER(辅助信息!D:D,辅助信息!E:E=B2427)</f>
        <v>五冶建设师大附中外语校新建教学楼工程</v>
      </c>
    </row>
    <row r="2428" hidden="1" spans="2:18">
      <c r="B2428" s="33" t="s">
        <v>196</v>
      </c>
      <c r="C2428" s="63">
        <v>45861</v>
      </c>
      <c r="D2428" s="33" t="str">
        <f>VLOOKUP(B2428,辅助信息!E:K,7,FALSE)</f>
        <v>JWDDCD2025102100476</v>
      </c>
      <c r="E2428" s="33" t="str">
        <f>VLOOKUP(F2428,辅助信息!A:B,2,FALSE)</f>
        <v>螺纹钢</v>
      </c>
      <c r="F2428" s="33" t="s">
        <v>182</v>
      </c>
      <c r="G2428" s="29">
        <v>3</v>
      </c>
      <c r="H2428" s="127">
        <f>_xlfn.XLOOKUP(C2428&amp;F2428&amp;I2428&amp;J2428,'[1]2025年已发货'!$F:$F&amp;'[1]2025年已发货'!$C:$C&amp;'[1]2025年已发货'!$G:$G&amp;'[1]2025年已发货'!$H:$H,'[1]2025年已发货'!$E:$E,"未发货")</f>
        <v>3</v>
      </c>
      <c r="I2428" s="33" t="str">
        <f>VLOOKUP(B2428,辅助信息!E:I,3,FALSE)</f>
        <v>(五冶建设师大附中外语校新建教学楼工程)四川省成都市成华区大观堰2号(四川师范大学附属中学外国语学校)</v>
      </c>
      <c r="J2428" s="33" t="str">
        <f>VLOOKUP(B2428,辅助信息!E:I,4,FALSE)</f>
        <v>蔡浩</v>
      </c>
      <c r="K2428" s="33">
        <f>VLOOKUP(J2428,辅助信息!H:I,2,FALSE)</f>
        <v>13980880820</v>
      </c>
      <c r="L2428" s="68"/>
      <c r="M2428" s="84">
        <v>45863</v>
      </c>
      <c r="O2428" s="55">
        <f ca="1" t="shared" si="155"/>
        <v>0</v>
      </c>
      <c r="P2428" s="55">
        <f ca="1" t="shared" si="156"/>
        <v>94</v>
      </c>
      <c r="Q2428" s="22" t="str">
        <f>VLOOKUP(B2428,辅助信息!E:M,9,FALSE)</f>
        <v>ZTWM-CDGS-XS-2025-0073-五冶天府-成都怡心湖片区及龙泉驿医院等项目</v>
      </c>
      <c r="R2428" s="22" t="str">
        <f>_xlfn._xlws.FILTER(辅助信息!D:D,辅助信息!E:E=B2428)</f>
        <v>五冶建设师大附中外语校新建教学楼工程</v>
      </c>
    </row>
    <row r="2429" hidden="1" spans="1:18">
      <c r="A2429" s="64" t="s">
        <v>202</v>
      </c>
      <c r="B2429" s="33" t="s">
        <v>203</v>
      </c>
      <c r="C2429" s="63">
        <v>45862</v>
      </c>
      <c r="D2429" s="33" t="str">
        <f>VLOOKUP(B2429,辅助信息!E:K,7,FALSE)</f>
        <v>JWDDCD2025102100479</v>
      </c>
      <c r="E2429" s="33" t="str">
        <f>VLOOKUP(F2429,辅助信息!A:B,2,FALSE)</f>
        <v>盘螺</v>
      </c>
      <c r="F2429" s="33" t="s">
        <v>40</v>
      </c>
      <c r="G2429" s="29">
        <v>2</v>
      </c>
      <c r="H2429" s="127" t="str">
        <f>_xlfn.XLOOKUP(C2429&amp;F2429&amp;I2429&amp;J2429,'[1]2025年已发货'!$F:$F&amp;'[1]2025年已发货'!$C:$C&amp;'[1]2025年已发货'!$G:$G&amp;'[1]2025年已发货'!$H:$H,'[1]2025年已发货'!$E:$E,"未发货")</f>
        <v>未发货</v>
      </c>
      <c r="I2429" s="33" t="str">
        <f>VLOOKUP(B2429,辅助信息!E:I,3,FALSE)</f>
        <v>(五冶建设空港兴城怡心街道83亩项目)成都市双流区怡心街道高峰社区一组剑和路一段空港兴城怡心街道83亩项目中国五冶项目部</v>
      </c>
      <c r="J2429" s="33" t="str">
        <f>VLOOKUP(B2429,辅助信息!E:I,4,FALSE)</f>
        <v>王刚</v>
      </c>
      <c r="K2429" s="33">
        <f>VLOOKUP(J2429,辅助信息!H:I,2,FALSE)</f>
        <v>15881190525</v>
      </c>
      <c r="L2429" s="82"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55" t="str">
        <f ca="1" t="shared" si="155"/>
        <v/>
      </c>
      <c r="P2429" s="55" t="str">
        <f ca="1" t="shared" si="156"/>
        <v/>
      </c>
      <c r="Q2429" s="22" t="str">
        <f>VLOOKUP(B2429,辅助信息!E:M,9,FALSE)</f>
        <v>ZTWM-CDGS-XS-2025-0073-五冶天府-成都怡心湖片区及龙泉驿医院等项目</v>
      </c>
      <c r="R2429" s="22" t="str">
        <f>_xlfn._xlws.FILTER(辅助信息!D:D,辅助信息!E:E=B2429)</f>
        <v>五冶建设空港兴城怡心街道83亩项目</v>
      </c>
    </row>
    <row r="2430" hidden="1" spans="1:18">
      <c r="A2430" s="64"/>
      <c r="B2430" s="33" t="s">
        <v>203</v>
      </c>
      <c r="C2430" s="63">
        <v>45862</v>
      </c>
      <c r="D2430" s="33" t="str">
        <f>VLOOKUP(B2430,辅助信息!E:K,7,FALSE)</f>
        <v>JWDDCD2025102100479</v>
      </c>
      <c r="E2430" s="33" t="str">
        <f>VLOOKUP(F2430,辅助信息!A:B,2,FALSE)</f>
        <v>盘螺</v>
      </c>
      <c r="F2430" s="33" t="s">
        <v>41</v>
      </c>
      <c r="G2430" s="29">
        <v>2</v>
      </c>
      <c r="H2430" s="127" t="str">
        <f>_xlfn.XLOOKUP(C2430&amp;F2430&amp;I2430&amp;J2430,'[1]2025年已发货'!$F:$F&amp;'[1]2025年已发货'!$C:$C&amp;'[1]2025年已发货'!$G:$G&amp;'[1]2025年已发货'!$H:$H,'[1]2025年已发货'!$E:$E,"未发货")</f>
        <v>未发货</v>
      </c>
      <c r="I2430" s="33" t="str">
        <f>VLOOKUP(B2430,辅助信息!E:I,3,FALSE)</f>
        <v>(五冶建设空港兴城怡心街道83亩项目)成都市双流区怡心街道高峰社区一组剑和路一段空港兴城怡心街道83亩项目中国五冶项目部</v>
      </c>
      <c r="J2430" s="33" t="str">
        <f>VLOOKUP(B2430,辅助信息!E:I,4,FALSE)</f>
        <v>王刚</v>
      </c>
      <c r="K2430" s="33">
        <f>VLOOKUP(J2430,辅助信息!H:I,2,FALSE)</f>
        <v>15881190525</v>
      </c>
      <c r="L2430" s="83"/>
      <c r="O2430" s="55" t="str">
        <f ca="1" t="shared" si="155"/>
        <v/>
      </c>
      <c r="P2430" s="55" t="str">
        <f ca="1" t="shared" si="156"/>
        <v/>
      </c>
      <c r="Q2430" s="22" t="str">
        <f>VLOOKUP(B2430,辅助信息!E:M,9,FALSE)</f>
        <v>ZTWM-CDGS-XS-2025-0073-五冶天府-成都怡心湖片区及龙泉驿医院等项目</v>
      </c>
      <c r="R2430" s="22" t="str">
        <f>_xlfn._xlws.FILTER(辅助信息!D:D,辅助信息!E:E=B2430)</f>
        <v>五冶建设空港兴城怡心街道83亩项目</v>
      </c>
    </row>
    <row r="2431" hidden="1" spans="1:18">
      <c r="A2431" s="64"/>
      <c r="B2431" s="33" t="s">
        <v>203</v>
      </c>
      <c r="C2431" s="63">
        <v>45862</v>
      </c>
      <c r="D2431" s="33" t="str">
        <f>VLOOKUP(B2431,辅助信息!E:K,7,FALSE)</f>
        <v>JWDDCD2025102100479</v>
      </c>
      <c r="E2431" s="33" t="str">
        <f>VLOOKUP(F2431,辅助信息!A:B,2,FALSE)</f>
        <v>螺纹钢</v>
      </c>
      <c r="F2431" s="33" t="s">
        <v>27</v>
      </c>
      <c r="G2431" s="29">
        <v>3</v>
      </c>
      <c r="H2431" s="127" t="str">
        <f>_xlfn.XLOOKUP(C2431&amp;F2431&amp;I2431&amp;J2431,'[1]2025年已发货'!$F:$F&amp;'[1]2025年已发货'!$C:$C&amp;'[1]2025年已发货'!$G:$G&amp;'[1]2025年已发货'!$H:$H,'[1]2025年已发货'!$E:$E,"未发货")</f>
        <v>未发货</v>
      </c>
      <c r="I2431" s="33" t="str">
        <f>VLOOKUP(B2431,辅助信息!E:I,3,FALSE)</f>
        <v>(五冶建设空港兴城怡心街道83亩项目)成都市双流区怡心街道高峰社区一组剑和路一段空港兴城怡心街道83亩项目中国五冶项目部</v>
      </c>
      <c r="J2431" s="33" t="str">
        <f>VLOOKUP(B2431,辅助信息!E:I,4,FALSE)</f>
        <v>王刚</v>
      </c>
      <c r="K2431" s="33">
        <f>VLOOKUP(J2431,辅助信息!H:I,2,FALSE)</f>
        <v>15881190525</v>
      </c>
      <c r="L2431" s="83"/>
      <c r="O2431" s="55" t="str">
        <f ca="1" t="shared" si="155"/>
        <v/>
      </c>
      <c r="P2431" s="55" t="str">
        <f ca="1" t="shared" si="156"/>
        <v/>
      </c>
      <c r="Q2431" s="22" t="str">
        <f>VLOOKUP(B2431,辅助信息!E:M,9,FALSE)</f>
        <v>ZTWM-CDGS-XS-2025-0073-五冶天府-成都怡心湖片区及龙泉驿医院等项目</v>
      </c>
      <c r="R2431" s="22" t="str">
        <f>_xlfn._xlws.FILTER(辅助信息!D:D,辅助信息!E:E=B2431)</f>
        <v>五冶建设空港兴城怡心街道83亩项目</v>
      </c>
    </row>
    <row r="2432" hidden="1" spans="1:18">
      <c r="A2432" s="64"/>
      <c r="B2432" s="33" t="s">
        <v>203</v>
      </c>
      <c r="C2432" s="63">
        <v>45862</v>
      </c>
      <c r="D2432" s="33" t="str">
        <f>VLOOKUP(B2432,辅助信息!E:K,7,FALSE)</f>
        <v>JWDDCD2025102100479</v>
      </c>
      <c r="E2432" s="33" t="str">
        <f>VLOOKUP(F2432,辅助信息!A:B,2,FALSE)</f>
        <v>螺纹钢</v>
      </c>
      <c r="F2432" s="33" t="s">
        <v>19</v>
      </c>
      <c r="G2432" s="29">
        <v>6</v>
      </c>
      <c r="H2432" s="127" t="str">
        <f>_xlfn.XLOOKUP(C2432&amp;F2432&amp;I2432&amp;J2432,'[1]2025年已发货'!$F:$F&amp;'[1]2025年已发货'!$C:$C&amp;'[1]2025年已发货'!$G:$G&amp;'[1]2025年已发货'!$H:$H,'[1]2025年已发货'!$E:$E,"未发货")</f>
        <v>未发货</v>
      </c>
      <c r="I2432" s="33" t="str">
        <f>VLOOKUP(B2432,辅助信息!E:I,3,FALSE)</f>
        <v>(五冶建设空港兴城怡心街道83亩项目)成都市双流区怡心街道高峰社区一组剑和路一段空港兴城怡心街道83亩项目中国五冶项目部</v>
      </c>
      <c r="J2432" s="33" t="str">
        <f>VLOOKUP(B2432,辅助信息!E:I,4,FALSE)</f>
        <v>王刚</v>
      </c>
      <c r="K2432" s="33">
        <f>VLOOKUP(J2432,辅助信息!H:I,2,FALSE)</f>
        <v>15881190525</v>
      </c>
      <c r="L2432" s="83"/>
      <c r="O2432" s="55" t="str">
        <f ca="1" t="shared" si="155"/>
        <v/>
      </c>
      <c r="P2432" s="55" t="str">
        <f ca="1" t="shared" si="156"/>
        <v/>
      </c>
      <c r="Q2432" s="22" t="str">
        <f>VLOOKUP(B2432,辅助信息!E:M,9,FALSE)</f>
        <v>ZTWM-CDGS-XS-2025-0073-五冶天府-成都怡心湖片区及龙泉驿医院等项目</v>
      </c>
      <c r="R2432" s="22" t="str">
        <f>_xlfn._xlws.FILTER(辅助信息!D:D,辅助信息!E:E=B2432)</f>
        <v>五冶建设空港兴城怡心街道83亩项目</v>
      </c>
    </row>
    <row r="2433" hidden="1" spans="1:18">
      <c r="A2433" s="64"/>
      <c r="B2433" s="33" t="s">
        <v>203</v>
      </c>
      <c r="C2433" s="63">
        <v>45862</v>
      </c>
      <c r="D2433" s="33" t="str">
        <f>VLOOKUP(B2433,辅助信息!E:K,7,FALSE)</f>
        <v>JWDDCD2025102100479</v>
      </c>
      <c r="E2433" s="33" t="str">
        <f>VLOOKUP(F2433,辅助信息!A:B,2,FALSE)</f>
        <v>螺纹钢</v>
      </c>
      <c r="F2433" s="33" t="s">
        <v>32</v>
      </c>
      <c r="G2433" s="29">
        <v>3</v>
      </c>
      <c r="H2433" s="127" t="str">
        <f>_xlfn.XLOOKUP(C2433&amp;F2433&amp;I2433&amp;J2433,'[1]2025年已发货'!$F:$F&amp;'[1]2025年已发货'!$C:$C&amp;'[1]2025年已发货'!$G:$G&amp;'[1]2025年已发货'!$H:$H,'[1]2025年已发货'!$E:$E,"未发货")</f>
        <v>未发货</v>
      </c>
      <c r="I2433" s="33" t="str">
        <f>VLOOKUP(B2433,辅助信息!E:I,3,FALSE)</f>
        <v>(五冶建设空港兴城怡心街道83亩项目)成都市双流区怡心街道高峰社区一组剑和路一段空港兴城怡心街道83亩项目中国五冶项目部</v>
      </c>
      <c r="J2433" s="33" t="str">
        <f>VLOOKUP(B2433,辅助信息!E:I,4,FALSE)</f>
        <v>王刚</v>
      </c>
      <c r="K2433" s="33">
        <f>VLOOKUP(J2433,辅助信息!H:I,2,FALSE)</f>
        <v>15881190525</v>
      </c>
      <c r="L2433" s="83"/>
      <c r="O2433" s="55" t="str">
        <f ca="1" t="shared" si="155"/>
        <v/>
      </c>
      <c r="P2433" s="55" t="str">
        <f ca="1" t="shared" si="156"/>
        <v/>
      </c>
      <c r="Q2433" s="22" t="str">
        <f>VLOOKUP(B2433,辅助信息!E:M,9,FALSE)</f>
        <v>ZTWM-CDGS-XS-2025-0073-五冶天府-成都怡心湖片区及龙泉驿医院等项目</v>
      </c>
      <c r="R2433" s="22" t="str">
        <f>_xlfn._xlws.FILTER(辅助信息!D:D,辅助信息!E:E=B2433)</f>
        <v>五冶建设空港兴城怡心街道83亩项目</v>
      </c>
    </row>
    <row r="2434" hidden="1" spans="1:18">
      <c r="A2434" s="64"/>
      <c r="B2434" s="33" t="s">
        <v>203</v>
      </c>
      <c r="C2434" s="63">
        <v>45862</v>
      </c>
      <c r="D2434" s="33" t="str">
        <f>VLOOKUP(B2434,辅助信息!E:K,7,FALSE)</f>
        <v>JWDDCD2025102100479</v>
      </c>
      <c r="E2434" s="33" t="str">
        <f>VLOOKUP(F2434,辅助信息!A:B,2,FALSE)</f>
        <v>螺纹钢</v>
      </c>
      <c r="F2434" s="33" t="s">
        <v>30</v>
      </c>
      <c r="G2434" s="29">
        <v>3</v>
      </c>
      <c r="H2434" s="127" t="str">
        <f>_xlfn.XLOOKUP(C2434&amp;F2434&amp;I2434&amp;J2434,'[1]2025年已发货'!$F:$F&amp;'[1]2025年已发货'!$C:$C&amp;'[1]2025年已发货'!$G:$G&amp;'[1]2025年已发货'!$H:$H,'[1]2025年已发货'!$E:$E,"未发货")</f>
        <v>未发货</v>
      </c>
      <c r="I2434" s="33" t="str">
        <f>VLOOKUP(B2434,辅助信息!E:I,3,FALSE)</f>
        <v>(五冶建设空港兴城怡心街道83亩项目)成都市双流区怡心街道高峰社区一组剑和路一段空港兴城怡心街道83亩项目中国五冶项目部</v>
      </c>
      <c r="J2434" s="33" t="str">
        <f>VLOOKUP(B2434,辅助信息!E:I,4,FALSE)</f>
        <v>王刚</v>
      </c>
      <c r="K2434" s="33">
        <f>VLOOKUP(J2434,辅助信息!H:I,2,FALSE)</f>
        <v>15881190525</v>
      </c>
      <c r="L2434" s="83"/>
      <c r="O2434" s="55" t="str">
        <f ca="1" t="shared" si="155"/>
        <v/>
      </c>
      <c r="P2434" s="55" t="str">
        <f ca="1" t="shared" si="156"/>
        <v/>
      </c>
      <c r="Q2434" s="22" t="str">
        <f>VLOOKUP(B2434,辅助信息!E:M,9,FALSE)</f>
        <v>ZTWM-CDGS-XS-2025-0073-五冶天府-成都怡心湖片区及龙泉驿医院等项目</v>
      </c>
      <c r="R2434" s="22" t="str">
        <f>_xlfn._xlws.FILTER(辅助信息!D:D,辅助信息!E:E=B2434)</f>
        <v>五冶建设空港兴城怡心街道83亩项目</v>
      </c>
    </row>
    <row r="2435" hidden="1" spans="1:18">
      <c r="A2435" s="64"/>
      <c r="B2435" s="33" t="s">
        <v>203</v>
      </c>
      <c r="C2435" s="63">
        <v>45862</v>
      </c>
      <c r="D2435" s="33" t="str">
        <f>VLOOKUP(B2435,辅助信息!E:K,7,FALSE)</f>
        <v>JWDDCD2025102100479</v>
      </c>
      <c r="E2435" s="33" t="str">
        <f>VLOOKUP(F2435,辅助信息!A:B,2,FALSE)</f>
        <v>螺纹钢</v>
      </c>
      <c r="F2435" s="33" t="s">
        <v>33</v>
      </c>
      <c r="G2435" s="29">
        <v>3</v>
      </c>
      <c r="H2435" s="127" t="str">
        <f>_xlfn.XLOOKUP(C2435&amp;F2435&amp;I2435&amp;J2435,'[1]2025年已发货'!$F:$F&amp;'[1]2025年已发货'!$C:$C&amp;'[1]2025年已发货'!$G:$G&amp;'[1]2025年已发货'!$H:$H,'[1]2025年已发货'!$E:$E,"未发货")</f>
        <v>未发货</v>
      </c>
      <c r="I2435" s="33" t="str">
        <f>VLOOKUP(B2435,辅助信息!E:I,3,FALSE)</f>
        <v>(五冶建设空港兴城怡心街道83亩项目)成都市双流区怡心街道高峰社区一组剑和路一段空港兴城怡心街道83亩项目中国五冶项目部</v>
      </c>
      <c r="J2435" s="33" t="str">
        <f>VLOOKUP(B2435,辅助信息!E:I,4,FALSE)</f>
        <v>王刚</v>
      </c>
      <c r="K2435" s="33">
        <f>VLOOKUP(J2435,辅助信息!H:I,2,FALSE)</f>
        <v>15881190525</v>
      </c>
      <c r="L2435" s="83"/>
      <c r="O2435" s="55" t="str">
        <f ca="1" t="shared" si="155"/>
        <v/>
      </c>
      <c r="P2435" s="55" t="str">
        <f ca="1" t="shared" si="156"/>
        <v/>
      </c>
      <c r="Q2435" s="22" t="str">
        <f>VLOOKUP(B2435,辅助信息!E:M,9,FALSE)</f>
        <v>ZTWM-CDGS-XS-2025-0073-五冶天府-成都怡心湖片区及龙泉驿医院等项目</v>
      </c>
      <c r="R2435" s="22" t="str">
        <f>_xlfn._xlws.FILTER(辅助信息!D:D,辅助信息!E:E=B2435)</f>
        <v>五冶建设空港兴城怡心街道83亩项目</v>
      </c>
    </row>
    <row r="2436" hidden="1" spans="1:18">
      <c r="A2436" s="64"/>
      <c r="B2436" s="33" t="s">
        <v>203</v>
      </c>
      <c r="C2436" s="63">
        <v>45862</v>
      </c>
      <c r="D2436" s="33" t="str">
        <f>VLOOKUP(B2436,辅助信息!E:K,7,FALSE)</f>
        <v>JWDDCD2025102100479</v>
      </c>
      <c r="E2436" s="33" t="str">
        <f>VLOOKUP(F2436,辅助信息!A:B,2,FALSE)</f>
        <v>螺纹钢</v>
      </c>
      <c r="F2436" s="33" t="s">
        <v>28</v>
      </c>
      <c r="G2436" s="29">
        <v>3</v>
      </c>
      <c r="H2436" s="127" t="str">
        <f>_xlfn.XLOOKUP(C2436&amp;F2436&amp;I2436&amp;J2436,'[1]2025年已发货'!$F:$F&amp;'[1]2025年已发货'!$C:$C&amp;'[1]2025年已发货'!$G:$G&amp;'[1]2025年已发货'!$H:$H,'[1]2025年已发货'!$E:$E,"未发货")</f>
        <v>未发货</v>
      </c>
      <c r="I2436" s="33" t="str">
        <f>VLOOKUP(B2436,辅助信息!E:I,3,FALSE)</f>
        <v>(五冶建设空港兴城怡心街道83亩项目)成都市双流区怡心街道高峰社区一组剑和路一段空港兴城怡心街道83亩项目中国五冶项目部</v>
      </c>
      <c r="J2436" s="33" t="str">
        <f>VLOOKUP(B2436,辅助信息!E:I,4,FALSE)</f>
        <v>王刚</v>
      </c>
      <c r="K2436" s="33">
        <f>VLOOKUP(J2436,辅助信息!H:I,2,FALSE)</f>
        <v>15881190525</v>
      </c>
      <c r="L2436" s="83"/>
      <c r="O2436" s="55" t="str">
        <f ca="1" t="shared" si="155"/>
        <v/>
      </c>
      <c r="P2436" s="55" t="str">
        <f ca="1" t="shared" si="156"/>
        <v/>
      </c>
      <c r="Q2436" s="22" t="str">
        <f>VLOOKUP(B2436,辅助信息!E:M,9,FALSE)</f>
        <v>ZTWM-CDGS-XS-2025-0073-五冶天府-成都怡心湖片区及龙泉驿医院等项目</v>
      </c>
      <c r="R2436" s="22" t="str">
        <f>_xlfn._xlws.FILTER(辅助信息!D:D,辅助信息!E:E=B2436)</f>
        <v>五冶建设空港兴城怡心街道83亩项目</v>
      </c>
    </row>
    <row r="2437" hidden="1" spans="1:18">
      <c r="A2437" s="64"/>
      <c r="B2437" s="33" t="s">
        <v>203</v>
      </c>
      <c r="C2437" s="63">
        <v>45862</v>
      </c>
      <c r="D2437" s="33" t="str">
        <f>VLOOKUP(B2437,辅助信息!E:K,7,FALSE)</f>
        <v>JWDDCD2025102100479</v>
      </c>
      <c r="E2437" s="33" t="str">
        <f>VLOOKUP(F2437,辅助信息!A:B,2,FALSE)</f>
        <v>螺纹钢</v>
      </c>
      <c r="F2437" s="33" t="s">
        <v>18</v>
      </c>
      <c r="G2437" s="29">
        <v>11</v>
      </c>
      <c r="H2437" s="127" t="str">
        <f>_xlfn.XLOOKUP(C2437&amp;F2437&amp;I2437&amp;J2437,'[1]2025年已发货'!$F:$F&amp;'[1]2025年已发货'!$C:$C&amp;'[1]2025年已发货'!$G:$G&amp;'[1]2025年已发货'!$H:$H,'[1]2025年已发货'!$E:$E,"未发货")</f>
        <v>未发货</v>
      </c>
      <c r="I2437" s="33" t="str">
        <f>VLOOKUP(B2437,辅助信息!E:I,3,FALSE)</f>
        <v>(五冶建设空港兴城怡心街道83亩项目)成都市双流区怡心街道高峰社区一组剑和路一段空港兴城怡心街道83亩项目中国五冶项目部</v>
      </c>
      <c r="J2437" s="33" t="str">
        <f>VLOOKUP(B2437,辅助信息!E:I,4,FALSE)</f>
        <v>王刚</v>
      </c>
      <c r="K2437" s="33">
        <f>VLOOKUP(J2437,辅助信息!H:I,2,FALSE)</f>
        <v>15881190525</v>
      </c>
      <c r="L2437" s="68"/>
      <c r="O2437" s="55" t="str">
        <f ca="1" t="shared" si="155"/>
        <v/>
      </c>
      <c r="P2437" s="55" t="str">
        <f ca="1" t="shared" si="156"/>
        <v/>
      </c>
      <c r="Q2437" s="22" t="str">
        <f>VLOOKUP(B2437,辅助信息!E:M,9,FALSE)</f>
        <v>ZTWM-CDGS-XS-2025-0073-五冶天府-成都怡心湖片区及龙泉驿医院等项目</v>
      </c>
      <c r="R2437" s="22" t="str">
        <f>_xlfn._xlws.FILTER(辅助信息!D:D,辅助信息!E:E=B2437)</f>
        <v>五冶建设空港兴城怡心街道83亩项目</v>
      </c>
    </row>
    <row r="2438" hidden="1" spans="2:18">
      <c r="B2438" s="113" t="s">
        <v>194</v>
      </c>
      <c r="C2438" s="63">
        <v>45862</v>
      </c>
      <c r="D2438" s="113" t="str">
        <f>VLOOKUP(B2438,辅助信息!E:K,7,FALSE)</f>
        <v>JWDD2025071500089</v>
      </c>
      <c r="E2438" s="113" t="str">
        <f>VLOOKUP(F2438,辅助信息!A:B,2,FALSE)</f>
        <v>螺纹钢</v>
      </c>
      <c r="F2438" s="113" t="s">
        <v>30</v>
      </c>
      <c r="G2438" s="114">
        <v>35</v>
      </c>
      <c r="H2438" s="127" t="str">
        <f>_xlfn.XLOOKUP(C2438&amp;F2438&amp;I2438&amp;J2438,'[1]2025年已发货'!$F:$F&amp;'[1]2025年已发货'!$C:$C&amp;'[1]2025年已发货'!$G:$G&amp;'[1]2025年已发货'!$H:$H,'[1]2025年已发货'!$E:$E,"未发货")</f>
        <v>未发货</v>
      </c>
      <c r="I2438" s="113" t="str">
        <f>VLOOKUP(B2438,辅助信息!E:I,3,FALSE)</f>
        <v>(宜宾兴港三江新区长江工业园保障性租赁住房建设项目-土建)四川省宜宾市翠屏区永善路南段宜宾市三江新区长江工业园区</v>
      </c>
      <c r="J2438" s="113" t="str">
        <f>VLOOKUP(B2438,辅助信息!E:I,4,FALSE)</f>
        <v>赵元虎</v>
      </c>
      <c r="K2438" s="113">
        <f>VLOOKUP(J2438,辅助信息!H:I,2,FALSE)</f>
        <v>13684167136</v>
      </c>
      <c r="L2438" s="115" t="str">
        <f>VLOOKUP(B2438,辅助信息!E:J,6,FALSE)</f>
        <v>现场要求调度统一联系指定收货人，不单独发司机位置。锈货不收，装货前联系收货人核实到场规格,没提前告知进场规格现场不给予接收</v>
      </c>
      <c r="M2438" s="84">
        <v>45863</v>
      </c>
      <c r="O2438" s="55">
        <f ca="1" t="shared" si="155"/>
        <v>0</v>
      </c>
      <c r="P2438" s="55">
        <f ca="1" t="shared" si="156"/>
        <v>94</v>
      </c>
      <c r="Q2438" s="22" t="str">
        <f>VLOOKUP(B2438,辅助信息!E:M,9,FALSE)</f>
        <v>ZTWM-CDYXGS-XS-2025-0014-宜宾兴港建材-三江新区长江工业园片区保障性租赁住房建设项目</v>
      </c>
      <c r="R2438" s="22" t="str">
        <f>_xlfn._xlws.FILTER(辅助信息!D:D,辅助信息!E:E=B2438)</f>
        <v>宜宾兴港三江新区长江工业园建设项目</v>
      </c>
    </row>
    <row r="2439" hidden="1" spans="2:18">
      <c r="B2439" s="33" t="s">
        <v>147</v>
      </c>
      <c r="C2439" s="63">
        <v>45862</v>
      </c>
      <c r="D2439" s="33" t="str">
        <f>VLOOKUP(B2439,辅助信息!E:K,7,FALSE)</f>
        <v>JWDDCD2025052800131</v>
      </c>
      <c r="E2439" s="33" t="str">
        <f>VLOOKUP(F2439,辅助信息!A:B,2,FALSE)</f>
        <v>盘螺</v>
      </c>
      <c r="F2439" s="33" t="s">
        <v>41</v>
      </c>
      <c r="G2439" s="29">
        <v>24</v>
      </c>
      <c r="H2439" s="127">
        <f>_xlfn.XLOOKUP(C2439&amp;F2439&amp;I2439&amp;J2439,'[1]2025年已发货'!$F:$F&amp;'[1]2025年已发货'!$C:$C&amp;'[1]2025年已发货'!$G:$G&amp;'[1]2025年已发货'!$H:$H,'[1]2025年已发货'!$E:$E,"未发货")</f>
        <v>24</v>
      </c>
      <c r="I2439" s="33" t="str">
        <f>VLOOKUP(B2439,辅助信息!E:I,3,FALSE)</f>
        <v>（商投建工达州中医药科技园-4工区-11号楼）达州市通川区达州中医药职业学院犀牛大道北段</v>
      </c>
      <c r="J2439" s="33" t="str">
        <f>VLOOKUP(B2439,辅助信息!E:I,4,FALSE)</f>
        <v>张扬</v>
      </c>
      <c r="K2439" s="33">
        <f>VLOOKUP(J2439,辅助信息!H:I,2,FALSE)</f>
        <v>18381904567</v>
      </c>
      <c r="L2439" s="102" t="str">
        <f>VLOOKUP(B2439,辅助信息!E:J,6,FALSE)</f>
        <v>控制炉批号！多了现场不收！,优先安排达钢,提前联系到场规格及数量</v>
      </c>
      <c r="O2439" s="55" t="str">
        <f ca="1" t="shared" si="155"/>
        <v/>
      </c>
      <c r="P2439" s="55" t="str">
        <f ca="1" t="shared" si="156"/>
        <v/>
      </c>
      <c r="Q2439" s="22" t="str">
        <f>VLOOKUP(B2439,辅助信息!E:M,9,FALSE)</f>
        <v>ZTWM-CDGS-XS-2024-0134-商投建工达州中医药科技成果示范园项目</v>
      </c>
      <c r="R2439" s="22" t="str">
        <f>_xlfn._xlws.FILTER(辅助信息!D:D,辅助信息!E:E=B2439)</f>
        <v>商投建工达州中医药科技园</v>
      </c>
    </row>
    <row r="2440" hidden="1" spans="2:18">
      <c r="B2440" s="33" t="s">
        <v>147</v>
      </c>
      <c r="C2440" s="63">
        <v>45862</v>
      </c>
      <c r="D2440" s="33" t="str">
        <f>VLOOKUP(B2440,辅助信息!E:K,7,FALSE)</f>
        <v>JWDDCD2025052800131</v>
      </c>
      <c r="E2440" s="33" t="str">
        <f>VLOOKUP(F2440,辅助信息!A:B,2,FALSE)</f>
        <v>螺纹钢</v>
      </c>
      <c r="F2440" s="33" t="s">
        <v>32</v>
      </c>
      <c r="G2440" s="29">
        <v>9</v>
      </c>
      <c r="H2440" s="127">
        <f>_xlfn.XLOOKUP(C2440&amp;F2440&amp;I2440&amp;J2440,'[1]2025年已发货'!$F:$F&amp;'[1]2025年已发货'!$C:$C&amp;'[1]2025年已发货'!$G:$G&amp;'[1]2025年已发货'!$H:$H,'[1]2025年已发货'!$E:$E,"未发货")</f>
        <v>9</v>
      </c>
      <c r="I2440" s="33" t="str">
        <f>VLOOKUP(B2440,辅助信息!E:I,3,FALSE)</f>
        <v>（商投建工达州中医药科技园-4工区-11号楼）达州市通川区达州中医药职业学院犀牛大道北段</v>
      </c>
      <c r="J2440" s="33" t="str">
        <f>VLOOKUP(B2440,辅助信息!E:I,4,FALSE)</f>
        <v>张扬</v>
      </c>
      <c r="K2440" s="33">
        <f>VLOOKUP(J2440,辅助信息!H:I,2,FALSE)</f>
        <v>18381904567</v>
      </c>
      <c r="L2440" s="102" t="str">
        <f>VLOOKUP(B2440,辅助信息!E:J,6,FALSE)</f>
        <v>控制炉批号！多了现场不收！,优先安排达钢,提前联系到场规格及数量</v>
      </c>
      <c r="O2440" s="55" t="str">
        <f ca="1" t="shared" si="155"/>
        <v/>
      </c>
      <c r="P2440" s="55" t="str">
        <f ca="1" t="shared" si="156"/>
        <v/>
      </c>
      <c r="Q2440" s="22" t="str">
        <f>VLOOKUP(B2440,辅助信息!E:M,9,FALSE)</f>
        <v>ZTWM-CDGS-XS-2024-0134-商投建工达州中医药科技成果示范园项目</v>
      </c>
      <c r="R2440" s="22" t="str">
        <f>_xlfn._xlws.FILTER(辅助信息!D:D,辅助信息!E:E=B2440)</f>
        <v>商投建工达州中医药科技园</v>
      </c>
    </row>
    <row r="2441" hidden="1" spans="2:18">
      <c r="B2441" s="33" t="s">
        <v>147</v>
      </c>
      <c r="C2441" s="63">
        <v>45862</v>
      </c>
      <c r="D2441" s="33" t="str">
        <f>VLOOKUP(B2441,辅助信息!E:K,7,FALSE)</f>
        <v>JWDDCD2025052800131</v>
      </c>
      <c r="E2441" s="33" t="str">
        <f>VLOOKUP(F2441,辅助信息!A:B,2,FALSE)</f>
        <v>螺纹钢</v>
      </c>
      <c r="F2441" s="33" t="s">
        <v>33</v>
      </c>
      <c r="G2441" s="29">
        <v>6</v>
      </c>
      <c r="H2441" s="127">
        <f>_xlfn.XLOOKUP(C2441&amp;F2441&amp;I2441&amp;J2441,'[1]2025年已发货'!$F:$F&amp;'[1]2025年已发货'!$C:$C&amp;'[1]2025年已发货'!$G:$G&amp;'[1]2025年已发货'!$H:$H,'[1]2025年已发货'!$E:$E,"未发货")</f>
        <v>6</v>
      </c>
      <c r="I2441" s="33" t="str">
        <f>VLOOKUP(B2441,辅助信息!E:I,3,FALSE)</f>
        <v>（商投建工达州中医药科技园-4工区-11号楼）达州市通川区达州中医药职业学院犀牛大道北段</v>
      </c>
      <c r="J2441" s="33" t="str">
        <f>VLOOKUP(B2441,辅助信息!E:I,4,FALSE)</f>
        <v>张扬</v>
      </c>
      <c r="K2441" s="33">
        <f>VLOOKUP(J2441,辅助信息!H:I,2,FALSE)</f>
        <v>18381904567</v>
      </c>
      <c r="L2441" s="102" t="str">
        <f>VLOOKUP(B2441,辅助信息!E:J,6,FALSE)</f>
        <v>控制炉批号！多了现场不收！,优先安排达钢,提前联系到场规格及数量</v>
      </c>
      <c r="O2441" s="55" t="str">
        <f ca="1" t="shared" si="155"/>
        <v/>
      </c>
      <c r="P2441" s="55" t="str">
        <f ca="1" t="shared" si="156"/>
        <v/>
      </c>
      <c r="Q2441" s="22" t="str">
        <f>VLOOKUP(B2441,辅助信息!E:M,9,FALSE)</f>
        <v>ZTWM-CDGS-XS-2024-0134-商投建工达州中医药科技成果示范园项目</v>
      </c>
      <c r="R2441" s="22" t="str">
        <f>_xlfn._xlws.FILTER(辅助信息!D:D,辅助信息!E:E=B2441)</f>
        <v>商投建工达州中医药科技园</v>
      </c>
    </row>
    <row r="2442" hidden="1" spans="2:18">
      <c r="B2442" s="33" t="s">
        <v>147</v>
      </c>
      <c r="C2442" s="63">
        <v>45862</v>
      </c>
      <c r="D2442" s="33" t="str">
        <f>VLOOKUP(B2442,辅助信息!E:K,7,FALSE)</f>
        <v>JWDDCD2025052800131</v>
      </c>
      <c r="E2442" s="33" t="str">
        <f>VLOOKUP(F2442,辅助信息!A:B,2,FALSE)</f>
        <v>螺纹钢</v>
      </c>
      <c r="F2442" s="33" t="s">
        <v>18</v>
      </c>
      <c r="G2442" s="29">
        <v>6</v>
      </c>
      <c r="H2442" s="127">
        <f>_xlfn.XLOOKUP(C2442&amp;F2442&amp;I2442&amp;J2442,'[1]2025年已发货'!$F:$F&amp;'[1]2025年已发货'!$C:$C&amp;'[1]2025年已发货'!$G:$G&amp;'[1]2025年已发货'!$H:$H,'[1]2025年已发货'!$E:$E,"未发货")</f>
        <v>6</v>
      </c>
      <c r="I2442" s="33" t="str">
        <f>VLOOKUP(B2442,辅助信息!E:I,3,FALSE)</f>
        <v>（商投建工达州中医药科技园-4工区-11号楼）达州市通川区达州中医药职业学院犀牛大道北段</v>
      </c>
      <c r="J2442" s="33" t="str">
        <f>VLOOKUP(B2442,辅助信息!E:I,4,FALSE)</f>
        <v>张扬</v>
      </c>
      <c r="K2442" s="33">
        <f>VLOOKUP(J2442,辅助信息!H:I,2,FALSE)</f>
        <v>18381904567</v>
      </c>
      <c r="L2442" s="102" t="str">
        <f>VLOOKUP(B2442,辅助信息!E:J,6,FALSE)</f>
        <v>控制炉批号！多了现场不收！,优先安排达钢,提前联系到场规格及数量</v>
      </c>
      <c r="O2442" s="55" t="str">
        <f ca="1" t="shared" si="155"/>
        <v/>
      </c>
      <c r="P2442" s="55" t="str">
        <f ca="1" t="shared" si="156"/>
        <v/>
      </c>
      <c r="Q2442" s="22" t="str">
        <f>VLOOKUP(B2442,辅助信息!E:M,9,FALSE)</f>
        <v>ZTWM-CDGS-XS-2024-0134-商投建工达州中医药科技成果示范园项目</v>
      </c>
      <c r="R2442" s="22" t="str">
        <f>_xlfn._xlws.FILTER(辅助信息!D:D,辅助信息!E:E=B2442)</f>
        <v>商投建工达州中医药科技园</v>
      </c>
    </row>
    <row r="2443" hidden="1" spans="2:18">
      <c r="B2443" s="33" t="s">
        <v>81</v>
      </c>
      <c r="C2443" s="63">
        <v>45864</v>
      </c>
      <c r="D2443" s="33" t="str">
        <f>VLOOKUP(B2443,辅助信息!E:K,7,FALSE)</f>
        <v>JWDDCD2025060900080</v>
      </c>
      <c r="E2443" s="33" t="str">
        <f>VLOOKUP(F2443,辅助信息!A:B,2,FALSE)</f>
        <v>盘螺</v>
      </c>
      <c r="F2443" s="33" t="s">
        <v>49</v>
      </c>
      <c r="G2443" s="29">
        <v>2</v>
      </c>
      <c r="H2443" s="127">
        <f>_xlfn.XLOOKUP(C2443&amp;F2443&amp;I2443&amp;J2443,'[1]2025年已发货'!$F:$F&amp;'[1]2025年已发货'!$C:$C&amp;'[1]2025年已发货'!$G:$G&amp;'[1]2025年已发货'!$H:$H,'[1]2025年已发货'!$E:$E,"未发货")</f>
        <v>2</v>
      </c>
      <c r="I2443" s="33" t="str">
        <f>VLOOKUP(B2443,辅助信息!E:I,3,FALSE)</f>
        <v>（华西简阳西城嘉苑）四川省成都市简阳市简城街道高屋村</v>
      </c>
      <c r="J2443" s="33" t="str">
        <f>VLOOKUP(B2443,辅助信息!E:I,4,FALSE)</f>
        <v>张瀚镭</v>
      </c>
      <c r="K2443" s="33">
        <f>VLOOKUP(J2443,辅助信息!H:I,2,FALSE)</f>
        <v>15884666220</v>
      </c>
      <c r="L2443" s="102" t="str">
        <f>VLOOKUP(B2443,辅助信息!E:J,6,FALSE)</f>
        <v>现场禁止使用氢能源挂车！优先威钢发货,我方卸车,新老国标钢厂不加价可直发，因陕钢多次出现磅差，项目拒绝使用</v>
      </c>
      <c r="O2443" s="55" t="str">
        <f ca="1" t="shared" si="155"/>
        <v/>
      </c>
      <c r="P2443" s="55" t="str">
        <f ca="1" t="shared" si="156"/>
        <v/>
      </c>
      <c r="Q2443" s="22" t="str">
        <f>VLOOKUP(B2443,辅助信息!E:M,9,FALSE)</f>
        <v>ZTWM-CDGS-XS-2024-0030-华西集采-简州大道</v>
      </c>
      <c r="R2443" s="22" t="str">
        <f>_xlfn._xlws.FILTER(辅助信息!D:D,辅助信息!E:E=B2443)</f>
        <v>华西简阳西城嘉苑</v>
      </c>
    </row>
    <row r="2444" hidden="1" spans="2:18">
      <c r="B2444" s="33" t="s">
        <v>81</v>
      </c>
      <c r="C2444" s="63">
        <v>45864</v>
      </c>
      <c r="D2444" s="33" t="str">
        <f>VLOOKUP(B2444,辅助信息!E:K,7,FALSE)</f>
        <v>JWDDCD2025060900080</v>
      </c>
      <c r="E2444" s="33" t="str">
        <f>VLOOKUP(F2444,辅助信息!A:B,2,FALSE)</f>
        <v>盘螺</v>
      </c>
      <c r="F2444" s="33" t="s">
        <v>40</v>
      </c>
      <c r="G2444" s="29">
        <v>14.5</v>
      </c>
      <c r="H2444" s="127">
        <f>_xlfn.XLOOKUP(C2444&amp;F2444&amp;I2444&amp;J2444,'[1]2025年已发货'!$F:$F&amp;'[1]2025年已发货'!$C:$C&amp;'[1]2025年已发货'!$G:$G&amp;'[1]2025年已发货'!$H:$H,'[1]2025年已发货'!$E:$E,"未发货")</f>
        <v>14.5</v>
      </c>
      <c r="I2444" s="33" t="str">
        <f>VLOOKUP(B2444,辅助信息!E:I,3,FALSE)</f>
        <v>（华西简阳西城嘉苑）四川省成都市简阳市简城街道高屋村</v>
      </c>
      <c r="J2444" s="33" t="str">
        <f>VLOOKUP(B2444,辅助信息!E:I,4,FALSE)</f>
        <v>张瀚镭</v>
      </c>
      <c r="K2444" s="33">
        <f>VLOOKUP(J2444,辅助信息!H:I,2,FALSE)</f>
        <v>15884666220</v>
      </c>
      <c r="L2444" s="102" t="str">
        <f>VLOOKUP(B2444,辅助信息!E:J,6,FALSE)</f>
        <v>现场禁止使用氢能源挂车！优先威钢发货,我方卸车,新老国标钢厂不加价可直发，因陕钢多次出现磅差，项目拒绝使用</v>
      </c>
      <c r="O2444" s="55" t="str">
        <f ca="1" t="shared" si="155"/>
        <v/>
      </c>
      <c r="P2444" s="55" t="str">
        <f ca="1" t="shared" si="156"/>
        <v/>
      </c>
      <c r="Q2444" s="22" t="str">
        <f>VLOOKUP(B2444,辅助信息!E:M,9,FALSE)</f>
        <v>ZTWM-CDGS-XS-2024-0030-华西集采-简州大道</v>
      </c>
      <c r="R2444" s="22" t="str">
        <f>_xlfn._xlws.FILTER(辅助信息!D:D,辅助信息!E:E=B2444)</f>
        <v>华西简阳西城嘉苑</v>
      </c>
    </row>
    <row r="2445" hidden="1" spans="2:18">
      <c r="B2445" s="33" t="s">
        <v>81</v>
      </c>
      <c r="C2445" s="63">
        <v>45864</v>
      </c>
      <c r="D2445" s="33" t="str">
        <f>VLOOKUP(B2445,辅助信息!E:K,7,FALSE)</f>
        <v>JWDDCD2025060900080</v>
      </c>
      <c r="E2445" s="33" t="str">
        <f>VLOOKUP(F2445,辅助信息!A:B,2,FALSE)</f>
        <v>盘螺</v>
      </c>
      <c r="F2445" s="33" t="s">
        <v>41</v>
      </c>
      <c r="G2445" s="29">
        <v>94</v>
      </c>
      <c r="H2445" s="127">
        <f>_xlfn.XLOOKUP(C2445&amp;F2445&amp;I2445&amp;J2445,'[1]2025年已发货'!$F:$F&amp;'[1]2025年已发货'!$C:$C&amp;'[1]2025年已发货'!$G:$G&amp;'[1]2025年已发货'!$H:$H,'[1]2025年已发货'!$E:$E,"未发货")</f>
        <v>94</v>
      </c>
      <c r="I2445" s="33" t="str">
        <f>VLOOKUP(B2445,辅助信息!E:I,3,FALSE)</f>
        <v>（华西简阳西城嘉苑）四川省成都市简阳市简城街道高屋村</v>
      </c>
      <c r="J2445" s="33" t="str">
        <f>VLOOKUP(B2445,辅助信息!E:I,4,FALSE)</f>
        <v>张瀚镭</v>
      </c>
      <c r="K2445" s="33">
        <f>VLOOKUP(J2445,辅助信息!H:I,2,FALSE)</f>
        <v>15884666220</v>
      </c>
      <c r="L2445" s="102" t="str">
        <f>VLOOKUP(B2445,辅助信息!E:J,6,FALSE)</f>
        <v>现场禁止使用氢能源挂车！优先威钢发货,我方卸车,新老国标钢厂不加价可直发，因陕钢多次出现磅差，项目拒绝使用</v>
      </c>
      <c r="O2445" s="55" t="str">
        <f ca="1" t="shared" si="155"/>
        <v/>
      </c>
      <c r="P2445" s="55" t="str">
        <f ca="1" t="shared" si="156"/>
        <v/>
      </c>
      <c r="Q2445" s="22" t="str">
        <f>VLOOKUP(B2445,辅助信息!E:M,9,FALSE)</f>
        <v>ZTWM-CDGS-XS-2024-0030-华西集采-简州大道</v>
      </c>
      <c r="R2445" s="22" t="str">
        <f>_xlfn._xlws.FILTER(辅助信息!D:D,辅助信息!E:E=B2445)</f>
        <v>华西简阳西城嘉苑</v>
      </c>
    </row>
    <row r="2446" hidden="1" spans="2:18">
      <c r="B2446" s="33" t="s">
        <v>81</v>
      </c>
      <c r="C2446" s="63">
        <v>45864</v>
      </c>
      <c r="D2446" s="33" t="str">
        <f>VLOOKUP(B2446,辅助信息!E:K,7,FALSE)</f>
        <v>JWDDCD2025060900080</v>
      </c>
      <c r="E2446" s="33" t="str">
        <f>VLOOKUP(F2446,辅助信息!A:B,2,FALSE)</f>
        <v>盘螺</v>
      </c>
      <c r="F2446" s="33" t="s">
        <v>26</v>
      </c>
      <c r="G2446" s="29">
        <v>12</v>
      </c>
      <c r="H2446" s="127">
        <f>_xlfn.XLOOKUP(C2446&amp;F2446&amp;I2446&amp;J2446,'[1]2025年已发货'!$F:$F&amp;'[1]2025年已发货'!$C:$C&amp;'[1]2025年已发货'!$G:$G&amp;'[1]2025年已发货'!$H:$H,'[1]2025年已发货'!$E:$E,"未发货")</f>
        <v>12</v>
      </c>
      <c r="I2446" s="33" t="str">
        <f>VLOOKUP(B2446,辅助信息!E:I,3,FALSE)</f>
        <v>（华西简阳西城嘉苑）四川省成都市简阳市简城街道高屋村</v>
      </c>
      <c r="J2446" s="33" t="str">
        <f>VLOOKUP(B2446,辅助信息!E:I,4,FALSE)</f>
        <v>张瀚镭</v>
      </c>
      <c r="K2446" s="33">
        <f>VLOOKUP(J2446,辅助信息!H:I,2,FALSE)</f>
        <v>15884666220</v>
      </c>
      <c r="L2446" s="102" t="str">
        <f>VLOOKUP(B2446,辅助信息!E:J,6,FALSE)</f>
        <v>现场禁止使用氢能源挂车！优先威钢发货,我方卸车,新老国标钢厂不加价可直发，因陕钢多次出现磅差，项目拒绝使用</v>
      </c>
      <c r="O2446" s="55" t="str">
        <f ca="1" t="shared" si="155"/>
        <v/>
      </c>
      <c r="P2446" s="55" t="str">
        <f ca="1" t="shared" si="156"/>
        <v/>
      </c>
      <c r="Q2446" s="22" t="str">
        <f>VLOOKUP(B2446,辅助信息!E:M,9,FALSE)</f>
        <v>ZTWM-CDGS-XS-2024-0030-华西集采-简州大道</v>
      </c>
      <c r="R2446" s="22" t="str">
        <f>_xlfn._xlws.FILTER(辅助信息!D:D,辅助信息!E:E=B2446)</f>
        <v>华西简阳西城嘉苑</v>
      </c>
    </row>
    <row r="2447" hidden="1" spans="2:18">
      <c r="B2447" s="33" t="s">
        <v>81</v>
      </c>
      <c r="C2447" s="63">
        <v>45864</v>
      </c>
      <c r="D2447" s="33" t="str">
        <f>VLOOKUP(B2447,辅助信息!E:K,7,FALSE)</f>
        <v>JWDDCD2025060900080</v>
      </c>
      <c r="E2447" s="33" t="str">
        <f>VLOOKUP(F2447,辅助信息!A:B,2,FALSE)</f>
        <v>螺纹钢</v>
      </c>
      <c r="F2447" s="33" t="s">
        <v>19</v>
      </c>
      <c r="G2447" s="29">
        <v>26</v>
      </c>
      <c r="H2447" s="127">
        <f>_xlfn.XLOOKUP(C2447&amp;F2447&amp;I2447&amp;J2447,'[1]2025年已发货'!$F:$F&amp;'[1]2025年已发货'!$C:$C&amp;'[1]2025年已发货'!$G:$G&amp;'[1]2025年已发货'!$H:$H,'[1]2025年已发货'!$E:$E,"未发货")</f>
        <v>26</v>
      </c>
      <c r="I2447" s="33" t="str">
        <f>VLOOKUP(B2447,辅助信息!E:I,3,FALSE)</f>
        <v>（华西简阳西城嘉苑）四川省成都市简阳市简城街道高屋村</v>
      </c>
      <c r="J2447" s="33" t="str">
        <f>VLOOKUP(B2447,辅助信息!E:I,4,FALSE)</f>
        <v>张瀚镭</v>
      </c>
      <c r="K2447" s="33">
        <f>VLOOKUP(J2447,辅助信息!H:I,2,FALSE)</f>
        <v>15884666220</v>
      </c>
      <c r="L2447" s="102" t="str">
        <f>VLOOKUP(B2447,辅助信息!E:J,6,FALSE)</f>
        <v>现场禁止使用氢能源挂车！优先威钢发货,我方卸车,新老国标钢厂不加价可直发，因陕钢多次出现磅差，项目拒绝使用</v>
      </c>
      <c r="O2447" s="55" t="str">
        <f ca="1" t="shared" si="155"/>
        <v/>
      </c>
      <c r="P2447" s="55" t="str">
        <f ca="1" t="shared" si="156"/>
        <v/>
      </c>
      <c r="Q2447" s="22" t="str">
        <f>VLOOKUP(B2447,辅助信息!E:M,9,FALSE)</f>
        <v>ZTWM-CDGS-XS-2024-0030-华西集采-简州大道</v>
      </c>
      <c r="R2447" s="22" t="str">
        <f>_xlfn._xlws.FILTER(辅助信息!D:D,辅助信息!E:E=B2447)</f>
        <v>华西简阳西城嘉苑</v>
      </c>
    </row>
    <row r="2448" hidden="1" spans="2:18">
      <c r="B2448" s="33" t="s">
        <v>81</v>
      </c>
      <c r="C2448" s="63">
        <v>45864</v>
      </c>
      <c r="D2448" s="33" t="str">
        <f>VLOOKUP(B2448,辅助信息!E:K,7,FALSE)</f>
        <v>JWDDCD2025060900080</v>
      </c>
      <c r="E2448" s="33" t="str">
        <f>VLOOKUP(F2448,辅助信息!A:B,2,FALSE)</f>
        <v>螺纹钢</v>
      </c>
      <c r="F2448" s="33" t="s">
        <v>32</v>
      </c>
      <c r="G2448" s="29">
        <v>17</v>
      </c>
      <c r="H2448" s="127">
        <f>_xlfn.XLOOKUP(C2448&amp;F2448&amp;I2448&amp;J2448,'[1]2025年已发货'!$F:$F&amp;'[1]2025年已发货'!$C:$C&amp;'[1]2025年已发货'!$G:$G&amp;'[1]2025年已发货'!$H:$H,'[1]2025年已发货'!$E:$E,"未发货")</f>
        <v>17</v>
      </c>
      <c r="I2448" s="33" t="str">
        <f>VLOOKUP(B2448,辅助信息!E:I,3,FALSE)</f>
        <v>（华西简阳西城嘉苑）四川省成都市简阳市简城街道高屋村</v>
      </c>
      <c r="J2448" s="33" t="str">
        <f>VLOOKUP(B2448,辅助信息!E:I,4,FALSE)</f>
        <v>张瀚镭</v>
      </c>
      <c r="K2448" s="33">
        <f>VLOOKUP(J2448,辅助信息!H:I,2,FALSE)</f>
        <v>15884666220</v>
      </c>
      <c r="L2448" s="102" t="str">
        <f>VLOOKUP(B2448,辅助信息!E:J,6,FALSE)</f>
        <v>现场禁止使用氢能源挂车！优先威钢发货,我方卸车,新老国标钢厂不加价可直发，因陕钢多次出现磅差，项目拒绝使用</v>
      </c>
      <c r="O2448" s="55" t="str">
        <f ca="1" t="shared" si="155"/>
        <v/>
      </c>
      <c r="P2448" s="55" t="str">
        <f ca="1" t="shared" si="156"/>
        <v/>
      </c>
      <c r="Q2448" s="22" t="str">
        <f>VLOOKUP(B2448,辅助信息!E:M,9,FALSE)</f>
        <v>ZTWM-CDGS-XS-2024-0030-华西集采-简州大道</v>
      </c>
      <c r="R2448" s="22" t="str">
        <f>_xlfn._xlws.FILTER(辅助信息!D:D,辅助信息!E:E=B2448)</f>
        <v>华西简阳西城嘉苑</v>
      </c>
    </row>
    <row r="2449" hidden="1" spans="2:18">
      <c r="B2449" s="33" t="s">
        <v>81</v>
      </c>
      <c r="C2449" s="63">
        <v>45864</v>
      </c>
      <c r="D2449" s="33" t="str">
        <f>VLOOKUP(B2449,辅助信息!E:K,7,FALSE)</f>
        <v>JWDDCD2025060900080</v>
      </c>
      <c r="E2449" s="33" t="str">
        <f>VLOOKUP(F2449,辅助信息!A:B,2,FALSE)</f>
        <v>螺纹钢</v>
      </c>
      <c r="F2449" s="33" t="s">
        <v>30</v>
      </c>
      <c r="G2449" s="29">
        <v>5</v>
      </c>
      <c r="H2449" s="127">
        <f>_xlfn.XLOOKUP(C2449&amp;F2449&amp;I2449&amp;J2449,'[1]2025年已发货'!$F:$F&amp;'[1]2025年已发货'!$C:$C&amp;'[1]2025年已发货'!$G:$G&amp;'[1]2025年已发货'!$H:$H,'[1]2025年已发货'!$E:$E,"未发货")</f>
        <v>5</v>
      </c>
      <c r="I2449" s="33" t="str">
        <f>VLOOKUP(B2449,辅助信息!E:I,3,FALSE)</f>
        <v>（华西简阳西城嘉苑）四川省成都市简阳市简城街道高屋村</v>
      </c>
      <c r="J2449" s="33" t="str">
        <f>VLOOKUP(B2449,辅助信息!E:I,4,FALSE)</f>
        <v>张瀚镭</v>
      </c>
      <c r="K2449" s="33">
        <f>VLOOKUP(J2449,辅助信息!H:I,2,FALSE)</f>
        <v>15884666220</v>
      </c>
      <c r="L2449" s="102" t="str">
        <f>VLOOKUP(B2449,辅助信息!E:J,6,FALSE)</f>
        <v>现场禁止使用氢能源挂车！优先威钢发货,我方卸车,新老国标钢厂不加价可直发，因陕钢多次出现磅差，项目拒绝使用</v>
      </c>
      <c r="O2449" s="55" t="str">
        <f ca="1" t="shared" si="155"/>
        <v/>
      </c>
      <c r="P2449" s="55" t="str">
        <f ca="1" t="shared" si="156"/>
        <v/>
      </c>
      <c r="Q2449" s="22" t="str">
        <f>VLOOKUP(B2449,辅助信息!E:M,9,FALSE)</f>
        <v>ZTWM-CDGS-XS-2024-0030-华西集采-简州大道</v>
      </c>
      <c r="R2449" s="22" t="str">
        <f>_xlfn._xlws.FILTER(辅助信息!D:D,辅助信息!E:E=B2449)</f>
        <v>华西简阳西城嘉苑</v>
      </c>
    </row>
    <row r="2450" hidden="1" spans="2:18">
      <c r="B2450" s="33" t="s">
        <v>81</v>
      </c>
      <c r="C2450" s="63">
        <v>45864</v>
      </c>
      <c r="D2450" s="33" t="str">
        <f>VLOOKUP(B2450,辅助信息!E:K,7,FALSE)</f>
        <v>JWDDCD2025060900080</v>
      </c>
      <c r="E2450" s="33" t="str">
        <f>VLOOKUP(F2450,辅助信息!A:B,2,FALSE)</f>
        <v>螺纹钢</v>
      </c>
      <c r="F2450" s="33" t="s">
        <v>45</v>
      </c>
      <c r="G2450" s="29">
        <v>2.5</v>
      </c>
      <c r="H2450" s="127">
        <f>_xlfn.XLOOKUP(C2450&amp;F2450&amp;I2450&amp;J2450,'[1]2025年已发货'!$F:$F&amp;'[1]2025年已发货'!$C:$C&amp;'[1]2025年已发货'!$G:$G&amp;'[1]2025年已发货'!$H:$H,'[1]2025年已发货'!$E:$E,"未发货")</f>
        <v>2.5</v>
      </c>
      <c r="I2450" s="33" t="str">
        <f>VLOOKUP(B2450,辅助信息!E:I,3,FALSE)</f>
        <v>（华西简阳西城嘉苑）四川省成都市简阳市简城街道高屋村</v>
      </c>
      <c r="J2450" s="33" t="str">
        <f>VLOOKUP(B2450,辅助信息!E:I,4,FALSE)</f>
        <v>张瀚镭</v>
      </c>
      <c r="K2450" s="33">
        <f>VLOOKUP(J2450,辅助信息!H:I,2,FALSE)</f>
        <v>15884666220</v>
      </c>
      <c r="L2450" s="102" t="str">
        <f>VLOOKUP(B2450,辅助信息!E:J,6,FALSE)</f>
        <v>现场禁止使用氢能源挂车！优先威钢发货,我方卸车,新老国标钢厂不加价可直发，因陕钢多次出现磅差，项目拒绝使用</v>
      </c>
      <c r="O2450" s="55" t="str">
        <f ca="1" t="shared" si="155"/>
        <v/>
      </c>
      <c r="P2450" s="55" t="str">
        <f ca="1" t="shared" si="156"/>
        <v/>
      </c>
      <c r="Q2450" s="22" t="str">
        <f>VLOOKUP(B2450,辅助信息!E:M,9,FALSE)</f>
        <v>ZTWM-CDGS-XS-2024-0030-华西集采-简州大道</v>
      </c>
      <c r="R2450" s="22" t="str">
        <f>_xlfn._xlws.FILTER(辅助信息!D:D,辅助信息!E:E=B2450)</f>
        <v>华西简阳西城嘉苑</v>
      </c>
    </row>
    <row r="2451" hidden="1" spans="2:18">
      <c r="B2451" s="33" t="s">
        <v>81</v>
      </c>
      <c r="C2451" s="63">
        <v>45864</v>
      </c>
      <c r="D2451" s="33" t="str">
        <f>VLOOKUP(B2451,辅助信息!E:K,7,FALSE)</f>
        <v>JWDDCD2025060900080</v>
      </c>
      <c r="E2451" s="33" t="str">
        <f>VLOOKUP(F2451,辅助信息!A:B,2,FALSE)</f>
        <v>螺纹钢</v>
      </c>
      <c r="F2451" s="33" t="s">
        <v>58</v>
      </c>
      <c r="G2451" s="29">
        <v>16</v>
      </c>
      <c r="H2451" s="127">
        <f>_xlfn.XLOOKUP(C2451&amp;F2451&amp;I2451&amp;J2451,'[1]2025年已发货'!$F:$F&amp;'[1]2025年已发货'!$C:$C&amp;'[1]2025年已发货'!$G:$G&amp;'[1]2025年已发货'!$H:$H,'[1]2025年已发货'!$E:$E,"未发货")</f>
        <v>16</v>
      </c>
      <c r="I2451" s="33" t="str">
        <f>VLOOKUP(B2451,辅助信息!E:I,3,FALSE)</f>
        <v>（华西简阳西城嘉苑）四川省成都市简阳市简城街道高屋村</v>
      </c>
      <c r="J2451" s="33" t="str">
        <f>VLOOKUP(B2451,辅助信息!E:I,4,FALSE)</f>
        <v>张瀚镭</v>
      </c>
      <c r="K2451" s="33">
        <f>VLOOKUP(J2451,辅助信息!H:I,2,FALSE)</f>
        <v>15884666220</v>
      </c>
      <c r="L2451" s="102" t="str">
        <f>VLOOKUP(B2451,辅助信息!E:J,6,FALSE)</f>
        <v>现场禁止使用氢能源挂车！优先威钢发货,我方卸车,新老国标钢厂不加价可直发，因陕钢多次出现磅差，项目拒绝使用</v>
      </c>
      <c r="O2451" s="55" t="str">
        <f ca="1" t="shared" si="155"/>
        <v/>
      </c>
      <c r="P2451" s="55" t="str">
        <f ca="1" t="shared" si="156"/>
        <v/>
      </c>
      <c r="Q2451" s="22" t="str">
        <f>VLOOKUP(B2451,辅助信息!E:M,9,FALSE)</f>
        <v>ZTWM-CDGS-XS-2024-0030-华西集采-简州大道</v>
      </c>
      <c r="R2451" s="22" t="str">
        <f>_xlfn._xlws.FILTER(辅助信息!D:D,辅助信息!E:E=B2451)</f>
        <v>华西简阳西城嘉苑</v>
      </c>
    </row>
    <row r="2452" hidden="1" spans="2:18">
      <c r="B2452" s="33" t="s">
        <v>81</v>
      </c>
      <c r="C2452" s="63">
        <v>45864</v>
      </c>
      <c r="D2452" s="33" t="str">
        <f>VLOOKUP(B2452,辅助信息!E:K,7,FALSE)</f>
        <v>JWDDCD2025060900080</v>
      </c>
      <c r="E2452" s="33" t="str">
        <f>VLOOKUP(F2452,辅助信息!A:B,2,FALSE)</f>
        <v>螺纹钢</v>
      </c>
      <c r="F2452" s="33" t="s">
        <v>46</v>
      </c>
      <c r="G2452" s="29">
        <v>5.5</v>
      </c>
      <c r="H2452" s="127">
        <f>_xlfn.XLOOKUP(C2452&amp;F2452&amp;I2452&amp;J2452,'[1]2025年已发货'!$F:$F&amp;'[1]2025年已发货'!$C:$C&amp;'[1]2025年已发货'!$G:$G&amp;'[1]2025年已发货'!$H:$H,'[1]2025年已发货'!$E:$E,"未发货")</f>
        <v>5.5</v>
      </c>
      <c r="I2452" s="33" t="str">
        <f>VLOOKUP(B2452,辅助信息!E:I,3,FALSE)</f>
        <v>（华西简阳西城嘉苑）四川省成都市简阳市简城街道高屋村</v>
      </c>
      <c r="J2452" s="33" t="str">
        <f>VLOOKUP(B2452,辅助信息!E:I,4,FALSE)</f>
        <v>张瀚镭</v>
      </c>
      <c r="K2452" s="33">
        <f>VLOOKUP(J2452,辅助信息!H:I,2,FALSE)</f>
        <v>15884666220</v>
      </c>
      <c r="L2452" s="102" t="str">
        <f>VLOOKUP(B2452,辅助信息!E:J,6,FALSE)</f>
        <v>现场禁止使用氢能源挂车！优先威钢发货,我方卸车,新老国标钢厂不加价可直发，因陕钢多次出现磅差，项目拒绝使用</v>
      </c>
      <c r="O2452" s="55" t="str">
        <f ca="1" t="shared" si="155"/>
        <v/>
      </c>
      <c r="P2452" s="55" t="str">
        <f ca="1" t="shared" si="156"/>
        <v/>
      </c>
      <c r="Q2452" s="22" t="str">
        <f>VLOOKUP(B2452,辅助信息!E:M,9,FALSE)</f>
        <v>ZTWM-CDGS-XS-2024-0030-华西集采-简州大道</v>
      </c>
      <c r="R2452" s="22" t="str">
        <f>_xlfn._xlws.FILTER(辅助信息!D:D,辅助信息!E:E=B2452)</f>
        <v>华西简阳西城嘉苑</v>
      </c>
    </row>
    <row r="2453" hidden="1" spans="2:18">
      <c r="B2453" s="33" t="s">
        <v>81</v>
      </c>
      <c r="C2453" s="63">
        <v>45864</v>
      </c>
      <c r="D2453" s="33" t="str">
        <f>VLOOKUP(B2453,辅助信息!E:K,7,FALSE)</f>
        <v>JWDDCD2025060900080</v>
      </c>
      <c r="E2453" s="33" t="str">
        <f>VLOOKUP(F2453,辅助信息!A:B,2,FALSE)</f>
        <v>螺纹钢</v>
      </c>
      <c r="F2453" s="33" t="s">
        <v>22</v>
      </c>
      <c r="G2453" s="29">
        <v>48</v>
      </c>
      <c r="H2453" s="127">
        <f>_xlfn.XLOOKUP(C2453&amp;F2453&amp;I2453&amp;J2453,'[1]2025年已发货'!$F:$F&amp;'[1]2025年已发货'!$C:$C&amp;'[1]2025年已发货'!$G:$G&amp;'[1]2025年已发货'!$H:$H,'[1]2025年已发货'!$E:$E,"未发货")</f>
        <v>18</v>
      </c>
      <c r="I2453" s="33" t="str">
        <f>VLOOKUP(B2453,辅助信息!E:I,3,FALSE)</f>
        <v>（华西简阳西城嘉苑）四川省成都市简阳市简城街道高屋村</v>
      </c>
      <c r="J2453" s="33" t="str">
        <f>VLOOKUP(B2453,辅助信息!E:I,4,FALSE)</f>
        <v>张瀚镭</v>
      </c>
      <c r="K2453" s="33">
        <f>VLOOKUP(J2453,辅助信息!H:I,2,FALSE)</f>
        <v>15884666220</v>
      </c>
      <c r="L2453" s="102" t="str">
        <f>VLOOKUP(B2453,辅助信息!E:J,6,FALSE)</f>
        <v>现场禁止使用氢能源挂车！优先威钢发货,我方卸车,新老国标钢厂不加价可直发，因陕钢多次出现磅差，项目拒绝使用</v>
      </c>
      <c r="O2453" s="55" t="str">
        <f ca="1" t="shared" si="155"/>
        <v/>
      </c>
      <c r="P2453" s="55" t="str">
        <f ca="1" t="shared" si="156"/>
        <v/>
      </c>
      <c r="Q2453" s="22" t="str">
        <f>VLOOKUP(B2453,辅助信息!E:M,9,FALSE)</f>
        <v>ZTWM-CDGS-XS-2024-0030-华西集采-简州大道</v>
      </c>
      <c r="R2453" s="22" t="str">
        <f>_xlfn._xlws.FILTER(辅助信息!D:D,辅助信息!E:E=B2453)</f>
        <v>华西简阳西城嘉苑</v>
      </c>
    </row>
    <row r="2454" hidden="1" spans="2:18">
      <c r="B2454" s="33" t="s">
        <v>186</v>
      </c>
      <c r="C2454" s="63">
        <v>45863</v>
      </c>
      <c r="D2454" s="33" t="str">
        <f>VLOOKUP(B2454,辅助信息!E:K,7,FALSE)</f>
        <v>JWDDCD2025072900123</v>
      </c>
      <c r="E2454" s="33" t="str">
        <f>VLOOKUP(F2454,辅助信息!A:B,2,FALSE)</f>
        <v>高线</v>
      </c>
      <c r="F2454" s="33" t="s">
        <v>57</v>
      </c>
      <c r="G2454" s="29">
        <v>2.5</v>
      </c>
      <c r="H2454" s="127">
        <f>_xlfn.XLOOKUP(C2454&amp;F2454&amp;I2454&amp;J2454,'[1]2025年已发货'!$F:$F&amp;'[1]2025年已发货'!$C:$C&amp;'[1]2025年已发货'!$G:$G&amp;'[1]2025年已发货'!$H:$H,'[1]2025年已发货'!$E:$E,"未发货")</f>
        <v>2</v>
      </c>
      <c r="I2454" s="33" t="str">
        <f>VLOOKUP(B2454,辅助信息!E:I,3,FALSE)</f>
        <v>(乐山市校地共建产教融合基地建设项目二标段)四川省乐山市市中区苏稽镇</v>
      </c>
      <c r="J2454" s="33" t="str">
        <f>VLOOKUP(B2454,辅助信息!E:I,4,FALSE)</f>
        <v>彭江涛</v>
      </c>
      <c r="K2454" s="33">
        <f>VLOOKUP(J2454,辅助信息!H:I,2,FALSE)</f>
        <v>13990276572</v>
      </c>
      <c r="L2454" s="102" t="str">
        <f>VLOOKUP(B2454,辅助信息!E:J,6,FALSE)</f>
        <v>联系实际收货人（彭江涛13990276572）现场要求炉批号控制2个以下，超2个不给予签收。提前联系到场规格及数量</v>
      </c>
      <c r="O2454" s="55" t="str">
        <f ca="1" t="shared" si="155"/>
        <v/>
      </c>
      <c r="P2454" s="55" t="str">
        <f ca="1" t="shared" si="156"/>
        <v/>
      </c>
      <c r="Q2454" s="22" t="str">
        <f>VLOOKUP(B2454,辅助信息!E:M,9,FALSE)</f>
        <v>ZTWM-CDGS-XS-2025-0126-四川机司-乐山市校地共建产教融合基地配套设施项目施工二标段钢筋采购合同</v>
      </c>
      <c r="R2454" s="22" t="str">
        <f>_xlfn._xlws.FILTER(辅助信息!D:D,辅助信息!E:E=B2454)</f>
        <v>乐山市校地共建产教融合基地建设项目二标段</v>
      </c>
    </row>
    <row r="2455" hidden="1" spans="2:18">
      <c r="B2455" s="33" t="s">
        <v>186</v>
      </c>
      <c r="C2455" s="63">
        <v>45863</v>
      </c>
      <c r="D2455" s="33" t="str">
        <f>VLOOKUP(B2455,辅助信息!E:K,7,FALSE)</f>
        <v>JWDDCD2025072900123</v>
      </c>
      <c r="E2455" s="33" t="str">
        <f>VLOOKUP(F2455,辅助信息!A:B,2,FALSE)</f>
        <v>高线</v>
      </c>
      <c r="F2455" s="33" t="s">
        <v>53</v>
      </c>
      <c r="G2455" s="29">
        <v>13.5</v>
      </c>
      <c r="H2455" s="127">
        <f>_xlfn.XLOOKUP(C2455&amp;F2455&amp;I2455&amp;J2455,'[1]2025年已发货'!$F:$F&amp;'[1]2025年已发货'!$C:$C&amp;'[1]2025年已发货'!$G:$G&amp;'[1]2025年已发货'!$H:$H,'[1]2025年已发货'!$E:$E,"未发货")</f>
        <v>10</v>
      </c>
      <c r="I2455" s="33" t="str">
        <f>VLOOKUP(B2455,辅助信息!E:I,3,FALSE)</f>
        <v>(乐山市校地共建产教融合基地建设项目二标段)四川省乐山市市中区苏稽镇</v>
      </c>
      <c r="J2455" s="33" t="str">
        <f>VLOOKUP(B2455,辅助信息!E:I,4,FALSE)</f>
        <v>彭江涛</v>
      </c>
      <c r="K2455" s="33">
        <f>VLOOKUP(J2455,辅助信息!H:I,2,FALSE)</f>
        <v>13990276572</v>
      </c>
      <c r="L2455" s="102" t="str">
        <f>VLOOKUP(B2455,辅助信息!E:J,6,FALSE)</f>
        <v>联系实际收货人（彭江涛13990276572）现场要求炉批号控制2个以下，超2个不给予签收。提前联系到场规格及数量</v>
      </c>
      <c r="O2455" s="55" t="str">
        <f ca="1" t="shared" si="155"/>
        <v/>
      </c>
      <c r="P2455" s="55" t="str">
        <f ca="1" t="shared" si="156"/>
        <v/>
      </c>
      <c r="Q2455" s="22" t="str">
        <f>VLOOKUP(B2455,辅助信息!E:M,9,FALSE)</f>
        <v>ZTWM-CDGS-XS-2025-0126-四川机司-乐山市校地共建产教融合基地配套设施项目施工二标段钢筋采购合同</v>
      </c>
      <c r="R2455" s="22" t="str">
        <f>_xlfn._xlws.FILTER(辅助信息!D:D,辅助信息!E:E=B2455)</f>
        <v>乐山市校地共建产教融合基地建设项目二标段</v>
      </c>
    </row>
    <row r="2456" hidden="1" spans="2:18">
      <c r="B2456" s="33" t="s">
        <v>186</v>
      </c>
      <c r="C2456" s="63">
        <v>45863</v>
      </c>
      <c r="D2456" s="33" t="str">
        <f>VLOOKUP(B2456,辅助信息!E:K,7,FALSE)</f>
        <v>JWDDCD2025072900123</v>
      </c>
      <c r="E2456" s="33" t="str">
        <f>VLOOKUP(F2456,辅助信息!A:B,2,FALSE)</f>
        <v>盘螺</v>
      </c>
      <c r="F2456" s="33" t="s">
        <v>41</v>
      </c>
      <c r="G2456" s="29">
        <v>22.5</v>
      </c>
      <c r="H2456" s="127">
        <f>_xlfn.XLOOKUP(C2456&amp;F2456&amp;I2456&amp;J2456,'[1]2025年已发货'!$F:$F&amp;'[1]2025年已发货'!$C:$C&amp;'[1]2025年已发货'!$G:$G&amp;'[1]2025年已发货'!$H:$H,'[1]2025年已发货'!$E:$E,"未发货")</f>
        <v>22</v>
      </c>
      <c r="I2456" s="33" t="str">
        <f>VLOOKUP(B2456,辅助信息!E:I,3,FALSE)</f>
        <v>(乐山市校地共建产教融合基地建设项目二标段)四川省乐山市市中区苏稽镇</v>
      </c>
      <c r="J2456" s="33" t="str">
        <f>VLOOKUP(B2456,辅助信息!E:I,4,FALSE)</f>
        <v>彭江涛</v>
      </c>
      <c r="K2456" s="33">
        <f>VLOOKUP(J2456,辅助信息!H:I,2,FALSE)</f>
        <v>13990276572</v>
      </c>
      <c r="L2456" s="102" t="str">
        <f>VLOOKUP(B2456,辅助信息!E:J,6,FALSE)</f>
        <v>联系实际收货人（彭江涛13990276572）现场要求炉批号控制2个以下，超2个不给予签收。提前联系到场规格及数量</v>
      </c>
      <c r="O2456" s="55" t="str">
        <f ca="1" t="shared" si="155"/>
        <v/>
      </c>
      <c r="P2456" s="55" t="str">
        <f ca="1" t="shared" si="156"/>
        <v/>
      </c>
      <c r="Q2456" s="22" t="str">
        <f>VLOOKUP(B2456,辅助信息!E:M,9,FALSE)</f>
        <v>ZTWM-CDGS-XS-2025-0126-四川机司-乐山市校地共建产教融合基地配套设施项目施工二标段钢筋采购合同</v>
      </c>
      <c r="R2456" s="22" t="str">
        <f>_xlfn._xlws.FILTER(辅助信息!D:D,辅助信息!E:E=B2456)</f>
        <v>乐山市校地共建产教融合基地建设项目二标段</v>
      </c>
    </row>
    <row r="2457" hidden="1" spans="2:18">
      <c r="B2457" s="33" t="s">
        <v>186</v>
      </c>
      <c r="C2457" s="63">
        <v>45863</v>
      </c>
      <c r="D2457" s="33" t="str">
        <f>VLOOKUP(B2457,辅助信息!E:K,7,FALSE)</f>
        <v>JWDDCD2025072900123</v>
      </c>
      <c r="E2457" s="33" t="str">
        <f>VLOOKUP(F2457,辅助信息!A:B,2,FALSE)</f>
        <v>盘螺</v>
      </c>
      <c r="F2457" s="33" t="s">
        <v>26</v>
      </c>
      <c r="G2457" s="29">
        <v>30</v>
      </c>
      <c r="H2457" s="127">
        <f>_xlfn.XLOOKUP(C2457&amp;F2457&amp;I2457&amp;J2457,'[1]2025年已发货'!$F:$F&amp;'[1]2025年已发货'!$C:$C&amp;'[1]2025年已发货'!$G:$G&amp;'[1]2025年已发货'!$H:$H,'[1]2025年已发货'!$E:$E,"未发货")</f>
        <v>30</v>
      </c>
      <c r="I2457" s="33" t="str">
        <f>VLOOKUP(B2457,辅助信息!E:I,3,FALSE)</f>
        <v>(乐山市校地共建产教融合基地建设项目二标段)四川省乐山市市中区苏稽镇</v>
      </c>
      <c r="J2457" s="33" t="str">
        <f>VLOOKUP(B2457,辅助信息!E:I,4,FALSE)</f>
        <v>彭江涛</v>
      </c>
      <c r="K2457" s="33">
        <f>VLOOKUP(J2457,辅助信息!H:I,2,FALSE)</f>
        <v>13990276572</v>
      </c>
      <c r="L2457" s="102" t="str">
        <f>VLOOKUP(B2457,辅助信息!E:J,6,FALSE)</f>
        <v>联系实际收货人（彭江涛13990276572）现场要求炉批号控制2个以下，超2个不给予签收。提前联系到场规格及数量</v>
      </c>
      <c r="O2457" s="55" t="str">
        <f ca="1" t="shared" si="155"/>
        <v/>
      </c>
      <c r="P2457" s="55" t="str">
        <f ca="1" t="shared" si="156"/>
        <v/>
      </c>
      <c r="Q2457" s="22" t="str">
        <f>VLOOKUP(B2457,辅助信息!E:M,9,FALSE)</f>
        <v>ZTWM-CDGS-XS-2025-0126-四川机司-乐山市校地共建产教融合基地配套设施项目施工二标段钢筋采购合同</v>
      </c>
      <c r="R2457" s="22" t="str">
        <f>_xlfn._xlws.FILTER(辅助信息!D:D,辅助信息!E:E=B2457)</f>
        <v>乐山市校地共建产教融合基地建设项目二标段</v>
      </c>
    </row>
    <row r="2458" hidden="1" spans="2:18">
      <c r="B2458" s="33" t="s">
        <v>186</v>
      </c>
      <c r="C2458" s="63">
        <v>45863</v>
      </c>
      <c r="D2458" s="33" t="str">
        <f>VLOOKUP(B2458,辅助信息!E:K,7,FALSE)</f>
        <v>JWDDCD2025072900123</v>
      </c>
      <c r="E2458" s="33" t="str">
        <f>VLOOKUP(F2458,辅助信息!A:B,2,FALSE)</f>
        <v>盘螺</v>
      </c>
      <c r="F2458" s="33" t="s">
        <v>40</v>
      </c>
      <c r="G2458" s="29">
        <v>15</v>
      </c>
      <c r="H2458" s="127">
        <f>_xlfn.XLOOKUP(C2458&amp;F2458&amp;I2458&amp;J2458,'[1]2025年已发货'!$F:$F&amp;'[1]2025年已发货'!$C:$C&amp;'[1]2025年已发货'!$G:$G&amp;'[1]2025年已发货'!$H:$H,'[1]2025年已发货'!$E:$E,"未发货")</f>
        <v>14</v>
      </c>
      <c r="I2458" s="33" t="str">
        <f>VLOOKUP(B2458,辅助信息!E:I,3,FALSE)</f>
        <v>(乐山市校地共建产教融合基地建设项目二标段)四川省乐山市市中区苏稽镇</v>
      </c>
      <c r="J2458" s="33" t="str">
        <f>VLOOKUP(B2458,辅助信息!E:I,4,FALSE)</f>
        <v>彭江涛</v>
      </c>
      <c r="K2458" s="33">
        <f>VLOOKUP(J2458,辅助信息!H:I,2,FALSE)</f>
        <v>13990276572</v>
      </c>
      <c r="L2458" s="102" t="str">
        <f>VLOOKUP(B2458,辅助信息!E:J,6,FALSE)</f>
        <v>联系实际收货人（彭江涛13990276572）现场要求炉批号控制2个以下，超2个不给予签收。提前联系到场规格及数量</v>
      </c>
      <c r="O2458" s="55" t="str">
        <f ca="1" t="shared" si="155"/>
        <v/>
      </c>
      <c r="P2458" s="55" t="str">
        <f ca="1" t="shared" si="156"/>
        <v/>
      </c>
      <c r="Q2458" s="22" t="str">
        <f>VLOOKUP(B2458,辅助信息!E:M,9,FALSE)</f>
        <v>ZTWM-CDGS-XS-2025-0126-四川机司-乐山市校地共建产教融合基地配套设施项目施工二标段钢筋采购合同</v>
      </c>
      <c r="R2458" s="22" t="str">
        <f>_xlfn._xlws.FILTER(辅助信息!D:D,辅助信息!E:E=B2458)</f>
        <v>乐山市校地共建产教融合基地建设项目二标段</v>
      </c>
    </row>
    <row r="2459" hidden="1" spans="2:18">
      <c r="B2459" s="33" t="s">
        <v>186</v>
      </c>
      <c r="C2459" s="63">
        <v>45863</v>
      </c>
      <c r="D2459" s="33" t="str">
        <f>VLOOKUP(B2459,辅助信息!E:K,7,FALSE)</f>
        <v>JWDDCD2025072900123</v>
      </c>
      <c r="E2459" s="33" t="str">
        <f>VLOOKUP(F2459,辅助信息!A:B,2,FALSE)</f>
        <v>螺纹钢</v>
      </c>
      <c r="F2459" s="33" t="s">
        <v>32</v>
      </c>
      <c r="G2459" s="29">
        <v>3</v>
      </c>
      <c r="H2459" s="127">
        <f>_xlfn.XLOOKUP(C2459&amp;F2459&amp;I2459&amp;J2459,'[1]2025年已发货'!$F:$F&amp;'[1]2025年已发货'!$C:$C&amp;'[1]2025年已发货'!$G:$G&amp;'[1]2025年已发货'!$H:$H,'[1]2025年已发货'!$E:$E,"未发货")</f>
        <v>3</v>
      </c>
      <c r="I2459" s="33" t="str">
        <f>VLOOKUP(B2459,辅助信息!E:I,3,FALSE)</f>
        <v>(乐山市校地共建产教融合基地建设项目二标段)四川省乐山市市中区苏稽镇</v>
      </c>
      <c r="J2459" s="33" t="str">
        <f>VLOOKUP(B2459,辅助信息!E:I,4,FALSE)</f>
        <v>彭江涛</v>
      </c>
      <c r="K2459" s="33">
        <f>VLOOKUP(J2459,辅助信息!H:I,2,FALSE)</f>
        <v>13990276572</v>
      </c>
      <c r="L2459" s="102" t="str">
        <f>VLOOKUP(B2459,辅助信息!E:J,6,FALSE)</f>
        <v>联系实际收货人（彭江涛13990276572）现场要求炉批号控制2个以下，超2个不给予签收。提前联系到场规格及数量</v>
      </c>
      <c r="O2459" s="55" t="str">
        <f ca="1" t="shared" si="155"/>
        <v/>
      </c>
      <c r="P2459" s="55" t="str">
        <f ca="1" t="shared" si="156"/>
        <v/>
      </c>
      <c r="Q2459" s="22" t="str">
        <f>VLOOKUP(B2459,辅助信息!E:M,9,FALSE)</f>
        <v>ZTWM-CDGS-XS-2025-0126-四川机司-乐山市校地共建产教融合基地配套设施项目施工二标段钢筋采购合同</v>
      </c>
      <c r="R2459" s="22" t="str">
        <f>_xlfn._xlws.FILTER(辅助信息!D:D,辅助信息!E:E=B2459)</f>
        <v>乐山市校地共建产教融合基地建设项目二标段</v>
      </c>
    </row>
    <row r="2460" hidden="1" spans="2:18">
      <c r="B2460" s="33" t="s">
        <v>186</v>
      </c>
      <c r="C2460" s="63">
        <v>45863</v>
      </c>
      <c r="D2460" s="33" t="str">
        <f>VLOOKUP(B2460,辅助信息!E:K,7,FALSE)</f>
        <v>JWDDCD2025072900123</v>
      </c>
      <c r="E2460" s="33" t="str">
        <f>VLOOKUP(F2460,辅助信息!A:B,2,FALSE)</f>
        <v>螺纹钢</v>
      </c>
      <c r="F2460" s="33" t="s">
        <v>30</v>
      </c>
      <c r="G2460" s="29">
        <v>27</v>
      </c>
      <c r="H2460" s="127">
        <f>_xlfn.XLOOKUP(C2460&amp;F2460&amp;I2460&amp;J2460,'[1]2025年已发货'!$F:$F&amp;'[1]2025年已发货'!$C:$C&amp;'[1]2025年已发货'!$G:$G&amp;'[1]2025年已发货'!$H:$H,'[1]2025年已发货'!$E:$E,"未发货")</f>
        <v>27</v>
      </c>
      <c r="I2460" s="33" t="str">
        <f>VLOOKUP(B2460,辅助信息!E:I,3,FALSE)</f>
        <v>(乐山市校地共建产教融合基地建设项目二标段)四川省乐山市市中区苏稽镇</v>
      </c>
      <c r="J2460" s="33" t="str">
        <f>VLOOKUP(B2460,辅助信息!E:I,4,FALSE)</f>
        <v>彭江涛</v>
      </c>
      <c r="K2460" s="33">
        <f>VLOOKUP(J2460,辅助信息!H:I,2,FALSE)</f>
        <v>13990276572</v>
      </c>
      <c r="L2460" s="102" t="str">
        <f>VLOOKUP(B2460,辅助信息!E:J,6,FALSE)</f>
        <v>联系实际收货人（彭江涛13990276572）现场要求炉批号控制2个以下，超2个不给予签收。提前联系到场规格及数量</v>
      </c>
      <c r="O2460" s="55" t="str">
        <f ca="1" t="shared" si="155"/>
        <v/>
      </c>
      <c r="P2460" s="55" t="str">
        <f ca="1" t="shared" si="156"/>
        <v/>
      </c>
      <c r="Q2460" s="22" t="str">
        <f>VLOOKUP(B2460,辅助信息!E:M,9,FALSE)</f>
        <v>ZTWM-CDGS-XS-2025-0126-四川机司-乐山市校地共建产教融合基地配套设施项目施工二标段钢筋采购合同</v>
      </c>
      <c r="R2460" s="22" t="str">
        <f>_xlfn._xlws.FILTER(辅助信息!D:D,辅助信息!E:E=B2460)</f>
        <v>乐山市校地共建产教融合基地建设项目二标段</v>
      </c>
    </row>
    <row r="2461" hidden="1" spans="2:18">
      <c r="B2461" s="33" t="s">
        <v>186</v>
      </c>
      <c r="C2461" s="63">
        <v>45863</v>
      </c>
      <c r="D2461" s="33" t="str">
        <f>VLOOKUP(B2461,辅助信息!E:K,7,FALSE)</f>
        <v>JWDDCD2025072900123</v>
      </c>
      <c r="E2461" s="33" t="str">
        <f>VLOOKUP(F2461,辅助信息!A:B,2,FALSE)</f>
        <v>螺纹钢</v>
      </c>
      <c r="F2461" s="33" t="s">
        <v>76</v>
      </c>
      <c r="G2461" s="29">
        <v>48</v>
      </c>
      <c r="H2461" s="127">
        <f>_xlfn.XLOOKUP(C2461&amp;F2461&amp;I2461&amp;J2461,'[1]2025年已发货'!$F:$F&amp;'[1]2025年已发货'!$C:$C&amp;'[1]2025年已发货'!$G:$G&amp;'[1]2025年已发货'!$H:$H,'[1]2025年已发货'!$E:$E,"未发货")</f>
        <v>47.5</v>
      </c>
      <c r="I2461" s="33" t="str">
        <f>VLOOKUP(B2461,辅助信息!E:I,3,FALSE)</f>
        <v>(乐山市校地共建产教融合基地建设项目二标段)四川省乐山市市中区苏稽镇</v>
      </c>
      <c r="J2461" s="33" t="str">
        <f>VLOOKUP(B2461,辅助信息!E:I,4,FALSE)</f>
        <v>彭江涛</v>
      </c>
      <c r="K2461" s="33">
        <f>VLOOKUP(J2461,辅助信息!H:I,2,FALSE)</f>
        <v>13990276572</v>
      </c>
      <c r="L2461" s="102" t="str">
        <f>VLOOKUP(B2461,辅助信息!E:J,6,FALSE)</f>
        <v>联系实际收货人（彭江涛13990276572）现场要求炉批号控制2个以下，超2个不给予签收。提前联系到场规格及数量</v>
      </c>
      <c r="O2461" s="55" t="str">
        <f ca="1" t="shared" ref="O2461:O2524" si="157">IF(OR(M2461="",N2461&lt;&gt;""),"",MAX(M2461-TODAY(),0))</f>
        <v/>
      </c>
      <c r="P2461" s="55" t="str">
        <f ca="1" t="shared" ref="P2461:P2524" si="158">IF(M2461="","",IF(N2461&lt;&gt;"",MAX(N2461-M2461,0),IF(TODAY()&gt;M2461,TODAY()-M2461,0)))</f>
        <v/>
      </c>
      <c r="Q2461" s="22" t="str">
        <f>VLOOKUP(B2461,辅助信息!E:M,9,FALSE)</f>
        <v>ZTWM-CDGS-XS-2025-0126-四川机司-乐山市校地共建产教融合基地配套设施项目施工二标段钢筋采购合同</v>
      </c>
      <c r="R2461" s="22" t="str">
        <f>_xlfn._xlws.FILTER(辅助信息!D:D,辅助信息!E:E=B2461)</f>
        <v>乐山市校地共建产教融合基地建设项目二标段</v>
      </c>
    </row>
    <row r="2462" hidden="1" spans="2:18">
      <c r="B2462" s="33" t="s">
        <v>186</v>
      </c>
      <c r="C2462" s="63">
        <v>45863</v>
      </c>
      <c r="D2462" s="33" t="str">
        <f>VLOOKUP(B2462,辅助信息!E:K,7,FALSE)</f>
        <v>JWDDCD2025072900123</v>
      </c>
      <c r="E2462" s="33" t="str">
        <f>VLOOKUP(F2462,辅助信息!A:B,2,FALSE)</f>
        <v>螺纹钢</v>
      </c>
      <c r="F2462" s="33" t="s">
        <v>90</v>
      </c>
      <c r="G2462" s="29">
        <v>88</v>
      </c>
      <c r="H2462" s="127">
        <f>_xlfn.XLOOKUP(C2462&amp;F2462&amp;I2462&amp;J2462,'[1]2025年已发货'!$F:$F&amp;'[1]2025年已发货'!$C:$C&amp;'[1]2025年已发货'!$G:$G&amp;'[1]2025年已发货'!$H:$H,'[1]2025年已发货'!$E:$E,"未发货")</f>
        <v>72.5</v>
      </c>
      <c r="I2462" s="33" t="str">
        <f>VLOOKUP(B2462,辅助信息!E:I,3,FALSE)</f>
        <v>(乐山市校地共建产教融合基地建设项目二标段)四川省乐山市市中区苏稽镇</v>
      </c>
      <c r="J2462" s="33" t="str">
        <f>VLOOKUP(B2462,辅助信息!E:I,4,FALSE)</f>
        <v>彭江涛</v>
      </c>
      <c r="K2462" s="33">
        <f>VLOOKUP(J2462,辅助信息!H:I,2,FALSE)</f>
        <v>13990276572</v>
      </c>
      <c r="L2462" s="102" t="str">
        <f>VLOOKUP(B2462,辅助信息!E:J,6,FALSE)</f>
        <v>联系实际收货人（彭江涛13990276572）现场要求炉批号控制2个以下，超2个不给予签收。提前联系到场规格及数量</v>
      </c>
      <c r="O2462" s="55" t="str">
        <f ca="1" t="shared" si="157"/>
        <v/>
      </c>
      <c r="P2462" s="55" t="str">
        <f ca="1" t="shared" si="158"/>
        <v/>
      </c>
      <c r="Q2462" s="22" t="str">
        <f>VLOOKUP(B2462,辅助信息!E:M,9,FALSE)</f>
        <v>ZTWM-CDGS-XS-2025-0126-四川机司-乐山市校地共建产教融合基地配套设施项目施工二标段钢筋采购合同</v>
      </c>
      <c r="R2462" s="22" t="str">
        <f>_xlfn._xlws.FILTER(辅助信息!D:D,辅助信息!E:E=B2462)</f>
        <v>乐山市校地共建产教融合基地建设项目二标段</v>
      </c>
    </row>
    <row r="2463" hidden="1" spans="2:18">
      <c r="B2463" s="33" t="s">
        <v>186</v>
      </c>
      <c r="C2463" s="63">
        <v>45863</v>
      </c>
      <c r="D2463" s="33" t="str">
        <f>VLOOKUP(B2463,辅助信息!E:K,7,FALSE)</f>
        <v>JWDDCD2025072900123</v>
      </c>
      <c r="E2463" s="33" t="str">
        <f>VLOOKUP(F2463,辅助信息!A:B,2,FALSE)</f>
        <v>螺纹钢</v>
      </c>
      <c r="F2463" s="33" t="s">
        <v>130</v>
      </c>
      <c r="G2463" s="29">
        <v>41</v>
      </c>
      <c r="H2463" s="127">
        <f>_xlfn.XLOOKUP(C2463&amp;F2463&amp;I2463&amp;J2463,'[1]2025年已发货'!$F:$F&amp;'[1]2025年已发货'!$C:$C&amp;'[1]2025年已发货'!$G:$G&amp;'[1]2025年已发货'!$H:$H,'[1]2025年已发货'!$E:$E,"未发货")</f>
        <v>41</v>
      </c>
      <c r="I2463" s="33" t="str">
        <f>VLOOKUP(B2463,辅助信息!E:I,3,FALSE)</f>
        <v>(乐山市校地共建产教融合基地建设项目二标段)四川省乐山市市中区苏稽镇</v>
      </c>
      <c r="J2463" s="33" t="str">
        <f>VLOOKUP(B2463,辅助信息!E:I,4,FALSE)</f>
        <v>彭江涛</v>
      </c>
      <c r="K2463" s="33">
        <f>VLOOKUP(J2463,辅助信息!H:I,2,FALSE)</f>
        <v>13990276572</v>
      </c>
      <c r="L2463" s="102" t="str">
        <f>VLOOKUP(B2463,辅助信息!E:J,6,FALSE)</f>
        <v>联系实际收货人（彭江涛13990276572）现场要求炉批号控制2个以下，超2个不给予签收。提前联系到场规格及数量</v>
      </c>
      <c r="O2463" s="55" t="str">
        <f ca="1" t="shared" si="157"/>
        <v/>
      </c>
      <c r="P2463" s="55" t="str">
        <f ca="1" t="shared" si="158"/>
        <v/>
      </c>
      <c r="Q2463" s="22" t="str">
        <f>VLOOKUP(B2463,辅助信息!E:M,9,FALSE)</f>
        <v>ZTWM-CDGS-XS-2025-0126-四川机司-乐山市校地共建产教融合基地配套设施项目施工二标段钢筋采购合同</v>
      </c>
      <c r="R2463" s="22" t="str">
        <f>_xlfn._xlws.FILTER(辅助信息!D:D,辅助信息!E:E=B2463)</f>
        <v>乐山市校地共建产教融合基地建设项目二标段</v>
      </c>
    </row>
    <row r="2464" hidden="1" spans="2:18">
      <c r="B2464" s="33" t="s">
        <v>186</v>
      </c>
      <c r="C2464" s="63">
        <v>45863</v>
      </c>
      <c r="D2464" s="33" t="str">
        <f>VLOOKUP(B2464,辅助信息!E:K,7,FALSE)</f>
        <v>JWDDCD2025072900123</v>
      </c>
      <c r="E2464" s="33" t="str">
        <f>VLOOKUP(F2464,辅助信息!A:B,2,FALSE)</f>
        <v>螺纹钢</v>
      </c>
      <c r="F2464" s="33" t="s">
        <v>138</v>
      </c>
      <c r="G2464" s="29">
        <v>40</v>
      </c>
      <c r="H2464" s="127">
        <f>_xlfn.XLOOKUP(C2464&amp;F2464&amp;I2464&amp;J2464,'[1]2025年已发货'!$F:$F&amp;'[1]2025年已发货'!$C:$C&amp;'[1]2025年已发货'!$G:$G&amp;'[1]2025年已发货'!$H:$H,'[1]2025年已发货'!$E:$E,"未发货")</f>
        <v>40</v>
      </c>
      <c r="I2464" s="33" t="str">
        <f>VLOOKUP(B2464,辅助信息!E:I,3,FALSE)</f>
        <v>(乐山市校地共建产教融合基地建设项目二标段)四川省乐山市市中区苏稽镇</v>
      </c>
      <c r="J2464" s="33" t="str">
        <f>VLOOKUP(B2464,辅助信息!E:I,4,FALSE)</f>
        <v>彭江涛</v>
      </c>
      <c r="K2464" s="33">
        <f>VLOOKUP(J2464,辅助信息!H:I,2,FALSE)</f>
        <v>13990276572</v>
      </c>
      <c r="L2464" s="102" t="str">
        <f>VLOOKUP(B2464,辅助信息!E:J,6,FALSE)</f>
        <v>联系实际收货人（彭江涛13990276572）现场要求炉批号控制2个以下，超2个不给予签收。提前联系到场规格及数量</v>
      </c>
      <c r="O2464" s="55" t="str">
        <f ca="1" t="shared" si="157"/>
        <v/>
      </c>
      <c r="P2464" s="55" t="str">
        <f ca="1" t="shared" si="158"/>
        <v/>
      </c>
      <c r="Q2464" s="22" t="str">
        <f>VLOOKUP(B2464,辅助信息!E:M,9,FALSE)</f>
        <v>ZTWM-CDGS-XS-2025-0126-四川机司-乐山市校地共建产教融合基地配套设施项目施工二标段钢筋采购合同</v>
      </c>
      <c r="R2464" s="22" t="str">
        <f>_xlfn._xlws.FILTER(辅助信息!D:D,辅助信息!E:E=B2464)</f>
        <v>乐山市校地共建产教融合基地建设项目二标段</v>
      </c>
    </row>
    <row r="2465" hidden="1" spans="2:18">
      <c r="B2465" s="33" t="s">
        <v>186</v>
      </c>
      <c r="C2465" s="63">
        <v>45863</v>
      </c>
      <c r="D2465" s="33" t="str">
        <f>VLOOKUP(B2465,辅助信息!E:K,7,FALSE)</f>
        <v>JWDDCD2025072900123</v>
      </c>
      <c r="E2465" s="33" t="str">
        <f>VLOOKUP(F2465,辅助信息!A:B,2,FALSE)</f>
        <v>螺纹钢</v>
      </c>
      <c r="F2465" s="33" t="s">
        <v>133</v>
      </c>
      <c r="G2465" s="29">
        <v>74</v>
      </c>
      <c r="H2465" s="127">
        <f>_xlfn.XLOOKUP(C2465&amp;F2465&amp;I2465&amp;J2465,'[1]2025年已发货'!$F:$F&amp;'[1]2025年已发货'!$C:$C&amp;'[1]2025年已发货'!$G:$G&amp;'[1]2025年已发货'!$H:$H,'[1]2025年已发货'!$E:$E,"未发货")</f>
        <v>74</v>
      </c>
      <c r="I2465" s="33" t="str">
        <f>VLOOKUP(B2465,辅助信息!E:I,3,FALSE)</f>
        <v>(乐山市校地共建产教融合基地建设项目二标段)四川省乐山市市中区苏稽镇</v>
      </c>
      <c r="J2465" s="33" t="str">
        <f>VLOOKUP(B2465,辅助信息!E:I,4,FALSE)</f>
        <v>彭江涛</v>
      </c>
      <c r="K2465" s="33">
        <f>VLOOKUP(J2465,辅助信息!H:I,2,FALSE)</f>
        <v>13990276572</v>
      </c>
      <c r="L2465" s="102" t="str">
        <f>VLOOKUP(B2465,辅助信息!E:J,6,FALSE)</f>
        <v>联系实际收货人（彭江涛13990276572）现场要求炉批号控制2个以下，超2个不给予签收。提前联系到场规格及数量</v>
      </c>
      <c r="O2465" s="55" t="str">
        <f ca="1" t="shared" si="157"/>
        <v/>
      </c>
      <c r="P2465" s="55" t="str">
        <f ca="1" t="shared" si="158"/>
        <v/>
      </c>
      <c r="Q2465" s="22" t="str">
        <f>VLOOKUP(B2465,辅助信息!E:M,9,FALSE)</f>
        <v>ZTWM-CDGS-XS-2025-0126-四川机司-乐山市校地共建产教融合基地配套设施项目施工二标段钢筋采购合同</v>
      </c>
      <c r="R2465" s="22" t="str">
        <f>_xlfn._xlws.FILTER(辅助信息!D:D,辅助信息!E:E=B2465)</f>
        <v>乐山市校地共建产教融合基地建设项目二标段</v>
      </c>
    </row>
    <row r="2466" hidden="1" spans="2:18">
      <c r="B2466" s="33" t="s">
        <v>186</v>
      </c>
      <c r="C2466" s="63">
        <v>45863</v>
      </c>
      <c r="D2466" s="33" t="str">
        <f>VLOOKUP(B2466,辅助信息!E:K,7,FALSE)</f>
        <v>JWDDCD2025072900123</v>
      </c>
      <c r="E2466" s="33" t="str">
        <f>VLOOKUP(F2466,辅助信息!A:B,2,FALSE)</f>
        <v>螺纹钢</v>
      </c>
      <c r="F2466" s="33" t="s">
        <v>91</v>
      </c>
      <c r="G2466" s="29">
        <v>108</v>
      </c>
      <c r="H2466" s="127">
        <f>_xlfn.XLOOKUP(C2466&amp;F2466&amp;I2466&amp;J2466,'[1]2025年已发货'!$F:$F&amp;'[1]2025年已发货'!$C:$C&amp;'[1]2025年已发货'!$G:$G&amp;'[1]2025年已发货'!$H:$H,'[1]2025年已发货'!$E:$E,"未发货")</f>
        <v>108</v>
      </c>
      <c r="I2466" s="33" t="str">
        <f>VLOOKUP(B2466,辅助信息!E:I,3,FALSE)</f>
        <v>(乐山市校地共建产教融合基地建设项目二标段)四川省乐山市市中区苏稽镇</v>
      </c>
      <c r="J2466" s="33" t="str">
        <f>VLOOKUP(B2466,辅助信息!E:I,4,FALSE)</f>
        <v>彭江涛</v>
      </c>
      <c r="K2466" s="33">
        <f>VLOOKUP(J2466,辅助信息!H:I,2,FALSE)</f>
        <v>13990276572</v>
      </c>
      <c r="L2466" s="102" t="str">
        <f>VLOOKUP(B2466,辅助信息!E:J,6,FALSE)</f>
        <v>联系实际收货人（彭江涛13990276572）现场要求炉批号控制2个以下，超2个不给予签收。提前联系到场规格及数量</v>
      </c>
      <c r="O2466" s="55" t="str">
        <f ca="1" t="shared" si="157"/>
        <v/>
      </c>
      <c r="P2466" s="55" t="str">
        <f ca="1" t="shared" si="158"/>
        <v/>
      </c>
      <c r="Q2466" s="22" t="str">
        <f>VLOOKUP(B2466,辅助信息!E:M,9,FALSE)</f>
        <v>ZTWM-CDGS-XS-2025-0126-四川机司-乐山市校地共建产教融合基地配套设施项目施工二标段钢筋采购合同</v>
      </c>
      <c r="R2466" s="22" t="str">
        <f>_xlfn._xlws.FILTER(辅助信息!D:D,辅助信息!E:E=B2466)</f>
        <v>乐山市校地共建产教融合基地建设项目二标段</v>
      </c>
    </row>
    <row r="2467" hidden="1" spans="2:18">
      <c r="B2467" s="33" t="s">
        <v>186</v>
      </c>
      <c r="C2467" s="63">
        <v>45863</v>
      </c>
      <c r="D2467" s="33" t="str">
        <f>VLOOKUP(B2467,辅助信息!E:K,7,FALSE)</f>
        <v>JWDDCD2025072900123</v>
      </c>
      <c r="E2467" s="33" t="str">
        <f>VLOOKUP(F2467,辅助信息!A:B,2,FALSE)</f>
        <v>螺纹钢</v>
      </c>
      <c r="F2467" s="33" t="s">
        <v>77</v>
      </c>
      <c r="G2467" s="29">
        <v>22</v>
      </c>
      <c r="H2467" s="127">
        <f>_xlfn.XLOOKUP(C2467&amp;F2467&amp;I2467&amp;J2467,'[1]2025年已发货'!$F:$F&amp;'[1]2025年已发货'!$C:$C&amp;'[1]2025年已发货'!$G:$G&amp;'[1]2025年已发货'!$H:$H,'[1]2025年已发货'!$E:$E,"未发货")</f>
        <v>22</v>
      </c>
      <c r="I2467" s="33" t="str">
        <f>VLOOKUP(B2467,辅助信息!E:I,3,FALSE)</f>
        <v>(乐山市校地共建产教融合基地建设项目二标段)四川省乐山市市中区苏稽镇</v>
      </c>
      <c r="J2467" s="33" t="str">
        <f>VLOOKUP(B2467,辅助信息!E:I,4,FALSE)</f>
        <v>彭江涛</v>
      </c>
      <c r="K2467" s="33">
        <f>VLOOKUP(J2467,辅助信息!H:I,2,FALSE)</f>
        <v>13990276572</v>
      </c>
      <c r="L2467" s="102" t="str">
        <f>VLOOKUP(B2467,辅助信息!E:J,6,FALSE)</f>
        <v>联系实际收货人（彭江涛13990276572）现场要求炉批号控制2个以下，超2个不给予签收。提前联系到场规格及数量</v>
      </c>
      <c r="O2467" s="55" t="str">
        <f ca="1" t="shared" si="157"/>
        <v/>
      </c>
      <c r="P2467" s="55" t="str">
        <f ca="1" t="shared" si="158"/>
        <v/>
      </c>
      <c r="Q2467" s="22" t="str">
        <f>VLOOKUP(B2467,辅助信息!E:M,9,FALSE)</f>
        <v>ZTWM-CDGS-XS-2025-0126-四川机司-乐山市校地共建产教融合基地配套设施项目施工二标段钢筋采购合同</v>
      </c>
      <c r="R2467" s="22" t="str">
        <f>_xlfn._xlws.FILTER(辅助信息!D:D,辅助信息!E:E=B2467)</f>
        <v>乐山市校地共建产教融合基地建设项目二标段</v>
      </c>
    </row>
    <row r="2468" hidden="1" spans="2:18">
      <c r="B2468" s="33" t="s">
        <v>186</v>
      </c>
      <c r="C2468" s="63">
        <v>45863</v>
      </c>
      <c r="D2468" s="33" t="str">
        <f>VLOOKUP(B2468,辅助信息!E:K,7,FALSE)</f>
        <v>JWDDCD2025072900123</v>
      </c>
      <c r="E2468" s="33" t="str">
        <f>VLOOKUP(F2468,辅助信息!A:B,2,FALSE)</f>
        <v>螺纹钢</v>
      </c>
      <c r="F2468" s="33" t="s">
        <v>140</v>
      </c>
      <c r="G2468" s="29">
        <v>6</v>
      </c>
      <c r="H2468" s="127">
        <f>_xlfn.XLOOKUP(C2468&amp;F2468&amp;I2468&amp;J2468,'[1]2025年已发货'!$F:$F&amp;'[1]2025年已发货'!$C:$C&amp;'[1]2025年已发货'!$G:$G&amp;'[1]2025年已发货'!$H:$H,'[1]2025年已发货'!$E:$E,"未发货")</f>
        <v>5</v>
      </c>
      <c r="I2468" s="33" t="str">
        <f>VLOOKUP(B2468,辅助信息!E:I,3,FALSE)</f>
        <v>(乐山市校地共建产教融合基地建设项目二标段)四川省乐山市市中区苏稽镇</v>
      </c>
      <c r="J2468" s="33" t="str">
        <f>VLOOKUP(B2468,辅助信息!E:I,4,FALSE)</f>
        <v>彭江涛</v>
      </c>
      <c r="K2468" s="33">
        <f>VLOOKUP(J2468,辅助信息!H:I,2,FALSE)</f>
        <v>13990276572</v>
      </c>
      <c r="L2468" s="102" t="str">
        <f>VLOOKUP(B2468,辅助信息!E:J,6,FALSE)</f>
        <v>联系实际收货人（彭江涛13990276572）现场要求炉批号控制2个以下，超2个不给予签收。提前联系到场规格及数量</v>
      </c>
      <c r="O2468" s="55" t="str">
        <f ca="1" t="shared" si="157"/>
        <v/>
      </c>
      <c r="P2468" s="55" t="str">
        <f ca="1" t="shared" si="158"/>
        <v/>
      </c>
      <c r="Q2468" s="22" t="str">
        <f>VLOOKUP(B2468,辅助信息!E:M,9,FALSE)</f>
        <v>ZTWM-CDGS-XS-2025-0126-四川机司-乐山市校地共建产教融合基地配套设施项目施工二标段钢筋采购合同</v>
      </c>
      <c r="R2468" s="22" t="str">
        <f>_xlfn._xlws.FILTER(辅助信息!D:D,辅助信息!E:E=B2468)</f>
        <v>乐山市校地共建产教融合基地建设项目二标段</v>
      </c>
    </row>
    <row r="2469" hidden="1" spans="2:18">
      <c r="B2469" s="33" t="s">
        <v>186</v>
      </c>
      <c r="C2469" s="63">
        <v>45863</v>
      </c>
      <c r="D2469" s="33" t="str">
        <f>VLOOKUP(B2469,辅助信息!E:K,7,FALSE)</f>
        <v>JWDDCD2025072900123</v>
      </c>
      <c r="E2469" s="33" t="str">
        <f>VLOOKUP(F2469,辅助信息!A:B,2,FALSE)</f>
        <v>螺纹钢</v>
      </c>
      <c r="F2469" s="33" t="s">
        <v>197</v>
      </c>
      <c r="G2469" s="29">
        <v>6</v>
      </c>
      <c r="H2469" s="127">
        <f>_xlfn.XLOOKUP(C2469&amp;F2469&amp;I2469&amp;J2469,'[1]2025年已发货'!$F:$F&amp;'[1]2025年已发货'!$C:$C&amp;'[1]2025年已发货'!$G:$G&amp;'[1]2025年已发货'!$H:$H,'[1]2025年已发货'!$E:$E,"未发货")</f>
        <v>5</v>
      </c>
      <c r="I2469" s="33" t="str">
        <f>VLOOKUP(B2469,辅助信息!E:I,3,FALSE)</f>
        <v>(乐山市校地共建产教融合基地建设项目二标段)四川省乐山市市中区苏稽镇</v>
      </c>
      <c r="J2469" s="33" t="str">
        <f>VLOOKUP(B2469,辅助信息!E:I,4,FALSE)</f>
        <v>彭江涛</v>
      </c>
      <c r="K2469" s="33">
        <f>VLOOKUP(J2469,辅助信息!H:I,2,FALSE)</f>
        <v>13990276572</v>
      </c>
      <c r="L2469" s="102" t="str">
        <f>VLOOKUP(B2469,辅助信息!E:J,6,FALSE)</f>
        <v>联系实际收货人（彭江涛13990276572）现场要求炉批号控制2个以下，超2个不给予签收。提前联系到场规格及数量</v>
      </c>
      <c r="O2469" s="55" t="str">
        <f ca="1" t="shared" si="157"/>
        <v/>
      </c>
      <c r="P2469" s="55" t="str">
        <f ca="1" t="shared" si="158"/>
        <v/>
      </c>
      <c r="Q2469" s="22" t="str">
        <f>VLOOKUP(B2469,辅助信息!E:M,9,FALSE)</f>
        <v>ZTWM-CDGS-XS-2025-0126-四川机司-乐山市校地共建产教融合基地配套设施项目施工二标段钢筋采购合同</v>
      </c>
      <c r="R2469" s="22" t="str">
        <f>_xlfn._xlws.FILTER(辅助信息!D:D,辅助信息!E:E=B2469)</f>
        <v>乐山市校地共建产教融合基地建设项目二标段</v>
      </c>
    </row>
    <row r="2470" hidden="1" spans="2:18">
      <c r="B2470" s="33" t="s">
        <v>186</v>
      </c>
      <c r="C2470" s="63">
        <v>45863</v>
      </c>
      <c r="D2470" s="33" t="str">
        <f>VLOOKUP(B2470,辅助信息!E:K,7,FALSE)</f>
        <v>JWDDCD2025072900123</v>
      </c>
      <c r="E2470" s="33" t="str">
        <f>VLOOKUP(F2470,辅助信息!A:B,2,FALSE)</f>
        <v>螺纹钢</v>
      </c>
      <c r="F2470" s="33" t="s">
        <v>198</v>
      </c>
      <c r="G2470" s="29">
        <v>10</v>
      </c>
      <c r="H2470" s="127">
        <f>_xlfn.XLOOKUP(C2470&amp;F2470&amp;I2470&amp;J2470,'[1]2025年已发货'!$F:$F&amp;'[1]2025年已发货'!$C:$C&amp;'[1]2025年已发货'!$G:$G&amp;'[1]2025年已发货'!$H:$H,'[1]2025年已发货'!$E:$E,"未发货")</f>
        <v>10</v>
      </c>
      <c r="I2470" s="33" t="str">
        <f>VLOOKUP(B2470,辅助信息!E:I,3,FALSE)</f>
        <v>(乐山市校地共建产教融合基地建设项目二标段)四川省乐山市市中区苏稽镇</v>
      </c>
      <c r="J2470" s="33" t="str">
        <f>VLOOKUP(B2470,辅助信息!E:I,4,FALSE)</f>
        <v>彭江涛</v>
      </c>
      <c r="K2470" s="33">
        <f>VLOOKUP(J2470,辅助信息!H:I,2,FALSE)</f>
        <v>13990276572</v>
      </c>
      <c r="L2470" s="102" t="str">
        <f>VLOOKUP(B2470,辅助信息!E:J,6,FALSE)</f>
        <v>联系实际收货人（彭江涛13990276572）现场要求炉批号控制2个以下，超2个不给予签收。提前联系到场规格及数量</v>
      </c>
      <c r="O2470" s="55" t="str">
        <f ca="1" t="shared" si="157"/>
        <v/>
      </c>
      <c r="P2470" s="55" t="str">
        <f ca="1" t="shared" si="158"/>
        <v/>
      </c>
      <c r="Q2470" s="22" t="str">
        <f>VLOOKUP(B2470,辅助信息!E:M,9,FALSE)</f>
        <v>ZTWM-CDGS-XS-2025-0126-四川机司-乐山市校地共建产教融合基地配套设施项目施工二标段钢筋采购合同</v>
      </c>
      <c r="R2470" s="22" t="str">
        <f>_xlfn._xlws.FILTER(辅助信息!D:D,辅助信息!E:E=B2470)</f>
        <v>乐山市校地共建产教融合基地建设项目二标段</v>
      </c>
    </row>
    <row r="2471" hidden="1" spans="2:18">
      <c r="B2471" s="33" t="s">
        <v>186</v>
      </c>
      <c r="C2471" s="63">
        <v>45863</v>
      </c>
      <c r="D2471" s="33" t="str">
        <f>VLOOKUP(B2471,辅助信息!E:K,7,FALSE)</f>
        <v>JWDDCD2025072900123</v>
      </c>
      <c r="E2471" s="33" t="str">
        <f>VLOOKUP(F2471,辅助信息!A:B,2,FALSE)</f>
        <v>螺纹钢</v>
      </c>
      <c r="F2471" s="33" t="s">
        <v>199</v>
      </c>
      <c r="G2471" s="29">
        <v>10</v>
      </c>
      <c r="H2471" s="127">
        <f>_xlfn.XLOOKUP(C2471&amp;F2471&amp;I2471&amp;J2471,'[1]2025年已发货'!$F:$F&amp;'[1]2025年已发货'!$C:$C&amp;'[1]2025年已发货'!$G:$G&amp;'[1]2025年已发货'!$H:$H,'[1]2025年已发货'!$E:$E,"未发货")</f>
        <v>10</v>
      </c>
      <c r="I2471" s="33" t="str">
        <f>VLOOKUP(B2471,辅助信息!E:I,3,FALSE)</f>
        <v>(乐山市校地共建产教融合基地建设项目二标段)四川省乐山市市中区苏稽镇</v>
      </c>
      <c r="J2471" s="33" t="str">
        <f>VLOOKUP(B2471,辅助信息!E:I,4,FALSE)</f>
        <v>彭江涛</v>
      </c>
      <c r="K2471" s="33">
        <f>VLOOKUP(J2471,辅助信息!H:I,2,FALSE)</f>
        <v>13990276572</v>
      </c>
      <c r="L2471" s="102" t="str">
        <f>VLOOKUP(B2471,辅助信息!E:J,6,FALSE)</f>
        <v>联系实际收货人（彭江涛13990276572）现场要求炉批号控制2个以下，超2个不给予签收。提前联系到场规格及数量</v>
      </c>
      <c r="O2471" s="55" t="str">
        <f ca="1" t="shared" si="157"/>
        <v/>
      </c>
      <c r="P2471" s="55" t="str">
        <f ca="1" t="shared" si="158"/>
        <v/>
      </c>
      <c r="Q2471" s="22" t="str">
        <f>VLOOKUP(B2471,辅助信息!E:M,9,FALSE)</f>
        <v>ZTWM-CDGS-XS-2025-0126-四川机司-乐山市校地共建产教融合基地配套设施项目施工二标段钢筋采购合同</v>
      </c>
      <c r="R2471" s="22" t="str">
        <f>_xlfn._xlws.FILTER(辅助信息!D:D,辅助信息!E:E=B2471)</f>
        <v>乐山市校地共建产教融合基地建设项目二标段</v>
      </c>
    </row>
    <row r="2472" hidden="1" spans="2:18">
      <c r="B2472" s="33" t="s">
        <v>186</v>
      </c>
      <c r="C2472" s="63">
        <v>45863</v>
      </c>
      <c r="D2472" s="33" t="str">
        <f>VLOOKUP(B2472,辅助信息!E:K,7,FALSE)</f>
        <v>JWDDCD2025072900123</v>
      </c>
      <c r="E2472" s="33" t="str">
        <f>VLOOKUP(F2472,辅助信息!A:B,2,FALSE)</f>
        <v>螺纹钢</v>
      </c>
      <c r="F2472" s="33" t="s">
        <v>142</v>
      </c>
      <c r="G2472" s="29">
        <v>45</v>
      </c>
      <c r="H2472" s="127">
        <f>_xlfn.XLOOKUP(C2472&amp;F2472&amp;I2472&amp;J2472,'[1]2025年已发货'!$F:$F&amp;'[1]2025年已发货'!$C:$C&amp;'[1]2025年已发货'!$G:$G&amp;'[1]2025年已发货'!$H:$H,'[1]2025年已发货'!$E:$E,"未发货")</f>
        <v>45</v>
      </c>
      <c r="I2472" s="33" t="str">
        <f>VLOOKUP(B2472,辅助信息!E:I,3,FALSE)</f>
        <v>(乐山市校地共建产教融合基地建设项目二标段)四川省乐山市市中区苏稽镇</v>
      </c>
      <c r="J2472" s="33" t="str">
        <f>VLOOKUP(B2472,辅助信息!E:I,4,FALSE)</f>
        <v>彭江涛</v>
      </c>
      <c r="K2472" s="33">
        <f>VLOOKUP(J2472,辅助信息!H:I,2,FALSE)</f>
        <v>13990276572</v>
      </c>
      <c r="L2472" s="102" t="str">
        <f>VLOOKUP(B2472,辅助信息!E:J,6,FALSE)</f>
        <v>联系实际收货人（彭江涛13990276572）现场要求炉批号控制2个以下，超2个不给予签收。提前联系到场规格及数量</v>
      </c>
      <c r="O2472" s="55" t="str">
        <f ca="1" t="shared" si="157"/>
        <v/>
      </c>
      <c r="P2472" s="55" t="str">
        <f ca="1" t="shared" si="158"/>
        <v/>
      </c>
      <c r="Q2472" s="22" t="str">
        <f>VLOOKUP(B2472,辅助信息!E:M,9,FALSE)</f>
        <v>ZTWM-CDGS-XS-2025-0126-四川机司-乐山市校地共建产教融合基地配套设施项目施工二标段钢筋采购合同</v>
      </c>
      <c r="R2472" s="22" t="str">
        <f>_xlfn._xlws.FILTER(辅助信息!D:D,辅助信息!E:E=B2472)</f>
        <v>乐山市校地共建产教融合基地建设项目二标段</v>
      </c>
    </row>
    <row r="2473" hidden="1" spans="2:18">
      <c r="B2473" s="33" t="s">
        <v>186</v>
      </c>
      <c r="C2473" s="63">
        <v>45863</v>
      </c>
      <c r="D2473" s="33" t="str">
        <f>VLOOKUP(B2473,辅助信息!E:K,7,FALSE)</f>
        <v>JWDDCD2025072900123</v>
      </c>
      <c r="E2473" s="33" t="str">
        <f>VLOOKUP(F2473,辅助信息!A:B,2,FALSE)</f>
        <v>螺纹钢</v>
      </c>
      <c r="F2473" s="33" t="s">
        <v>200</v>
      </c>
      <c r="G2473" s="29">
        <v>30</v>
      </c>
      <c r="H2473" s="127">
        <f>_xlfn.XLOOKUP(C2473&amp;F2473&amp;I2473&amp;J2473,'[1]2025年已发货'!$F:$F&amp;'[1]2025年已发货'!$C:$C&amp;'[1]2025年已发货'!$G:$G&amp;'[1]2025年已发货'!$H:$H,'[1]2025年已发货'!$E:$E,"未发货")</f>
        <v>30</v>
      </c>
      <c r="I2473" s="33" t="str">
        <f>VLOOKUP(B2473,辅助信息!E:I,3,FALSE)</f>
        <v>(乐山市校地共建产教融合基地建设项目二标段)四川省乐山市市中区苏稽镇</v>
      </c>
      <c r="J2473" s="33" t="str">
        <f>VLOOKUP(B2473,辅助信息!E:I,4,FALSE)</f>
        <v>彭江涛</v>
      </c>
      <c r="K2473" s="33">
        <f>VLOOKUP(J2473,辅助信息!H:I,2,FALSE)</f>
        <v>13990276572</v>
      </c>
      <c r="L2473" s="102" t="str">
        <f>VLOOKUP(B2473,辅助信息!E:J,6,FALSE)</f>
        <v>联系实际收货人（彭江涛13990276572）现场要求炉批号控制2个以下，超2个不给予签收。提前联系到场规格及数量</v>
      </c>
      <c r="O2473" s="55" t="str">
        <f ca="1" t="shared" si="157"/>
        <v/>
      </c>
      <c r="P2473" s="55" t="str">
        <f ca="1" t="shared" si="158"/>
        <v/>
      </c>
      <c r="Q2473" s="22" t="str">
        <f>VLOOKUP(B2473,辅助信息!E:M,9,FALSE)</f>
        <v>ZTWM-CDGS-XS-2025-0126-四川机司-乐山市校地共建产教融合基地配套设施项目施工二标段钢筋采购合同</v>
      </c>
      <c r="R2473" s="22" t="str">
        <f>_xlfn._xlws.FILTER(辅助信息!D:D,辅助信息!E:E=B2473)</f>
        <v>乐山市校地共建产教融合基地建设项目二标段</v>
      </c>
    </row>
    <row r="2474" hidden="1" spans="2:18">
      <c r="B2474" s="33" t="s">
        <v>186</v>
      </c>
      <c r="C2474" s="63">
        <v>45863</v>
      </c>
      <c r="D2474" s="33" t="str">
        <f>VLOOKUP(B2474,辅助信息!E:K,7,FALSE)</f>
        <v>JWDDCD2025072900123</v>
      </c>
      <c r="E2474" s="33" t="str">
        <f>VLOOKUP(F2474,辅助信息!A:B,2,FALSE)</f>
        <v>螺纹钢</v>
      </c>
      <c r="F2474" s="33" t="s">
        <v>201</v>
      </c>
      <c r="G2474" s="29">
        <v>30</v>
      </c>
      <c r="H2474" s="127">
        <f>_xlfn.XLOOKUP(C2474&amp;F2474&amp;I2474&amp;J2474,'[1]2025年已发货'!$F:$F&amp;'[1]2025年已发货'!$C:$C&amp;'[1]2025年已发货'!$G:$G&amp;'[1]2025年已发货'!$H:$H,'[1]2025年已发货'!$E:$E,"未发货")</f>
        <v>30</v>
      </c>
      <c r="I2474" s="33" t="str">
        <f>VLOOKUP(B2474,辅助信息!E:I,3,FALSE)</f>
        <v>(乐山市校地共建产教融合基地建设项目二标段)四川省乐山市市中区苏稽镇</v>
      </c>
      <c r="J2474" s="33" t="str">
        <f>VLOOKUP(B2474,辅助信息!E:I,4,FALSE)</f>
        <v>彭江涛</v>
      </c>
      <c r="K2474" s="33">
        <f>VLOOKUP(J2474,辅助信息!H:I,2,FALSE)</f>
        <v>13990276572</v>
      </c>
      <c r="L2474" s="102" t="str">
        <f>VLOOKUP(B2474,辅助信息!E:J,6,FALSE)</f>
        <v>联系实际收货人（彭江涛13990276572）现场要求炉批号控制2个以下，超2个不给予签收。提前联系到场规格及数量</v>
      </c>
      <c r="O2474" s="55" t="str">
        <f ca="1" t="shared" si="157"/>
        <v/>
      </c>
      <c r="P2474" s="55" t="str">
        <f ca="1" t="shared" si="158"/>
        <v/>
      </c>
      <c r="Q2474" s="22" t="str">
        <f>VLOOKUP(B2474,辅助信息!E:M,9,FALSE)</f>
        <v>ZTWM-CDGS-XS-2025-0126-四川机司-乐山市校地共建产教融合基地配套设施项目施工二标段钢筋采购合同</v>
      </c>
      <c r="R2474" s="22" t="str">
        <f>_xlfn._xlws.FILTER(辅助信息!D:D,辅助信息!E:E=B2474)</f>
        <v>乐山市校地共建产教融合基地建设项目二标段</v>
      </c>
    </row>
    <row r="2475" hidden="1" spans="2:18">
      <c r="B2475" s="33" t="s">
        <v>167</v>
      </c>
      <c r="C2475" s="63">
        <v>45864</v>
      </c>
      <c r="D2475" s="33" t="str">
        <f>VLOOKUP(B2475,辅助信息!E:K,7,FALSE)</f>
        <v>JWDDCD2025102100473</v>
      </c>
      <c r="E2475" s="33" t="str">
        <f>VLOOKUP(F2475,辅助信息!A:B,2,FALSE)</f>
        <v>螺纹钢</v>
      </c>
      <c r="F2475" s="33" t="s">
        <v>27</v>
      </c>
      <c r="G2475" s="29">
        <v>30</v>
      </c>
      <c r="H2475" s="127">
        <f>_xlfn.XLOOKUP(C2475&amp;F2475&amp;I2475&amp;J2475,'[1]2025年已发货'!$F:$F&amp;'[1]2025年已发货'!$C:$C&amp;'[1]2025年已发货'!$G:$G&amp;'[1]2025年已发货'!$H:$H,'[1]2025年已发货'!$E:$E,"未发货")</f>
        <v>30</v>
      </c>
      <c r="I2475" s="33" t="str">
        <f>VLOOKUP(B2475,辅助信息!E:I,3,FALSE)</f>
        <v>(五冶建设扩建艺体中学二期工程)四川省成都市双流区光荣路成都艺体中学南200米</v>
      </c>
      <c r="J2475" s="33" t="str">
        <f>VLOOKUP(B2475,辅助信息!E:I,4,FALSE)</f>
        <v>谢序强</v>
      </c>
      <c r="K2475" s="33">
        <f>VLOOKUP(J2475,辅助信息!H:I,2,FALSE)</f>
        <v>13458588232</v>
      </c>
      <c r="L2475" s="102"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55" t="str">
        <f ca="1" t="shared" si="157"/>
        <v/>
      </c>
      <c r="P2475" s="55" t="str">
        <f ca="1" t="shared" si="158"/>
        <v/>
      </c>
      <c r="Q2475" s="22" t="str">
        <f>VLOOKUP(B2475,辅助信息!E:M,9,FALSE)</f>
        <v>ZTWM-CDGS-XS-2025-0073-五冶天府-成都怡心湖片区及龙泉驿医院等项目</v>
      </c>
      <c r="R2475" s="22" t="str">
        <f>_xlfn._xlws.FILTER(辅助信息!D:D,辅助信息!E:E=B2475)</f>
        <v>五冶建设扩建艺体中学二期工程</v>
      </c>
    </row>
    <row r="2476" hidden="1" spans="2:18">
      <c r="B2476" s="33" t="s">
        <v>167</v>
      </c>
      <c r="C2476" s="63">
        <v>45864</v>
      </c>
      <c r="D2476" s="33" t="str">
        <f>VLOOKUP(B2476,辅助信息!E:K,7,FALSE)</f>
        <v>JWDDCD2025102100473</v>
      </c>
      <c r="E2476" s="33" t="str">
        <f>VLOOKUP(F2476,辅助信息!A:B,2,FALSE)</f>
        <v>螺纹钢</v>
      </c>
      <c r="F2476" s="33" t="s">
        <v>19</v>
      </c>
      <c r="G2476" s="29">
        <v>25</v>
      </c>
      <c r="H2476" s="127">
        <f>_xlfn.XLOOKUP(C2476&amp;F2476&amp;I2476&amp;J2476,'[1]2025年已发货'!$F:$F&amp;'[1]2025年已发货'!$C:$C&amp;'[1]2025年已发货'!$G:$G&amp;'[1]2025年已发货'!$H:$H,'[1]2025年已发货'!$E:$E,"未发货")</f>
        <v>25</v>
      </c>
      <c r="I2476" s="33" t="str">
        <f>VLOOKUP(B2476,辅助信息!E:I,3,FALSE)</f>
        <v>(五冶建设扩建艺体中学二期工程)四川省成都市双流区光荣路成都艺体中学南200米</v>
      </c>
      <c r="J2476" s="33" t="str">
        <f>VLOOKUP(B2476,辅助信息!E:I,4,FALSE)</f>
        <v>谢序强</v>
      </c>
      <c r="K2476" s="33">
        <f>VLOOKUP(J2476,辅助信息!H:I,2,FALSE)</f>
        <v>13458588232</v>
      </c>
      <c r="L2476" s="102"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55" t="str">
        <f ca="1" t="shared" si="157"/>
        <v/>
      </c>
      <c r="P2476" s="55" t="str">
        <f ca="1" t="shared" si="158"/>
        <v/>
      </c>
      <c r="Q2476" s="22" t="str">
        <f>VLOOKUP(B2476,辅助信息!E:M,9,FALSE)</f>
        <v>ZTWM-CDGS-XS-2025-0073-五冶天府-成都怡心湖片区及龙泉驿医院等项目</v>
      </c>
      <c r="R2476" s="22" t="str">
        <f>_xlfn._xlws.FILTER(辅助信息!D:D,辅助信息!E:E=B2476)</f>
        <v>五冶建设扩建艺体中学二期工程</v>
      </c>
    </row>
    <row r="2477" hidden="1" spans="2:18">
      <c r="B2477" s="33" t="s">
        <v>167</v>
      </c>
      <c r="C2477" s="63">
        <v>45864</v>
      </c>
      <c r="D2477" s="33" t="str">
        <f>VLOOKUP(B2477,辅助信息!E:K,7,FALSE)</f>
        <v>JWDDCD2025102100473</v>
      </c>
      <c r="E2477" s="33" t="str">
        <f>VLOOKUP(F2477,辅助信息!A:B,2,FALSE)</f>
        <v>螺纹钢</v>
      </c>
      <c r="F2477" s="33" t="s">
        <v>32</v>
      </c>
      <c r="G2477" s="29">
        <v>20</v>
      </c>
      <c r="H2477" s="127">
        <f>_xlfn.XLOOKUP(C2477&amp;F2477&amp;I2477&amp;J2477,'[1]2025年已发货'!$F:$F&amp;'[1]2025年已发货'!$C:$C&amp;'[1]2025年已发货'!$G:$G&amp;'[1]2025年已发货'!$H:$H,'[1]2025年已发货'!$E:$E,"未发货")</f>
        <v>20</v>
      </c>
      <c r="I2477" s="33" t="str">
        <f>VLOOKUP(B2477,辅助信息!E:I,3,FALSE)</f>
        <v>(五冶建设扩建艺体中学二期工程)四川省成都市双流区光荣路成都艺体中学南200米</v>
      </c>
      <c r="J2477" s="33" t="str">
        <f>VLOOKUP(B2477,辅助信息!E:I,4,FALSE)</f>
        <v>谢序强</v>
      </c>
      <c r="K2477" s="33">
        <f>VLOOKUP(J2477,辅助信息!H:I,2,FALSE)</f>
        <v>13458588232</v>
      </c>
      <c r="L2477" s="102"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55" t="str">
        <f ca="1" t="shared" si="157"/>
        <v/>
      </c>
      <c r="P2477" s="55" t="str">
        <f ca="1" t="shared" si="158"/>
        <v/>
      </c>
      <c r="Q2477" s="22" t="str">
        <f>VLOOKUP(B2477,辅助信息!E:M,9,FALSE)</f>
        <v>ZTWM-CDGS-XS-2025-0073-五冶天府-成都怡心湖片区及龙泉驿医院等项目</v>
      </c>
      <c r="R2477" s="22" t="str">
        <f>_xlfn._xlws.FILTER(辅助信息!D:D,辅助信息!E:E=B2477)</f>
        <v>五冶建设扩建艺体中学二期工程</v>
      </c>
    </row>
    <row r="2478" hidden="1" spans="2:18">
      <c r="B2478" s="33" t="s">
        <v>167</v>
      </c>
      <c r="C2478" s="63">
        <v>45864</v>
      </c>
      <c r="D2478" s="33" t="str">
        <f>VLOOKUP(B2478,辅助信息!E:K,7,FALSE)</f>
        <v>JWDDCD2025102100473</v>
      </c>
      <c r="E2478" s="33" t="str">
        <f>VLOOKUP(F2478,辅助信息!A:B,2,FALSE)</f>
        <v>螺纹钢</v>
      </c>
      <c r="F2478" s="33" t="s">
        <v>30</v>
      </c>
      <c r="G2478" s="29">
        <v>30</v>
      </c>
      <c r="H2478" s="127">
        <f>_xlfn.XLOOKUP(C2478&amp;F2478&amp;I2478&amp;J2478,'[1]2025年已发货'!$F:$F&amp;'[1]2025年已发货'!$C:$C&amp;'[1]2025年已发货'!$G:$G&amp;'[1]2025年已发货'!$H:$H,'[1]2025年已发货'!$E:$E,"未发货")</f>
        <v>8</v>
      </c>
      <c r="I2478" s="33" t="str">
        <f>VLOOKUP(B2478,辅助信息!E:I,3,FALSE)</f>
        <v>(五冶建设扩建艺体中学二期工程)四川省成都市双流区光荣路成都艺体中学南200米</v>
      </c>
      <c r="J2478" s="33" t="str">
        <f>VLOOKUP(B2478,辅助信息!E:I,4,FALSE)</f>
        <v>谢序强</v>
      </c>
      <c r="K2478" s="33">
        <f>VLOOKUP(J2478,辅助信息!H:I,2,FALSE)</f>
        <v>13458588232</v>
      </c>
      <c r="L2478" s="102"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55" t="str">
        <f ca="1" t="shared" si="157"/>
        <v/>
      </c>
      <c r="P2478" s="55" t="str">
        <f ca="1" t="shared" si="158"/>
        <v/>
      </c>
      <c r="Q2478" s="22" t="str">
        <f>VLOOKUP(B2478,辅助信息!E:M,9,FALSE)</f>
        <v>ZTWM-CDGS-XS-2025-0073-五冶天府-成都怡心湖片区及龙泉驿医院等项目</v>
      </c>
      <c r="R2478" s="22" t="str">
        <f>_xlfn._xlws.FILTER(辅助信息!D:D,辅助信息!E:E=B2478)</f>
        <v>五冶建设扩建艺体中学二期工程</v>
      </c>
    </row>
    <row r="2479" hidden="1" spans="2:18">
      <c r="B2479" s="33" t="s">
        <v>167</v>
      </c>
      <c r="C2479" s="63">
        <v>45864</v>
      </c>
      <c r="D2479" s="33" t="str">
        <f>VLOOKUP(B2479,辅助信息!E:K,7,FALSE)</f>
        <v>JWDDCD2025102100473</v>
      </c>
      <c r="E2479" s="33" t="str">
        <f>VLOOKUP(F2479,辅助信息!A:B,2,FALSE)</f>
        <v>螺纹钢</v>
      </c>
      <c r="F2479" s="33" t="s">
        <v>33</v>
      </c>
      <c r="G2479" s="29">
        <v>20</v>
      </c>
      <c r="H2479" s="127">
        <f>_xlfn.XLOOKUP(C2479&amp;F2479&amp;I2479&amp;J2479,'[1]2025年已发货'!$F:$F&amp;'[1]2025年已发货'!$C:$C&amp;'[1]2025年已发货'!$G:$G&amp;'[1]2025年已发货'!$H:$H,'[1]2025年已发货'!$E:$E,"未发货")</f>
        <v>20</v>
      </c>
      <c r="I2479" s="33" t="str">
        <f>VLOOKUP(B2479,辅助信息!E:I,3,FALSE)</f>
        <v>(五冶建设扩建艺体中学二期工程)四川省成都市双流区光荣路成都艺体中学南200米</v>
      </c>
      <c r="J2479" s="33" t="str">
        <f>VLOOKUP(B2479,辅助信息!E:I,4,FALSE)</f>
        <v>谢序强</v>
      </c>
      <c r="K2479" s="33">
        <f>VLOOKUP(J2479,辅助信息!H:I,2,FALSE)</f>
        <v>13458588232</v>
      </c>
      <c r="L2479" s="102"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55" t="str">
        <f ca="1" t="shared" si="157"/>
        <v/>
      </c>
      <c r="P2479" s="55" t="str">
        <f ca="1" t="shared" si="158"/>
        <v/>
      </c>
      <c r="Q2479" s="22" t="str">
        <f>VLOOKUP(B2479,辅助信息!E:M,9,FALSE)</f>
        <v>ZTWM-CDGS-XS-2025-0073-五冶天府-成都怡心湖片区及龙泉驿医院等项目</v>
      </c>
      <c r="R2479" s="22" t="str">
        <f>_xlfn._xlws.FILTER(辅助信息!D:D,辅助信息!E:E=B2479)</f>
        <v>五冶建设扩建艺体中学二期工程</v>
      </c>
    </row>
    <row r="2480" hidden="1" spans="2:18">
      <c r="B2480" s="33" t="s">
        <v>167</v>
      </c>
      <c r="C2480" s="63">
        <v>45864</v>
      </c>
      <c r="D2480" s="33" t="str">
        <f>VLOOKUP(B2480,辅助信息!E:K,7,FALSE)</f>
        <v>JWDDCD2025102100473</v>
      </c>
      <c r="E2480" s="33" t="str">
        <f>VLOOKUP(F2480,辅助信息!A:B,2,FALSE)</f>
        <v>螺纹钢</v>
      </c>
      <c r="F2480" s="33" t="s">
        <v>28</v>
      </c>
      <c r="G2480" s="29">
        <v>40</v>
      </c>
      <c r="H2480" s="127">
        <f>_xlfn.XLOOKUP(C2480&amp;F2480&amp;I2480&amp;J2480,'[1]2025年已发货'!$F:$F&amp;'[1]2025年已发货'!$C:$C&amp;'[1]2025年已发货'!$G:$G&amp;'[1]2025年已发货'!$H:$H,'[1]2025年已发货'!$E:$E,"未发货")</f>
        <v>40</v>
      </c>
      <c r="I2480" s="33" t="str">
        <f>VLOOKUP(B2480,辅助信息!E:I,3,FALSE)</f>
        <v>(五冶建设扩建艺体中学二期工程)四川省成都市双流区光荣路成都艺体中学南200米</v>
      </c>
      <c r="J2480" s="33" t="str">
        <f>VLOOKUP(B2480,辅助信息!E:I,4,FALSE)</f>
        <v>谢序强</v>
      </c>
      <c r="K2480" s="33">
        <f>VLOOKUP(J2480,辅助信息!H:I,2,FALSE)</f>
        <v>13458588232</v>
      </c>
      <c r="L2480" s="102"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55" t="str">
        <f ca="1" t="shared" si="157"/>
        <v/>
      </c>
      <c r="P2480" s="55" t="str">
        <f ca="1" t="shared" si="158"/>
        <v/>
      </c>
      <c r="Q2480" s="22" t="str">
        <f>VLOOKUP(B2480,辅助信息!E:M,9,FALSE)</f>
        <v>ZTWM-CDGS-XS-2025-0073-五冶天府-成都怡心湖片区及龙泉驿医院等项目</v>
      </c>
      <c r="R2480" s="22" t="str">
        <f>_xlfn._xlws.FILTER(辅助信息!D:D,辅助信息!E:E=B2480)</f>
        <v>五冶建设扩建艺体中学二期工程</v>
      </c>
    </row>
    <row r="2481" hidden="1" spans="2:18">
      <c r="B2481" s="33" t="s">
        <v>167</v>
      </c>
      <c r="C2481" s="63">
        <v>45864</v>
      </c>
      <c r="D2481" s="33" t="str">
        <f>VLOOKUP(B2481,辅助信息!E:K,7,FALSE)</f>
        <v>JWDDCD2025102100473</v>
      </c>
      <c r="E2481" s="33" t="str">
        <f>VLOOKUP(F2481,辅助信息!A:B,2,FALSE)</f>
        <v>螺纹钢</v>
      </c>
      <c r="F2481" s="33" t="s">
        <v>46</v>
      </c>
      <c r="G2481" s="29">
        <v>10</v>
      </c>
      <c r="H2481" s="127">
        <f>_xlfn.XLOOKUP(C2481&amp;F2481&amp;I2481&amp;J2481,'[1]2025年已发货'!$F:$F&amp;'[1]2025年已发货'!$C:$C&amp;'[1]2025年已发货'!$G:$G&amp;'[1]2025年已发货'!$H:$H,'[1]2025年已发货'!$E:$E,"未发货")</f>
        <v>6</v>
      </c>
      <c r="I2481" s="33" t="str">
        <f>VLOOKUP(B2481,辅助信息!E:I,3,FALSE)</f>
        <v>(五冶建设扩建艺体中学二期工程)四川省成都市双流区光荣路成都艺体中学南200米</v>
      </c>
      <c r="J2481" s="33" t="str">
        <f>VLOOKUP(B2481,辅助信息!E:I,4,FALSE)</f>
        <v>谢序强</v>
      </c>
      <c r="K2481" s="33">
        <f>VLOOKUP(J2481,辅助信息!H:I,2,FALSE)</f>
        <v>13458588232</v>
      </c>
      <c r="L2481" s="102"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55" t="str">
        <f ca="1" t="shared" si="157"/>
        <v/>
      </c>
      <c r="P2481" s="55" t="str">
        <f ca="1" t="shared" si="158"/>
        <v/>
      </c>
      <c r="Q2481" s="22" t="str">
        <f>VLOOKUP(B2481,辅助信息!E:M,9,FALSE)</f>
        <v>ZTWM-CDGS-XS-2025-0073-五冶天府-成都怡心湖片区及龙泉驿医院等项目</v>
      </c>
      <c r="R2481" s="22" t="str">
        <f>_xlfn._xlws.FILTER(辅助信息!D:D,辅助信息!E:E=B2481)</f>
        <v>五冶建设扩建艺体中学二期工程</v>
      </c>
    </row>
    <row r="2482" hidden="1" spans="2:18">
      <c r="B2482" s="33" t="s">
        <v>167</v>
      </c>
      <c r="C2482" s="63">
        <v>45864</v>
      </c>
      <c r="D2482" s="33" t="str">
        <f>VLOOKUP(B2482,辅助信息!E:K,7,FALSE)</f>
        <v>JWDDCD2025102100473</v>
      </c>
      <c r="E2482" s="33" t="str">
        <f>VLOOKUP(F2482,辅助信息!A:B,2,FALSE)</f>
        <v>螺纹钢</v>
      </c>
      <c r="F2482" s="33" t="s">
        <v>22</v>
      </c>
      <c r="G2482" s="29">
        <v>50</v>
      </c>
      <c r="H2482" s="127">
        <f>_xlfn.XLOOKUP(C2482&amp;F2482&amp;I2482&amp;J2482,'[1]2025年已发货'!$F:$F&amp;'[1]2025年已发货'!$C:$C&amp;'[1]2025年已发货'!$G:$G&amp;'[1]2025年已发货'!$H:$H,'[1]2025年已发货'!$E:$E,"未发货")</f>
        <v>50</v>
      </c>
      <c r="I2482" s="33" t="str">
        <f>VLOOKUP(B2482,辅助信息!E:I,3,FALSE)</f>
        <v>(五冶建设扩建艺体中学二期工程)四川省成都市双流区光荣路成都艺体中学南200米</v>
      </c>
      <c r="J2482" s="33" t="str">
        <f>VLOOKUP(B2482,辅助信息!E:I,4,FALSE)</f>
        <v>谢序强</v>
      </c>
      <c r="K2482" s="33">
        <f>VLOOKUP(J2482,辅助信息!H:I,2,FALSE)</f>
        <v>13458588232</v>
      </c>
      <c r="L2482" s="102"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55" t="str">
        <f ca="1" t="shared" si="157"/>
        <v/>
      </c>
      <c r="P2482" s="55" t="str">
        <f ca="1" t="shared" si="158"/>
        <v/>
      </c>
      <c r="Q2482" s="22" t="str">
        <f>VLOOKUP(B2482,辅助信息!E:M,9,FALSE)</f>
        <v>ZTWM-CDGS-XS-2025-0073-五冶天府-成都怡心湖片区及龙泉驿医院等项目</v>
      </c>
      <c r="R2482" s="22" t="str">
        <f>_xlfn._xlws.FILTER(辅助信息!D:D,辅助信息!E:E=B2482)</f>
        <v>五冶建设扩建艺体中学二期工程</v>
      </c>
    </row>
    <row r="2483" hidden="1" spans="2:18">
      <c r="B2483" s="33" t="s">
        <v>167</v>
      </c>
      <c r="C2483" s="63">
        <v>45864</v>
      </c>
      <c r="D2483" s="33" t="str">
        <f>VLOOKUP(B2483,辅助信息!E:K,7,FALSE)</f>
        <v>JWDDCD2025102100473</v>
      </c>
      <c r="E2483" s="33" t="str">
        <f>VLOOKUP(F2483,辅助信息!A:B,2,FALSE)</f>
        <v>螺纹钢</v>
      </c>
      <c r="F2483" s="33" t="s">
        <v>182</v>
      </c>
      <c r="G2483" s="29">
        <v>5</v>
      </c>
      <c r="H2483" s="127">
        <f>_xlfn.XLOOKUP(C2483&amp;F2483&amp;I2483&amp;J2483,'[1]2025年已发货'!$F:$F&amp;'[1]2025年已发货'!$C:$C&amp;'[1]2025年已发货'!$G:$G&amp;'[1]2025年已发货'!$H:$H,'[1]2025年已发货'!$E:$E,"未发货")</f>
        <v>5</v>
      </c>
      <c r="I2483" s="33" t="str">
        <f>VLOOKUP(B2483,辅助信息!E:I,3,FALSE)</f>
        <v>(五冶建设扩建艺体中学二期工程)四川省成都市双流区光荣路成都艺体中学南200米</v>
      </c>
      <c r="J2483" s="33" t="str">
        <f>VLOOKUP(B2483,辅助信息!E:I,4,FALSE)</f>
        <v>谢序强</v>
      </c>
      <c r="K2483" s="33">
        <f>VLOOKUP(J2483,辅助信息!H:I,2,FALSE)</f>
        <v>13458588232</v>
      </c>
      <c r="L2483" s="102"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55" t="str">
        <f ca="1" t="shared" si="157"/>
        <v/>
      </c>
      <c r="P2483" s="55" t="str">
        <f ca="1" t="shared" si="158"/>
        <v/>
      </c>
      <c r="Q2483" s="22" t="str">
        <f>VLOOKUP(B2483,辅助信息!E:M,9,FALSE)</f>
        <v>ZTWM-CDGS-XS-2025-0073-五冶天府-成都怡心湖片区及龙泉驿医院等项目</v>
      </c>
      <c r="R2483" s="22" t="str">
        <f>_xlfn._xlws.FILTER(辅助信息!D:D,辅助信息!E:E=B2483)</f>
        <v>五冶建设扩建艺体中学二期工程</v>
      </c>
    </row>
    <row r="2484" hidden="1" spans="2:18">
      <c r="B2484" s="33" t="s">
        <v>167</v>
      </c>
      <c r="C2484" s="63">
        <v>45866</v>
      </c>
      <c r="D2484" s="33" t="str">
        <f>VLOOKUP(B2484,辅助信息!E:K,7,FALSE)</f>
        <v>JWDDCD2025102100473</v>
      </c>
      <c r="E2484" s="33" t="str">
        <f>VLOOKUP(F2484,辅助信息!A:B,2,FALSE)</f>
        <v>盘螺</v>
      </c>
      <c r="F2484" s="33" t="s">
        <v>41</v>
      </c>
      <c r="G2484" s="29">
        <v>16</v>
      </c>
      <c r="H2484" s="127">
        <f>_xlfn.XLOOKUP(C2484&amp;F2484&amp;I2484&amp;J2484,'[1]2025年已发货'!$F:$F&amp;'[1]2025年已发货'!$C:$C&amp;'[1]2025年已发货'!$G:$G&amp;'[1]2025年已发货'!$H:$H,'[1]2025年已发货'!$E:$E,"未发货")</f>
        <v>16</v>
      </c>
      <c r="I2484" s="33" t="str">
        <f>VLOOKUP(B2484,辅助信息!E:I,3,FALSE)</f>
        <v>(五冶建设扩建艺体中学二期工程)四川省成都市双流区光荣路成都艺体中学南200米</v>
      </c>
      <c r="J2484" s="33" t="str">
        <f>VLOOKUP(B2484,辅助信息!E:I,4,FALSE)</f>
        <v>谢序强</v>
      </c>
      <c r="K2484" s="33">
        <f>VLOOKUP(J2484,辅助信息!H:I,2,FALSE)</f>
        <v>13458588232</v>
      </c>
      <c r="L2484" s="102"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84">
        <v>45866</v>
      </c>
      <c r="O2484" s="55">
        <f ca="1" t="shared" si="157"/>
        <v>0</v>
      </c>
      <c r="P2484" s="55">
        <f ca="1" t="shared" si="158"/>
        <v>91</v>
      </c>
      <c r="Q2484" s="22" t="str">
        <f>VLOOKUP(B2484,辅助信息!E:M,9,FALSE)</f>
        <v>ZTWM-CDGS-XS-2025-0073-五冶天府-成都怡心湖片区及龙泉驿医院等项目</v>
      </c>
      <c r="R2484" s="22" t="str">
        <f>_xlfn._xlws.FILTER(辅助信息!D:D,辅助信息!E:E=B2484)</f>
        <v>五冶建设扩建艺体中学二期工程</v>
      </c>
    </row>
    <row r="2485" hidden="1" spans="2:18">
      <c r="B2485" s="33" t="s">
        <v>167</v>
      </c>
      <c r="C2485" s="63">
        <v>45866</v>
      </c>
      <c r="D2485" s="33" t="str">
        <f>VLOOKUP(B2485,辅助信息!E:K,7,FALSE)</f>
        <v>JWDDCD2025102100473</v>
      </c>
      <c r="E2485" s="33" t="str">
        <f>VLOOKUP(F2485,辅助信息!A:B,2,FALSE)</f>
        <v>螺纹钢</v>
      </c>
      <c r="F2485" s="33" t="s">
        <v>27</v>
      </c>
      <c r="G2485" s="29">
        <v>77</v>
      </c>
      <c r="H2485" s="127">
        <f>_xlfn.XLOOKUP(C2485&amp;F2485&amp;I2485&amp;J2485,'[1]2025年已发货'!$F:$F&amp;'[1]2025年已发货'!$C:$C&amp;'[1]2025年已发货'!$G:$G&amp;'[1]2025年已发货'!$H:$H,'[1]2025年已发货'!$E:$E,"未发货")</f>
        <v>77</v>
      </c>
      <c r="I2485" s="33" t="str">
        <f>VLOOKUP(B2485,辅助信息!E:I,3,FALSE)</f>
        <v>(五冶建设扩建艺体中学二期工程)四川省成都市双流区光荣路成都艺体中学南200米</v>
      </c>
      <c r="J2485" s="33" t="str">
        <f>VLOOKUP(B2485,辅助信息!E:I,4,FALSE)</f>
        <v>谢序强</v>
      </c>
      <c r="K2485" s="33">
        <f>VLOOKUP(J2485,辅助信息!H:I,2,FALSE)</f>
        <v>13458588232</v>
      </c>
      <c r="L2485" s="102"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84">
        <v>45866</v>
      </c>
      <c r="O2485" s="55">
        <f ca="1" t="shared" si="157"/>
        <v>0</v>
      </c>
      <c r="P2485" s="55">
        <f ca="1" t="shared" si="158"/>
        <v>91</v>
      </c>
      <c r="Q2485" s="22" t="str">
        <f>VLOOKUP(B2485,辅助信息!E:M,9,FALSE)</f>
        <v>ZTWM-CDGS-XS-2025-0073-五冶天府-成都怡心湖片区及龙泉驿医院等项目</v>
      </c>
      <c r="R2485" s="22" t="str">
        <f>_xlfn._xlws.FILTER(辅助信息!D:D,辅助信息!E:E=B2485)</f>
        <v>五冶建设扩建艺体中学二期工程</v>
      </c>
    </row>
    <row r="2486" hidden="1" spans="2:18">
      <c r="B2486" s="33" t="s">
        <v>167</v>
      </c>
      <c r="C2486" s="63">
        <v>45866</v>
      </c>
      <c r="D2486" s="33" t="str">
        <f>VLOOKUP(B2486,辅助信息!E:K,7,FALSE)</f>
        <v>JWDDCD2025102100473</v>
      </c>
      <c r="E2486" s="33" t="str">
        <f>VLOOKUP(F2486,辅助信息!A:B,2,FALSE)</f>
        <v>螺纹钢</v>
      </c>
      <c r="F2486" s="33" t="s">
        <v>19</v>
      </c>
      <c r="G2486" s="29">
        <v>20</v>
      </c>
      <c r="H2486" s="127">
        <f>_xlfn.XLOOKUP(C2486&amp;F2486&amp;I2486&amp;J2486,'[1]2025年已发货'!$F:$F&amp;'[1]2025年已发货'!$C:$C&amp;'[1]2025年已发货'!$G:$G&amp;'[1]2025年已发货'!$H:$H,'[1]2025年已发货'!$E:$E,"未发货")</f>
        <v>20</v>
      </c>
      <c r="I2486" s="33" t="str">
        <f>VLOOKUP(B2486,辅助信息!E:I,3,FALSE)</f>
        <v>(五冶建设扩建艺体中学二期工程)四川省成都市双流区光荣路成都艺体中学南200米</v>
      </c>
      <c r="J2486" s="33" t="str">
        <f>VLOOKUP(B2486,辅助信息!E:I,4,FALSE)</f>
        <v>谢序强</v>
      </c>
      <c r="K2486" s="33">
        <f>VLOOKUP(J2486,辅助信息!H:I,2,FALSE)</f>
        <v>13458588232</v>
      </c>
      <c r="L2486" s="102"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84">
        <v>45866</v>
      </c>
      <c r="O2486" s="55">
        <f ca="1" t="shared" si="157"/>
        <v>0</v>
      </c>
      <c r="P2486" s="55">
        <f ca="1" t="shared" si="158"/>
        <v>91</v>
      </c>
      <c r="Q2486" s="22" t="str">
        <f>VLOOKUP(B2486,辅助信息!E:M,9,FALSE)</f>
        <v>ZTWM-CDGS-XS-2025-0073-五冶天府-成都怡心湖片区及龙泉驿医院等项目</v>
      </c>
      <c r="R2486" s="22" t="str">
        <f>_xlfn._xlws.FILTER(辅助信息!D:D,辅助信息!E:E=B2486)</f>
        <v>五冶建设扩建艺体中学二期工程</v>
      </c>
    </row>
    <row r="2487" hidden="1" spans="2:18">
      <c r="B2487" s="33" t="s">
        <v>167</v>
      </c>
      <c r="C2487" s="63">
        <v>45866</v>
      </c>
      <c r="D2487" s="33" t="str">
        <f>VLOOKUP(B2487,辅助信息!E:K,7,FALSE)</f>
        <v>JWDDCD2025102100473</v>
      </c>
      <c r="E2487" s="33" t="str">
        <f>VLOOKUP(F2487,辅助信息!A:B,2,FALSE)</f>
        <v>螺纹钢</v>
      </c>
      <c r="F2487" s="33" t="s">
        <v>30</v>
      </c>
      <c r="G2487" s="29">
        <v>32.5</v>
      </c>
      <c r="H2487" s="127">
        <f>_xlfn.XLOOKUP(C2487&amp;F2487&amp;I2487&amp;J2487,'[1]2025年已发货'!$F:$F&amp;'[1]2025年已发货'!$C:$C&amp;'[1]2025年已发货'!$G:$G&amp;'[1]2025年已发货'!$H:$H,'[1]2025年已发货'!$E:$E,"未发货")</f>
        <v>70</v>
      </c>
      <c r="I2487" s="33" t="str">
        <f>VLOOKUP(B2487,辅助信息!E:I,3,FALSE)</f>
        <v>(五冶建设扩建艺体中学二期工程)四川省成都市双流区光荣路成都艺体中学南200米</v>
      </c>
      <c r="J2487" s="33" t="str">
        <f>VLOOKUP(B2487,辅助信息!E:I,4,FALSE)</f>
        <v>谢序强</v>
      </c>
      <c r="K2487" s="33">
        <f>VLOOKUP(J2487,辅助信息!H:I,2,FALSE)</f>
        <v>13458588232</v>
      </c>
      <c r="L2487" s="102"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84">
        <v>45866</v>
      </c>
      <c r="O2487" s="55">
        <f ca="1" t="shared" si="157"/>
        <v>0</v>
      </c>
      <c r="P2487" s="55">
        <f ca="1" t="shared" si="158"/>
        <v>91</v>
      </c>
      <c r="Q2487" s="22" t="str">
        <f>VLOOKUP(B2487,辅助信息!E:M,9,FALSE)</f>
        <v>ZTWM-CDGS-XS-2025-0073-五冶天府-成都怡心湖片区及龙泉驿医院等项目</v>
      </c>
      <c r="R2487" s="22" t="str">
        <f>_xlfn._xlws.FILTER(辅助信息!D:D,辅助信息!E:E=B2487)</f>
        <v>五冶建设扩建艺体中学二期工程</v>
      </c>
    </row>
    <row r="2488" hidden="1" spans="2:18">
      <c r="B2488" s="33" t="s">
        <v>167</v>
      </c>
      <c r="C2488" s="63">
        <v>45866</v>
      </c>
      <c r="D2488" s="33" t="str">
        <f>VLOOKUP(B2488,辅助信息!E:K,7,FALSE)</f>
        <v>JWDDCD2025102100473</v>
      </c>
      <c r="E2488" s="33" t="str">
        <f>VLOOKUP(F2488,辅助信息!A:B,2,FALSE)</f>
        <v>螺纹钢</v>
      </c>
      <c r="F2488" s="33" t="s">
        <v>66</v>
      </c>
      <c r="G2488" s="29">
        <v>5</v>
      </c>
      <c r="H2488" s="127">
        <f>_xlfn.XLOOKUP(C2488&amp;F2488&amp;I2488&amp;J2488,'[1]2025年已发货'!$F:$F&amp;'[1]2025年已发货'!$C:$C&amp;'[1]2025年已发货'!$G:$G&amp;'[1]2025年已发货'!$H:$H,'[1]2025年已发货'!$E:$E,"未发货")</f>
        <v>5</v>
      </c>
      <c r="I2488" s="33" t="str">
        <f>VLOOKUP(B2488,辅助信息!E:I,3,FALSE)</f>
        <v>(五冶建设扩建艺体中学二期工程)四川省成都市双流区光荣路成都艺体中学南200米</v>
      </c>
      <c r="J2488" s="33" t="str">
        <f>VLOOKUP(B2488,辅助信息!E:I,4,FALSE)</f>
        <v>谢序强</v>
      </c>
      <c r="K2488" s="33">
        <f>VLOOKUP(J2488,辅助信息!H:I,2,FALSE)</f>
        <v>13458588232</v>
      </c>
      <c r="L2488" s="102"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84">
        <v>45866</v>
      </c>
      <c r="O2488" s="55">
        <f ca="1" t="shared" si="157"/>
        <v>0</v>
      </c>
      <c r="P2488" s="55">
        <f ca="1" t="shared" si="158"/>
        <v>91</v>
      </c>
      <c r="Q2488" s="22" t="str">
        <f>VLOOKUP(B2488,辅助信息!E:M,9,FALSE)</f>
        <v>ZTWM-CDGS-XS-2025-0073-五冶天府-成都怡心湖片区及龙泉驿医院等项目</v>
      </c>
      <c r="R2488" s="22" t="str">
        <f>_xlfn._xlws.FILTER(辅助信息!D:D,辅助信息!E:E=B2488)</f>
        <v>五冶建设扩建艺体中学二期工程</v>
      </c>
    </row>
    <row r="2489" hidden="1" spans="2:18">
      <c r="B2489" s="33" t="s">
        <v>167</v>
      </c>
      <c r="C2489" s="63">
        <v>45866</v>
      </c>
      <c r="D2489" s="33" t="str">
        <f>VLOOKUP(B2489,辅助信息!E:K,7,FALSE)</f>
        <v>JWDDCD2025102100473</v>
      </c>
      <c r="E2489" s="33" t="str">
        <f>VLOOKUP(F2489,辅助信息!A:B,2,FALSE)</f>
        <v>螺纹钢</v>
      </c>
      <c r="F2489" s="33" t="s">
        <v>82</v>
      </c>
      <c r="G2489" s="29">
        <v>5</v>
      </c>
      <c r="H2489" s="127">
        <f>_xlfn.XLOOKUP(C2489&amp;F2489&amp;I2489&amp;J2489,'[1]2025年已发货'!$F:$F&amp;'[1]2025年已发货'!$C:$C&amp;'[1]2025年已发货'!$G:$G&amp;'[1]2025年已发货'!$H:$H,'[1]2025年已发货'!$E:$E,"未发货")</f>
        <v>5</v>
      </c>
      <c r="I2489" s="33" t="str">
        <f>VLOOKUP(B2489,辅助信息!E:I,3,FALSE)</f>
        <v>(五冶建设扩建艺体中学二期工程)四川省成都市双流区光荣路成都艺体中学南200米</v>
      </c>
      <c r="J2489" s="33" t="str">
        <f>VLOOKUP(B2489,辅助信息!E:I,4,FALSE)</f>
        <v>谢序强</v>
      </c>
      <c r="K2489" s="33">
        <f>VLOOKUP(J2489,辅助信息!H:I,2,FALSE)</f>
        <v>13458588232</v>
      </c>
      <c r="L2489" s="102"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84">
        <v>45866</v>
      </c>
      <c r="O2489" s="55">
        <f ca="1" t="shared" si="157"/>
        <v>0</v>
      </c>
      <c r="P2489" s="55">
        <f ca="1" t="shared" si="158"/>
        <v>91</v>
      </c>
      <c r="Q2489" s="22" t="str">
        <f>VLOOKUP(B2489,辅助信息!E:M,9,FALSE)</f>
        <v>ZTWM-CDGS-XS-2025-0073-五冶天府-成都怡心湖片区及龙泉驿医院等项目</v>
      </c>
      <c r="R2489" s="22" t="str">
        <f>_xlfn._xlws.FILTER(辅助信息!D:D,辅助信息!E:E=B2489)</f>
        <v>五冶建设扩建艺体中学二期工程</v>
      </c>
    </row>
    <row r="2490" hidden="1" spans="2:18">
      <c r="B2490" s="33" t="s">
        <v>167</v>
      </c>
      <c r="C2490" s="63">
        <v>45866</v>
      </c>
      <c r="D2490" s="33" t="str">
        <f>VLOOKUP(B2490,辅助信息!E:K,7,FALSE)</f>
        <v>JWDDCD2025102100473</v>
      </c>
      <c r="E2490" s="33" t="str">
        <f>VLOOKUP(F2490,辅助信息!A:B,2,FALSE)</f>
        <v>螺纹钢</v>
      </c>
      <c r="F2490" s="33" t="s">
        <v>45</v>
      </c>
      <c r="G2490" s="29">
        <v>5</v>
      </c>
      <c r="H2490" s="127">
        <f>_xlfn.XLOOKUP(C2490&amp;F2490&amp;I2490&amp;J2490,'[1]2025年已发货'!$F:$F&amp;'[1]2025年已发货'!$C:$C&amp;'[1]2025年已发货'!$G:$G&amp;'[1]2025年已发货'!$H:$H,'[1]2025年已发货'!$E:$E,"未发货")</f>
        <v>5</v>
      </c>
      <c r="I2490" s="33" t="str">
        <f>VLOOKUP(B2490,辅助信息!E:I,3,FALSE)</f>
        <v>(五冶建设扩建艺体中学二期工程)四川省成都市双流区光荣路成都艺体中学南200米</v>
      </c>
      <c r="J2490" s="33" t="str">
        <f>VLOOKUP(B2490,辅助信息!E:I,4,FALSE)</f>
        <v>谢序强</v>
      </c>
      <c r="K2490" s="33">
        <f>VLOOKUP(J2490,辅助信息!H:I,2,FALSE)</f>
        <v>13458588232</v>
      </c>
      <c r="L2490" s="102"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84">
        <v>45866</v>
      </c>
      <c r="O2490" s="55">
        <f ca="1" t="shared" si="157"/>
        <v>0</v>
      </c>
      <c r="P2490" s="55">
        <f ca="1" t="shared" si="158"/>
        <v>91</v>
      </c>
      <c r="Q2490" s="22" t="str">
        <f>VLOOKUP(B2490,辅助信息!E:M,9,FALSE)</f>
        <v>ZTWM-CDGS-XS-2025-0073-五冶天府-成都怡心湖片区及龙泉驿医院等项目</v>
      </c>
      <c r="R2490" s="22" t="str">
        <f>_xlfn._xlws.FILTER(辅助信息!D:D,辅助信息!E:E=B2490)</f>
        <v>五冶建设扩建艺体中学二期工程</v>
      </c>
    </row>
    <row r="2491" hidden="1" spans="2:18">
      <c r="B2491" s="33" t="s">
        <v>167</v>
      </c>
      <c r="C2491" s="63">
        <v>45866</v>
      </c>
      <c r="D2491" s="33" t="str">
        <f>VLOOKUP(B2491,辅助信息!E:K,7,FALSE)</f>
        <v>JWDDCD2025102100473</v>
      </c>
      <c r="E2491" s="33" t="str">
        <f>VLOOKUP(F2491,辅助信息!A:B,2,FALSE)</f>
        <v>螺纹钢</v>
      </c>
      <c r="F2491" s="33" t="s">
        <v>21</v>
      </c>
      <c r="G2491" s="29">
        <v>5</v>
      </c>
      <c r="H2491" s="127">
        <f>_xlfn.XLOOKUP(C2491&amp;F2491&amp;I2491&amp;J2491,'[1]2025年已发货'!$F:$F&amp;'[1]2025年已发货'!$C:$C&amp;'[1]2025年已发货'!$G:$G&amp;'[1]2025年已发货'!$H:$H,'[1]2025年已发货'!$E:$E,"未发货")</f>
        <v>5</v>
      </c>
      <c r="I2491" s="33" t="str">
        <f>VLOOKUP(B2491,辅助信息!E:I,3,FALSE)</f>
        <v>(五冶建设扩建艺体中学二期工程)四川省成都市双流区光荣路成都艺体中学南200米</v>
      </c>
      <c r="J2491" s="33" t="str">
        <f>VLOOKUP(B2491,辅助信息!E:I,4,FALSE)</f>
        <v>谢序强</v>
      </c>
      <c r="K2491" s="33">
        <f>VLOOKUP(J2491,辅助信息!H:I,2,FALSE)</f>
        <v>13458588232</v>
      </c>
      <c r="L2491" s="102"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84">
        <v>45866</v>
      </c>
      <c r="O2491" s="55">
        <f ca="1" t="shared" si="157"/>
        <v>0</v>
      </c>
      <c r="P2491" s="55">
        <f ca="1" t="shared" si="158"/>
        <v>91</v>
      </c>
      <c r="Q2491" s="22" t="str">
        <f>VLOOKUP(B2491,辅助信息!E:M,9,FALSE)</f>
        <v>ZTWM-CDGS-XS-2025-0073-五冶天府-成都怡心湖片区及龙泉驿医院等项目</v>
      </c>
      <c r="R2491" s="22" t="str">
        <f>_xlfn._xlws.FILTER(辅助信息!D:D,辅助信息!E:E=B2491)</f>
        <v>五冶建设扩建艺体中学二期工程</v>
      </c>
    </row>
    <row r="2492" hidden="1" spans="2:18">
      <c r="B2492" s="33" t="s">
        <v>167</v>
      </c>
      <c r="C2492" s="63">
        <v>45866</v>
      </c>
      <c r="D2492" s="33" t="str">
        <f>VLOOKUP(B2492,辅助信息!E:K,7,FALSE)</f>
        <v>JWDDCD2025102100473</v>
      </c>
      <c r="E2492" s="33" t="str">
        <f>VLOOKUP(F2492,辅助信息!A:B,2,FALSE)</f>
        <v>螺纹钢</v>
      </c>
      <c r="F2492" s="33" t="s">
        <v>58</v>
      </c>
      <c r="G2492" s="29">
        <v>10</v>
      </c>
      <c r="H2492" s="127">
        <f>_xlfn.XLOOKUP(C2492&amp;F2492&amp;I2492&amp;J2492,'[1]2025年已发货'!$F:$F&amp;'[1]2025年已发货'!$C:$C&amp;'[1]2025年已发货'!$G:$G&amp;'[1]2025年已发货'!$H:$H,'[1]2025年已发货'!$E:$E,"未发货")</f>
        <v>10</v>
      </c>
      <c r="I2492" s="33" t="str">
        <f>VLOOKUP(B2492,辅助信息!E:I,3,FALSE)</f>
        <v>(五冶建设扩建艺体中学二期工程)四川省成都市双流区光荣路成都艺体中学南200米</v>
      </c>
      <c r="J2492" s="33" t="str">
        <f>VLOOKUP(B2492,辅助信息!E:I,4,FALSE)</f>
        <v>谢序强</v>
      </c>
      <c r="K2492" s="33">
        <f>VLOOKUP(J2492,辅助信息!H:I,2,FALSE)</f>
        <v>13458588232</v>
      </c>
      <c r="L2492" s="102"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84">
        <v>45866</v>
      </c>
      <c r="O2492" s="55">
        <f ca="1" t="shared" si="157"/>
        <v>0</v>
      </c>
      <c r="P2492" s="55">
        <f ca="1" t="shared" si="158"/>
        <v>91</v>
      </c>
      <c r="Q2492" s="22" t="str">
        <f>VLOOKUP(B2492,辅助信息!E:M,9,FALSE)</f>
        <v>ZTWM-CDGS-XS-2025-0073-五冶天府-成都怡心湖片区及龙泉驿医院等项目</v>
      </c>
      <c r="R2492" s="22" t="str">
        <f>_xlfn._xlws.FILTER(辅助信息!D:D,辅助信息!E:E=B2492)</f>
        <v>五冶建设扩建艺体中学二期工程</v>
      </c>
    </row>
    <row r="2493" hidden="1" spans="2:18">
      <c r="B2493" s="33" t="s">
        <v>167</v>
      </c>
      <c r="C2493" s="63">
        <v>45866</v>
      </c>
      <c r="D2493" s="33" t="str">
        <f>VLOOKUP(B2493,辅助信息!E:K,7,FALSE)</f>
        <v>JWDDCD2025102100473</v>
      </c>
      <c r="E2493" s="33" t="str">
        <f>VLOOKUP(F2493,辅助信息!A:B,2,FALSE)</f>
        <v>螺纹钢</v>
      </c>
      <c r="F2493" s="33" t="s">
        <v>46</v>
      </c>
      <c r="G2493" s="29">
        <v>10</v>
      </c>
      <c r="H2493" s="127">
        <f>_xlfn.XLOOKUP(C2493&amp;F2493&amp;I2493&amp;J2493,'[1]2025年已发货'!$F:$F&amp;'[1]2025年已发货'!$C:$C&amp;'[1]2025年已发货'!$G:$G&amp;'[1]2025年已发货'!$H:$H,'[1]2025年已发货'!$E:$E,"未发货")</f>
        <v>10</v>
      </c>
      <c r="I2493" s="33" t="str">
        <f>VLOOKUP(B2493,辅助信息!E:I,3,FALSE)</f>
        <v>(五冶建设扩建艺体中学二期工程)四川省成都市双流区光荣路成都艺体中学南200米</v>
      </c>
      <c r="J2493" s="33" t="str">
        <f>VLOOKUP(B2493,辅助信息!E:I,4,FALSE)</f>
        <v>谢序强</v>
      </c>
      <c r="K2493" s="33">
        <f>VLOOKUP(J2493,辅助信息!H:I,2,FALSE)</f>
        <v>13458588232</v>
      </c>
      <c r="L2493" s="102"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84">
        <v>45866</v>
      </c>
      <c r="O2493" s="55">
        <f ca="1" t="shared" si="157"/>
        <v>0</v>
      </c>
      <c r="P2493" s="55">
        <f ca="1" t="shared" si="158"/>
        <v>91</v>
      </c>
      <c r="Q2493" s="22" t="str">
        <f>VLOOKUP(B2493,辅助信息!E:M,9,FALSE)</f>
        <v>ZTWM-CDGS-XS-2025-0073-五冶天府-成都怡心湖片区及龙泉驿医院等项目</v>
      </c>
      <c r="R2493" s="22" t="str">
        <f>_xlfn._xlws.FILTER(辅助信息!D:D,辅助信息!E:E=B2493)</f>
        <v>五冶建设扩建艺体中学二期工程</v>
      </c>
    </row>
    <row r="2494" hidden="1" spans="2:18">
      <c r="B2494" s="33" t="s">
        <v>167</v>
      </c>
      <c r="C2494" s="63">
        <v>45866</v>
      </c>
      <c r="D2494" s="33" t="str">
        <f>VLOOKUP(B2494,辅助信息!E:K,7,FALSE)</f>
        <v>JWDDCD2025102100473</v>
      </c>
      <c r="E2494" s="33" t="str">
        <f>VLOOKUP(F2494,辅助信息!A:B,2,FALSE)</f>
        <v>螺纹钢</v>
      </c>
      <c r="F2494" s="33" t="s">
        <v>22</v>
      </c>
      <c r="G2494" s="29">
        <v>50</v>
      </c>
      <c r="H2494" s="127">
        <f>_xlfn.XLOOKUP(C2494&amp;F2494&amp;I2494&amp;J2494,'[1]2025年已发货'!$F:$F&amp;'[1]2025年已发货'!$C:$C&amp;'[1]2025年已发货'!$G:$G&amp;'[1]2025年已发货'!$H:$H,'[1]2025年已发货'!$E:$E,"未发货")</f>
        <v>50</v>
      </c>
      <c r="I2494" s="33" t="str">
        <f>VLOOKUP(B2494,辅助信息!E:I,3,FALSE)</f>
        <v>(五冶建设扩建艺体中学二期工程)四川省成都市双流区光荣路成都艺体中学南200米</v>
      </c>
      <c r="J2494" s="33" t="str">
        <f>VLOOKUP(B2494,辅助信息!E:I,4,FALSE)</f>
        <v>谢序强</v>
      </c>
      <c r="K2494" s="33">
        <f>VLOOKUP(J2494,辅助信息!H:I,2,FALSE)</f>
        <v>13458588232</v>
      </c>
      <c r="L2494" s="102"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84">
        <v>45866</v>
      </c>
      <c r="O2494" s="55">
        <f ca="1" t="shared" si="157"/>
        <v>0</v>
      </c>
      <c r="P2494" s="55">
        <f ca="1" t="shared" si="158"/>
        <v>91</v>
      </c>
      <c r="Q2494" s="22" t="str">
        <f>VLOOKUP(B2494,辅助信息!E:M,9,FALSE)</f>
        <v>ZTWM-CDGS-XS-2025-0073-五冶天府-成都怡心湖片区及龙泉驿医院等项目</v>
      </c>
      <c r="R2494" s="22" t="str">
        <f>_xlfn._xlws.FILTER(辅助信息!D:D,辅助信息!E:E=B2494)</f>
        <v>五冶建设扩建艺体中学二期工程</v>
      </c>
    </row>
    <row r="2495" hidden="1" spans="2:18">
      <c r="B2495" s="33" t="s">
        <v>167</v>
      </c>
      <c r="C2495" s="63">
        <v>45866</v>
      </c>
      <c r="D2495" s="33" t="str">
        <f>VLOOKUP(B2495,辅助信息!E:K,7,FALSE)</f>
        <v>JWDDCD2025102100473</v>
      </c>
      <c r="E2495" s="33" t="str">
        <f>VLOOKUP(F2495,辅助信息!A:B,2,FALSE)</f>
        <v>螺纹钢</v>
      </c>
      <c r="F2495" s="33" t="s">
        <v>181</v>
      </c>
      <c r="G2495" s="29">
        <v>10</v>
      </c>
      <c r="H2495" s="127">
        <f>_xlfn.XLOOKUP(C2495&amp;F2495&amp;I2495&amp;J2495,'[1]2025年已发货'!$F:$F&amp;'[1]2025年已发货'!$C:$C&amp;'[1]2025年已发货'!$G:$G&amp;'[1]2025年已发货'!$H:$H,'[1]2025年已发货'!$E:$E,"未发货")</f>
        <v>10</v>
      </c>
      <c r="I2495" s="33" t="str">
        <f>VLOOKUP(B2495,辅助信息!E:I,3,FALSE)</f>
        <v>(五冶建设扩建艺体中学二期工程)四川省成都市双流区光荣路成都艺体中学南200米</v>
      </c>
      <c r="J2495" s="33" t="str">
        <f>VLOOKUP(B2495,辅助信息!E:I,4,FALSE)</f>
        <v>谢序强</v>
      </c>
      <c r="K2495" s="33">
        <f>VLOOKUP(J2495,辅助信息!H:I,2,FALSE)</f>
        <v>13458588232</v>
      </c>
      <c r="L2495" s="102"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84">
        <v>45866</v>
      </c>
      <c r="O2495" s="55">
        <f ca="1" t="shared" si="157"/>
        <v>0</v>
      </c>
      <c r="P2495" s="55">
        <f ca="1" t="shared" si="158"/>
        <v>91</v>
      </c>
      <c r="Q2495" s="22" t="str">
        <f>VLOOKUP(B2495,辅助信息!E:M,9,FALSE)</f>
        <v>ZTWM-CDGS-XS-2025-0073-五冶天府-成都怡心湖片区及龙泉驿医院等项目</v>
      </c>
      <c r="R2495" s="22" t="str">
        <f>_xlfn._xlws.FILTER(辅助信息!D:D,辅助信息!E:E=B2495)</f>
        <v>五冶建设扩建艺体中学二期工程</v>
      </c>
    </row>
    <row r="2496" hidden="1" spans="2:18">
      <c r="B2496" s="33" t="s">
        <v>47</v>
      </c>
      <c r="C2496" s="63">
        <v>45866</v>
      </c>
      <c r="D2496" s="33" t="str">
        <f>VLOOKUP(B2496,辅助信息!E:K,7,FALSE)</f>
        <v>JWDDCD2025052800131</v>
      </c>
      <c r="E2496" s="33" t="str">
        <f>VLOOKUP(F2496,辅助信息!A:B,2,FALSE)</f>
        <v>盘螺</v>
      </c>
      <c r="F2496" s="33" t="s">
        <v>40</v>
      </c>
      <c r="G2496" s="29">
        <v>27</v>
      </c>
      <c r="H2496" s="127">
        <f>_xlfn.XLOOKUP(C2496&amp;F2496&amp;I2496&amp;J2496,'[1]2025年已发货'!$F:$F&amp;'[1]2025年已发货'!$C:$C&amp;'[1]2025年已发货'!$G:$G&amp;'[1]2025年已发货'!$H:$H,'[1]2025年已发货'!$E:$E,"未发货")</f>
        <v>27</v>
      </c>
      <c r="I2496" s="33" t="str">
        <f>VLOOKUP(B2496,辅助信息!E:I,3,FALSE)</f>
        <v>（商投建工达州中医药科技园-1工区）达州市通川区达州中医药职业学院犀牛大道北段</v>
      </c>
      <c r="J2496" s="33" t="str">
        <f>VLOOKUP(B2496,辅助信息!E:I,4,FALSE)</f>
        <v>程黄刚</v>
      </c>
      <c r="K2496" s="33">
        <f>VLOOKUP(J2496,辅助信息!H:I,2,FALSE)</f>
        <v>15108211617</v>
      </c>
      <c r="L2496" s="102" t="str">
        <f>VLOOKUP(B2496,辅助信息!E:J,6,FALSE)</f>
        <v>控制炉批号！多了现场不收！,优先安排达钢,提前联系到场规格及数量</v>
      </c>
      <c r="M2496" s="84">
        <v>45866</v>
      </c>
      <c r="O2496" s="55">
        <f ca="1" t="shared" si="157"/>
        <v>0</v>
      </c>
      <c r="P2496" s="55">
        <f ca="1" t="shared" si="158"/>
        <v>91</v>
      </c>
      <c r="Q2496" s="22" t="str">
        <f>VLOOKUP(B2496,辅助信息!E:M,9,FALSE)</f>
        <v>ZTWM-CDGS-XS-2024-0134-商投建工达州中医药科技成果示范园项目</v>
      </c>
      <c r="R2496" s="22" t="str">
        <f>_xlfn._xlws.FILTER(辅助信息!D:D,辅助信息!E:E=B2496)</f>
        <v>商投建工达州中医药科技园</v>
      </c>
    </row>
    <row r="2497" hidden="1" spans="2:18">
      <c r="B2497" s="33" t="s">
        <v>47</v>
      </c>
      <c r="C2497" s="63">
        <v>45866</v>
      </c>
      <c r="D2497" s="33" t="str">
        <f>VLOOKUP(B2497,辅助信息!E:K,7,FALSE)</f>
        <v>JWDDCD2025052800131</v>
      </c>
      <c r="E2497" s="33" t="str">
        <f>VLOOKUP(F2497,辅助信息!A:B,2,FALSE)</f>
        <v>盘螺</v>
      </c>
      <c r="F2497" s="33" t="s">
        <v>41</v>
      </c>
      <c r="G2497" s="29">
        <v>9</v>
      </c>
      <c r="H2497" s="127">
        <f>_xlfn.XLOOKUP(C2497&amp;F2497&amp;I2497&amp;J2497,'[1]2025年已发货'!$F:$F&amp;'[1]2025年已发货'!$C:$C&amp;'[1]2025年已发货'!$G:$G&amp;'[1]2025年已发货'!$H:$H,'[1]2025年已发货'!$E:$E,"未发货")</f>
        <v>10</v>
      </c>
      <c r="I2497" s="33" t="str">
        <f>VLOOKUP(B2497,辅助信息!E:I,3,FALSE)</f>
        <v>（商投建工达州中医药科技园-1工区）达州市通川区达州中医药职业学院犀牛大道北段</v>
      </c>
      <c r="J2497" s="33" t="str">
        <f>VLOOKUP(B2497,辅助信息!E:I,4,FALSE)</f>
        <v>程黄刚</v>
      </c>
      <c r="K2497" s="33">
        <f>VLOOKUP(J2497,辅助信息!H:I,2,FALSE)</f>
        <v>15108211617</v>
      </c>
      <c r="L2497" s="102" t="str">
        <f>VLOOKUP(B2497,辅助信息!E:J,6,FALSE)</f>
        <v>控制炉批号！多了现场不收！,优先安排达钢,提前联系到场规格及数量</v>
      </c>
      <c r="M2497" s="84">
        <v>45866</v>
      </c>
      <c r="O2497" s="55">
        <f ca="1" t="shared" si="157"/>
        <v>0</v>
      </c>
      <c r="P2497" s="55">
        <f ca="1" t="shared" si="158"/>
        <v>91</v>
      </c>
      <c r="Q2497" s="22" t="str">
        <f>VLOOKUP(B2497,辅助信息!E:M,9,FALSE)</f>
        <v>ZTWM-CDGS-XS-2024-0134-商投建工达州中医药科技成果示范园项目</v>
      </c>
      <c r="R2497" s="22" t="str">
        <f>_xlfn._xlws.FILTER(辅助信息!D:D,辅助信息!E:E=B2497)</f>
        <v>商投建工达州中医药科技园</v>
      </c>
    </row>
    <row r="2498" hidden="1" spans="2:18">
      <c r="B2498" s="33" t="s">
        <v>47</v>
      </c>
      <c r="C2498" s="63">
        <v>45866</v>
      </c>
      <c r="D2498" s="33" t="str">
        <f>VLOOKUP(B2498,辅助信息!E:K,7,FALSE)</f>
        <v>JWDDCD2025052800131</v>
      </c>
      <c r="E2498" s="33" t="str">
        <f>VLOOKUP(F2498,辅助信息!A:B,2,FALSE)</f>
        <v>螺纹钢</v>
      </c>
      <c r="F2498" s="33" t="s">
        <v>45</v>
      </c>
      <c r="G2498" s="29">
        <v>6</v>
      </c>
      <c r="H2498" s="127">
        <f>_xlfn.XLOOKUP(C2498&amp;F2498&amp;I2498&amp;J2498,'[1]2025年已发货'!$F:$F&amp;'[1]2025年已发货'!$C:$C&amp;'[1]2025年已发货'!$G:$G&amp;'[1]2025年已发货'!$H:$H,'[1]2025年已发货'!$E:$E,"未发货")</f>
        <v>5</v>
      </c>
      <c r="I2498" s="33" t="str">
        <f>VLOOKUP(B2498,辅助信息!E:I,3,FALSE)</f>
        <v>（商投建工达州中医药科技园-1工区）达州市通川区达州中医药职业学院犀牛大道北段</v>
      </c>
      <c r="J2498" s="33" t="str">
        <f>VLOOKUP(B2498,辅助信息!E:I,4,FALSE)</f>
        <v>程黄刚</v>
      </c>
      <c r="K2498" s="33">
        <f>VLOOKUP(J2498,辅助信息!H:I,2,FALSE)</f>
        <v>15108211617</v>
      </c>
      <c r="L2498" s="102" t="str">
        <f>VLOOKUP(B2498,辅助信息!E:J,6,FALSE)</f>
        <v>控制炉批号！多了现场不收！,优先安排达钢,提前联系到场规格及数量</v>
      </c>
      <c r="M2498" s="84">
        <v>45866</v>
      </c>
      <c r="O2498" s="55">
        <f ca="1" t="shared" si="157"/>
        <v>0</v>
      </c>
      <c r="P2498" s="55">
        <f ca="1" t="shared" si="158"/>
        <v>91</v>
      </c>
      <c r="Q2498" s="22" t="str">
        <f>VLOOKUP(B2498,辅助信息!E:M,9,FALSE)</f>
        <v>ZTWM-CDGS-XS-2024-0134-商投建工达州中医药科技成果示范园项目</v>
      </c>
      <c r="R2498" s="22" t="str">
        <f>_xlfn._xlws.FILTER(辅助信息!D:D,辅助信息!E:E=B2498)</f>
        <v>商投建工达州中医药科技园</v>
      </c>
    </row>
    <row r="2499" hidden="1" spans="2:18">
      <c r="B2499" s="33" t="s">
        <v>47</v>
      </c>
      <c r="C2499" s="63">
        <v>45866</v>
      </c>
      <c r="D2499" s="33" t="str">
        <f>VLOOKUP(B2499,辅助信息!E:K,7,FALSE)</f>
        <v>JWDDCD2025052800131</v>
      </c>
      <c r="E2499" s="33" t="str">
        <f>VLOOKUP(F2499,辅助信息!A:B,2,FALSE)</f>
        <v>螺纹钢</v>
      </c>
      <c r="F2499" s="33" t="s">
        <v>21</v>
      </c>
      <c r="G2499" s="29">
        <v>12</v>
      </c>
      <c r="H2499" s="127">
        <f>_xlfn.XLOOKUP(C2499&amp;F2499&amp;I2499&amp;J2499,'[1]2025年已发货'!$F:$F&amp;'[1]2025年已发货'!$C:$C&amp;'[1]2025年已发货'!$G:$G&amp;'[1]2025年已发货'!$H:$H,'[1]2025年已发货'!$E:$E,"未发货")</f>
        <v>12.5</v>
      </c>
      <c r="I2499" s="33" t="str">
        <f>VLOOKUP(B2499,辅助信息!E:I,3,FALSE)</f>
        <v>（商投建工达州中医药科技园-1工区）达州市通川区达州中医药职业学院犀牛大道北段</v>
      </c>
      <c r="J2499" s="33" t="str">
        <f>VLOOKUP(B2499,辅助信息!E:I,4,FALSE)</f>
        <v>程黄刚</v>
      </c>
      <c r="K2499" s="33">
        <f>VLOOKUP(J2499,辅助信息!H:I,2,FALSE)</f>
        <v>15108211617</v>
      </c>
      <c r="L2499" s="102" t="str">
        <f>VLOOKUP(B2499,辅助信息!E:J,6,FALSE)</f>
        <v>控制炉批号！多了现场不收！,优先安排达钢,提前联系到场规格及数量</v>
      </c>
      <c r="M2499" s="84">
        <v>45866</v>
      </c>
      <c r="O2499" s="55">
        <f ca="1" t="shared" si="157"/>
        <v>0</v>
      </c>
      <c r="P2499" s="55">
        <f ca="1" t="shared" si="158"/>
        <v>91</v>
      </c>
      <c r="Q2499" s="22" t="str">
        <f>VLOOKUP(B2499,辅助信息!E:M,9,FALSE)</f>
        <v>ZTWM-CDGS-XS-2024-0134-商投建工达州中医药科技成果示范园项目</v>
      </c>
      <c r="R2499" s="22" t="str">
        <f>_xlfn._xlws.FILTER(辅助信息!D:D,辅助信息!E:E=B2499)</f>
        <v>商投建工达州中医药科技园</v>
      </c>
    </row>
    <row r="2500" hidden="1" spans="2:18">
      <c r="B2500" s="33" t="s">
        <v>47</v>
      </c>
      <c r="C2500" s="63">
        <v>45866</v>
      </c>
      <c r="D2500" s="33" t="str">
        <f>VLOOKUP(B2500,辅助信息!E:K,7,FALSE)</f>
        <v>JWDDCD2025052800131</v>
      </c>
      <c r="E2500" s="33" t="str">
        <f>VLOOKUP(F2500,辅助信息!A:B,2,FALSE)</f>
        <v>螺纹钢</v>
      </c>
      <c r="F2500" s="33" t="s">
        <v>58</v>
      </c>
      <c r="G2500" s="29">
        <v>15</v>
      </c>
      <c r="H2500" s="127">
        <f>_xlfn.XLOOKUP(C2500&amp;F2500&amp;I2500&amp;J2500,'[1]2025年已发货'!$F:$F&amp;'[1]2025年已发货'!$C:$C&amp;'[1]2025年已发货'!$G:$G&amp;'[1]2025年已发货'!$H:$H,'[1]2025年已发货'!$E:$E,"未发货")</f>
        <v>12.5</v>
      </c>
      <c r="I2500" s="33" t="str">
        <f>VLOOKUP(B2500,辅助信息!E:I,3,FALSE)</f>
        <v>（商投建工达州中医药科技园-1工区）达州市通川区达州中医药职业学院犀牛大道北段</v>
      </c>
      <c r="J2500" s="33" t="str">
        <f>VLOOKUP(B2500,辅助信息!E:I,4,FALSE)</f>
        <v>程黄刚</v>
      </c>
      <c r="K2500" s="33">
        <f>VLOOKUP(J2500,辅助信息!H:I,2,FALSE)</f>
        <v>15108211617</v>
      </c>
      <c r="L2500" s="102" t="str">
        <f>VLOOKUP(B2500,辅助信息!E:J,6,FALSE)</f>
        <v>控制炉批号！多了现场不收！,优先安排达钢,提前联系到场规格及数量</v>
      </c>
      <c r="M2500" s="84">
        <v>45866</v>
      </c>
      <c r="O2500" s="55">
        <f ca="1" t="shared" si="157"/>
        <v>0</v>
      </c>
      <c r="P2500" s="55">
        <f ca="1" t="shared" si="158"/>
        <v>91</v>
      </c>
      <c r="Q2500" s="22" t="str">
        <f>VLOOKUP(B2500,辅助信息!E:M,9,FALSE)</f>
        <v>ZTWM-CDGS-XS-2024-0134-商投建工达州中医药科技成果示范园项目</v>
      </c>
      <c r="R2500" s="22" t="str">
        <f>_xlfn._xlws.FILTER(辅助信息!D:D,辅助信息!E:E=B2500)</f>
        <v>商投建工达州中医药科技园</v>
      </c>
    </row>
    <row r="2501" hidden="1" spans="2:18">
      <c r="B2501" s="33" t="s">
        <v>47</v>
      </c>
      <c r="C2501" s="63">
        <v>45866</v>
      </c>
      <c r="D2501" s="33" t="str">
        <f>VLOOKUP(B2501,辅助信息!E:K,7,FALSE)</f>
        <v>JWDDCD2025052800131</v>
      </c>
      <c r="E2501" s="33" t="str">
        <f>VLOOKUP(F2501,辅助信息!A:B,2,FALSE)</f>
        <v>螺纹钢</v>
      </c>
      <c r="F2501" s="33" t="s">
        <v>46</v>
      </c>
      <c r="G2501" s="29">
        <v>6</v>
      </c>
      <c r="H2501" s="127">
        <f>_xlfn.XLOOKUP(C2501&amp;F2501&amp;I2501&amp;J2501,'[1]2025年已发货'!$F:$F&amp;'[1]2025年已发货'!$C:$C&amp;'[1]2025年已发货'!$G:$G&amp;'[1]2025年已发货'!$H:$H,'[1]2025年已发货'!$E:$E,"未发货")</f>
        <v>5</v>
      </c>
      <c r="I2501" s="33" t="str">
        <f>VLOOKUP(B2501,辅助信息!E:I,3,FALSE)</f>
        <v>（商投建工达州中医药科技园-1工区）达州市通川区达州中医药职业学院犀牛大道北段</v>
      </c>
      <c r="J2501" s="33" t="str">
        <f>VLOOKUP(B2501,辅助信息!E:I,4,FALSE)</f>
        <v>程黄刚</v>
      </c>
      <c r="K2501" s="33">
        <f>VLOOKUP(J2501,辅助信息!H:I,2,FALSE)</f>
        <v>15108211617</v>
      </c>
      <c r="L2501" s="102" t="str">
        <f>VLOOKUP(B2501,辅助信息!E:J,6,FALSE)</f>
        <v>控制炉批号！多了现场不收！,优先安排达钢,提前联系到场规格及数量</v>
      </c>
      <c r="M2501" s="84">
        <v>45866</v>
      </c>
      <c r="O2501" s="55">
        <f ca="1" t="shared" si="157"/>
        <v>0</v>
      </c>
      <c r="P2501" s="55">
        <f ca="1" t="shared" si="158"/>
        <v>91</v>
      </c>
      <c r="Q2501" s="22" t="str">
        <f>VLOOKUP(B2501,辅助信息!E:M,9,FALSE)</f>
        <v>ZTWM-CDGS-XS-2024-0134-商投建工达州中医药科技成果示范园项目</v>
      </c>
      <c r="R2501" s="22" t="str">
        <f>_xlfn._xlws.FILTER(辅助信息!D:D,辅助信息!E:E=B2501)</f>
        <v>商投建工达州中医药科技园</v>
      </c>
    </row>
    <row r="2502" hidden="1" spans="2:18">
      <c r="B2502" s="33" t="s">
        <v>47</v>
      </c>
      <c r="C2502" s="63">
        <v>45866</v>
      </c>
      <c r="D2502" s="33" t="str">
        <f>VLOOKUP(B2502,辅助信息!E:K,7,FALSE)</f>
        <v>JWDDCD2025052800131</v>
      </c>
      <c r="E2502" s="33" t="str">
        <f>VLOOKUP(F2502,辅助信息!A:B,2,FALSE)</f>
        <v>螺纹钢</v>
      </c>
      <c r="F2502" s="33" t="s">
        <v>22</v>
      </c>
      <c r="G2502" s="29">
        <v>6</v>
      </c>
      <c r="H2502" s="127">
        <f>_xlfn.XLOOKUP(C2502&amp;F2502&amp;I2502&amp;J2502,'[1]2025年已发货'!$F:$F&amp;'[1]2025年已发货'!$C:$C&amp;'[1]2025年已发货'!$G:$G&amp;'[1]2025年已发货'!$H:$H,'[1]2025年已发货'!$E:$E,"未发货")</f>
        <v>6</v>
      </c>
      <c r="I2502" s="33" t="str">
        <f>VLOOKUP(B2502,辅助信息!E:I,3,FALSE)</f>
        <v>（商投建工达州中医药科技园-1工区）达州市通川区达州中医药职业学院犀牛大道北段</v>
      </c>
      <c r="J2502" s="33" t="str">
        <f>VLOOKUP(B2502,辅助信息!E:I,4,FALSE)</f>
        <v>程黄刚</v>
      </c>
      <c r="K2502" s="33">
        <f>VLOOKUP(J2502,辅助信息!H:I,2,FALSE)</f>
        <v>15108211617</v>
      </c>
      <c r="L2502" s="102" t="str">
        <f>VLOOKUP(B2502,辅助信息!E:J,6,FALSE)</f>
        <v>控制炉批号！多了现场不收！,优先安排达钢,提前联系到场规格及数量</v>
      </c>
      <c r="M2502" s="84">
        <v>45866</v>
      </c>
      <c r="O2502" s="55">
        <f ca="1" t="shared" si="157"/>
        <v>0</v>
      </c>
      <c r="P2502" s="55">
        <f ca="1" t="shared" si="158"/>
        <v>91</v>
      </c>
      <c r="Q2502" s="22" t="str">
        <f>VLOOKUP(B2502,辅助信息!E:M,9,FALSE)</f>
        <v>ZTWM-CDGS-XS-2024-0134-商投建工达州中医药科技成果示范园项目</v>
      </c>
      <c r="R2502" s="22" t="str">
        <f>_xlfn._xlws.FILTER(辅助信息!D:D,辅助信息!E:E=B2502)</f>
        <v>商投建工达州中医药科技园</v>
      </c>
    </row>
    <row r="2503" hidden="1" spans="2:18">
      <c r="B2503" s="33" t="s">
        <v>92</v>
      </c>
      <c r="C2503" s="63">
        <v>45866</v>
      </c>
      <c r="D2503" s="33" t="str">
        <f>VLOOKUP(B2503,辅助信息!E:K,7,FALSE)</f>
        <v>JWDDCD2025051800046</v>
      </c>
      <c r="E2503" s="33" t="str">
        <f>VLOOKUP(F2503,辅助信息!A:B,2,FALSE)</f>
        <v>盘螺</v>
      </c>
      <c r="F2503" s="33" t="s">
        <v>40</v>
      </c>
      <c r="G2503" s="29">
        <v>20</v>
      </c>
      <c r="H2503" s="127">
        <f>_xlfn.XLOOKUP(C2503&amp;F2503&amp;I2503&amp;J2503,'[1]2025年已发货'!$F:$F&amp;'[1]2025年已发货'!$C:$C&amp;'[1]2025年已发货'!$G:$G&amp;'[1]2025年已发货'!$H:$H,'[1]2025年已发货'!$E:$E,"未发货")</f>
        <v>20</v>
      </c>
      <c r="I2503" s="33" t="str">
        <f>VLOOKUP(B2503,辅助信息!E:I,3,FALSE)</f>
        <v>（华西萌海科创农业生态谷）成都市简阳市白金山水库</v>
      </c>
      <c r="J2503" s="33" t="str">
        <f>VLOOKUP(B2503,辅助信息!E:I,4,FALSE)</f>
        <v>石清国</v>
      </c>
      <c r="K2503" s="33">
        <f>VLOOKUP(J2503,辅助信息!H:I,2,FALSE)</f>
        <v>13458642015</v>
      </c>
      <c r="L2503" s="102" t="str">
        <f>VLOOKUP(B2503,辅助信息!E:J,6,FALSE)</f>
        <v>优先威钢,我方卸车,新老国标钢厂不加价可直发</v>
      </c>
      <c r="M2503" s="84">
        <v>45869</v>
      </c>
      <c r="O2503" s="55">
        <f ca="1" t="shared" si="157"/>
        <v>0</v>
      </c>
      <c r="P2503" s="55">
        <f ca="1" t="shared" si="158"/>
        <v>88</v>
      </c>
      <c r="Q2503" s="22" t="str">
        <f>VLOOKUP(B2503,辅助信息!E:M,9,FALSE)</f>
        <v>ZTWM-CDGS-XS-2024-0092-华西-萌海科创农业生态谷</v>
      </c>
      <c r="R2503" s="22" t="str">
        <f>_xlfn._xlws.FILTER(辅助信息!D:D,辅助信息!E:E=B2503)</f>
        <v>华西萌海-科创农业生态谷</v>
      </c>
    </row>
    <row r="2504" hidden="1" spans="2:18">
      <c r="B2504" s="33" t="s">
        <v>92</v>
      </c>
      <c r="C2504" s="63">
        <v>45866</v>
      </c>
      <c r="D2504" s="33" t="str">
        <f>VLOOKUP(B2504,辅助信息!E:K,7,FALSE)</f>
        <v>JWDDCD2025051800046</v>
      </c>
      <c r="E2504" s="33" t="str">
        <f>VLOOKUP(F2504,辅助信息!A:B,2,FALSE)</f>
        <v>盘螺</v>
      </c>
      <c r="F2504" s="33" t="s">
        <v>41</v>
      </c>
      <c r="G2504" s="29">
        <v>20</v>
      </c>
      <c r="H2504" s="127">
        <f>_xlfn.XLOOKUP(C2504&amp;F2504&amp;I2504&amp;J2504,'[1]2025年已发货'!$F:$F&amp;'[1]2025年已发货'!$C:$C&amp;'[1]2025年已发货'!$G:$G&amp;'[1]2025年已发货'!$H:$H,'[1]2025年已发货'!$E:$E,"未发货")</f>
        <v>20</v>
      </c>
      <c r="I2504" s="33" t="str">
        <f>VLOOKUP(B2504,辅助信息!E:I,3,FALSE)</f>
        <v>（华西萌海科创农业生态谷）成都市简阳市白金山水库</v>
      </c>
      <c r="J2504" s="33" t="str">
        <f>VLOOKUP(B2504,辅助信息!E:I,4,FALSE)</f>
        <v>石清国</v>
      </c>
      <c r="K2504" s="33">
        <f>VLOOKUP(J2504,辅助信息!H:I,2,FALSE)</f>
        <v>13458642015</v>
      </c>
      <c r="L2504" s="102" t="str">
        <f>VLOOKUP(B2504,辅助信息!E:J,6,FALSE)</f>
        <v>优先威钢,我方卸车,新老国标钢厂不加价可直发</v>
      </c>
      <c r="M2504" s="84">
        <v>45869</v>
      </c>
      <c r="O2504" s="55">
        <f ca="1" t="shared" si="157"/>
        <v>0</v>
      </c>
      <c r="P2504" s="55">
        <f ca="1" t="shared" si="158"/>
        <v>88</v>
      </c>
      <c r="Q2504" s="22" t="str">
        <f>VLOOKUP(B2504,辅助信息!E:M,9,FALSE)</f>
        <v>ZTWM-CDGS-XS-2024-0092-华西-萌海科创农业生态谷</v>
      </c>
      <c r="R2504" s="22" t="str">
        <f>_xlfn._xlws.FILTER(辅助信息!D:D,辅助信息!E:E=B2504)</f>
        <v>华西萌海-科创农业生态谷</v>
      </c>
    </row>
    <row r="2505" hidden="1" spans="2:18">
      <c r="B2505" s="33" t="s">
        <v>92</v>
      </c>
      <c r="C2505" s="63">
        <v>45866</v>
      </c>
      <c r="D2505" s="33" t="str">
        <f>VLOOKUP(B2505,辅助信息!E:K,7,FALSE)</f>
        <v>JWDDCD2025051800046</v>
      </c>
      <c r="E2505" s="33" t="str">
        <f>VLOOKUP(F2505,辅助信息!A:B,2,FALSE)</f>
        <v>螺纹钢</v>
      </c>
      <c r="F2505" s="33" t="s">
        <v>27</v>
      </c>
      <c r="G2505" s="29">
        <v>10</v>
      </c>
      <c r="H2505" s="127">
        <f>_xlfn.XLOOKUP(C2505&amp;F2505&amp;I2505&amp;J2505,'[1]2025年已发货'!$F:$F&amp;'[1]2025年已发货'!$C:$C&amp;'[1]2025年已发货'!$G:$G&amp;'[1]2025年已发货'!$H:$H,'[1]2025年已发货'!$E:$E,"未发货")</f>
        <v>10</v>
      </c>
      <c r="I2505" s="33" t="str">
        <f>VLOOKUP(B2505,辅助信息!E:I,3,FALSE)</f>
        <v>（华西萌海科创农业生态谷）成都市简阳市白金山水库</v>
      </c>
      <c r="J2505" s="33" t="str">
        <f>VLOOKUP(B2505,辅助信息!E:I,4,FALSE)</f>
        <v>石清国</v>
      </c>
      <c r="K2505" s="33">
        <f>VLOOKUP(J2505,辅助信息!H:I,2,FALSE)</f>
        <v>13458642015</v>
      </c>
      <c r="L2505" s="102" t="str">
        <f>VLOOKUP(B2505,辅助信息!E:J,6,FALSE)</f>
        <v>优先威钢,我方卸车,新老国标钢厂不加价可直发</v>
      </c>
      <c r="M2505" s="84">
        <v>45869</v>
      </c>
      <c r="O2505" s="55">
        <f ca="1" t="shared" si="157"/>
        <v>0</v>
      </c>
      <c r="P2505" s="55">
        <f ca="1" t="shared" si="158"/>
        <v>88</v>
      </c>
      <c r="Q2505" s="22" t="str">
        <f>VLOOKUP(B2505,辅助信息!E:M,9,FALSE)</f>
        <v>ZTWM-CDGS-XS-2024-0092-华西-萌海科创农业生态谷</v>
      </c>
      <c r="R2505" s="22" t="str">
        <f>_xlfn._xlws.FILTER(辅助信息!D:D,辅助信息!E:E=B2505)</f>
        <v>华西萌海-科创农业生态谷</v>
      </c>
    </row>
    <row r="2506" hidden="1" spans="2:18">
      <c r="B2506" s="33" t="s">
        <v>92</v>
      </c>
      <c r="C2506" s="63">
        <v>45866</v>
      </c>
      <c r="D2506" s="33" t="str">
        <f>VLOOKUP(B2506,辅助信息!E:K,7,FALSE)</f>
        <v>JWDDCD2025051800046</v>
      </c>
      <c r="E2506" s="33" t="str">
        <f>VLOOKUP(F2506,辅助信息!A:B,2,FALSE)</f>
        <v>螺纹钢</v>
      </c>
      <c r="F2506" s="33" t="s">
        <v>19</v>
      </c>
      <c r="G2506" s="29">
        <v>3</v>
      </c>
      <c r="H2506" s="127">
        <f>_xlfn.XLOOKUP(C2506&amp;F2506&amp;I2506&amp;J2506,'[1]2025年已发货'!$F:$F&amp;'[1]2025年已发货'!$C:$C&amp;'[1]2025年已发货'!$G:$G&amp;'[1]2025年已发货'!$H:$H,'[1]2025年已发货'!$E:$E,"未发货")</f>
        <v>3</v>
      </c>
      <c r="I2506" s="33" t="str">
        <f>VLOOKUP(B2506,辅助信息!E:I,3,FALSE)</f>
        <v>（华西萌海科创农业生态谷）成都市简阳市白金山水库</v>
      </c>
      <c r="J2506" s="33" t="str">
        <f>VLOOKUP(B2506,辅助信息!E:I,4,FALSE)</f>
        <v>石清国</v>
      </c>
      <c r="K2506" s="33">
        <f>VLOOKUP(J2506,辅助信息!H:I,2,FALSE)</f>
        <v>13458642015</v>
      </c>
      <c r="L2506" s="102" t="str">
        <f>VLOOKUP(B2506,辅助信息!E:J,6,FALSE)</f>
        <v>优先威钢,我方卸车,新老国标钢厂不加价可直发</v>
      </c>
      <c r="M2506" s="84">
        <v>45869</v>
      </c>
      <c r="O2506" s="55">
        <f ca="1" t="shared" si="157"/>
        <v>0</v>
      </c>
      <c r="P2506" s="55">
        <f ca="1" t="shared" si="158"/>
        <v>88</v>
      </c>
      <c r="Q2506" s="22" t="str">
        <f>VLOOKUP(B2506,辅助信息!E:M,9,FALSE)</f>
        <v>ZTWM-CDGS-XS-2024-0092-华西-萌海科创农业生态谷</v>
      </c>
      <c r="R2506" s="22" t="str">
        <f>_xlfn._xlws.FILTER(辅助信息!D:D,辅助信息!E:E=B2506)</f>
        <v>华西萌海-科创农业生态谷</v>
      </c>
    </row>
    <row r="2507" hidden="1" spans="2:18">
      <c r="B2507" s="33" t="s">
        <v>92</v>
      </c>
      <c r="C2507" s="63">
        <v>45866</v>
      </c>
      <c r="D2507" s="33" t="str">
        <f>VLOOKUP(B2507,辅助信息!E:K,7,FALSE)</f>
        <v>JWDDCD2025051800046</v>
      </c>
      <c r="E2507" s="33" t="str">
        <f>VLOOKUP(F2507,辅助信息!A:B,2,FALSE)</f>
        <v>螺纹钢</v>
      </c>
      <c r="F2507" s="33" t="s">
        <v>82</v>
      </c>
      <c r="G2507" s="29">
        <v>3</v>
      </c>
      <c r="H2507" s="127">
        <f>_xlfn.XLOOKUP(C2507&amp;F2507&amp;I2507&amp;J2507,'[1]2025年已发货'!$F:$F&amp;'[1]2025年已发货'!$C:$C&amp;'[1]2025年已发货'!$G:$G&amp;'[1]2025年已发货'!$H:$H,'[1]2025年已发货'!$E:$E,"未发货")</f>
        <v>3</v>
      </c>
      <c r="I2507" s="33" t="str">
        <f>VLOOKUP(B2507,辅助信息!E:I,3,FALSE)</f>
        <v>（华西萌海科创农业生态谷）成都市简阳市白金山水库</v>
      </c>
      <c r="J2507" s="33" t="str">
        <f>VLOOKUP(B2507,辅助信息!E:I,4,FALSE)</f>
        <v>石清国</v>
      </c>
      <c r="K2507" s="33">
        <f>VLOOKUP(J2507,辅助信息!H:I,2,FALSE)</f>
        <v>13458642015</v>
      </c>
      <c r="L2507" s="102" t="str">
        <f>VLOOKUP(B2507,辅助信息!E:J,6,FALSE)</f>
        <v>优先威钢,我方卸车,新老国标钢厂不加价可直发</v>
      </c>
      <c r="M2507" s="84">
        <v>45869</v>
      </c>
      <c r="O2507" s="55">
        <f ca="1" t="shared" si="157"/>
        <v>0</v>
      </c>
      <c r="P2507" s="55">
        <f ca="1" t="shared" si="158"/>
        <v>88</v>
      </c>
      <c r="Q2507" s="22" t="str">
        <f>VLOOKUP(B2507,辅助信息!E:M,9,FALSE)</f>
        <v>ZTWM-CDGS-XS-2024-0092-华西-萌海科创农业生态谷</v>
      </c>
      <c r="R2507" s="22" t="str">
        <f>_xlfn._xlws.FILTER(辅助信息!D:D,辅助信息!E:E=B2507)</f>
        <v>华西萌海-科创农业生态谷</v>
      </c>
    </row>
    <row r="2508" hidden="1" spans="2:18">
      <c r="B2508" s="33" t="s">
        <v>92</v>
      </c>
      <c r="C2508" s="63">
        <v>45866</v>
      </c>
      <c r="D2508" s="33" t="str">
        <f>VLOOKUP(B2508,辅助信息!E:K,7,FALSE)</f>
        <v>JWDDCD2025051800046</v>
      </c>
      <c r="E2508" s="33" t="str">
        <f>VLOOKUP(F2508,辅助信息!A:B,2,FALSE)</f>
        <v>螺纹钢</v>
      </c>
      <c r="F2508" s="33" t="s">
        <v>45</v>
      </c>
      <c r="G2508" s="29">
        <v>5</v>
      </c>
      <c r="H2508" s="127">
        <f>_xlfn.XLOOKUP(C2508&amp;F2508&amp;I2508&amp;J2508,'[1]2025年已发货'!$F:$F&amp;'[1]2025年已发货'!$C:$C&amp;'[1]2025年已发货'!$G:$G&amp;'[1]2025年已发货'!$H:$H,'[1]2025年已发货'!$E:$E,"未发货")</f>
        <v>5</v>
      </c>
      <c r="I2508" s="33" t="str">
        <f>VLOOKUP(B2508,辅助信息!E:I,3,FALSE)</f>
        <v>（华西萌海科创农业生态谷）成都市简阳市白金山水库</v>
      </c>
      <c r="J2508" s="33" t="str">
        <f>VLOOKUP(B2508,辅助信息!E:I,4,FALSE)</f>
        <v>石清国</v>
      </c>
      <c r="K2508" s="33">
        <f>VLOOKUP(J2508,辅助信息!H:I,2,FALSE)</f>
        <v>13458642015</v>
      </c>
      <c r="L2508" s="102" t="str">
        <f>VLOOKUP(B2508,辅助信息!E:J,6,FALSE)</f>
        <v>优先威钢,我方卸车,新老国标钢厂不加价可直发</v>
      </c>
      <c r="M2508" s="84">
        <v>45869</v>
      </c>
      <c r="O2508" s="55">
        <f ca="1" t="shared" si="157"/>
        <v>0</v>
      </c>
      <c r="P2508" s="55">
        <f ca="1" t="shared" si="158"/>
        <v>88</v>
      </c>
      <c r="Q2508" s="22" t="str">
        <f>VLOOKUP(B2508,辅助信息!E:M,9,FALSE)</f>
        <v>ZTWM-CDGS-XS-2024-0092-华西-萌海科创农业生态谷</v>
      </c>
      <c r="R2508" s="22" t="str">
        <f>_xlfn._xlws.FILTER(辅助信息!D:D,辅助信息!E:E=B2508)</f>
        <v>华西萌海-科创农业生态谷</v>
      </c>
    </row>
    <row r="2509" hidden="1" spans="2:18">
      <c r="B2509" s="33" t="s">
        <v>92</v>
      </c>
      <c r="C2509" s="63">
        <v>45866</v>
      </c>
      <c r="D2509" s="33" t="str">
        <f>VLOOKUP(B2509,辅助信息!E:K,7,FALSE)</f>
        <v>JWDDCD2025051800046</v>
      </c>
      <c r="E2509" s="33" t="str">
        <f>VLOOKUP(F2509,辅助信息!A:B,2,FALSE)</f>
        <v>螺纹钢</v>
      </c>
      <c r="F2509" s="33" t="s">
        <v>21</v>
      </c>
      <c r="G2509" s="29">
        <v>3</v>
      </c>
      <c r="H2509" s="127">
        <f>_xlfn.XLOOKUP(C2509&amp;F2509&amp;I2509&amp;J2509,'[1]2025年已发货'!$F:$F&amp;'[1]2025年已发货'!$C:$C&amp;'[1]2025年已发货'!$G:$G&amp;'[1]2025年已发货'!$H:$H,'[1]2025年已发货'!$E:$E,"未发货")</f>
        <v>3</v>
      </c>
      <c r="I2509" s="33" t="str">
        <f>VLOOKUP(B2509,辅助信息!E:I,3,FALSE)</f>
        <v>（华西萌海科创农业生态谷）成都市简阳市白金山水库</v>
      </c>
      <c r="J2509" s="33" t="str">
        <f>VLOOKUP(B2509,辅助信息!E:I,4,FALSE)</f>
        <v>石清国</v>
      </c>
      <c r="K2509" s="33">
        <f>VLOOKUP(J2509,辅助信息!H:I,2,FALSE)</f>
        <v>13458642015</v>
      </c>
      <c r="L2509" s="102" t="str">
        <f>VLOOKUP(B2509,辅助信息!E:J,6,FALSE)</f>
        <v>优先威钢,我方卸车,新老国标钢厂不加价可直发</v>
      </c>
      <c r="M2509" s="84">
        <v>45869</v>
      </c>
      <c r="O2509" s="55">
        <f ca="1" t="shared" si="157"/>
        <v>0</v>
      </c>
      <c r="P2509" s="55">
        <f ca="1" t="shared" si="158"/>
        <v>88</v>
      </c>
      <c r="Q2509" s="22" t="str">
        <f>VLOOKUP(B2509,辅助信息!E:M,9,FALSE)</f>
        <v>ZTWM-CDGS-XS-2024-0092-华西-萌海科创农业生态谷</v>
      </c>
      <c r="R2509" s="22" t="str">
        <f>_xlfn._xlws.FILTER(辅助信息!D:D,辅助信息!E:E=B2509)</f>
        <v>华西萌海-科创农业生态谷</v>
      </c>
    </row>
    <row r="2510" hidden="1" spans="2:18">
      <c r="B2510" s="33" t="s">
        <v>92</v>
      </c>
      <c r="C2510" s="63">
        <v>45866</v>
      </c>
      <c r="D2510" s="33" t="str">
        <f>VLOOKUP(B2510,辅助信息!E:K,7,FALSE)</f>
        <v>JWDDCD2025051800046</v>
      </c>
      <c r="E2510" s="33" t="str">
        <f>VLOOKUP(F2510,辅助信息!A:B,2,FALSE)</f>
        <v>螺纹钢</v>
      </c>
      <c r="F2510" s="33" t="s">
        <v>58</v>
      </c>
      <c r="G2510" s="29">
        <v>13</v>
      </c>
      <c r="H2510" s="127">
        <f>_xlfn.XLOOKUP(C2510&amp;F2510&amp;I2510&amp;J2510,'[1]2025年已发货'!$F:$F&amp;'[1]2025年已发货'!$C:$C&amp;'[1]2025年已发货'!$G:$G&amp;'[1]2025年已发货'!$H:$H,'[1]2025年已发货'!$E:$E,"未发货")</f>
        <v>13</v>
      </c>
      <c r="I2510" s="33" t="str">
        <f>VLOOKUP(B2510,辅助信息!E:I,3,FALSE)</f>
        <v>（华西萌海科创农业生态谷）成都市简阳市白金山水库</v>
      </c>
      <c r="J2510" s="33" t="str">
        <f>VLOOKUP(B2510,辅助信息!E:I,4,FALSE)</f>
        <v>石清国</v>
      </c>
      <c r="K2510" s="33">
        <f>VLOOKUP(J2510,辅助信息!H:I,2,FALSE)</f>
        <v>13458642015</v>
      </c>
      <c r="L2510" s="102" t="str">
        <f>VLOOKUP(B2510,辅助信息!E:J,6,FALSE)</f>
        <v>优先威钢,我方卸车,新老国标钢厂不加价可直发</v>
      </c>
      <c r="M2510" s="84">
        <v>45869</v>
      </c>
      <c r="O2510" s="55">
        <f ca="1" t="shared" si="157"/>
        <v>0</v>
      </c>
      <c r="P2510" s="55">
        <f ca="1" t="shared" si="158"/>
        <v>88</v>
      </c>
      <c r="Q2510" s="22" t="str">
        <f>VLOOKUP(B2510,辅助信息!E:M,9,FALSE)</f>
        <v>ZTWM-CDGS-XS-2024-0092-华西-萌海科创农业生态谷</v>
      </c>
      <c r="R2510" s="22" t="str">
        <f>_xlfn._xlws.FILTER(辅助信息!D:D,辅助信息!E:E=B2510)</f>
        <v>华西萌海-科创农业生态谷</v>
      </c>
    </row>
    <row r="2511" hidden="1" spans="2:18">
      <c r="B2511" s="33" t="s">
        <v>92</v>
      </c>
      <c r="C2511" s="63">
        <v>45866</v>
      </c>
      <c r="D2511" s="33" t="str">
        <f>VLOOKUP(B2511,辅助信息!E:K,7,FALSE)</f>
        <v>JWDDCD2025051800046</v>
      </c>
      <c r="E2511" s="33" t="str">
        <f>VLOOKUP(F2511,辅助信息!A:B,2,FALSE)</f>
        <v>螺纹钢</v>
      </c>
      <c r="F2511" s="33" t="s">
        <v>46</v>
      </c>
      <c r="G2511" s="29">
        <v>6</v>
      </c>
      <c r="H2511" s="127">
        <f>_xlfn.XLOOKUP(C2511&amp;F2511&amp;I2511&amp;J2511,'[1]2025年已发货'!$F:$F&amp;'[1]2025年已发货'!$C:$C&amp;'[1]2025年已发货'!$G:$G&amp;'[1]2025年已发货'!$H:$H,'[1]2025年已发货'!$E:$E,"未发货")</f>
        <v>6</v>
      </c>
      <c r="I2511" s="33" t="str">
        <f>VLOOKUP(B2511,辅助信息!E:I,3,FALSE)</f>
        <v>（华西萌海科创农业生态谷）成都市简阳市白金山水库</v>
      </c>
      <c r="J2511" s="33" t="str">
        <f>VLOOKUP(B2511,辅助信息!E:I,4,FALSE)</f>
        <v>石清国</v>
      </c>
      <c r="K2511" s="33">
        <f>VLOOKUP(J2511,辅助信息!H:I,2,FALSE)</f>
        <v>13458642015</v>
      </c>
      <c r="L2511" s="102" t="str">
        <f>VLOOKUP(B2511,辅助信息!E:J,6,FALSE)</f>
        <v>优先威钢,我方卸车,新老国标钢厂不加价可直发</v>
      </c>
      <c r="M2511" s="84">
        <v>45869</v>
      </c>
      <c r="O2511" s="55">
        <f ca="1" t="shared" si="157"/>
        <v>0</v>
      </c>
      <c r="P2511" s="55">
        <f ca="1" t="shared" si="158"/>
        <v>88</v>
      </c>
      <c r="Q2511" s="22" t="str">
        <f>VLOOKUP(B2511,辅助信息!E:M,9,FALSE)</f>
        <v>ZTWM-CDGS-XS-2024-0092-华西-萌海科创农业生态谷</v>
      </c>
      <c r="R2511" s="22" t="str">
        <f>_xlfn._xlws.FILTER(辅助信息!D:D,辅助信息!E:E=B2511)</f>
        <v>华西萌海-科创农业生态谷</v>
      </c>
    </row>
    <row r="2512" hidden="1" spans="2:18">
      <c r="B2512" s="33" t="s">
        <v>92</v>
      </c>
      <c r="C2512" s="63">
        <v>45866</v>
      </c>
      <c r="D2512" s="33" t="str">
        <f>VLOOKUP(B2512,辅助信息!E:K,7,FALSE)</f>
        <v>JWDDCD2025051800046</v>
      </c>
      <c r="E2512" s="33" t="str">
        <f>VLOOKUP(F2512,辅助信息!A:B,2,FALSE)</f>
        <v>螺纹钢</v>
      </c>
      <c r="F2512" s="33" t="s">
        <v>22</v>
      </c>
      <c r="G2512" s="29">
        <v>22</v>
      </c>
      <c r="H2512" s="127">
        <f>_xlfn.XLOOKUP(C2512&amp;F2512&amp;I2512&amp;J2512,'[1]2025年已发货'!$F:$F&amp;'[1]2025年已发货'!$C:$C&amp;'[1]2025年已发货'!$G:$G&amp;'[1]2025年已发货'!$H:$H,'[1]2025年已发货'!$E:$E,"未发货")</f>
        <v>22</v>
      </c>
      <c r="I2512" s="33" t="str">
        <f>VLOOKUP(B2512,辅助信息!E:I,3,FALSE)</f>
        <v>（华西萌海科创农业生态谷）成都市简阳市白金山水库</v>
      </c>
      <c r="J2512" s="33" t="str">
        <f>VLOOKUP(B2512,辅助信息!E:I,4,FALSE)</f>
        <v>石清国</v>
      </c>
      <c r="K2512" s="33">
        <f>VLOOKUP(J2512,辅助信息!H:I,2,FALSE)</f>
        <v>13458642015</v>
      </c>
      <c r="L2512" s="102" t="str">
        <f>VLOOKUP(B2512,辅助信息!E:J,6,FALSE)</f>
        <v>优先威钢,我方卸车,新老国标钢厂不加价可直发</v>
      </c>
      <c r="M2512" s="84">
        <v>45869</v>
      </c>
      <c r="O2512" s="55">
        <f ca="1" t="shared" si="157"/>
        <v>0</v>
      </c>
      <c r="P2512" s="55">
        <f ca="1" t="shared" si="158"/>
        <v>88</v>
      </c>
      <c r="Q2512" s="22" t="str">
        <f>VLOOKUP(B2512,辅助信息!E:M,9,FALSE)</f>
        <v>ZTWM-CDGS-XS-2024-0092-华西-萌海科创农业生态谷</v>
      </c>
      <c r="R2512" s="22" t="str">
        <f>_xlfn._xlws.FILTER(辅助信息!D:D,辅助信息!E:E=B2512)</f>
        <v>华西萌海-科创农业生态谷</v>
      </c>
    </row>
    <row r="2513" hidden="1" spans="2:18">
      <c r="B2513" s="33" t="s">
        <v>204</v>
      </c>
      <c r="C2513" s="63">
        <v>45866</v>
      </c>
      <c r="D2513" s="33" t="str">
        <f>VLOOKUP(B2513,辅助信息!E:K,7,FALSE)</f>
        <v>JWDDCD2025062200016</v>
      </c>
      <c r="E2513" s="33" t="str">
        <f>VLOOKUP(F2513,辅助信息!A:B,2,FALSE)</f>
        <v>盘螺</v>
      </c>
      <c r="F2513" s="33" t="s">
        <v>40</v>
      </c>
      <c r="G2513" s="29">
        <v>14.12</v>
      </c>
      <c r="H2513" s="127">
        <f>_xlfn.XLOOKUP(C2513&amp;F2513&amp;I2513&amp;J2513,'[1]2025年已发货'!$F:$F&amp;'[1]2025年已发货'!$C:$C&amp;'[1]2025年已发货'!$G:$G&amp;'[1]2025年已发货'!$H:$H,'[1]2025年已发货'!$E:$E,"未发货")</f>
        <v>15</v>
      </c>
      <c r="I2513" s="33" t="str">
        <f>VLOOKUP(B2513,辅助信息!E:I,3,FALSE)</f>
        <v>(武汉电气化局成达万高铁强电项目-达州主城区-达州南站)四川省达州市达川区达州南站</v>
      </c>
      <c r="J2513" s="33" t="str">
        <f>VLOOKUP(B2513,辅助信息!E:I,4,FALSE)</f>
        <v>杨人志</v>
      </c>
      <c r="K2513" s="33">
        <f>VLOOKUP(J2513,辅助信息!H:I,2,FALSE)</f>
        <v>18782679099</v>
      </c>
      <c r="L2513" s="102" t="str">
        <f>VLOOKUP(B2513,辅助信息!E:J,6,FALSE)</f>
        <v>锈货不收！！下雨天钢筋没盖篷布不收！！，装货前联系收货人核实到场规格,没提前告知进场规格现场不给予接收</v>
      </c>
      <c r="M2513" s="84">
        <v>45866</v>
      </c>
      <c r="O2513" s="55">
        <f ca="1" t="shared" si="157"/>
        <v>0</v>
      </c>
      <c r="P2513" s="55">
        <f ca="1" t="shared" si="158"/>
        <v>91</v>
      </c>
      <c r="Q2513" s="22" t="str">
        <f>VLOOKUP(B2513,辅助信息!E:M,9,FALSE)</f>
        <v>ZTWM-CDGS-XS-2025-0033-中铁武汉电气化局集团有限公司成达万高速铁路强电工程项目</v>
      </c>
      <c r="R2513" s="22" t="str">
        <f>_xlfn._xlws.FILTER(辅助信息!D:D,辅助信息!E:E=B2513)</f>
        <v>武汉电气化局成达万高铁强电项目</v>
      </c>
    </row>
    <row r="2514" hidden="1" spans="2:18">
      <c r="B2514" s="33" t="s">
        <v>204</v>
      </c>
      <c r="C2514" s="63">
        <v>45866</v>
      </c>
      <c r="D2514" s="33" t="str">
        <f>VLOOKUP(B2514,辅助信息!E:K,7,FALSE)</f>
        <v>JWDDCD2025062200016</v>
      </c>
      <c r="E2514" s="33" t="str">
        <f>VLOOKUP(F2514,辅助信息!A:B,2,FALSE)</f>
        <v>盘螺</v>
      </c>
      <c r="F2514" s="33" t="s">
        <v>41</v>
      </c>
      <c r="G2514" s="29">
        <v>18.07</v>
      </c>
      <c r="H2514" s="127">
        <f>_xlfn.XLOOKUP(C2514&amp;F2514&amp;I2514&amp;J2514,'[1]2025年已发货'!$F:$F&amp;'[1]2025年已发货'!$C:$C&amp;'[1]2025年已发货'!$G:$G&amp;'[1]2025年已发货'!$H:$H,'[1]2025年已发货'!$E:$E,"未发货")</f>
        <v>17</v>
      </c>
      <c r="I2514" s="33" t="str">
        <f>VLOOKUP(B2514,辅助信息!E:I,3,FALSE)</f>
        <v>(武汉电气化局成达万高铁强电项目-达州主城区-达州南站)四川省达州市达川区达州南站</v>
      </c>
      <c r="J2514" s="33" t="str">
        <f>VLOOKUP(B2514,辅助信息!E:I,4,FALSE)</f>
        <v>杨人志</v>
      </c>
      <c r="K2514" s="33">
        <f>VLOOKUP(J2514,辅助信息!H:I,2,FALSE)</f>
        <v>18782679099</v>
      </c>
      <c r="L2514" s="102" t="str">
        <f>VLOOKUP(B2514,辅助信息!E:J,6,FALSE)</f>
        <v>锈货不收！！下雨天钢筋没盖篷布不收！！，装货前联系收货人核实到场规格,没提前告知进场规格现场不给予接收</v>
      </c>
      <c r="M2514" s="84">
        <v>45866</v>
      </c>
      <c r="O2514" s="55">
        <f ca="1" t="shared" si="157"/>
        <v>0</v>
      </c>
      <c r="P2514" s="55">
        <f ca="1" t="shared" si="158"/>
        <v>91</v>
      </c>
      <c r="Q2514" s="22" t="str">
        <f>VLOOKUP(B2514,辅助信息!E:M,9,FALSE)</f>
        <v>ZTWM-CDGS-XS-2025-0033-中铁武汉电气化局集团有限公司成达万高速铁路强电工程项目</v>
      </c>
      <c r="R2514" s="22" t="str">
        <f>_xlfn._xlws.FILTER(辅助信息!D:D,辅助信息!E:E=B2514)</f>
        <v>武汉电气化局成达万高铁强电项目</v>
      </c>
    </row>
    <row r="2515" hidden="1" spans="2:18">
      <c r="B2515" s="33" t="s">
        <v>204</v>
      </c>
      <c r="C2515" s="63">
        <v>45866</v>
      </c>
      <c r="D2515" s="33" t="str">
        <f>VLOOKUP(B2515,辅助信息!E:K,7,FALSE)</f>
        <v>JWDDCD2025062200016</v>
      </c>
      <c r="E2515" s="33" t="str">
        <f>VLOOKUP(F2515,辅助信息!A:B,2,FALSE)</f>
        <v>螺纹钢</v>
      </c>
      <c r="F2515" s="33" t="s">
        <v>27</v>
      </c>
      <c r="G2515" s="29">
        <v>11.89</v>
      </c>
      <c r="H2515" s="127">
        <f>_xlfn.XLOOKUP(C2515&amp;F2515&amp;I2515&amp;J2515,'[1]2025年已发货'!$F:$F&amp;'[1]2025年已发货'!$C:$C&amp;'[1]2025年已发货'!$G:$G&amp;'[1]2025年已发货'!$H:$H,'[1]2025年已发货'!$E:$E,"未发货")</f>
        <v>12</v>
      </c>
      <c r="I2515" s="33" t="str">
        <f>VLOOKUP(B2515,辅助信息!E:I,3,FALSE)</f>
        <v>(武汉电气化局成达万高铁强电项目-达州主城区-达州南站)四川省达州市达川区达州南站</v>
      </c>
      <c r="J2515" s="33" t="str">
        <f>VLOOKUP(B2515,辅助信息!E:I,4,FALSE)</f>
        <v>杨人志</v>
      </c>
      <c r="K2515" s="33">
        <f>VLOOKUP(J2515,辅助信息!H:I,2,FALSE)</f>
        <v>18782679099</v>
      </c>
      <c r="L2515" s="102" t="str">
        <f>VLOOKUP(B2515,辅助信息!E:J,6,FALSE)</f>
        <v>锈货不收！！下雨天钢筋没盖篷布不收！！，装货前联系收货人核实到场规格,没提前告知进场规格现场不给予接收</v>
      </c>
      <c r="M2515" s="84">
        <v>45866</v>
      </c>
      <c r="O2515" s="55">
        <f ca="1" t="shared" si="157"/>
        <v>0</v>
      </c>
      <c r="P2515" s="55">
        <f ca="1" t="shared" si="158"/>
        <v>91</v>
      </c>
      <c r="Q2515" s="22" t="str">
        <f>VLOOKUP(B2515,辅助信息!E:M,9,FALSE)</f>
        <v>ZTWM-CDGS-XS-2025-0033-中铁武汉电气化局集团有限公司成达万高速铁路强电工程项目</v>
      </c>
      <c r="R2515" s="22" t="str">
        <f>_xlfn._xlws.FILTER(辅助信息!D:D,辅助信息!E:E=B2515)</f>
        <v>武汉电气化局成达万高铁强电项目</v>
      </c>
    </row>
    <row r="2516" hidden="1" spans="2:18">
      <c r="B2516" s="33" t="s">
        <v>204</v>
      </c>
      <c r="C2516" s="63">
        <v>45866</v>
      </c>
      <c r="D2516" s="33" t="str">
        <f>VLOOKUP(B2516,辅助信息!E:K,7,FALSE)</f>
        <v>JWDDCD2025062200016</v>
      </c>
      <c r="E2516" s="33" t="str">
        <f>VLOOKUP(F2516,辅助信息!A:B,2,FALSE)</f>
        <v>螺纹钢</v>
      </c>
      <c r="F2516" s="33" t="s">
        <v>19</v>
      </c>
      <c r="G2516" s="29">
        <v>10.24</v>
      </c>
      <c r="H2516" s="127">
        <f>_xlfn.XLOOKUP(C2516&amp;F2516&amp;I2516&amp;J2516,'[1]2025年已发货'!$F:$F&amp;'[1]2025年已发货'!$C:$C&amp;'[1]2025年已发货'!$G:$G&amp;'[1]2025年已发货'!$H:$H,'[1]2025年已发货'!$E:$E,"未发货")</f>
        <v>9</v>
      </c>
      <c r="I2516" s="33" t="str">
        <f>VLOOKUP(B2516,辅助信息!E:I,3,FALSE)</f>
        <v>(武汉电气化局成达万高铁强电项目-达州主城区-达州南站)四川省达州市达川区达州南站</v>
      </c>
      <c r="J2516" s="33" t="str">
        <f>VLOOKUP(B2516,辅助信息!E:I,4,FALSE)</f>
        <v>杨人志</v>
      </c>
      <c r="K2516" s="33">
        <f>VLOOKUP(J2516,辅助信息!H:I,2,FALSE)</f>
        <v>18782679099</v>
      </c>
      <c r="L2516" s="102" t="str">
        <f>VLOOKUP(B2516,辅助信息!E:J,6,FALSE)</f>
        <v>锈货不收！！下雨天钢筋没盖篷布不收！！，装货前联系收货人核实到场规格,没提前告知进场规格现场不给予接收</v>
      </c>
      <c r="M2516" s="84">
        <v>45866</v>
      </c>
      <c r="O2516" s="55">
        <f ca="1" t="shared" si="157"/>
        <v>0</v>
      </c>
      <c r="P2516" s="55">
        <f ca="1" t="shared" si="158"/>
        <v>91</v>
      </c>
      <c r="Q2516" s="22" t="str">
        <f>VLOOKUP(B2516,辅助信息!E:M,9,FALSE)</f>
        <v>ZTWM-CDGS-XS-2025-0033-中铁武汉电气化局集团有限公司成达万高速铁路强电工程项目</v>
      </c>
      <c r="R2516" s="22" t="str">
        <f>_xlfn._xlws.FILTER(辅助信息!D:D,辅助信息!E:E=B2516)</f>
        <v>武汉电气化局成达万高铁强电项目</v>
      </c>
    </row>
    <row r="2517" hidden="1" spans="2:18">
      <c r="B2517" s="33" t="s">
        <v>204</v>
      </c>
      <c r="C2517" s="63">
        <v>45866</v>
      </c>
      <c r="D2517" s="33" t="str">
        <f>VLOOKUP(B2517,辅助信息!E:K,7,FALSE)</f>
        <v>JWDDCD2025062200016</v>
      </c>
      <c r="E2517" s="33" t="str">
        <f>VLOOKUP(F2517,辅助信息!A:B,2,FALSE)</f>
        <v>螺纹钢</v>
      </c>
      <c r="F2517" s="33" t="s">
        <v>32</v>
      </c>
      <c r="G2517" s="29">
        <v>9</v>
      </c>
      <c r="H2517" s="127">
        <f>_xlfn.XLOOKUP(C2517&amp;F2517&amp;I2517&amp;J2517,'[1]2025年已发货'!$F:$F&amp;'[1]2025年已发货'!$C:$C&amp;'[1]2025年已发货'!$G:$G&amp;'[1]2025年已发货'!$H:$H,'[1]2025年已发货'!$E:$E,"未发货")</f>
        <v>9</v>
      </c>
      <c r="I2517" s="33" t="str">
        <f>VLOOKUP(B2517,辅助信息!E:I,3,FALSE)</f>
        <v>(武汉电气化局成达万高铁强电项目-达州主城区-达州南站)四川省达州市达川区达州南站</v>
      </c>
      <c r="J2517" s="33" t="str">
        <f>VLOOKUP(B2517,辅助信息!E:I,4,FALSE)</f>
        <v>杨人志</v>
      </c>
      <c r="K2517" s="33">
        <f>VLOOKUP(J2517,辅助信息!H:I,2,FALSE)</f>
        <v>18782679099</v>
      </c>
      <c r="L2517" s="102" t="str">
        <f>VLOOKUP(B2517,辅助信息!E:J,6,FALSE)</f>
        <v>锈货不收！！下雨天钢筋没盖篷布不收！！，装货前联系收货人核实到场规格,没提前告知进场规格现场不给予接收</v>
      </c>
      <c r="M2517" s="84">
        <v>45866</v>
      </c>
      <c r="O2517" s="55">
        <f ca="1" t="shared" si="157"/>
        <v>0</v>
      </c>
      <c r="P2517" s="55">
        <f ca="1" t="shared" si="158"/>
        <v>91</v>
      </c>
      <c r="Q2517" s="22" t="str">
        <f>VLOOKUP(B2517,辅助信息!E:M,9,FALSE)</f>
        <v>ZTWM-CDGS-XS-2025-0033-中铁武汉电气化局集团有限公司成达万高速铁路强电工程项目</v>
      </c>
      <c r="R2517" s="22" t="str">
        <f>_xlfn._xlws.FILTER(辅助信息!D:D,辅助信息!E:E=B2517)</f>
        <v>武汉电气化局成达万高铁强电项目</v>
      </c>
    </row>
    <row r="2518" hidden="1" spans="2:18">
      <c r="B2518" s="33" t="s">
        <v>204</v>
      </c>
      <c r="C2518" s="63">
        <v>45866</v>
      </c>
      <c r="D2518" s="33" t="str">
        <f>VLOOKUP(B2518,辅助信息!E:K,7,FALSE)</f>
        <v>JWDDCD2025062200016</v>
      </c>
      <c r="E2518" s="33" t="str">
        <f>VLOOKUP(F2518,辅助信息!A:B,2,FALSE)</f>
        <v>螺纹钢</v>
      </c>
      <c r="F2518" s="33" t="s">
        <v>30</v>
      </c>
      <c r="G2518" s="29">
        <v>22.45</v>
      </c>
      <c r="H2518" s="127" t="str">
        <f>_xlfn.XLOOKUP(C2518&amp;F2518&amp;I2518&amp;J2518,'[1]2025年已发货'!$F:$F&amp;'[1]2025年已发货'!$C:$C&amp;'[1]2025年已发货'!$G:$G&amp;'[1]2025年已发货'!$H:$H,'[1]2025年已发货'!$E:$E,"未发货")</f>
        <v>未发货</v>
      </c>
      <c r="I2518" s="33" t="str">
        <f>VLOOKUP(B2518,辅助信息!E:I,3,FALSE)</f>
        <v>(武汉电气化局成达万高铁强电项目-达州主城区-达州南站)四川省达州市达川区达州南站</v>
      </c>
      <c r="J2518" s="33" t="str">
        <f>VLOOKUP(B2518,辅助信息!E:I,4,FALSE)</f>
        <v>杨人志</v>
      </c>
      <c r="K2518" s="33">
        <f>VLOOKUP(J2518,辅助信息!H:I,2,FALSE)</f>
        <v>18782679099</v>
      </c>
      <c r="L2518" s="102" t="str">
        <f>VLOOKUP(B2518,辅助信息!E:J,6,FALSE)</f>
        <v>锈货不收！！下雨天钢筋没盖篷布不收！！，装货前联系收货人核实到场规格,没提前告知进场规格现场不给予接收</v>
      </c>
      <c r="M2518" s="84">
        <v>45866</v>
      </c>
      <c r="O2518" s="55">
        <f ca="1" t="shared" si="157"/>
        <v>0</v>
      </c>
      <c r="P2518" s="55">
        <f ca="1" t="shared" si="158"/>
        <v>91</v>
      </c>
      <c r="Q2518" s="22" t="str">
        <f>VLOOKUP(B2518,辅助信息!E:M,9,FALSE)</f>
        <v>ZTWM-CDGS-XS-2025-0033-中铁武汉电气化局集团有限公司成达万高速铁路强电工程项目</v>
      </c>
      <c r="R2518" s="22" t="str">
        <f>_xlfn._xlws.FILTER(辅助信息!D:D,辅助信息!E:E=B2518)</f>
        <v>武汉电气化局成达万高铁强电项目</v>
      </c>
    </row>
    <row r="2519" hidden="1" spans="2:18">
      <c r="B2519" s="33" t="s">
        <v>204</v>
      </c>
      <c r="C2519" s="63">
        <v>45866</v>
      </c>
      <c r="D2519" s="33" t="str">
        <f>VLOOKUP(B2519,辅助信息!E:K,7,FALSE)</f>
        <v>JWDDCD2025062200016</v>
      </c>
      <c r="E2519" s="33" t="str">
        <f>VLOOKUP(F2519,辅助信息!A:B,2,FALSE)</f>
        <v>螺纹钢</v>
      </c>
      <c r="F2519" s="33" t="s">
        <v>33</v>
      </c>
      <c r="G2519" s="29">
        <v>10.57</v>
      </c>
      <c r="H2519" s="127">
        <f>_xlfn.XLOOKUP(C2519&amp;F2519&amp;I2519&amp;J2519,'[1]2025年已发货'!$F:$F&amp;'[1]2025年已发货'!$C:$C&amp;'[1]2025年已发货'!$G:$G&amp;'[1]2025年已发货'!$H:$H,'[1]2025年已发货'!$E:$E,"未发货")</f>
        <v>9</v>
      </c>
      <c r="I2519" s="33" t="str">
        <f>VLOOKUP(B2519,辅助信息!E:I,3,FALSE)</f>
        <v>(武汉电气化局成达万高铁强电项目-达州主城区-达州南站)四川省达州市达川区达州南站</v>
      </c>
      <c r="J2519" s="33" t="str">
        <f>VLOOKUP(B2519,辅助信息!E:I,4,FALSE)</f>
        <v>杨人志</v>
      </c>
      <c r="K2519" s="33">
        <f>VLOOKUP(J2519,辅助信息!H:I,2,FALSE)</f>
        <v>18782679099</v>
      </c>
      <c r="L2519" s="102" t="str">
        <f>VLOOKUP(B2519,辅助信息!E:J,6,FALSE)</f>
        <v>锈货不收！！下雨天钢筋没盖篷布不收！！，装货前联系收货人核实到场规格,没提前告知进场规格现场不给予接收</v>
      </c>
      <c r="M2519" s="84">
        <v>45866</v>
      </c>
      <c r="O2519" s="55">
        <f ca="1" t="shared" si="157"/>
        <v>0</v>
      </c>
      <c r="P2519" s="55">
        <f ca="1" t="shared" si="158"/>
        <v>91</v>
      </c>
      <c r="Q2519" s="22" t="str">
        <f>VLOOKUP(B2519,辅助信息!E:M,9,FALSE)</f>
        <v>ZTWM-CDGS-XS-2025-0033-中铁武汉电气化局集团有限公司成达万高速铁路强电工程项目</v>
      </c>
      <c r="R2519" s="22" t="str">
        <f>_xlfn._xlws.FILTER(辅助信息!D:D,辅助信息!E:E=B2519)</f>
        <v>武汉电气化局成达万高铁强电项目</v>
      </c>
    </row>
    <row r="2520" hidden="1" spans="2:18">
      <c r="B2520" s="33" t="s">
        <v>204</v>
      </c>
      <c r="C2520" s="63">
        <v>45866</v>
      </c>
      <c r="D2520" s="33" t="str">
        <f>VLOOKUP(B2520,辅助信息!E:K,7,FALSE)</f>
        <v>JWDDCD2025062200016</v>
      </c>
      <c r="E2520" s="33" t="str">
        <f>VLOOKUP(F2520,辅助信息!A:B,2,FALSE)</f>
        <v>螺纹钢</v>
      </c>
      <c r="F2520" s="33" t="s">
        <v>28</v>
      </c>
      <c r="G2520" s="29">
        <v>10.16</v>
      </c>
      <c r="H2520" s="127">
        <f>_xlfn.XLOOKUP(C2520&amp;F2520&amp;I2520&amp;J2520,'[1]2025年已发货'!$F:$F&amp;'[1]2025年已发货'!$C:$C&amp;'[1]2025年已发货'!$G:$G&amp;'[1]2025年已发货'!$H:$H,'[1]2025年已发货'!$E:$E,"未发货")</f>
        <v>9</v>
      </c>
      <c r="I2520" s="33" t="str">
        <f>VLOOKUP(B2520,辅助信息!E:I,3,FALSE)</f>
        <v>(武汉电气化局成达万高铁强电项目-达州主城区-达州南站)四川省达州市达川区达州南站</v>
      </c>
      <c r="J2520" s="33" t="str">
        <f>VLOOKUP(B2520,辅助信息!E:I,4,FALSE)</f>
        <v>杨人志</v>
      </c>
      <c r="K2520" s="33">
        <f>VLOOKUP(J2520,辅助信息!H:I,2,FALSE)</f>
        <v>18782679099</v>
      </c>
      <c r="L2520" s="102" t="str">
        <f>VLOOKUP(B2520,辅助信息!E:J,6,FALSE)</f>
        <v>锈货不收！！下雨天钢筋没盖篷布不收！！，装货前联系收货人核实到场规格,没提前告知进场规格现场不给予接收</v>
      </c>
      <c r="M2520" s="84">
        <v>45866</v>
      </c>
      <c r="O2520" s="55">
        <f ca="1" t="shared" si="157"/>
        <v>0</v>
      </c>
      <c r="P2520" s="55">
        <f ca="1" t="shared" si="158"/>
        <v>91</v>
      </c>
      <c r="Q2520" s="22" t="str">
        <f>VLOOKUP(B2520,辅助信息!E:M,9,FALSE)</f>
        <v>ZTWM-CDGS-XS-2025-0033-中铁武汉电气化局集团有限公司成达万高速铁路强电工程项目</v>
      </c>
      <c r="R2520" s="22" t="str">
        <f>_xlfn._xlws.FILTER(辅助信息!D:D,辅助信息!E:E=B2520)</f>
        <v>武汉电气化局成达万高铁强电项目</v>
      </c>
    </row>
    <row r="2521" hidden="1" spans="2:18">
      <c r="B2521" s="33" t="s">
        <v>204</v>
      </c>
      <c r="C2521" s="63">
        <v>45866</v>
      </c>
      <c r="D2521" s="33" t="str">
        <f>VLOOKUP(B2521,辅助信息!E:K,7,FALSE)</f>
        <v>JWDDCD2025062200016</v>
      </c>
      <c r="E2521" s="33" t="str">
        <f>VLOOKUP(F2521,辅助信息!A:B,2,FALSE)</f>
        <v>螺纹钢</v>
      </c>
      <c r="F2521" s="33" t="s">
        <v>18</v>
      </c>
      <c r="G2521" s="29">
        <v>10.73</v>
      </c>
      <c r="H2521" s="127">
        <f>_xlfn.XLOOKUP(C2521&amp;F2521&amp;I2521&amp;J2521,'[1]2025年已发货'!$F:$F&amp;'[1]2025年已发货'!$C:$C&amp;'[1]2025年已发货'!$G:$G&amp;'[1]2025年已发货'!$H:$H,'[1]2025年已发货'!$E:$E,"未发货")</f>
        <v>12</v>
      </c>
      <c r="I2521" s="33" t="str">
        <f>VLOOKUP(B2521,辅助信息!E:I,3,FALSE)</f>
        <v>(武汉电气化局成达万高铁强电项目-达州主城区-达州南站)四川省达州市达川区达州南站</v>
      </c>
      <c r="J2521" s="33" t="str">
        <f>VLOOKUP(B2521,辅助信息!E:I,4,FALSE)</f>
        <v>杨人志</v>
      </c>
      <c r="K2521" s="33">
        <f>VLOOKUP(J2521,辅助信息!H:I,2,FALSE)</f>
        <v>18782679099</v>
      </c>
      <c r="L2521" s="102" t="str">
        <f>VLOOKUP(B2521,辅助信息!E:J,6,FALSE)</f>
        <v>锈货不收！！下雨天钢筋没盖篷布不收！！，装货前联系收货人核实到场规格,没提前告知进场规格现场不给予接收</v>
      </c>
      <c r="M2521" s="84">
        <v>45866</v>
      </c>
      <c r="O2521" s="55">
        <f ca="1" t="shared" si="157"/>
        <v>0</v>
      </c>
      <c r="P2521" s="55">
        <f ca="1" t="shared" si="158"/>
        <v>91</v>
      </c>
      <c r="Q2521" s="22" t="str">
        <f>VLOOKUP(B2521,辅助信息!E:M,9,FALSE)</f>
        <v>ZTWM-CDGS-XS-2025-0033-中铁武汉电气化局集团有限公司成达万高速铁路强电工程项目</v>
      </c>
      <c r="R2521" s="22" t="str">
        <f>_xlfn._xlws.FILTER(辅助信息!D:D,辅助信息!E:E=B2521)</f>
        <v>武汉电气化局成达万高铁强电项目</v>
      </c>
    </row>
    <row r="2522" hidden="1" spans="2:18">
      <c r="B2522" s="33" t="s">
        <v>81</v>
      </c>
      <c r="C2522" s="63">
        <v>45867</v>
      </c>
      <c r="D2522" s="33" t="str">
        <f>VLOOKUP(B2522,辅助信息!E:K,7,FALSE)</f>
        <v>JWDDCD2025060900080</v>
      </c>
      <c r="E2522" s="33" t="str">
        <f>VLOOKUP(F2522,辅助信息!A:B,2,FALSE)</f>
        <v>盘螺</v>
      </c>
      <c r="F2522" s="33" t="s">
        <v>49</v>
      </c>
      <c r="G2522" s="29">
        <v>5</v>
      </c>
      <c r="H2522" s="127">
        <f>_xlfn.XLOOKUP(C2522&amp;F2522&amp;I2522&amp;J2522,'[1]2025年已发货'!$F:$F&amp;'[1]2025年已发货'!$C:$C&amp;'[1]2025年已发货'!$G:$G&amp;'[1]2025年已发货'!$H:$H,'[1]2025年已发货'!$E:$E,"未发货")</f>
        <v>2.5</v>
      </c>
      <c r="I2522" s="33" t="str">
        <f>VLOOKUP(B2522,辅助信息!E:I,3,FALSE)</f>
        <v>（华西简阳西城嘉苑）四川省成都市简阳市简城街道高屋村</v>
      </c>
      <c r="J2522" s="33" t="str">
        <f>VLOOKUP(B2522,辅助信息!E:I,4,FALSE)</f>
        <v>张瀚镭</v>
      </c>
      <c r="K2522" s="33">
        <f>VLOOKUP(J2522,辅助信息!H:I,2,FALSE)</f>
        <v>15884666220</v>
      </c>
      <c r="L2522" s="102" t="str">
        <f>VLOOKUP(B2522,辅助信息!E:J,6,FALSE)</f>
        <v>现场禁止使用氢能源挂车！优先威钢发货,我方卸车,新老国标钢厂不加价可直发，因陕钢多次出现磅差，项目拒绝使用</v>
      </c>
      <c r="M2522" s="84">
        <v>45868</v>
      </c>
      <c r="O2522" s="55">
        <f ca="1" t="shared" si="157"/>
        <v>0</v>
      </c>
      <c r="P2522" s="55">
        <f ca="1" t="shared" si="158"/>
        <v>89</v>
      </c>
      <c r="Q2522" s="22" t="str">
        <f>VLOOKUP(B2522,辅助信息!E:M,9,FALSE)</f>
        <v>ZTWM-CDGS-XS-2024-0030-华西集采-简州大道</v>
      </c>
      <c r="R2522" s="22" t="str">
        <f>_xlfn._xlws.FILTER(辅助信息!D:D,辅助信息!E:E=B2522)</f>
        <v>华西简阳西城嘉苑</v>
      </c>
    </row>
    <row r="2523" hidden="1" spans="2:18">
      <c r="B2523" s="33" t="s">
        <v>81</v>
      </c>
      <c r="C2523" s="63">
        <v>45867</v>
      </c>
      <c r="D2523" s="33" t="str">
        <f>VLOOKUP(B2523,辅助信息!E:K,7,FALSE)</f>
        <v>JWDDCD2025060900080</v>
      </c>
      <c r="E2523" s="33" t="str">
        <f>VLOOKUP(F2523,辅助信息!A:B,2,FALSE)</f>
        <v>盘螺</v>
      </c>
      <c r="F2523" s="33" t="s">
        <v>40</v>
      </c>
      <c r="G2523" s="29">
        <v>44</v>
      </c>
      <c r="H2523" s="127">
        <f>_xlfn.XLOOKUP(C2523&amp;F2523&amp;I2523&amp;J2523,'[1]2025年已发货'!$F:$F&amp;'[1]2025年已发货'!$C:$C&amp;'[1]2025年已发货'!$G:$G&amp;'[1]2025年已发货'!$H:$H,'[1]2025年已发货'!$E:$E,"未发货")</f>
        <v>35</v>
      </c>
      <c r="I2523" s="33" t="str">
        <f>VLOOKUP(B2523,辅助信息!E:I,3,FALSE)</f>
        <v>（华西简阳西城嘉苑）四川省成都市简阳市简城街道高屋村</v>
      </c>
      <c r="J2523" s="33" t="str">
        <f>VLOOKUP(B2523,辅助信息!E:I,4,FALSE)</f>
        <v>张瀚镭</v>
      </c>
      <c r="K2523" s="33">
        <f>VLOOKUP(J2523,辅助信息!H:I,2,FALSE)</f>
        <v>15884666220</v>
      </c>
      <c r="L2523" s="102" t="str">
        <f>VLOOKUP(B2523,辅助信息!E:J,6,FALSE)</f>
        <v>现场禁止使用氢能源挂车！优先威钢发货,我方卸车,新老国标钢厂不加价可直发，因陕钢多次出现磅差，项目拒绝使用</v>
      </c>
      <c r="M2523" s="84">
        <v>45868</v>
      </c>
      <c r="O2523" s="55">
        <f ca="1" t="shared" si="157"/>
        <v>0</v>
      </c>
      <c r="P2523" s="55">
        <f ca="1" t="shared" si="158"/>
        <v>89</v>
      </c>
      <c r="Q2523" s="22" t="str">
        <f>VLOOKUP(B2523,辅助信息!E:M,9,FALSE)</f>
        <v>ZTWM-CDGS-XS-2024-0030-华西集采-简州大道</v>
      </c>
      <c r="R2523" s="22" t="str">
        <f>_xlfn._xlws.FILTER(辅助信息!D:D,辅助信息!E:E=B2523)</f>
        <v>华西简阳西城嘉苑</v>
      </c>
    </row>
    <row r="2524" hidden="1" spans="2:18">
      <c r="B2524" s="33" t="s">
        <v>81</v>
      </c>
      <c r="C2524" s="63">
        <v>45867</v>
      </c>
      <c r="D2524" s="33" t="str">
        <f>VLOOKUP(B2524,辅助信息!E:K,7,FALSE)</f>
        <v>JWDDCD2025060900080</v>
      </c>
      <c r="E2524" s="33" t="str">
        <f>VLOOKUP(F2524,辅助信息!A:B,2,FALSE)</f>
        <v>盘螺</v>
      </c>
      <c r="F2524" s="33" t="s">
        <v>41</v>
      </c>
      <c r="G2524" s="29">
        <v>73</v>
      </c>
      <c r="H2524" s="127">
        <f>_xlfn.XLOOKUP(C2524&amp;F2524&amp;I2524&amp;J2524,'[1]2025年已发货'!$F:$F&amp;'[1]2025年已发货'!$C:$C&amp;'[1]2025年已发货'!$G:$G&amp;'[1]2025年已发货'!$H:$H,'[1]2025年已发货'!$E:$E,"未发货")</f>
        <v>36</v>
      </c>
      <c r="I2524" s="33" t="str">
        <f>VLOOKUP(B2524,辅助信息!E:I,3,FALSE)</f>
        <v>（华西简阳西城嘉苑）四川省成都市简阳市简城街道高屋村</v>
      </c>
      <c r="J2524" s="33" t="str">
        <f>VLOOKUP(B2524,辅助信息!E:I,4,FALSE)</f>
        <v>张瀚镭</v>
      </c>
      <c r="K2524" s="33">
        <f>VLOOKUP(J2524,辅助信息!H:I,2,FALSE)</f>
        <v>15884666220</v>
      </c>
      <c r="L2524" s="102" t="str">
        <f>VLOOKUP(B2524,辅助信息!E:J,6,FALSE)</f>
        <v>现场禁止使用氢能源挂车！优先威钢发货,我方卸车,新老国标钢厂不加价可直发，因陕钢多次出现磅差，项目拒绝使用</v>
      </c>
      <c r="M2524" s="84">
        <v>45868</v>
      </c>
      <c r="O2524" s="55">
        <f ca="1" t="shared" si="157"/>
        <v>0</v>
      </c>
      <c r="P2524" s="55">
        <f ca="1" t="shared" si="158"/>
        <v>89</v>
      </c>
      <c r="Q2524" s="22" t="str">
        <f>VLOOKUP(B2524,辅助信息!E:M,9,FALSE)</f>
        <v>ZTWM-CDGS-XS-2024-0030-华西集采-简州大道</v>
      </c>
      <c r="R2524" s="22" t="str">
        <f>_xlfn._xlws.FILTER(辅助信息!D:D,辅助信息!E:E=B2524)</f>
        <v>华西简阳西城嘉苑</v>
      </c>
    </row>
    <row r="2525" hidden="1" spans="2:18">
      <c r="B2525" s="33" t="s">
        <v>81</v>
      </c>
      <c r="C2525" s="63">
        <v>45867</v>
      </c>
      <c r="D2525" s="33" t="str">
        <f>VLOOKUP(B2525,辅助信息!E:K,7,FALSE)</f>
        <v>JWDDCD2025060900080</v>
      </c>
      <c r="E2525" s="33" t="str">
        <f>VLOOKUP(F2525,辅助信息!A:B,2,FALSE)</f>
        <v>盘螺</v>
      </c>
      <c r="F2525" s="33" t="s">
        <v>26</v>
      </c>
      <c r="G2525" s="29">
        <v>19.5</v>
      </c>
      <c r="H2525" s="127">
        <f>_xlfn.XLOOKUP(C2525&amp;F2525&amp;I2525&amp;J2525,'[1]2025年已发货'!$F:$F&amp;'[1]2025年已发货'!$C:$C&amp;'[1]2025年已发货'!$G:$G&amp;'[1]2025年已发货'!$H:$H,'[1]2025年已发货'!$E:$E,"未发货")</f>
        <v>15.5</v>
      </c>
      <c r="I2525" s="33" t="str">
        <f>VLOOKUP(B2525,辅助信息!E:I,3,FALSE)</f>
        <v>（华西简阳西城嘉苑）四川省成都市简阳市简城街道高屋村</v>
      </c>
      <c r="J2525" s="33" t="str">
        <f>VLOOKUP(B2525,辅助信息!E:I,4,FALSE)</f>
        <v>张瀚镭</v>
      </c>
      <c r="K2525" s="33">
        <f>VLOOKUP(J2525,辅助信息!H:I,2,FALSE)</f>
        <v>15884666220</v>
      </c>
      <c r="L2525" s="102" t="str">
        <f>VLOOKUP(B2525,辅助信息!E:J,6,FALSE)</f>
        <v>现场禁止使用氢能源挂车！优先威钢发货,我方卸车,新老国标钢厂不加价可直发，因陕钢多次出现磅差，项目拒绝使用</v>
      </c>
      <c r="M2525" s="84">
        <v>45868</v>
      </c>
      <c r="O2525" s="55">
        <f ca="1" t="shared" ref="O2525:O2588" si="159">IF(OR(M2525="",N2525&lt;&gt;""),"",MAX(M2525-TODAY(),0))</f>
        <v>0</v>
      </c>
      <c r="P2525" s="55">
        <f ca="1" t="shared" ref="P2525:P2588" si="160">IF(M2525="","",IF(N2525&lt;&gt;"",MAX(N2525-M2525,0),IF(TODAY()&gt;M2525,TODAY()-M2525,0)))</f>
        <v>89</v>
      </c>
      <c r="Q2525" s="22" t="str">
        <f>VLOOKUP(B2525,辅助信息!E:M,9,FALSE)</f>
        <v>ZTWM-CDGS-XS-2024-0030-华西集采-简州大道</v>
      </c>
      <c r="R2525" s="22" t="str">
        <f>_xlfn._xlws.FILTER(辅助信息!D:D,辅助信息!E:E=B2525)</f>
        <v>华西简阳西城嘉苑</v>
      </c>
    </row>
    <row r="2526" hidden="1" spans="2:18">
      <c r="B2526" s="33" t="s">
        <v>81</v>
      </c>
      <c r="C2526" s="63">
        <v>45867</v>
      </c>
      <c r="D2526" s="33" t="str">
        <f>VLOOKUP(B2526,辅助信息!E:K,7,FALSE)</f>
        <v>JWDDCD2025060900080</v>
      </c>
      <c r="E2526" s="33" t="str">
        <f>VLOOKUP(F2526,辅助信息!A:B,2,FALSE)</f>
        <v>螺纹钢</v>
      </c>
      <c r="F2526" s="33" t="s">
        <v>19</v>
      </c>
      <c r="G2526" s="29">
        <v>16</v>
      </c>
      <c r="H2526" s="127">
        <f>_xlfn.XLOOKUP(C2526&amp;F2526&amp;I2526&amp;J2526,'[1]2025年已发货'!$F:$F&amp;'[1]2025年已发货'!$C:$C&amp;'[1]2025年已发货'!$G:$G&amp;'[1]2025年已发货'!$H:$H,'[1]2025年已发货'!$E:$E,"未发货")</f>
        <v>6</v>
      </c>
      <c r="I2526" s="33" t="str">
        <f>VLOOKUP(B2526,辅助信息!E:I,3,FALSE)</f>
        <v>（华西简阳西城嘉苑）四川省成都市简阳市简城街道高屋村</v>
      </c>
      <c r="J2526" s="33" t="str">
        <f>VLOOKUP(B2526,辅助信息!E:I,4,FALSE)</f>
        <v>张瀚镭</v>
      </c>
      <c r="K2526" s="33">
        <f>VLOOKUP(J2526,辅助信息!H:I,2,FALSE)</f>
        <v>15884666220</v>
      </c>
      <c r="L2526" s="102" t="str">
        <f>VLOOKUP(B2526,辅助信息!E:J,6,FALSE)</f>
        <v>现场禁止使用氢能源挂车！优先威钢发货,我方卸车,新老国标钢厂不加价可直发，因陕钢多次出现磅差，项目拒绝使用</v>
      </c>
      <c r="M2526" s="84">
        <v>45868</v>
      </c>
      <c r="O2526" s="55">
        <f ca="1" t="shared" si="159"/>
        <v>0</v>
      </c>
      <c r="P2526" s="55">
        <f ca="1" t="shared" si="160"/>
        <v>89</v>
      </c>
      <c r="Q2526" s="22" t="str">
        <f>VLOOKUP(B2526,辅助信息!E:M,9,FALSE)</f>
        <v>ZTWM-CDGS-XS-2024-0030-华西集采-简州大道</v>
      </c>
      <c r="R2526" s="22" t="str">
        <f>_xlfn._xlws.FILTER(辅助信息!D:D,辅助信息!E:E=B2526)</f>
        <v>华西简阳西城嘉苑</v>
      </c>
    </row>
    <row r="2527" hidden="1" spans="2:18">
      <c r="B2527" s="33" t="s">
        <v>81</v>
      </c>
      <c r="C2527" s="63">
        <v>45867</v>
      </c>
      <c r="D2527" s="33" t="str">
        <f>VLOOKUP(B2527,辅助信息!E:K,7,FALSE)</f>
        <v>JWDDCD2025060900080</v>
      </c>
      <c r="E2527" s="33" t="str">
        <f>VLOOKUP(F2527,辅助信息!A:B,2,FALSE)</f>
        <v>螺纹钢</v>
      </c>
      <c r="F2527" s="33" t="s">
        <v>32</v>
      </c>
      <c r="G2527" s="29">
        <v>14</v>
      </c>
      <c r="H2527" s="127">
        <f>_xlfn.XLOOKUP(C2527&amp;F2527&amp;I2527&amp;J2527,'[1]2025年已发货'!$F:$F&amp;'[1]2025年已发货'!$C:$C&amp;'[1]2025年已发货'!$G:$G&amp;'[1]2025年已发货'!$H:$H,'[1]2025年已发货'!$E:$E,"未发货")</f>
        <v>6</v>
      </c>
      <c r="I2527" s="33" t="str">
        <f>VLOOKUP(B2527,辅助信息!E:I,3,FALSE)</f>
        <v>（华西简阳西城嘉苑）四川省成都市简阳市简城街道高屋村</v>
      </c>
      <c r="J2527" s="33" t="str">
        <f>VLOOKUP(B2527,辅助信息!E:I,4,FALSE)</f>
        <v>张瀚镭</v>
      </c>
      <c r="K2527" s="33">
        <f>VLOOKUP(J2527,辅助信息!H:I,2,FALSE)</f>
        <v>15884666220</v>
      </c>
      <c r="L2527" s="102" t="str">
        <f>VLOOKUP(B2527,辅助信息!E:J,6,FALSE)</f>
        <v>现场禁止使用氢能源挂车！优先威钢发货,我方卸车,新老国标钢厂不加价可直发，因陕钢多次出现磅差，项目拒绝使用</v>
      </c>
      <c r="M2527" s="84">
        <v>45868</v>
      </c>
      <c r="O2527" s="55">
        <f ca="1" t="shared" si="159"/>
        <v>0</v>
      </c>
      <c r="P2527" s="55">
        <f ca="1" t="shared" si="160"/>
        <v>89</v>
      </c>
      <c r="Q2527" s="22" t="str">
        <f>VLOOKUP(B2527,辅助信息!E:M,9,FALSE)</f>
        <v>ZTWM-CDGS-XS-2024-0030-华西集采-简州大道</v>
      </c>
      <c r="R2527" s="22" t="str">
        <f>_xlfn._xlws.FILTER(辅助信息!D:D,辅助信息!E:E=B2527)</f>
        <v>华西简阳西城嘉苑</v>
      </c>
    </row>
    <row r="2528" hidden="1" spans="2:18">
      <c r="B2528" s="33" t="s">
        <v>81</v>
      </c>
      <c r="C2528" s="63">
        <v>45867</v>
      </c>
      <c r="D2528" s="33" t="str">
        <f>VLOOKUP(B2528,辅助信息!E:K,7,FALSE)</f>
        <v>JWDDCD2025060900080</v>
      </c>
      <c r="E2528" s="33" t="str">
        <f>VLOOKUP(F2528,辅助信息!A:B,2,FALSE)</f>
        <v>螺纹钢</v>
      </c>
      <c r="F2528" s="33" t="s">
        <v>30</v>
      </c>
      <c r="G2528" s="29">
        <v>2.5</v>
      </c>
      <c r="H2528" s="127">
        <f>_xlfn.XLOOKUP(C2528&amp;F2528&amp;I2528&amp;J2528,'[1]2025年已发货'!$F:$F&amp;'[1]2025年已发货'!$C:$C&amp;'[1]2025年已发货'!$G:$G&amp;'[1]2025年已发货'!$H:$H,'[1]2025年已发货'!$E:$E,"未发货")</f>
        <v>2.5</v>
      </c>
      <c r="I2528" s="33" t="str">
        <f>VLOOKUP(B2528,辅助信息!E:I,3,FALSE)</f>
        <v>（华西简阳西城嘉苑）四川省成都市简阳市简城街道高屋村</v>
      </c>
      <c r="J2528" s="33" t="str">
        <f>VLOOKUP(B2528,辅助信息!E:I,4,FALSE)</f>
        <v>张瀚镭</v>
      </c>
      <c r="K2528" s="33">
        <f>VLOOKUP(J2528,辅助信息!H:I,2,FALSE)</f>
        <v>15884666220</v>
      </c>
      <c r="L2528" s="102" t="str">
        <f>VLOOKUP(B2528,辅助信息!E:J,6,FALSE)</f>
        <v>现场禁止使用氢能源挂车！优先威钢发货,我方卸车,新老国标钢厂不加价可直发，因陕钢多次出现磅差，项目拒绝使用</v>
      </c>
      <c r="M2528" s="84">
        <v>45868</v>
      </c>
      <c r="O2528" s="55">
        <f ca="1" t="shared" si="159"/>
        <v>0</v>
      </c>
      <c r="P2528" s="55">
        <f ca="1" t="shared" si="160"/>
        <v>89</v>
      </c>
      <c r="Q2528" s="22" t="str">
        <f>VLOOKUP(B2528,辅助信息!E:M,9,FALSE)</f>
        <v>ZTWM-CDGS-XS-2024-0030-华西集采-简州大道</v>
      </c>
      <c r="R2528" s="22" t="str">
        <f>_xlfn._xlws.FILTER(辅助信息!D:D,辅助信息!E:E=B2528)</f>
        <v>华西简阳西城嘉苑</v>
      </c>
    </row>
    <row r="2529" hidden="1" spans="2:18">
      <c r="B2529" s="33" t="s">
        <v>81</v>
      </c>
      <c r="C2529" s="63">
        <v>45867</v>
      </c>
      <c r="D2529" s="33" t="str">
        <f>VLOOKUP(B2529,辅助信息!E:K,7,FALSE)</f>
        <v>JWDDCD2025060900080</v>
      </c>
      <c r="E2529" s="33" t="str">
        <f>VLOOKUP(F2529,辅助信息!A:B,2,FALSE)</f>
        <v>螺纹钢</v>
      </c>
      <c r="F2529" s="33" t="s">
        <v>33</v>
      </c>
      <c r="G2529" s="29">
        <v>2.5</v>
      </c>
      <c r="H2529" s="127">
        <f>_xlfn.XLOOKUP(C2529&amp;F2529&amp;I2529&amp;J2529,'[1]2025年已发货'!$F:$F&amp;'[1]2025年已发货'!$C:$C&amp;'[1]2025年已发货'!$G:$G&amp;'[1]2025年已发货'!$H:$H,'[1]2025年已发货'!$E:$E,"未发货")</f>
        <v>2.5</v>
      </c>
      <c r="I2529" s="33" t="str">
        <f>VLOOKUP(B2529,辅助信息!E:I,3,FALSE)</f>
        <v>（华西简阳西城嘉苑）四川省成都市简阳市简城街道高屋村</v>
      </c>
      <c r="J2529" s="33" t="str">
        <f>VLOOKUP(B2529,辅助信息!E:I,4,FALSE)</f>
        <v>张瀚镭</v>
      </c>
      <c r="K2529" s="33">
        <f>VLOOKUP(J2529,辅助信息!H:I,2,FALSE)</f>
        <v>15884666220</v>
      </c>
      <c r="L2529" s="102" t="str">
        <f>VLOOKUP(B2529,辅助信息!E:J,6,FALSE)</f>
        <v>现场禁止使用氢能源挂车！优先威钢发货,我方卸车,新老国标钢厂不加价可直发，因陕钢多次出现磅差，项目拒绝使用</v>
      </c>
      <c r="M2529" s="84">
        <v>45868</v>
      </c>
      <c r="O2529" s="55">
        <f ca="1" t="shared" si="159"/>
        <v>0</v>
      </c>
      <c r="P2529" s="55">
        <f ca="1" t="shared" si="160"/>
        <v>89</v>
      </c>
      <c r="Q2529" s="22" t="str">
        <f>VLOOKUP(B2529,辅助信息!E:M,9,FALSE)</f>
        <v>ZTWM-CDGS-XS-2024-0030-华西集采-简州大道</v>
      </c>
      <c r="R2529" s="22" t="str">
        <f>_xlfn._xlws.FILTER(辅助信息!D:D,辅助信息!E:E=B2529)</f>
        <v>华西简阳西城嘉苑</v>
      </c>
    </row>
    <row r="2530" hidden="1" spans="2:18">
      <c r="B2530" s="33" t="s">
        <v>81</v>
      </c>
      <c r="C2530" s="63">
        <v>45867</v>
      </c>
      <c r="D2530" s="33" t="str">
        <f>VLOOKUP(B2530,辅助信息!E:K,7,FALSE)</f>
        <v>JWDDCD2025060900080</v>
      </c>
      <c r="E2530" s="33" t="str">
        <f>VLOOKUP(F2530,辅助信息!A:B,2,FALSE)</f>
        <v>螺纹钢</v>
      </c>
      <c r="F2530" s="33" t="s">
        <v>58</v>
      </c>
      <c r="G2530" s="29">
        <v>7</v>
      </c>
      <c r="H2530" s="127" t="str">
        <f>_xlfn.XLOOKUP(C2530&amp;F2530&amp;I2530&amp;J2530,'[1]2025年已发货'!$F:$F&amp;'[1]2025年已发货'!$C:$C&amp;'[1]2025年已发货'!$G:$G&amp;'[1]2025年已发货'!$H:$H,'[1]2025年已发货'!$E:$E,"未发货")</f>
        <v>未发货</v>
      </c>
      <c r="I2530" s="33" t="str">
        <f>VLOOKUP(B2530,辅助信息!E:I,3,FALSE)</f>
        <v>（华西简阳西城嘉苑）四川省成都市简阳市简城街道高屋村</v>
      </c>
      <c r="J2530" s="33" t="str">
        <f>VLOOKUP(B2530,辅助信息!E:I,4,FALSE)</f>
        <v>张瀚镭</v>
      </c>
      <c r="K2530" s="33">
        <f>VLOOKUP(J2530,辅助信息!H:I,2,FALSE)</f>
        <v>15884666220</v>
      </c>
      <c r="L2530" s="102" t="str">
        <f>VLOOKUP(B2530,辅助信息!E:J,6,FALSE)</f>
        <v>现场禁止使用氢能源挂车！优先威钢发货,我方卸车,新老国标钢厂不加价可直发，因陕钢多次出现磅差，项目拒绝使用</v>
      </c>
      <c r="M2530" s="84">
        <v>45868</v>
      </c>
      <c r="O2530" s="55">
        <f ca="1" t="shared" si="159"/>
        <v>0</v>
      </c>
      <c r="P2530" s="55">
        <f ca="1" t="shared" si="160"/>
        <v>89</v>
      </c>
      <c r="Q2530" s="22" t="str">
        <f>VLOOKUP(B2530,辅助信息!E:M,9,FALSE)</f>
        <v>ZTWM-CDGS-XS-2024-0030-华西集采-简州大道</v>
      </c>
      <c r="R2530" s="22" t="str">
        <f>_xlfn._xlws.FILTER(辅助信息!D:D,辅助信息!E:E=B2530)</f>
        <v>华西简阳西城嘉苑</v>
      </c>
    </row>
    <row r="2531" hidden="1" spans="2:18">
      <c r="B2531" s="33" t="s">
        <v>81</v>
      </c>
      <c r="C2531" s="63">
        <v>45867</v>
      </c>
      <c r="D2531" s="33" t="str">
        <f>VLOOKUP(B2531,辅助信息!E:K,7,FALSE)</f>
        <v>JWDDCD2025060900080</v>
      </c>
      <c r="E2531" s="33" t="str">
        <f>VLOOKUP(F2531,辅助信息!A:B,2,FALSE)</f>
        <v>螺纹钢</v>
      </c>
      <c r="F2531" s="33" t="s">
        <v>46</v>
      </c>
      <c r="G2531" s="29">
        <v>5</v>
      </c>
      <c r="H2531" s="127" t="str">
        <f>_xlfn.XLOOKUP(C2531&amp;F2531&amp;I2531&amp;J2531,'[1]2025年已发货'!$F:$F&amp;'[1]2025年已发货'!$C:$C&amp;'[1]2025年已发货'!$G:$G&amp;'[1]2025年已发货'!$H:$H,'[1]2025年已发货'!$E:$E,"未发货")</f>
        <v>未发货</v>
      </c>
      <c r="I2531" s="33" t="str">
        <f>VLOOKUP(B2531,辅助信息!E:I,3,FALSE)</f>
        <v>（华西简阳西城嘉苑）四川省成都市简阳市简城街道高屋村</v>
      </c>
      <c r="J2531" s="33" t="str">
        <f>VLOOKUP(B2531,辅助信息!E:I,4,FALSE)</f>
        <v>张瀚镭</v>
      </c>
      <c r="K2531" s="33">
        <f>VLOOKUP(J2531,辅助信息!H:I,2,FALSE)</f>
        <v>15884666220</v>
      </c>
      <c r="L2531" s="102" t="str">
        <f>VLOOKUP(B2531,辅助信息!E:J,6,FALSE)</f>
        <v>现场禁止使用氢能源挂车！优先威钢发货,我方卸车,新老国标钢厂不加价可直发，因陕钢多次出现磅差，项目拒绝使用</v>
      </c>
      <c r="M2531" s="84">
        <v>45868</v>
      </c>
      <c r="O2531" s="55">
        <f ca="1" t="shared" si="159"/>
        <v>0</v>
      </c>
      <c r="P2531" s="55">
        <f ca="1" t="shared" si="160"/>
        <v>89</v>
      </c>
      <c r="Q2531" s="22" t="str">
        <f>VLOOKUP(B2531,辅助信息!E:M,9,FALSE)</f>
        <v>ZTWM-CDGS-XS-2024-0030-华西集采-简州大道</v>
      </c>
      <c r="R2531" s="22" t="str">
        <f>_xlfn._xlws.FILTER(辅助信息!D:D,辅助信息!E:E=B2531)</f>
        <v>华西简阳西城嘉苑</v>
      </c>
    </row>
    <row r="2532" hidden="1" spans="2:18">
      <c r="B2532" s="33" t="s">
        <v>81</v>
      </c>
      <c r="C2532" s="63">
        <v>45867</v>
      </c>
      <c r="D2532" s="33" t="str">
        <f>VLOOKUP(B2532,辅助信息!E:K,7,FALSE)</f>
        <v>JWDDCD2025060900080</v>
      </c>
      <c r="E2532" s="33" t="str">
        <f>VLOOKUP(F2532,辅助信息!A:B,2,FALSE)</f>
        <v>螺纹钢</v>
      </c>
      <c r="F2532" s="33" t="s">
        <v>22</v>
      </c>
      <c r="G2532" s="29">
        <v>20</v>
      </c>
      <c r="H2532" s="127" t="str">
        <f>_xlfn.XLOOKUP(C2532&amp;F2532&amp;I2532&amp;J2532,'[1]2025年已发货'!$F:$F&amp;'[1]2025年已发货'!$C:$C&amp;'[1]2025年已发货'!$G:$G&amp;'[1]2025年已发货'!$H:$H,'[1]2025年已发货'!$E:$E,"未发货")</f>
        <v>未发货</v>
      </c>
      <c r="I2532" s="33" t="str">
        <f>VLOOKUP(B2532,辅助信息!E:I,3,FALSE)</f>
        <v>（华西简阳西城嘉苑）四川省成都市简阳市简城街道高屋村</v>
      </c>
      <c r="J2532" s="33" t="str">
        <f>VLOOKUP(B2532,辅助信息!E:I,4,FALSE)</f>
        <v>张瀚镭</v>
      </c>
      <c r="K2532" s="33">
        <f>VLOOKUP(J2532,辅助信息!H:I,2,FALSE)</f>
        <v>15884666220</v>
      </c>
      <c r="L2532" s="102" t="str">
        <f>VLOOKUP(B2532,辅助信息!E:J,6,FALSE)</f>
        <v>现场禁止使用氢能源挂车！优先威钢发货,我方卸车,新老国标钢厂不加价可直发，因陕钢多次出现磅差，项目拒绝使用</v>
      </c>
      <c r="M2532" s="84">
        <v>45868</v>
      </c>
      <c r="O2532" s="55">
        <f ca="1" t="shared" si="159"/>
        <v>0</v>
      </c>
      <c r="P2532" s="55">
        <f ca="1" t="shared" si="160"/>
        <v>89</v>
      </c>
      <c r="Q2532" s="22" t="str">
        <f>VLOOKUP(B2532,辅助信息!E:M,9,FALSE)</f>
        <v>ZTWM-CDGS-XS-2024-0030-华西集采-简州大道</v>
      </c>
      <c r="R2532" s="22" t="str">
        <f>_xlfn._xlws.FILTER(辅助信息!D:D,辅助信息!E:E=B2532)</f>
        <v>华西简阳西城嘉苑</v>
      </c>
    </row>
    <row r="2533" hidden="1" spans="2:18">
      <c r="B2533" s="33" t="s">
        <v>194</v>
      </c>
      <c r="C2533" s="63">
        <v>45867</v>
      </c>
      <c r="D2533" s="33" t="str">
        <f>VLOOKUP(B2533,辅助信息!E:K,7,FALSE)</f>
        <v>JWDD2025071500089</v>
      </c>
      <c r="E2533" s="33" t="str">
        <f>VLOOKUP(F2533,辅助信息!A:B,2,FALSE)</f>
        <v>盘螺</v>
      </c>
      <c r="F2533" s="33" t="s">
        <v>49</v>
      </c>
      <c r="G2533" s="29">
        <v>6</v>
      </c>
      <c r="H2533" s="127" t="str">
        <f>_xlfn.XLOOKUP(C2533&amp;F2533&amp;I2533&amp;J2533,'[1]2025年已发货'!$F:$F&amp;'[1]2025年已发货'!$C:$C&amp;'[1]2025年已发货'!$G:$G&amp;'[1]2025年已发货'!$H:$H,'[1]2025年已发货'!$E:$E,"未发货")</f>
        <v>未发货</v>
      </c>
      <c r="I2533" s="33" t="str">
        <f>VLOOKUP(B2533,辅助信息!E:I,3,FALSE)</f>
        <v>(宜宾兴港三江新区长江工业园保障性租赁住房建设项目-土建)四川省宜宾市翠屏区永善路南段宜宾市三江新区长江工业园区</v>
      </c>
      <c r="J2533" s="33" t="str">
        <f>VLOOKUP(B2533,辅助信息!E:I,4,FALSE)</f>
        <v>赵元虎</v>
      </c>
      <c r="K2533" s="33">
        <f>VLOOKUP(J2533,辅助信息!H:I,2,FALSE)</f>
        <v>13684167136</v>
      </c>
      <c r="L2533" s="102" t="str">
        <f>VLOOKUP(B2533,辅助信息!E:J,6,FALSE)</f>
        <v>现场要求调度统一联系指定收货人，不单独发司机位置。锈货不收，装货前联系收货人核实到场规格,没提前告知进场规格现场不给予接收</v>
      </c>
      <c r="M2533" s="84">
        <v>45868</v>
      </c>
      <c r="O2533" s="55">
        <f ca="1" t="shared" si="159"/>
        <v>0</v>
      </c>
      <c r="P2533" s="55">
        <f ca="1" t="shared" si="160"/>
        <v>89</v>
      </c>
      <c r="Q2533" s="22" t="str">
        <f>VLOOKUP(B2533,辅助信息!E:M,9,FALSE)</f>
        <v>ZTWM-CDYXGS-XS-2025-0014-宜宾兴港建材-三江新区长江工业园片区保障性租赁住房建设项目</v>
      </c>
      <c r="R2533" s="22" t="str">
        <f>_xlfn._xlws.FILTER(辅助信息!D:D,辅助信息!E:E=B2533)</f>
        <v>宜宾兴港三江新区长江工业园建设项目</v>
      </c>
    </row>
    <row r="2534" hidden="1" spans="2:18">
      <c r="B2534" s="33" t="s">
        <v>194</v>
      </c>
      <c r="C2534" s="63">
        <v>45867</v>
      </c>
      <c r="D2534" s="33" t="str">
        <f>VLOOKUP(B2534,辅助信息!E:K,7,FALSE)</f>
        <v>JWDD2025071500089</v>
      </c>
      <c r="E2534" s="33" t="str">
        <f>VLOOKUP(F2534,辅助信息!A:B,2,FALSE)</f>
        <v>盘螺</v>
      </c>
      <c r="F2534" s="33" t="s">
        <v>40</v>
      </c>
      <c r="G2534" s="29">
        <v>10</v>
      </c>
      <c r="H2534" s="127" t="str">
        <f>_xlfn.XLOOKUP(C2534&amp;F2534&amp;I2534&amp;J2534,'[1]2025年已发货'!$F:$F&amp;'[1]2025年已发货'!$C:$C&amp;'[1]2025年已发货'!$G:$G&amp;'[1]2025年已发货'!$H:$H,'[1]2025年已发货'!$E:$E,"未发货")</f>
        <v>未发货</v>
      </c>
      <c r="I2534" s="33" t="str">
        <f>VLOOKUP(B2534,辅助信息!E:I,3,FALSE)</f>
        <v>(宜宾兴港三江新区长江工业园保障性租赁住房建设项目-土建)四川省宜宾市翠屏区永善路南段宜宾市三江新区长江工业园区</v>
      </c>
      <c r="J2534" s="33" t="str">
        <f>VLOOKUP(B2534,辅助信息!E:I,4,FALSE)</f>
        <v>赵元虎</v>
      </c>
      <c r="K2534" s="33">
        <f>VLOOKUP(J2534,辅助信息!H:I,2,FALSE)</f>
        <v>13684167136</v>
      </c>
      <c r="L2534" s="102" t="str">
        <f>VLOOKUP(B2534,辅助信息!E:J,6,FALSE)</f>
        <v>现场要求调度统一联系指定收货人，不单独发司机位置。锈货不收，装货前联系收货人核实到场规格,没提前告知进场规格现场不给予接收</v>
      </c>
      <c r="M2534" s="84">
        <v>45868</v>
      </c>
      <c r="O2534" s="55">
        <f ca="1" t="shared" si="159"/>
        <v>0</v>
      </c>
      <c r="P2534" s="55">
        <f ca="1" t="shared" si="160"/>
        <v>89</v>
      </c>
      <c r="Q2534" s="22" t="str">
        <f>VLOOKUP(B2534,辅助信息!E:M,9,FALSE)</f>
        <v>ZTWM-CDYXGS-XS-2025-0014-宜宾兴港建材-三江新区长江工业园片区保障性租赁住房建设项目</v>
      </c>
      <c r="R2534" s="22" t="str">
        <f>_xlfn._xlws.FILTER(辅助信息!D:D,辅助信息!E:E=B2534)</f>
        <v>宜宾兴港三江新区长江工业园建设项目</v>
      </c>
    </row>
    <row r="2535" hidden="1" spans="2:18">
      <c r="B2535" s="33" t="s">
        <v>194</v>
      </c>
      <c r="C2535" s="63">
        <v>45867</v>
      </c>
      <c r="D2535" s="33" t="str">
        <f>VLOOKUP(B2535,辅助信息!E:K,7,FALSE)</f>
        <v>JWDD2025071500089</v>
      </c>
      <c r="E2535" s="33" t="str">
        <f>VLOOKUP(F2535,辅助信息!A:B,2,FALSE)</f>
        <v>盘螺</v>
      </c>
      <c r="F2535" s="33" t="s">
        <v>41</v>
      </c>
      <c r="G2535" s="29">
        <v>8</v>
      </c>
      <c r="H2535" s="127">
        <v>8</v>
      </c>
      <c r="I2535" s="33" t="str">
        <f>VLOOKUP(B2535,辅助信息!E:I,3,FALSE)</f>
        <v>(宜宾兴港三江新区长江工业园保障性租赁住房建设项目-土建)四川省宜宾市翠屏区永善路南段宜宾市三江新区长江工业园区</v>
      </c>
      <c r="J2535" s="33" t="str">
        <f>VLOOKUP(B2535,辅助信息!E:I,4,FALSE)</f>
        <v>赵元虎</v>
      </c>
      <c r="K2535" s="33">
        <f>VLOOKUP(J2535,辅助信息!H:I,2,FALSE)</f>
        <v>13684167136</v>
      </c>
      <c r="L2535" s="102" t="str">
        <f>VLOOKUP(B2535,辅助信息!E:J,6,FALSE)</f>
        <v>现场要求调度统一联系指定收货人，不单独发司机位置。锈货不收，装货前联系收货人核实到场规格,没提前告知进场规格现场不给予接收</v>
      </c>
      <c r="M2535" s="84">
        <v>45868</v>
      </c>
      <c r="O2535" s="55">
        <f ca="1" t="shared" si="159"/>
        <v>0</v>
      </c>
      <c r="P2535" s="55">
        <f ca="1" t="shared" si="160"/>
        <v>89</v>
      </c>
      <c r="Q2535" s="22" t="str">
        <f>VLOOKUP(B2535,辅助信息!E:M,9,FALSE)</f>
        <v>ZTWM-CDYXGS-XS-2025-0014-宜宾兴港建材-三江新区长江工业园片区保障性租赁住房建设项目</v>
      </c>
      <c r="R2535" s="22" t="str">
        <f>_xlfn._xlws.FILTER(辅助信息!D:D,辅助信息!E:E=B2535)</f>
        <v>宜宾兴港三江新区长江工业园建设项目</v>
      </c>
    </row>
    <row r="2536" hidden="1" spans="2:18">
      <c r="B2536" s="33" t="s">
        <v>194</v>
      </c>
      <c r="C2536" s="63">
        <v>45867</v>
      </c>
      <c r="D2536" s="33" t="str">
        <f>VLOOKUP(B2536,辅助信息!E:K,7,FALSE)</f>
        <v>JWDD2025071500089</v>
      </c>
      <c r="E2536" s="33" t="str">
        <f>VLOOKUP(F2536,辅助信息!A:B,2,FALSE)</f>
        <v>盘螺</v>
      </c>
      <c r="F2536" s="33" t="s">
        <v>26</v>
      </c>
      <c r="G2536" s="29">
        <v>16</v>
      </c>
      <c r="H2536" s="127" t="str">
        <f>_xlfn.XLOOKUP(C2536&amp;F2536&amp;I2536&amp;J2536,'[1]2025年已发货'!$F:$F&amp;'[1]2025年已发货'!$C:$C&amp;'[1]2025年已发货'!$G:$G&amp;'[1]2025年已发货'!$H:$H,'[1]2025年已发货'!$E:$E,"未发货")</f>
        <v>未发货</v>
      </c>
      <c r="I2536" s="33" t="str">
        <f>VLOOKUP(B2536,辅助信息!E:I,3,FALSE)</f>
        <v>(宜宾兴港三江新区长江工业园保障性租赁住房建设项目-土建)四川省宜宾市翠屏区永善路南段宜宾市三江新区长江工业园区</v>
      </c>
      <c r="J2536" s="33" t="str">
        <f>VLOOKUP(B2536,辅助信息!E:I,4,FALSE)</f>
        <v>赵元虎</v>
      </c>
      <c r="K2536" s="33">
        <f>VLOOKUP(J2536,辅助信息!H:I,2,FALSE)</f>
        <v>13684167136</v>
      </c>
      <c r="L2536" s="102" t="str">
        <f>VLOOKUP(B2536,辅助信息!E:J,6,FALSE)</f>
        <v>现场要求调度统一联系指定收货人，不单独发司机位置。锈货不收，装货前联系收货人核实到场规格,没提前告知进场规格现场不给予接收</v>
      </c>
      <c r="M2536" s="84">
        <v>45868</v>
      </c>
      <c r="O2536" s="55">
        <f ca="1" t="shared" si="159"/>
        <v>0</v>
      </c>
      <c r="P2536" s="55">
        <f ca="1" t="shared" si="160"/>
        <v>89</v>
      </c>
      <c r="Q2536" s="22" t="str">
        <f>VLOOKUP(B2536,辅助信息!E:M,9,FALSE)</f>
        <v>ZTWM-CDYXGS-XS-2025-0014-宜宾兴港建材-三江新区长江工业园片区保障性租赁住房建设项目</v>
      </c>
      <c r="R2536" s="22" t="str">
        <f>_xlfn._xlws.FILTER(辅助信息!D:D,辅助信息!E:E=B2536)</f>
        <v>宜宾兴港三江新区长江工业园建设项目</v>
      </c>
    </row>
    <row r="2537" hidden="1" spans="2:18">
      <c r="B2537" s="33" t="s">
        <v>194</v>
      </c>
      <c r="C2537" s="63">
        <v>45867</v>
      </c>
      <c r="D2537" s="33" t="str">
        <f>VLOOKUP(B2537,辅助信息!E:K,7,FALSE)</f>
        <v>JWDD2025071500089</v>
      </c>
      <c r="E2537" s="33" t="str">
        <f>VLOOKUP(F2537,辅助信息!A:B,2,FALSE)</f>
        <v>螺纹钢</v>
      </c>
      <c r="F2537" s="33" t="s">
        <v>32</v>
      </c>
      <c r="G2537" s="29">
        <v>34</v>
      </c>
      <c r="H2537" s="127">
        <v>27</v>
      </c>
      <c r="I2537" s="33" t="str">
        <f>VLOOKUP(B2537,辅助信息!E:I,3,FALSE)</f>
        <v>(宜宾兴港三江新区长江工业园保障性租赁住房建设项目-土建)四川省宜宾市翠屏区永善路南段宜宾市三江新区长江工业园区</v>
      </c>
      <c r="J2537" s="33" t="str">
        <f>VLOOKUP(B2537,辅助信息!E:I,4,FALSE)</f>
        <v>赵元虎</v>
      </c>
      <c r="K2537" s="33">
        <f>VLOOKUP(J2537,辅助信息!H:I,2,FALSE)</f>
        <v>13684167136</v>
      </c>
      <c r="L2537" s="102" t="str">
        <f>VLOOKUP(B2537,辅助信息!E:J,6,FALSE)</f>
        <v>现场要求调度统一联系指定收货人，不单独发司机位置。锈货不收，装货前联系收货人核实到场规格,没提前告知进场规格现场不给予接收</v>
      </c>
      <c r="M2537" s="84">
        <v>45868</v>
      </c>
      <c r="O2537" s="55">
        <f ca="1" t="shared" si="159"/>
        <v>0</v>
      </c>
      <c r="P2537" s="55">
        <f ca="1" t="shared" si="160"/>
        <v>89</v>
      </c>
      <c r="Q2537" s="22" t="str">
        <f>VLOOKUP(B2537,辅助信息!E:M,9,FALSE)</f>
        <v>ZTWM-CDYXGS-XS-2025-0014-宜宾兴港建材-三江新区长江工业园片区保障性租赁住房建设项目</v>
      </c>
      <c r="R2537" s="22" t="str">
        <f>_xlfn._xlws.FILTER(辅助信息!D:D,辅助信息!E:E=B2537)</f>
        <v>宜宾兴港三江新区长江工业园建设项目</v>
      </c>
    </row>
    <row r="2538" hidden="1" spans="2:18">
      <c r="B2538" s="33" t="s">
        <v>194</v>
      </c>
      <c r="C2538" s="63">
        <v>45867</v>
      </c>
      <c r="D2538" s="33" t="str">
        <f>VLOOKUP(B2538,辅助信息!E:K,7,FALSE)</f>
        <v>JWDD2025071500089</v>
      </c>
      <c r="E2538" s="33" t="str">
        <f>VLOOKUP(F2538,辅助信息!A:B,2,FALSE)</f>
        <v>螺纹钢</v>
      </c>
      <c r="F2538" s="33" t="s">
        <v>30</v>
      </c>
      <c r="G2538" s="29">
        <v>10</v>
      </c>
      <c r="H2538" s="127" t="str">
        <f>_xlfn.XLOOKUP(C2538&amp;F2538&amp;I2538&amp;J2538,'[1]2025年已发货'!$F:$F&amp;'[1]2025年已发货'!$C:$C&amp;'[1]2025年已发货'!$G:$G&amp;'[1]2025年已发货'!$H:$H,'[1]2025年已发货'!$E:$E,"未发货")</f>
        <v>未发货</v>
      </c>
      <c r="I2538" s="33" t="str">
        <f>VLOOKUP(B2538,辅助信息!E:I,3,FALSE)</f>
        <v>(宜宾兴港三江新区长江工业园保障性租赁住房建设项目-土建)四川省宜宾市翠屏区永善路南段宜宾市三江新区长江工业园区</v>
      </c>
      <c r="J2538" s="33" t="str">
        <f>VLOOKUP(B2538,辅助信息!E:I,4,FALSE)</f>
        <v>赵元虎</v>
      </c>
      <c r="K2538" s="33">
        <f>VLOOKUP(J2538,辅助信息!H:I,2,FALSE)</f>
        <v>13684167136</v>
      </c>
      <c r="L2538" s="102" t="str">
        <f>VLOOKUP(B2538,辅助信息!E:J,6,FALSE)</f>
        <v>现场要求调度统一联系指定收货人，不单独发司机位置。锈货不收，装货前联系收货人核实到场规格,没提前告知进场规格现场不给予接收</v>
      </c>
      <c r="M2538" s="84">
        <v>45868</v>
      </c>
      <c r="O2538" s="55">
        <f ca="1" t="shared" si="159"/>
        <v>0</v>
      </c>
      <c r="P2538" s="55">
        <f ca="1" t="shared" si="160"/>
        <v>89</v>
      </c>
      <c r="Q2538" s="22" t="str">
        <f>VLOOKUP(B2538,辅助信息!E:M,9,FALSE)</f>
        <v>ZTWM-CDYXGS-XS-2025-0014-宜宾兴港建材-三江新区长江工业园片区保障性租赁住房建设项目</v>
      </c>
      <c r="R2538" s="22" t="str">
        <f>_xlfn._xlws.FILTER(辅助信息!D:D,辅助信息!E:E=B2538)</f>
        <v>宜宾兴港三江新区长江工业园建设项目</v>
      </c>
    </row>
    <row r="2539" hidden="1" spans="2:18">
      <c r="B2539" s="33" t="s">
        <v>194</v>
      </c>
      <c r="C2539" s="63">
        <v>45867</v>
      </c>
      <c r="D2539" s="33" t="str">
        <f>VLOOKUP(B2539,辅助信息!E:K,7,FALSE)</f>
        <v>JWDD2025071500089</v>
      </c>
      <c r="E2539" s="33" t="str">
        <f>VLOOKUP(F2539,辅助信息!A:B,2,FALSE)</f>
        <v>螺纹钢</v>
      </c>
      <c r="F2539" s="33" t="s">
        <v>33</v>
      </c>
      <c r="G2539" s="29">
        <v>8</v>
      </c>
      <c r="H2539" s="127" t="str">
        <f>_xlfn.XLOOKUP(C2539&amp;F2539&amp;I2539&amp;J2539,'[1]2025年已发货'!$F:$F&amp;'[1]2025年已发货'!$C:$C&amp;'[1]2025年已发货'!$G:$G&amp;'[1]2025年已发货'!$H:$H,'[1]2025年已发货'!$E:$E,"未发货")</f>
        <v>未发货</v>
      </c>
      <c r="I2539" s="33" t="str">
        <f>VLOOKUP(B2539,辅助信息!E:I,3,FALSE)</f>
        <v>(宜宾兴港三江新区长江工业园保障性租赁住房建设项目-土建)四川省宜宾市翠屏区永善路南段宜宾市三江新区长江工业园区</v>
      </c>
      <c r="J2539" s="33" t="str">
        <f>VLOOKUP(B2539,辅助信息!E:I,4,FALSE)</f>
        <v>赵元虎</v>
      </c>
      <c r="K2539" s="33">
        <f>VLOOKUP(J2539,辅助信息!H:I,2,FALSE)</f>
        <v>13684167136</v>
      </c>
      <c r="L2539" s="102" t="str">
        <f>VLOOKUP(B2539,辅助信息!E:J,6,FALSE)</f>
        <v>现场要求调度统一联系指定收货人，不单独发司机位置。锈货不收，装货前联系收货人核实到场规格,没提前告知进场规格现场不给予接收</v>
      </c>
      <c r="M2539" s="84">
        <v>45868</v>
      </c>
      <c r="O2539" s="55">
        <f ca="1" t="shared" si="159"/>
        <v>0</v>
      </c>
      <c r="P2539" s="55">
        <f ca="1" t="shared" si="160"/>
        <v>89</v>
      </c>
      <c r="Q2539" s="22" t="str">
        <f>VLOOKUP(B2539,辅助信息!E:M,9,FALSE)</f>
        <v>ZTWM-CDYXGS-XS-2025-0014-宜宾兴港建材-三江新区长江工业园片区保障性租赁住房建设项目</v>
      </c>
      <c r="R2539" s="22" t="str">
        <f>_xlfn._xlws.FILTER(辅助信息!D:D,辅助信息!E:E=B2539)</f>
        <v>宜宾兴港三江新区长江工业园建设项目</v>
      </c>
    </row>
    <row r="2540" hidden="1" spans="2:18">
      <c r="B2540" s="33" t="s">
        <v>194</v>
      </c>
      <c r="C2540" s="63">
        <v>45867</v>
      </c>
      <c r="D2540" s="33" t="str">
        <f>VLOOKUP(B2540,辅助信息!E:K,7,FALSE)</f>
        <v>JWDD2025071500089</v>
      </c>
      <c r="E2540" s="33" t="str">
        <f>VLOOKUP(F2540,辅助信息!A:B,2,FALSE)</f>
        <v>螺纹钢</v>
      </c>
      <c r="F2540" s="33" t="s">
        <v>28</v>
      </c>
      <c r="G2540" s="29">
        <v>20</v>
      </c>
      <c r="H2540" s="127" t="str">
        <f>_xlfn.XLOOKUP(C2540&amp;F2540&amp;I2540&amp;J2540,'[1]2025年已发货'!$F:$F&amp;'[1]2025年已发货'!$C:$C&amp;'[1]2025年已发货'!$G:$G&amp;'[1]2025年已发货'!$H:$H,'[1]2025年已发货'!$E:$E,"未发货")</f>
        <v>未发货</v>
      </c>
      <c r="I2540" s="33" t="str">
        <f>VLOOKUP(B2540,辅助信息!E:I,3,FALSE)</f>
        <v>(宜宾兴港三江新区长江工业园保障性租赁住房建设项目-土建)四川省宜宾市翠屏区永善路南段宜宾市三江新区长江工业园区</v>
      </c>
      <c r="J2540" s="33" t="str">
        <f>VLOOKUP(B2540,辅助信息!E:I,4,FALSE)</f>
        <v>赵元虎</v>
      </c>
      <c r="K2540" s="33">
        <f>VLOOKUP(J2540,辅助信息!H:I,2,FALSE)</f>
        <v>13684167136</v>
      </c>
      <c r="L2540" s="102" t="str">
        <f>VLOOKUP(B2540,辅助信息!E:J,6,FALSE)</f>
        <v>现场要求调度统一联系指定收货人，不单独发司机位置。锈货不收，装货前联系收货人核实到场规格,没提前告知进场规格现场不给予接收</v>
      </c>
      <c r="M2540" s="84">
        <v>45868</v>
      </c>
      <c r="O2540" s="55">
        <f ca="1" t="shared" si="159"/>
        <v>0</v>
      </c>
      <c r="P2540" s="55">
        <f ca="1" t="shared" si="160"/>
        <v>89</v>
      </c>
      <c r="Q2540" s="22" t="str">
        <f>VLOOKUP(B2540,辅助信息!E:M,9,FALSE)</f>
        <v>ZTWM-CDYXGS-XS-2025-0014-宜宾兴港建材-三江新区长江工业园片区保障性租赁住房建设项目</v>
      </c>
      <c r="R2540" s="22" t="str">
        <f>_xlfn._xlws.FILTER(辅助信息!D:D,辅助信息!E:E=B2540)</f>
        <v>宜宾兴港三江新区长江工业园建设项目</v>
      </c>
    </row>
    <row r="2541" hidden="1" spans="2:18">
      <c r="B2541" s="33" t="s">
        <v>194</v>
      </c>
      <c r="C2541" s="63">
        <v>45867</v>
      </c>
      <c r="D2541" s="33" t="str">
        <f>VLOOKUP(B2541,辅助信息!E:K,7,FALSE)</f>
        <v>JWDD2025071500089</v>
      </c>
      <c r="E2541" s="33" t="str">
        <f>VLOOKUP(F2541,辅助信息!A:B,2,FALSE)</f>
        <v>螺纹钢</v>
      </c>
      <c r="F2541" s="33" t="s">
        <v>18</v>
      </c>
      <c r="G2541" s="29">
        <v>42</v>
      </c>
      <c r="H2541" s="127">
        <v>42</v>
      </c>
      <c r="I2541" s="33" t="str">
        <f>VLOOKUP(B2541,辅助信息!E:I,3,FALSE)</f>
        <v>(宜宾兴港三江新区长江工业园保障性租赁住房建设项目-土建)四川省宜宾市翠屏区永善路南段宜宾市三江新区长江工业园区</v>
      </c>
      <c r="J2541" s="33" t="str">
        <f>VLOOKUP(B2541,辅助信息!E:I,4,FALSE)</f>
        <v>赵元虎</v>
      </c>
      <c r="K2541" s="33">
        <f>VLOOKUP(J2541,辅助信息!H:I,2,FALSE)</f>
        <v>13684167136</v>
      </c>
      <c r="L2541" s="102" t="str">
        <f>VLOOKUP(B2541,辅助信息!E:J,6,FALSE)</f>
        <v>现场要求调度统一联系指定收货人，不单独发司机位置。锈货不收，装货前联系收货人核实到场规格,没提前告知进场规格现场不给予接收</v>
      </c>
      <c r="M2541" s="84">
        <v>45868</v>
      </c>
      <c r="O2541" s="55">
        <f ca="1" t="shared" si="159"/>
        <v>0</v>
      </c>
      <c r="P2541" s="55">
        <f ca="1" t="shared" si="160"/>
        <v>89</v>
      </c>
      <c r="Q2541" s="22" t="str">
        <f>VLOOKUP(B2541,辅助信息!E:M,9,FALSE)</f>
        <v>ZTWM-CDYXGS-XS-2025-0014-宜宾兴港建材-三江新区长江工业园片区保障性租赁住房建设项目</v>
      </c>
      <c r="R2541" s="22" t="str">
        <f>_xlfn._xlws.FILTER(辅助信息!D:D,辅助信息!E:E=B2541)</f>
        <v>宜宾兴港三江新区长江工业园建设项目</v>
      </c>
    </row>
    <row r="2542" hidden="1" spans="2:18">
      <c r="B2542" s="33" t="s">
        <v>186</v>
      </c>
      <c r="C2542" s="63">
        <v>45867</v>
      </c>
      <c r="D2542" s="33" t="str">
        <f>VLOOKUP(B2542,辅助信息!E:K,7,FALSE)</f>
        <v>JWDDCD2025072900123</v>
      </c>
      <c r="E2542" s="33" t="str">
        <f>VLOOKUP(F2542,辅助信息!A:B,2,FALSE)</f>
        <v>螺纹钢</v>
      </c>
      <c r="F2542" s="33" t="s">
        <v>205</v>
      </c>
      <c r="G2542" s="29">
        <v>3</v>
      </c>
      <c r="H2542" s="127">
        <f>_xlfn.XLOOKUP(C2542&amp;F2542&amp;I2542&amp;J2542,'[1]2025年已发货'!$F:$F&amp;'[1]2025年已发货'!$C:$C&amp;'[1]2025年已发货'!$G:$G&amp;'[1]2025年已发货'!$H:$H,'[1]2025年已发货'!$E:$E,"未发货")</f>
        <v>2.5</v>
      </c>
      <c r="I2542" s="33" t="str">
        <f>VLOOKUP(B2542,辅助信息!E:I,3,FALSE)</f>
        <v>(乐山市校地共建产教融合基地建设项目二标段)四川省乐山市市中区苏稽镇</v>
      </c>
      <c r="J2542" s="33" t="str">
        <f>VLOOKUP(B2542,辅助信息!E:I,4,FALSE)</f>
        <v>彭江涛</v>
      </c>
      <c r="K2542" s="33">
        <f>VLOOKUP(J2542,辅助信息!H:I,2,FALSE)</f>
        <v>13990276572</v>
      </c>
      <c r="L2542" s="102" t="str">
        <f>VLOOKUP(B2542,辅助信息!E:J,6,FALSE)</f>
        <v>联系实际收货人（彭江涛13990276572）现场要求炉批号控制2个以下，超2个不给予签收。提前联系到场规格及数量</v>
      </c>
      <c r="M2542" s="84">
        <v>45868</v>
      </c>
      <c r="O2542" s="55">
        <f ca="1" t="shared" si="159"/>
        <v>0</v>
      </c>
      <c r="P2542" s="55">
        <f ca="1" t="shared" si="160"/>
        <v>89</v>
      </c>
      <c r="Q2542" s="22" t="str">
        <f>VLOOKUP(B2542,辅助信息!E:M,9,FALSE)</f>
        <v>ZTWM-CDGS-XS-2025-0126-四川机司-乐山市校地共建产教融合基地配套设施项目施工二标段钢筋采购合同</v>
      </c>
      <c r="R2542" s="22" t="str">
        <f>_xlfn._xlws.FILTER(辅助信息!D:D,辅助信息!E:E=B2542)</f>
        <v>乐山市校地共建产教融合基地建设项目二标段</v>
      </c>
    </row>
    <row r="2543" hidden="1" spans="2:18">
      <c r="B2543" s="33" t="s">
        <v>186</v>
      </c>
      <c r="C2543" s="63">
        <v>45867</v>
      </c>
      <c r="D2543" s="33" t="str">
        <f>VLOOKUP(B2543,辅助信息!E:K,7,FALSE)</f>
        <v>JWDDCD2025072900123</v>
      </c>
      <c r="E2543" s="33" t="str">
        <f>VLOOKUP(F2543,辅助信息!A:B,2,FALSE)</f>
        <v>螺纹钢</v>
      </c>
      <c r="F2543" s="33" t="s">
        <v>140</v>
      </c>
      <c r="G2543" s="29" t="s">
        <v>206</v>
      </c>
      <c r="H2543" s="127">
        <f>_xlfn.XLOOKUP(C2543&amp;F2543&amp;I2543&amp;J2543,'[1]2025年已发货'!$F:$F&amp;'[1]2025年已发货'!$C:$C&amp;'[1]2025年已发货'!$G:$G&amp;'[1]2025年已发货'!$H:$H,'[1]2025年已发货'!$E:$E,"未发货")</f>
        <v>5</v>
      </c>
      <c r="I2543" s="33" t="str">
        <f>VLOOKUP(B2543,辅助信息!E:I,3,FALSE)</f>
        <v>(乐山市校地共建产教融合基地建设项目二标段)四川省乐山市市中区苏稽镇</v>
      </c>
      <c r="J2543" s="33" t="str">
        <f>VLOOKUP(B2543,辅助信息!E:I,4,FALSE)</f>
        <v>彭江涛</v>
      </c>
      <c r="K2543" s="33">
        <f>VLOOKUP(J2543,辅助信息!H:I,2,FALSE)</f>
        <v>13990276572</v>
      </c>
      <c r="L2543" s="102" t="str">
        <f>VLOOKUP(B2543,辅助信息!E:J,6,FALSE)</f>
        <v>联系实际收货人（彭江涛13990276572）现场要求炉批号控制2个以下，超2个不给予签收。提前联系到场规格及数量</v>
      </c>
      <c r="M2543" s="84">
        <v>45868</v>
      </c>
      <c r="O2543" s="55">
        <f ca="1" t="shared" si="159"/>
        <v>0</v>
      </c>
      <c r="P2543" s="55">
        <f ca="1" t="shared" si="160"/>
        <v>89</v>
      </c>
      <c r="Q2543" s="22" t="str">
        <f>VLOOKUP(B2543,辅助信息!E:M,9,FALSE)</f>
        <v>ZTWM-CDGS-XS-2025-0126-四川机司-乐山市校地共建产教融合基地配套设施项目施工二标段钢筋采购合同</v>
      </c>
      <c r="R2543" s="22" t="str">
        <f>_xlfn._xlws.FILTER(辅助信息!D:D,辅助信息!E:E=B2543)</f>
        <v>乐山市校地共建产教融合基地建设项目二标段</v>
      </c>
    </row>
    <row r="2544" hidden="1" spans="2:18">
      <c r="B2544" s="33" t="s">
        <v>186</v>
      </c>
      <c r="C2544" s="63">
        <v>45867</v>
      </c>
      <c r="D2544" s="33" t="str">
        <f>VLOOKUP(B2544,辅助信息!E:K,7,FALSE)</f>
        <v>JWDDCD2025072900123</v>
      </c>
      <c r="E2544" s="33" t="str">
        <f>VLOOKUP(F2544,辅助信息!A:B,2,FALSE)</f>
        <v>螺纹钢</v>
      </c>
      <c r="F2544" s="33" t="s">
        <v>197</v>
      </c>
      <c r="G2544" s="29">
        <v>2.5</v>
      </c>
      <c r="H2544" s="127">
        <f>_xlfn.XLOOKUP(C2544&amp;F2544&amp;I2544&amp;J2544,'[1]2025年已发货'!$F:$F&amp;'[1]2025年已发货'!$C:$C&amp;'[1]2025年已发货'!$G:$G&amp;'[1]2025年已发货'!$H:$H,'[1]2025年已发货'!$E:$E,"未发货")</f>
        <v>2.5</v>
      </c>
      <c r="I2544" s="33" t="str">
        <f>VLOOKUP(B2544,辅助信息!E:I,3,FALSE)</f>
        <v>(乐山市校地共建产教融合基地建设项目二标段)四川省乐山市市中区苏稽镇</v>
      </c>
      <c r="J2544" s="33" t="str">
        <f>VLOOKUP(B2544,辅助信息!E:I,4,FALSE)</f>
        <v>彭江涛</v>
      </c>
      <c r="K2544" s="33">
        <f>VLOOKUP(J2544,辅助信息!H:I,2,FALSE)</f>
        <v>13990276572</v>
      </c>
      <c r="L2544" s="102" t="str">
        <f>VLOOKUP(B2544,辅助信息!E:J,6,FALSE)</f>
        <v>联系实际收货人（彭江涛13990276572）现场要求炉批号控制2个以下，超2个不给予签收。提前联系到场规格及数量</v>
      </c>
      <c r="M2544" s="84">
        <v>45868</v>
      </c>
      <c r="O2544" s="55">
        <f ca="1" t="shared" si="159"/>
        <v>0</v>
      </c>
      <c r="P2544" s="55">
        <f ca="1" t="shared" si="160"/>
        <v>89</v>
      </c>
      <c r="Q2544" s="22" t="str">
        <f>VLOOKUP(B2544,辅助信息!E:M,9,FALSE)</f>
        <v>ZTWM-CDGS-XS-2025-0126-四川机司-乐山市校地共建产教融合基地配套设施项目施工二标段钢筋采购合同</v>
      </c>
      <c r="R2544" s="22" t="str">
        <f>_xlfn._xlws.FILTER(辅助信息!D:D,辅助信息!E:E=B2544)</f>
        <v>乐山市校地共建产教融合基地建设项目二标段</v>
      </c>
    </row>
    <row r="2545" hidden="1" spans="2:18">
      <c r="B2545" s="33" t="s">
        <v>186</v>
      </c>
      <c r="C2545" s="63">
        <v>45867</v>
      </c>
      <c r="D2545" s="33" t="str">
        <f>VLOOKUP(B2545,辅助信息!E:K,7,FALSE)</f>
        <v>JWDDCD2025072900123</v>
      </c>
      <c r="E2545" s="33" t="str">
        <f>VLOOKUP(F2545,辅助信息!A:B,2,FALSE)</f>
        <v>螺纹钢</v>
      </c>
      <c r="F2545" s="33" t="s">
        <v>198</v>
      </c>
      <c r="G2545" s="29">
        <v>2.5</v>
      </c>
      <c r="H2545" s="127">
        <f>_xlfn.XLOOKUP(C2545&amp;F2545&amp;I2545&amp;J2545,'[1]2025年已发货'!$F:$F&amp;'[1]2025年已发货'!$C:$C&amp;'[1]2025年已发货'!$G:$G&amp;'[1]2025年已发货'!$H:$H,'[1]2025年已发货'!$E:$E,"未发货")</f>
        <v>2.5</v>
      </c>
      <c r="I2545" s="33" t="str">
        <f>VLOOKUP(B2545,辅助信息!E:I,3,FALSE)</f>
        <v>(乐山市校地共建产教融合基地建设项目二标段)四川省乐山市市中区苏稽镇</v>
      </c>
      <c r="J2545" s="33" t="str">
        <f>VLOOKUP(B2545,辅助信息!E:I,4,FALSE)</f>
        <v>彭江涛</v>
      </c>
      <c r="K2545" s="33">
        <f>VLOOKUP(J2545,辅助信息!H:I,2,FALSE)</f>
        <v>13990276572</v>
      </c>
      <c r="L2545" s="102" t="str">
        <f>VLOOKUP(B2545,辅助信息!E:J,6,FALSE)</f>
        <v>联系实际收货人（彭江涛13990276572）现场要求炉批号控制2个以下，超2个不给予签收。提前联系到场规格及数量</v>
      </c>
      <c r="M2545" s="84">
        <v>45868</v>
      </c>
      <c r="O2545" s="55">
        <f ca="1" t="shared" si="159"/>
        <v>0</v>
      </c>
      <c r="P2545" s="55">
        <f ca="1" t="shared" si="160"/>
        <v>89</v>
      </c>
      <c r="Q2545" s="22" t="str">
        <f>VLOOKUP(B2545,辅助信息!E:M,9,FALSE)</f>
        <v>ZTWM-CDGS-XS-2025-0126-四川机司-乐山市校地共建产教融合基地配套设施项目施工二标段钢筋采购合同</v>
      </c>
      <c r="R2545" s="22" t="str">
        <f>_xlfn._xlws.FILTER(辅助信息!D:D,辅助信息!E:E=B2545)</f>
        <v>乐山市校地共建产教融合基地建设项目二标段</v>
      </c>
    </row>
    <row r="2546" hidden="1" spans="2:18">
      <c r="B2546" s="33" t="s">
        <v>186</v>
      </c>
      <c r="C2546" s="63">
        <v>45867</v>
      </c>
      <c r="D2546" s="33" t="str">
        <f>VLOOKUP(B2546,辅助信息!E:K,7,FALSE)</f>
        <v>JWDDCD2025072900123</v>
      </c>
      <c r="E2546" s="33" t="str">
        <f>VLOOKUP(F2546,辅助信息!A:B,2,FALSE)</f>
        <v>螺纹钢</v>
      </c>
      <c r="F2546" s="33" t="s">
        <v>199</v>
      </c>
      <c r="G2546" s="29">
        <v>2.5</v>
      </c>
      <c r="H2546" s="127">
        <f>_xlfn.XLOOKUP(C2546&amp;F2546&amp;I2546&amp;J2546,'[1]2025年已发货'!$F:$F&amp;'[1]2025年已发货'!$C:$C&amp;'[1]2025年已发货'!$G:$G&amp;'[1]2025年已发货'!$H:$H,'[1]2025年已发货'!$E:$E,"未发货")</f>
        <v>2.5</v>
      </c>
      <c r="I2546" s="33" t="str">
        <f>VLOOKUP(B2546,辅助信息!E:I,3,FALSE)</f>
        <v>(乐山市校地共建产教融合基地建设项目二标段)四川省乐山市市中区苏稽镇</v>
      </c>
      <c r="J2546" s="33" t="str">
        <f>VLOOKUP(B2546,辅助信息!E:I,4,FALSE)</f>
        <v>彭江涛</v>
      </c>
      <c r="K2546" s="33">
        <f>VLOOKUP(J2546,辅助信息!H:I,2,FALSE)</f>
        <v>13990276572</v>
      </c>
      <c r="L2546" s="102" t="str">
        <f>VLOOKUP(B2546,辅助信息!E:J,6,FALSE)</f>
        <v>联系实际收货人（彭江涛13990276572）现场要求炉批号控制2个以下，超2个不给予签收。提前联系到场规格及数量</v>
      </c>
      <c r="M2546" s="84">
        <v>45868</v>
      </c>
      <c r="O2546" s="55">
        <f ca="1" t="shared" si="159"/>
        <v>0</v>
      </c>
      <c r="P2546" s="55">
        <f ca="1" t="shared" si="160"/>
        <v>89</v>
      </c>
      <c r="Q2546" s="22" t="str">
        <f>VLOOKUP(B2546,辅助信息!E:M,9,FALSE)</f>
        <v>ZTWM-CDGS-XS-2025-0126-四川机司-乐山市校地共建产教融合基地配套设施项目施工二标段钢筋采购合同</v>
      </c>
      <c r="R2546" s="22" t="str">
        <f>_xlfn._xlws.FILTER(辅助信息!D:D,辅助信息!E:E=B2546)</f>
        <v>乐山市校地共建产教融合基地建设项目二标段</v>
      </c>
    </row>
    <row r="2547" hidden="1" spans="2:18">
      <c r="B2547" s="33" t="s">
        <v>186</v>
      </c>
      <c r="C2547" s="63">
        <v>45867</v>
      </c>
      <c r="D2547" s="33" t="str">
        <f>VLOOKUP(B2547,辅助信息!E:K,7,FALSE)</f>
        <v>JWDDCD2025072900123</v>
      </c>
      <c r="E2547" s="33" t="str">
        <f>VLOOKUP(F2547,辅助信息!A:B,2,FALSE)</f>
        <v>螺纹钢</v>
      </c>
      <c r="F2547" s="33" t="s">
        <v>141</v>
      </c>
      <c r="G2547" s="29">
        <v>7</v>
      </c>
      <c r="H2547" s="127">
        <f>_xlfn.XLOOKUP(C2547&amp;F2547&amp;I2547&amp;J2547,'[1]2025年已发货'!$F:$F&amp;'[1]2025年已发货'!$C:$C&amp;'[1]2025年已发货'!$G:$G&amp;'[1]2025年已发货'!$H:$H,'[1]2025年已发货'!$E:$E,"未发货")</f>
        <v>7.5</v>
      </c>
      <c r="I2547" s="33" t="str">
        <f>VLOOKUP(B2547,辅助信息!E:I,3,FALSE)</f>
        <v>(乐山市校地共建产教融合基地建设项目二标段)四川省乐山市市中区苏稽镇</v>
      </c>
      <c r="J2547" s="33" t="str">
        <f>VLOOKUP(B2547,辅助信息!E:I,4,FALSE)</f>
        <v>彭江涛</v>
      </c>
      <c r="K2547" s="33">
        <f>VLOOKUP(J2547,辅助信息!H:I,2,FALSE)</f>
        <v>13990276572</v>
      </c>
      <c r="L2547" s="102" t="str">
        <f>VLOOKUP(B2547,辅助信息!E:J,6,FALSE)</f>
        <v>联系实际收货人（彭江涛13990276572）现场要求炉批号控制2个以下，超2个不给予签收。提前联系到场规格及数量</v>
      </c>
      <c r="M2547" s="84">
        <v>45868</v>
      </c>
      <c r="O2547" s="55">
        <f ca="1" t="shared" si="159"/>
        <v>0</v>
      </c>
      <c r="P2547" s="55">
        <f ca="1" t="shared" si="160"/>
        <v>89</v>
      </c>
      <c r="Q2547" s="22" t="str">
        <f>VLOOKUP(B2547,辅助信息!E:M,9,FALSE)</f>
        <v>ZTWM-CDGS-XS-2025-0126-四川机司-乐山市校地共建产教融合基地配套设施项目施工二标段钢筋采购合同</v>
      </c>
      <c r="R2547" s="22" t="str">
        <f>_xlfn._xlws.FILTER(辅助信息!D:D,辅助信息!E:E=B2547)</f>
        <v>乐山市校地共建产教融合基地建设项目二标段</v>
      </c>
    </row>
    <row r="2548" hidden="1" spans="2:18">
      <c r="B2548" s="33" t="s">
        <v>186</v>
      </c>
      <c r="C2548" s="63">
        <v>45867</v>
      </c>
      <c r="D2548" s="33" t="str">
        <f>VLOOKUP(B2548,辅助信息!E:K,7,FALSE)</f>
        <v>JWDDCD2025072900123</v>
      </c>
      <c r="E2548" s="33" t="str">
        <f>VLOOKUP(F2548,辅助信息!A:B,2,FALSE)</f>
        <v>螺纹钢</v>
      </c>
      <c r="F2548" s="33" t="s">
        <v>142</v>
      </c>
      <c r="G2548" s="29">
        <v>13</v>
      </c>
      <c r="H2548" s="127">
        <f>_xlfn.XLOOKUP(C2548&amp;F2548&amp;I2548&amp;J2548,'[1]2025年已发货'!$F:$F&amp;'[1]2025年已发货'!$C:$C&amp;'[1]2025年已发货'!$G:$G&amp;'[1]2025年已发货'!$H:$H,'[1]2025年已发货'!$E:$E,"未发货")</f>
        <v>12.5</v>
      </c>
      <c r="I2548" s="33" t="str">
        <f>VLOOKUP(B2548,辅助信息!E:I,3,FALSE)</f>
        <v>(乐山市校地共建产教融合基地建设项目二标段)四川省乐山市市中区苏稽镇</v>
      </c>
      <c r="J2548" s="33" t="str">
        <f>VLOOKUP(B2548,辅助信息!E:I,4,FALSE)</f>
        <v>彭江涛</v>
      </c>
      <c r="K2548" s="33">
        <f>VLOOKUP(J2548,辅助信息!H:I,2,FALSE)</f>
        <v>13990276572</v>
      </c>
      <c r="L2548" s="102" t="str">
        <f>VLOOKUP(B2548,辅助信息!E:J,6,FALSE)</f>
        <v>联系实际收货人（彭江涛13990276572）现场要求炉批号控制2个以下，超2个不给予签收。提前联系到场规格及数量</v>
      </c>
      <c r="M2548" s="84">
        <v>45868</v>
      </c>
      <c r="O2548" s="55">
        <f ca="1" t="shared" si="159"/>
        <v>0</v>
      </c>
      <c r="P2548" s="55">
        <f ca="1" t="shared" si="160"/>
        <v>89</v>
      </c>
      <c r="Q2548" s="22" t="str">
        <f>VLOOKUP(B2548,辅助信息!E:M,9,FALSE)</f>
        <v>ZTWM-CDGS-XS-2025-0126-四川机司-乐山市校地共建产教融合基地配套设施项目施工二标段钢筋采购合同</v>
      </c>
      <c r="R2548" s="22" t="str">
        <f>_xlfn._xlws.FILTER(辅助信息!D:D,辅助信息!E:E=B2548)</f>
        <v>乐山市校地共建产教融合基地建设项目二标段</v>
      </c>
    </row>
    <row r="2549" hidden="1" spans="2:18">
      <c r="B2549" s="113" t="s">
        <v>81</v>
      </c>
      <c r="C2549" s="63">
        <v>45869</v>
      </c>
      <c r="D2549" s="113" t="str">
        <f>VLOOKUP(B2549,辅助信息!E:K,7,FALSE)</f>
        <v>JWDDCD2025060900080</v>
      </c>
      <c r="E2549" s="113" t="str">
        <f>VLOOKUP(F2549,辅助信息!A:B,2,FALSE)</f>
        <v>盘螺</v>
      </c>
      <c r="F2549" s="113" t="s">
        <v>49</v>
      </c>
      <c r="G2549" s="114">
        <v>2.5</v>
      </c>
      <c r="H2549" s="127">
        <f>_xlfn.XLOOKUP(C2549&amp;F2549&amp;I2549&amp;J2549,'[1]2025年已发货'!$F:$F&amp;'[1]2025年已发货'!$C:$C&amp;'[1]2025年已发货'!$G:$G&amp;'[1]2025年已发货'!$H:$H,'[1]2025年已发货'!$E:$E,"未发货")</f>
        <v>2.5</v>
      </c>
      <c r="I2549" s="113" t="str">
        <f>VLOOKUP(B2549,辅助信息!E:I,3,FALSE)</f>
        <v>（华西简阳西城嘉苑）四川省成都市简阳市简城街道高屋村</v>
      </c>
      <c r="J2549" s="113" t="str">
        <f>VLOOKUP(B2549,辅助信息!E:I,4,FALSE)</f>
        <v>张瀚镭</v>
      </c>
      <c r="K2549" s="113">
        <f>VLOOKUP(J2549,辅助信息!H:I,2,FALSE)</f>
        <v>15884666220</v>
      </c>
      <c r="L2549" s="115" t="str">
        <f>VLOOKUP(B2549,辅助信息!E:J,6,FALSE)</f>
        <v>现场禁止使用氢能源挂车！优先威钢发货,我方卸车,新老国标钢厂不加价可直发，因陕钢多次出现磅差，项目拒绝使用</v>
      </c>
      <c r="M2549" s="84">
        <v>45870</v>
      </c>
      <c r="O2549" s="55">
        <f ca="1" t="shared" si="159"/>
        <v>0</v>
      </c>
      <c r="P2549" s="55">
        <f ca="1" t="shared" si="160"/>
        <v>87</v>
      </c>
      <c r="Q2549" s="22" t="str">
        <f>VLOOKUP(B2549,辅助信息!E:M,9,FALSE)</f>
        <v>ZTWM-CDGS-XS-2024-0030-华西集采-简州大道</v>
      </c>
      <c r="R2549" s="22" t="str">
        <f>_xlfn._xlws.FILTER(辅助信息!D:D,辅助信息!E:E=B2549)</f>
        <v>华西简阳西城嘉苑</v>
      </c>
    </row>
    <row r="2550" hidden="1" spans="2:18">
      <c r="B2550" s="113" t="s">
        <v>81</v>
      </c>
      <c r="C2550" s="63">
        <v>45869</v>
      </c>
      <c r="D2550" s="113" t="str">
        <f>VLOOKUP(B2550,辅助信息!E:K,7,FALSE)</f>
        <v>JWDDCD2025060900080</v>
      </c>
      <c r="E2550" s="113" t="str">
        <f>VLOOKUP(F2550,辅助信息!A:B,2,FALSE)</f>
        <v>盘螺</v>
      </c>
      <c r="F2550" s="113" t="s">
        <v>40</v>
      </c>
      <c r="G2550" s="114">
        <v>9</v>
      </c>
      <c r="H2550" s="127">
        <f>_xlfn.XLOOKUP(C2550&amp;F2550&amp;I2550&amp;J2550,'[1]2025年已发货'!$F:$F&amp;'[1]2025年已发货'!$C:$C&amp;'[1]2025年已发货'!$G:$G&amp;'[1]2025年已发货'!$H:$H,'[1]2025年已发货'!$E:$E,"未发货")</f>
        <v>9</v>
      </c>
      <c r="I2550" s="113" t="str">
        <f>VLOOKUP(B2550,辅助信息!E:I,3,FALSE)</f>
        <v>（华西简阳西城嘉苑）四川省成都市简阳市简城街道高屋村</v>
      </c>
      <c r="J2550" s="113" t="str">
        <f>VLOOKUP(B2550,辅助信息!E:I,4,FALSE)</f>
        <v>张瀚镭</v>
      </c>
      <c r="K2550" s="113">
        <f>VLOOKUP(J2550,辅助信息!H:I,2,FALSE)</f>
        <v>15884666220</v>
      </c>
      <c r="L2550" s="115" t="str">
        <f>VLOOKUP(B2550,辅助信息!E:J,6,FALSE)</f>
        <v>现场禁止使用氢能源挂车！优先威钢发货,我方卸车,新老国标钢厂不加价可直发，因陕钢多次出现磅差，项目拒绝使用</v>
      </c>
      <c r="M2550" s="84">
        <v>45870</v>
      </c>
      <c r="O2550" s="55">
        <f ca="1" t="shared" si="159"/>
        <v>0</v>
      </c>
      <c r="P2550" s="55">
        <f ca="1" t="shared" si="160"/>
        <v>87</v>
      </c>
      <c r="Q2550" s="22" t="str">
        <f>VLOOKUP(B2550,辅助信息!E:M,9,FALSE)</f>
        <v>ZTWM-CDGS-XS-2024-0030-华西集采-简州大道</v>
      </c>
      <c r="R2550" s="22" t="str">
        <f>_xlfn._xlws.FILTER(辅助信息!D:D,辅助信息!E:E=B2550)</f>
        <v>华西简阳西城嘉苑</v>
      </c>
    </row>
    <row r="2551" hidden="1" spans="2:18">
      <c r="B2551" s="113" t="s">
        <v>81</v>
      </c>
      <c r="C2551" s="63">
        <v>45869</v>
      </c>
      <c r="D2551" s="113" t="str">
        <f>VLOOKUP(B2551,辅助信息!E:K,7,FALSE)</f>
        <v>JWDDCD2025060900080</v>
      </c>
      <c r="E2551" s="113" t="str">
        <f>VLOOKUP(F2551,辅助信息!A:B,2,FALSE)</f>
        <v>盘螺</v>
      </c>
      <c r="F2551" s="113" t="s">
        <v>41</v>
      </c>
      <c r="G2551" s="114">
        <v>37</v>
      </c>
      <c r="H2551" s="127">
        <f>_xlfn.XLOOKUP(C2551&amp;F2551&amp;I2551&amp;J2551,'[1]2025年已发货'!$F:$F&amp;'[1]2025年已发货'!$C:$C&amp;'[1]2025年已发货'!$G:$G&amp;'[1]2025年已发货'!$H:$H,'[1]2025年已发货'!$E:$E,"未发货")</f>
        <v>37</v>
      </c>
      <c r="I2551" s="113" t="str">
        <f>VLOOKUP(B2551,辅助信息!E:I,3,FALSE)</f>
        <v>（华西简阳西城嘉苑）四川省成都市简阳市简城街道高屋村</v>
      </c>
      <c r="J2551" s="113" t="str">
        <f>VLOOKUP(B2551,辅助信息!E:I,4,FALSE)</f>
        <v>张瀚镭</v>
      </c>
      <c r="K2551" s="113">
        <f>VLOOKUP(J2551,辅助信息!H:I,2,FALSE)</f>
        <v>15884666220</v>
      </c>
      <c r="L2551" s="115" t="str">
        <f>VLOOKUP(B2551,辅助信息!E:J,6,FALSE)</f>
        <v>现场禁止使用氢能源挂车！优先威钢发货,我方卸车,新老国标钢厂不加价可直发，因陕钢多次出现磅差，项目拒绝使用</v>
      </c>
      <c r="M2551" s="84">
        <v>45870</v>
      </c>
      <c r="O2551" s="55">
        <f ca="1" t="shared" si="159"/>
        <v>0</v>
      </c>
      <c r="P2551" s="55">
        <f ca="1" t="shared" si="160"/>
        <v>87</v>
      </c>
      <c r="Q2551" s="22" t="str">
        <f>VLOOKUP(B2551,辅助信息!E:M,9,FALSE)</f>
        <v>ZTWM-CDGS-XS-2024-0030-华西集采-简州大道</v>
      </c>
      <c r="R2551" s="22" t="str">
        <f>_xlfn._xlws.FILTER(辅助信息!D:D,辅助信息!E:E=B2551)</f>
        <v>华西简阳西城嘉苑</v>
      </c>
    </row>
    <row r="2552" hidden="1" spans="2:18">
      <c r="B2552" s="113" t="s">
        <v>81</v>
      </c>
      <c r="C2552" s="63">
        <v>45869</v>
      </c>
      <c r="D2552" s="113" t="str">
        <f>VLOOKUP(B2552,辅助信息!E:K,7,FALSE)</f>
        <v>JWDDCD2025060900080</v>
      </c>
      <c r="E2552" s="113" t="str">
        <f>VLOOKUP(F2552,辅助信息!A:B,2,FALSE)</f>
        <v>盘螺</v>
      </c>
      <c r="F2552" s="113" t="s">
        <v>26</v>
      </c>
      <c r="G2552" s="114">
        <v>4</v>
      </c>
      <c r="H2552" s="127">
        <f>_xlfn.XLOOKUP(C2552&amp;F2552&amp;I2552&amp;J2552,'[1]2025年已发货'!$F:$F&amp;'[1]2025年已发货'!$C:$C&amp;'[1]2025年已发货'!$G:$G&amp;'[1]2025年已发货'!$H:$H,'[1]2025年已发货'!$E:$E,"未发货")</f>
        <v>4</v>
      </c>
      <c r="I2552" s="113" t="str">
        <f>VLOOKUP(B2552,辅助信息!E:I,3,FALSE)</f>
        <v>（华西简阳西城嘉苑）四川省成都市简阳市简城街道高屋村</v>
      </c>
      <c r="J2552" s="113" t="str">
        <f>VLOOKUP(B2552,辅助信息!E:I,4,FALSE)</f>
        <v>张瀚镭</v>
      </c>
      <c r="K2552" s="113">
        <f>VLOOKUP(J2552,辅助信息!H:I,2,FALSE)</f>
        <v>15884666220</v>
      </c>
      <c r="L2552" s="115" t="str">
        <f>VLOOKUP(B2552,辅助信息!E:J,6,FALSE)</f>
        <v>现场禁止使用氢能源挂车！优先威钢发货,我方卸车,新老国标钢厂不加价可直发，因陕钢多次出现磅差，项目拒绝使用</v>
      </c>
      <c r="M2552" s="84">
        <v>45870</v>
      </c>
      <c r="O2552" s="55">
        <f ca="1" t="shared" si="159"/>
        <v>0</v>
      </c>
      <c r="P2552" s="55">
        <f ca="1" t="shared" si="160"/>
        <v>87</v>
      </c>
      <c r="Q2552" s="22" t="str">
        <f>VLOOKUP(B2552,辅助信息!E:M,9,FALSE)</f>
        <v>ZTWM-CDGS-XS-2024-0030-华西集采-简州大道</v>
      </c>
      <c r="R2552" s="22" t="str">
        <f>_xlfn._xlws.FILTER(辅助信息!D:D,辅助信息!E:E=B2552)</f>
        <v>华西简阳西城嘉苑</v>
      </c>
    </row>
    <row r="2553" hidden="1" spans="2:18">
      <c r="B2553" s="113" t="s">
        <v>81</v>
      </c>
      <c r="C2553" s="63">
        <v>45869</v>
      </c>
      <c r="D2553" s="113" t="str">
        <f>VLOOKUP(B2553,辅助信息!E:K,7,FALSE)</f>
        <v>JWDDCD2025060900080</v>
      </c>
      <c r="E2553" s="113" t="str">
        <f>VLOOKUP(F2553,辅助信息!A:B,2,FALSE)</f>
        <v>螺纹钢</v>
      </c>
      <c r="F2553" s="113" t="s">
        <v>19</v>
      </c>
      <c r="G2553" s="114">
        <v>10</v>
      </c>
      <c r="H2553" s="127">
        <f>_xlfn.XLOOKUP(C2553&amp;F2553&amp;I2553&amp;J2553,'[1]2025年已发货'!$F:$F&amp;'[1]2025年已发货'!$C:$C&amp;'[1]2025年已发货'!$G:$G&amp;'[1]2025年已发货'!$H:$H,'[1]2025年已发货'!$E:$E,"未发货")</f>
        <v>10</v>
      </c>
      <c r="I2553" s="113" t="str">
        <f>VLOOKUP(B2553,辅助信息!E:I,3,FALSE)</f>
        <v>（华西简阳西城嘉苑）四川省成都市简阳市简城街道高屋村</v>
      </c>
      <c r="J2553" s="113" t="str">
        <f>VLOOKUP(B2553,辅助信息!E:I,4,FALSE)</f>
        <v>张瀚镭</v>
      </c>
      <c r="K2553" s="113">
        <f>VLOOKUP(J2553,辅助信息!H:I,2,FALSE)</f>
        <v>15884666220</v>
      </c>
      <c r="L2553" s="115" t="str">
        <f>VLOOKUP(B2553,辅助信息!E:J,6,FALSE)</f>
        <v>现场禁止使用氢能源挂车！优先威钢发货,我方卸车,新老国标钢厂不加价可直发，因陕钢多次出现磅差，项目拒绝使用</v>
      </c>
      <c r="M2553" s="84">
        <v>45870</v>
      </c>
      <c r="O2553" s="55">
        <f ca="1" t="shared" si="159"/>
        <v>0</v>
      </c>
      <c r="P2553" s="55">
        <f ca="1" t="shared" si="160"/>
        <v>87</v>
      </c>
      <c r="Q2553" s="22" t="str">
        <f>VLOOKUP(B2553,辅助信息!E:M,9,FALSE)</f>
        <v>ZTWM-CDGS-XS-2024-0030-华西集采-简州大道</v>
      </c>
      <c r="R2553" s="22" t="str">
        <f>_xlfn._xlws.FILTER(辅助信息!D:D,辅助信息!E:E=B2553)</f>
        <v>华西简阳西城嘉苑</v>
      </c>
    </row>
    <row r="2554" hidden="1" spans="2:18">
      <c r="B2554" s="113" t="s">
        <v>81</v>
      </c>
      <c r="C2554" s="63">
        <v>45869</v>
      </c>
      <c r="D2554" s="113" t="str">
        <f>VLOOKUP(B2554,辅助信息!E:K,7,FALSE)</f>
        <v>JWDDCD2025060900080</v>
      </c>
      <c r="E2554" s="113" t="str">
        <f>VLOOKUP(F2554,辅助信息!A:B,2,FALSE)</f>
        <v>螺纹钢</v>
      </c>
      <c r="F2554" s="113" t="s">
        <v>32</v>
      </c>
      <c r="G2554" s="114">
        <v>6</v>
      </c>
      <c r="H2554" s="127">
        <f>_xlfn.XLOOKUP(C2554&amp;F2554&amp;I2554&amp;J2554,'[1]2025年已发货'!$F:$F&amp;'[1]2025年已发货'!$C:$C&amp;'[1]2025年已发货'!$G:$G&amp;'[1]2025年已发货'!$H:$H,'[1]2025年已发货'!$E:$E,"未发货")</f>
        <v>6</v>
      </c>
      <c r="I2554" s="113" t="str">
        <f>VLOOKUP(B2554,辅助信息!E:I,3,FALSE)</f>
        <v>（华西简阳西城嘉苑）四川省成都市简阳市简城街道高屋村</v>
      </c>
      <c r="J2554" s="113" t="str">
        <f>VLOOKUP(B2554,辅助信息!E:I,4,FALSE)</f>
        <v>张瀚镭</v>
      </c>
      <c r="K2554" s="113">
        <f>VLOOKUP(J2554,辅助信息!H:I,2,FALSE)</f>
        <v>15884666220</v>
      </c>
      <c r="L2554" s="115" t="str">
        <f>VLOOKUP(B2554,辅助信息!E:J,6,FALSE)</f>
        <v>现场禁止使用氢能源挂车！优先威钢发货,我方卸车,新老国标钢厂不加价可直发，因陕钢多次出现磅差，项目拒绝使用</v>
      </c>
      <c r="M2554" s="84">
        <v>45870</v>
      </c>
      <c r="O2554" s="55">
        <f ca="1" t="shared" si="159"/>
        <v>0</v>
      </c>
      <c r="P2554" s="55">
        <f ca="1" t="shared" si="160"/>
        <v>87</v>
      </c>
      <c r="Q2554" s="22" t="str">
        <f>VLOOKUP(B2554,辅助信息!E:M,9,FALSE)</f>
        <v>ZTWM-CDGS-XS-2024-0030-华西集采-简州大道</v>
      </c>
      <c r="R2554" s="22" t="str">
        <f>_xlfn._xlws.FILTER(辅助信息!D:D,辅助信息!E:E=B2554)</f>
        <v>华西简阳西城嘉苑</v>
      </c>
    </row>
    <row r="2555" hidden="1" spans="2:18">
      <c r="B2555" s="113" t="s">
        <v>81</v>
      </c>
      <c r="C2555" s="63">
        <v>45869</v>
      </c>
      <c r="D2555" s="113" t="str">
        <f>VLOOKUP(B2555,辅助信息!E:K,7,FALSE)</f>
        <v>JWDDCD2025060900080</v>
      </c>
      <c r="E2555" s="113" t="str">
        <f>VLOOKUP(F2555,辅助信息!A:B,2,FALSE)</f>
        <v>螺纹钢</v>
      </c>
      <c r="F2555" s="113" t="s">
        <v>58</v>
      </c>
      <c r="G2555" s="114">
        <v>7</v>
      </c>
      <c r="H2555" s="127">
        <f>_xlfn.XLOOKUP(C2555&amp;F2555&amp;I2555&amp;J2555,'[1]2025年已发货'!$F:$F&amp;'[1]2025年已发货'!$C:$C&amp;'[1]2025年已发货'!$G:$G&amp;'[1]2025年已发货'!$H:$H,'[1]2025年已发货'!$E:$E,"未发货")</f>
        <v>7</v>
      </c>
      <c r="I2555" s="113" t="str">
        <f>VLOOKUP(B2555,辅助信息!E:I,3,FALSE)</f>
        <v>（华西简阳西城嘉苑）四川省成都市简阳市简城街道高屋村</v>
      </c>
      <c r="J2555" s="113" t="str">
        <f>VLOOKUP(B2555,辅助信息!E:I,4,FALSE)</f>
        <v>张瀚镭</v>
      </c>
      <c r="K2555" s="113">
        <f>VLOOKUP(J2555,辅助信息!H:I,2,FALSE)</f>
        <v>15884666220</v>
      </c>
      <c r="L2555" s="115" t="str">
        <f>VLOOKUP(B2555,辅助信息!E:J,6,FALSE)</f>
        <v>现场禁止使用氢能源挂车！优先威钢发货,我方卸车,新老国标钢厂不加价可直发，因陕钢多次出现磅差，项目拒绝使用</v>
      </c>
      <c r="M2555" s="84">
        <v>45870</v>
      </c>
      <c r="O2555" s="55">
        <f ca="1" t="shared" si="159"/>
        <v>0</v>
      </c>
      <c r="P2555" s="55">
        <f ca="1" t="shared" si="160"/>
        <v>87</v>
      </c>
      <c r="Q2555" s="22" t="str">
        <f>VLOOKUP(B2555,辅助信息!E:M,9,FALSE)</f>
        <v>ZTWM-CDGS-XS-2024-0030-华西集采-简州大道</v>
      </c>
      <c r="R2555" s="22" t="str">
        <f>_xlfn._xlws.FILTER(辅助信息!D:D,辅助信息!E:E=B2555)</f>
        <v>华西简阳西城嘉苑</v>
      </c>
    </row>
    <row r="2556" hidden="1" spans="2:18">
      <c r="B2556" s="113" t="s">
        <v>81</v>
      </c>
      <c r="C2556" s="63">
        <v>45869</v>
      </c>
      <c r="D2556" s="113" t="str">
        <f>VLOOKUP(B2556,辅助信息!E:K,7,FALSE)</f>
        <v>JWDDCD2025060900080</v>
      </c>
      <c r="E2556" s="113" t="str">
        <f>VLOOKUP(F2556,辅助信息!A:B,2,FALSE)</f>
        <v>螺纹钢</v>
      </c>
      <c r="F2556" s="113" t="s">
        <v>46</v>
      </c>
      <c r="G2556" s="114">
        <v>10</v>
      </c>
      <c r="H2556" s="127">
        <f>_xlfn.XLOOKUP(C2556&amp;F2556&amp;I2556&amp;J2556,'[1]2025年已发货'!$F:$F&amp;'[1]2025年已发货'!$C:$C&amp;'[1]2025年已发货'!$G:$G&amp;'[1]2025年已发货'!$H:$H,'[1]2025年已发货'!$E:$E,"未发货")</f>
        <v>3</v>
      </c>
      <c r="I2556" s="113" t="str">
        <f>VLOOKUP(B2556,辅助信息!E:I,3,FALSE)</f>
        <v>（华西简阳西城嘉苑）四川省成都市简阳市简城街道高屋村</v>
      </c>
      <c r="J2556" s="113" t="str">
        <f>VLOOKUP(B2556,辅助信息!E:I,4,FALSE)</f>
        <v>张瀚镭</v>
      </c>
      <c r="K2556" s="113">
        <f>VLOOKUP(J2556,辅助信息!H:I,2,FALSE)</f>
        <v>15884666220</v>
      </c>
      <c r="L2556" s="115" t="str">
        <f>VLOOKUP(B2556,辅助信息!E:J,6,FALSE)</f>
        <v>现场禁止使用氢能源挂车！优先威钢发货,我方卸车,新老国标钢厂不加价可直发，因陕钢多次出现磅差，项目拒绝使用</v>
      </c>
      <c r="M2556" s="84">
        <v>45870</v>
      </c>
      <c r="O2556" s="55">
        <f ca="1" t="shared" si="159"/>
        <v>0</v>
      </c>
      <c r="P2556" s="55">
        <f ca="1" t="shared" si="160"/>
        <v>87</v>
      </c>
      <c r="Q2556" s="22" t="str">
        <f>VLOOKUP(B2556,辅助信息!E:M,9,FALSE)</f>
        <v>ZTWM-CDGS-XS-2024-0030-华西集采-简州大道</v>
      </c>
      <c r="R2556" s="22" t="str">
        <f>_xlfn._xlws.FILTER(辅助信息!D:D,辅助信息!E:E=B2556)</f>
        <v>华西简阳西城嘉苑</v>
      </c>
    </row>
    <row r="2557" hidden="1" spans="2:18">
      <c r="B2557" s="113" t="s">
        <v>81</v>
      </c>
      <c r="C2557" s="63">
        <v>45869</v>
      </c>
      <c r="D2557" s="113" t="str">
        <f>VLOOKUP(B2557,辅助信息!E:K,7,FALSE)</f>
        <v>JWDDCD2025060900080</v>
      </c>
      <c r="E2557" s="113" t="str">
        <f>VLOOKUP(F2557,辅助信息!A:B,2,FALSE)</f>
        <v>螺纹钢</v>
      </c>
      <c r="F2557" s="113" t="s">
        <v>22</v>
      </c>
      <c r="G2557" s="114">
        <v>50</v>
      </c>
      <c r="H2557" s="127">
        <f>_xlfn.XLOOKUP(C2557&amp;F2557&amp;I2557&amp;J2557,'[1]2025年已发货'!$F:$F&amp;'[1]2025年已发货'!$C:$C&amp;'[1]2025年已发货'!$G:$G&amp;'[1]2025年已发货'!$H:$H,'[1]2025年已发货'!$E:$E,"未发货")</f>
        <v>20</v>
      </c>
      <c r="I2557" s="113" t="str">
        <f>VLOOKUP(B2557,辅助信息!E:I,3,FALSE)</f>
        <v>（华西简阳西城嘉苑）四川省成都市简阳市简城街道高屋村</v>
      </c>
      <c r="J2557" s="113" t="str">
        <f>VLOOKUP(B2557,辅助信息!E:I,4,FALSE)</f>
        <v>张瀚镭</v>
      </c>
      <c r="K2557" s="113">
        <f>VLOOKUP(J2557,辅助信息!H:I,2,FALSE)</f>
        <v>15884666220</v>
      </c>
      <c r="L2557" s="115" t="str">
        <f>VLOOKUP(B2557,辅助信息!E:J,6,FALSE)</f>
        <v>现场禁止使用氢能源挂车！优先威钢发货,我方卸车,新老国标钢厂不加价可直发，因陕钢多次出现磅差，项目拒绝使用</v>
      </c>
      <c r="M2557" s="84">
        <v>45870</v>
      </c>
      <c r="O2557" s="55">
        <f ca="1" t="shared" si="159"/>
        <v>0</v>
      </c>
      <c r="P2557" s="55">
        <f ca="1" t="shared" si="160"/>
        <v>87</v>
      </c>
      <c r="Q2557" s="22" t="str">
        <f>VLOOKUP(B2557,辅助信息!E:M,9,FALSE)</f>
        <v>ZTWM-CDGS-XS-2024-0030-华西集采-简州大道</v>
      </c>
      <c r="R2557" s="22" t="str">
        <f>_xlfn._xlws.FILTER(辅助信息!D:D,辅助信息!E:E=B2557)</f>
        <v>华西简阳西城嘉苑</v>
      </c>
    </row>
    <row r="2558" hidden="1" spans="2:18">
      <c r="B2558" s="33" t="s">
        <v>180</v>
      </c>
      <c r="C2558" s="63">
        <v>45869</v>
      </c>
      <c r="D2558" s="33" t="str">
        <f>VLOOKUP(B2558,辅助信息!E:K,7,FALSE)</f>
        <v>JWDDCD2025052800131</v>
      </c>
      <c r="E2558" s="113" t="str">
        <f>VLOOKUP(F2558,辅助信息!A:B,2,FALSE)</f>
        <v>螺纹钢</v>
      </c>
      <c r="F2558" s="33" t="s">
        <v>205</v>
      </c>
      <c r="G2558" s="29">
        <v>15</v>
      </c>
      <c r="H2558" s="127">
        <f>_xlfn.XLOOKUP(C2558&amp;F2558&amp;I2558&amp;J2558,'[1]2025年已发货'!$F:$F&amp;'[1]2025年已发货'!$C:$C&amp;'[1]2025年已发货'!$G:$G&amp;'[1]2025年已发货'!$H:$H,'[1]2025年已发货'!$E:$E,"未发货")</f>
        <v>15</v>
      </c>
      <c r="I2558" s="33" t="str">
        <f>VLOOKUP(B2558,辅助信息!E:I,3,FALSE)</f>
        <v>（商投建工达州中医药科技园-4工区-8号楼）达州市通川区达州中医药职业学院犀牛大道北段</v>
      </c>
      <c r="J2558" s="33" t="str">
        <f>VLOOKUP(B2558,辅助信息!E:I,4,FALSE)</f>
        <v>张扬</v>
      </c>
      <c r="K2558" s="33">
        <f>VLOOKUP(J2558,辅助信息!H:I,2,FALSE)</f>
        <v>18381904567</v>
      </c>
      <c r="L2558" s="102" t="str">
        <f>VLOOKUP(B2558,辅助信息!E:J,6,FALSE)</f>
        <v>控制炉批号！多了现场不收！,优先安排达钢,提前联系到场规格及数量</v>
      </c>
      <c r="M2558" s="84">
        <v>45870</v>
      </c>
      <c r="O2558" s="55">
        <f ca="1" t="shared" si="159"/>
        <v>0</v>
      </c>
      <c r="P2558" s="55">
        <f ca="1" t="shared" si="160"/>
        <v>87</v>
      </c>
      <c r="Q2558" s="22" t="str">
        <f>VLOOKUP(B2558,辅助信息!E:M,9,FALSE)</f>
        <v>ZTWM-CDGS-XS-2024-0134-商投建工达州中医药科技成果示范园项目</v>
      </c>
      <c r="R2558" s="22" t="str">
        <f>_xlfn._xlws.FILTER(辅助信息!D:D,辅助信息!E:E=B2558)</f>
        <v>商投建工达州中医药科技园</v>
      </c>
    </row>
    <row r="2559" hidden="1" spans="2:18">
      <c r="B2559" s="33" t="s">
        <v>180</v>
      </c>
      <c r="C2559" s="63">
        <v>45869</v>
      </c>
      <c r="D2559" s="33" t="str">
        <f>VLOOKUP(B2559,辅助信息!E:K,7,FALSE)</f>
        <v>JWDDCD2025052800131</v>
      </c>
      <c r="E2559" s="113" t="str">
        <f>VLOOKUP(F2559,辅助信息!A:B,2,FALSE)</f>
        <v>螺纹钢</v>
      </c>
      <c r="F2559" s="33" t="s">
        <v>141</v>
      </c>
      <c r="G2559" s="29">
        <v>6</v>
      </c>
      <c r="H2559" s="127">
        <f>_xlfn.XLOOKUP(C2559&amp;F2559&amp;I2559&amp;J2559,'[1]2025年已发货'!$F:$F&amp;'[1]2025年已发货'!$C:$C&amp;'[1]2025年已发货'!$G:$G&amp;'[1]2025年已发货'!$H:$H,'[1]2025年已发货'!$E:$E,"未发货")</f>
        <v>6</v>
      </c>
      <c r="I2559" s="33" t="str">
        <f>VLOOKUP(B2559,辅助信息!E:I,3,FALSE)</f>
        <v>（商投建工达州中医药科技园-4工区-8号楼）达州市通川区达州中医药职业学院犀牛大道北段</v>
      </c>
      <c r="J2559" s="33" t="str">
        <f>VLOOKUP(B2559,辅助信息!E:I,4,FALSE)</f>
        <v>张扬</v>
      </c>
      <c r="K2559" s="33">
        <f>VLOOKUP(J2559,辅助信息!H:I,2,FALSE)</f>
        <v>18381904567</v>
      </c>
      <c r="L2559" s="102" t="str">
        <f>VLOOKUP(B2559,辅助信息!E:J,6,FALSE)</f>
        <v>控制炉批号！多了现场不收！,优先安排达钢,提前联系到场规格及数量</v>
      </c>
      <c r="M2559" s="84">
        <v>45870</v>
      </c>
      <c r="O2559" s="55">
        <f ca="1" t="shared" si="159"/>
        <v>0</v>
      </c>
      <c r="P2559" s="55">
        <f ca="1" t="shared" si="160"/>
        <v>87</v>
      </c>
      <c r="Q2559" s="22" t="str">
        <f>VLOOKUP(B2559,辅助信息!E:M,9,FALSE)</f>
        <v>ZTWM-CDGS-XS-2024-0134-商投建工达州中医药科技成果示范园项目</v>
      </c>
      <c r="R2559" s="22" t="str">
        <f>_xlfn._xlws.FILTER(辅助信息!D:D,辅助信息!E:E=B2559)</f>
        <v>商投建工达州中医药科技园</v>
      </c>
    </row>
    <row r="2560" hidden="1" spans="2:18">
      <c r="B2560" s="33" t="s">
        <v>180</v>
      </c>
      <c r="C2560" s="63">
        <v>45869</v>
      </c>
      <c r="D2560" s="33" t="str">
        <f>VLOOKUP(B2560,辅助信息!E:K,7,FALSE)</f>
        <v>JWDDCD2025052800131</v>
      </c>
      <c r="E2560" s="113" t="str">
        <f>VLOOKUP(F2560,辅助信息!A:B,2,FALSE)</f>
        <v>螺纹钢</v>
      </c>
      <c r="F2560" s="33" t="s">
        <v>142</v>
      </c>
      <c r="G2560" s="29">
        <v>15</v>
      </c>
      <c r="H2560" s="127">
        <f>_xlfn.XLOOKUP(C2560&amp;F2560&amp;I2560&amp;J2560,'[1]2025年已发货'!$F:$F&amp;'[1]2025年已发货'!$C:$C&amp;'[1]2025年已发货'!$G:$G&amp;'[1]2025年已发货'!$H:$H,'[1]2025年已发货'!$E:$E,"未发货")</f>
        <v>15</v>
      </c>
      <c r="I2560" s="33" t="str">
        <f>VLOOKUP(B2560,辅助信息!E:I,3,FALSE)</f>
        <v>（商投建工达州中医药科技园-4工区-8号楼）达州市通川区达州中医药职业学院犀牛大道北段</v>
      </c>
      <c r="J2560" s="33" t="str">
        <f>VLOOKUP(B2560,辅助信息!E:I,4,FALSE)</f>
        <v>张扬</v>
      </c>
      <c r="K2560" s="33">
        <f>VLOOKUP(J2560,辅助信息!H:I,2,FALSE)</f>
        <v>18381904567</v>
      </c>
      <c r="L2560" s="102" t="str">
        <f>VLOOKUP(B2560,辅助信息!E:J,6,FALSE)</f>
        <v>控制炉批号！多了现场不收！,优先安排达钢,提前联系到场规格及数量</v>
      </c>
      <c r="M2560" s="84">
        <v>45870</v>
      </c>
      <c r="O2560" s="55">
        <f ca="1" t="shared" si="159"/>
        <v>0</v>
      </c>
      <c r="P2560" s="55">
        <f ca="1" t="shared" si="160"/>
        <v>87</v>
      </c>
      <c r="Q2560" s="22" t="str">
        <f>VLOOKUP(B2560,辅助信息!E:M,9,FALSE)</f>
        <v>ZTWM-CDGS-XS-2024-0134-商投建工达州中医药科技成果示范园项目</v>
      </c>
      <c r="R2560" s="22" t="str">
        <f>_xlfn._xlws.FILTER(辅助信息!D:D,辅助信息!E:E=B2560)</f>
        <v>商投建工达州中医药科技园</v>
      </c>
    </row>
    <row r="2561" hidden="1" spans="2:18">
      <c r="B2561" s="33" t="s">
        <v>180</v>
      </c>
      <c r="C2561" s="63">
        <v>45869</v>
      </c>
      <c r="D2561" s="33" t="str">
        <f>VLOOKUP(B2561,辅助信息!E:K,7,FALSE)</f>
        <v>JWDDCD2025052800131</v>
      </c>
      <c r="E2561" s="113" t="str">
        <f>VLOOKUP(F2561,辅助信息!A:B,2,FALSE)</f>
        <v>盘螺</v>
      </c>
      <c r="F2561" s="33" t="s">
        <v>40</v>
      </c>
      <c r="G2561" s="29">
        <v>18</v>
      </c>
      <c r="H2561" s="127">
        <f>_xlfn.XLOOKUP(C2561&amp;F2561&amp;I2561&amp;J2561,'[1]2025年已发货'!$F:$F&amp;'[1]2025年已发货'!$C:$C&amp;'[1]2025年已发货'!$G:$G&amp;'[1]2025年已发货'!$H:$H,'[1]2025年已发货'!$E:$E,"未发货")</f>
        <v>18</v>
      </c>
      <c r="I2561" s="33" t="str">
        <f>VLOOKUP(B2561,辅助信息!E:I,3,FALSE)</f>
        <v>（商投建工达州中医药科技园-4工区-8号楼）达州市通川区达州中医药职业学院犀牛大道北段</v>
      </c>
      <c r="J2561" s="33" t="str">
        <f>VLOOKUP(B2561,辅助信息!E:I,4,FALSE)</f>
        <v>张扬</v>
      </c>
      <c r="K2561" s="33">
        <f>VLOOKUP(J2561,辅助信息!H:I,2,FALSE)</f>
        <v>18381904567</v>
      </c>
      <c r="L2561" s="102" t="str">
        <f>VLOOKUP(B2561,辅助信息!E:J,6,FALSE)</f>
        <v>控制炉批号！多了现场不收！,优先安排达钢,提前联系到场规格及数量</v>
      </c>
      <c r="M2561" s="84">
        <v>45870</v>
      </c>
      <c r="O2561" s="55">
        <f ca="1" t="shared" si="159"/>
        <v>0</v>
      </c>
      <c r="P2561" s="55">
        <f ca="1" t="shared" si="160"/>
        <v>87</v>
      </c>
      <c r="Q2561" s="22" t="str">
        <f>VLOOKUP(B2561,辅助信息!E:M,9,FALSE)</f>
        <v>ZTWM-CDGS-XS-2024-0134-商投建工达州中医药科技成果示范园项目</v>
      </c>
      <c r="R2561" s="22" t="str">
        <f>_xlfn._xlws.FILTER(辅助信息!D:D,辅助信息!E:E=B2561)</f>
        <v>商投建工达州中医药科技园</v>
      </c>
    </row>
    <row r="2562" hidden="1" spans="2:18">
      <c r="B2562" s="33" t="s">
        <v>180</v>
      </c>
      <c r="C2562" s="63">
        <v>45869</v>
      </c>
      <c r="D2562" s="33" t="str">
        <f>VLOOKUP(B2562,辅助信息!E:K,7,FALSE)</f>
        <v>JWDDCD2025052800131</v>
      </c>
      <c r="E2562" s="113" t="str">
        <f>VLOOKUP(F2562,辅助信息!A:B,2,FALSE)</f>
        <v>盘螺</v>
      </c>
      <c r="F2562" s="33" t="s">
        <v>41</v>
      </c>
      <c r="G2562" s="29">
        <v>9</v>
      </c>
      <c r="H2562" s="127">
        <f>_xlfn.XLOOKUP(C2562&amp;F2562&amp;I2562&amp;J2562,'[1]2025年已发货'!$F:$F&amp;'[1]2025年已发货'!$C:$C&amp;'[1]2025年已发货'!$G:$G&amp;'[1]2025年已发货'!$H:$H,'[1]2025年已发货'!$E:$E,"未发货")</f>
        <v>9</v>
      </c>
      <c r="I2562" s="33" t="str">
        <f>VLOOKUP(B2562,辅助信息!E:I,3,FALSE)</f>
        <v>（商投建工达州中医药科技园-4工区-8号楼）达州市通川区达州中医药职业学院犀牛大道北段</v>
      </c>
      <c r="J2562" s="33" t="str">
        <f>VLOOKUP(B2562,辅助信息!E:I,4,FALSE)</f>
        <v>张扬</v>
      </c>
      <c r="K2562" s="33">
        <f>VLOOKUP(J2562,辅助信息!H:I,2,FALSE)</f>
        <v>18381904567</v>
      </c>
      <c r="L2562" s="102" t="str">
        <f>VLOOKUP(B2562,辅助信息!E:J,6,FALSE)</f>
        <v>控制炉批号！多了现场不收！,优先安排达钢,提前联系到场规格及数量</v>
      </c>
      <c r="M2562" s="84">
        <v>45870</v>
      </c>
      <c r="O2562" s="55">
        <f ca="1" t="shared" si="159"/>
        <v>0</v>
      </c>
      <c r="P2562" s="55">
        <f ca="1" t="shared" si="160"/>
        <v>87</v>
      </c>
      <c r="Q2562" s="22" t="str">
        <f>VLOOKUP(B2562,辅助信息!E:M,9,FALSE)</f>
        <v>ZTWM-CDGS-XS-2024-0134-商投建工达州中医药科技成果示范园项目</v>
      </c>
      <c r="R2562" s="22" t="str">
        <f>_xlfn._xlws.FILTER(辅助信息!D:D,辅助信息!E:E=B2562)</f>
        <v>商投建工达州中医药科技园</v>
      </c>
    </row>
    <row r="2563" hidden="1" spans="2:18">
      <c r="B2563" s="33" t="s">
        <v>180</v>
      </c>
      <c r="C2563" s="63">
        <v>45869</v>
      </c>
      <c r="D2563" s="33" t="str">
        <f>VLOOKUP(B2563,辅助信息!E:K,7,FALSE)</f>
        <v>JWDDCD2025052800131</v>
      </c>
      <c r="E2563" s="113" t="str">
        <f>VLOOKUP(F2563,辅助信息!A:B,2,FALSE)</f>
        <v>螺纹钢</v>
      </c>
      <c r="F2563" s="33" t="s">
        <v>33</v>
      </c>
      <c r="G2563" s="29">
        <v>9</v>
      </c>
      <c r="H2563" s="127">
        <f>_xlfn.XLOOKUP(C2563&amp;F2563&amp;I2563&amp;J2563,'[1]2025年已发货'!$F:$F&amp;'[1]2025年已发货'!$C:$C&amp;'[1]2025年已发货'!$G:$G&amp;'[1]2025年已发货'!$H:$H,'[1]2025年已发货'!$E:$E,"未发货")</f>
        <v>9</v>
      </c>
      <c r="I2563" s="33" t="str">
        <f>VLOOKUP(B2563,辅助信息!E:I,3,FALSE)</f>
        <v>（商投建工达州中医药科技园-4工区-8号楼）达州市通川区达州中医药职业学院犀牛大道北段</v>
      </c>
      <c r="J2563" s="33" t="str">
        <f>VLOOKUP(B2563,辅助信息!E:I,4,FALSE)</f>
        <v>张扬</v>
      </c>
      <c r="K2563" s="33">
        <f>VLOOKUP(J2563,辅助信息!H:I,2,FALSE)</f>
        <v>18381904567</v>
      </c>
      <c r="L2563" s="102" t="str">
        <f>VLOOKUP(B2563,辅助信息!E:J,6,FALSE)</f>
        <v>控制炉批号！多了现场不收！,优先安排达钢,提前联系到场规格及数量</v>
      </c>
      <c r="M2563" s="84">
        <v>45870</v>
      </c>
      <c r="O2563" s="55">
        <f ca="1" t="shared" si="159"/>
        <v>0</v>
      </c>
      <c r="P2563" s="55">
        <f ca="1" t="shared" si="160"/>
        <v>87</v>
      </c>
      <c r="Q2563" s="22" t="str">
        <f>VLOOKUP(B2563,辅助信息!E:M,9,FALSE)</f>
        <v>ZTWM-CDGS-XS-2024-0134-商投建工达州中医药科技成果示范园项目</v>
      </c>
      <c r="R2563" s="22" t="str">
        <f>_xlfn._xlws.FILTER(辅助信息!D:D,辅助信息!E:E=B2563)</f>
        <v>商投建工达州中医药科技园</v>
      </c>
    </row>
    <row r="2564" hidden="1" spans="2:18">
      <c r="B2564" s="76" t="s">
        <v>147</v>
      </c>
      <c r="C2564" s="77">
        <v>45869</v>
      </c>
      <c r="D2564" s="76" t="str">
        <f>VLOOKUP(B2564,辅助信息!E:K,7,FALSE)</f>
        <v>JWDDCD2025052800131</v>
      </c>
      <c r="E2564" s="76" t="str">
        <f>VLOOKUP(F2564,辅助信息!A:B,2,FALSE)</f>
        <v>盘螺</v>
      </c>
      <c r="F2564" s="76" t="s">
        <v>40</v>
      </c>
      <c r="G2564" s="78">
        <v>35</v>
      </c>
      <c r="H2564" s="131">
        <f>_xlfn.XLOOKUP(C2564&amp;F2564&amp;I2564&amp;J2564,'[1]2025年已发货'!$F:$F&amp;'[1]2025年已发货'!$C:$C&amp;'[1]2025年已发货'!$G:$G&amp;'[1]2025年已发货'!$H:$H,'[1]2025年已发货'!$E:$E,"未发货")</f>
        <v>35</v>
      </c>
      <c r="I2564" s="76" t="str">
        <f>VLOOKUP(B2564,辅助信息!E:I,3,FALSE)</f>
        <v>（商投建工达州中医药科技园-4工区-11号楼）达州市通川区达州中医药职业学院犀牛大道北段</v>
      </c>
      <c r="J2564" s="19" t="str">
        <f>VLOOKUP(B2564,辅助信息!E:I,4,FALSE)</f>
        <v>张扬</v>
      </c>
      <c r="K2564" s="19">
        <f>VLOOKUP(J2564,辅助信息!H:I,2,FALSE)</f>
        <v>18381904567</v>
      </c>
      <c r="L2564" s="54" t="str">
        <f>VLOOKUP(B2564,辅助信息!E:J,6,FALSE)</f>
        <v>控制炉批号！多了现场不收！,优先安排达钢,提前联系到场规格及数量</v>
      </c>
      <c r="M2564" s="84">
        <v>45870</v>
      </c>
      <c r="O2564" s="55">
        <f ca="1" t="shared" si="159"/>
        <v>0</v>
      </c>
      <c r="P2564" s="55">
        <f ca="1" t="shared" si="160"/>
        <v>87</v>
      </c>
      <c r="Q2564" s="22" t="str">
        <f>VLOOKUP(B2564,辅助信息!E:M,9,FALSE)</f>
        <v>ZTWM-CDGS-XS-2024-0134-商投建工达州中医药科技成果示范园项目</v>
      </c>
      <c r="R2564" s="22" t="str">
        <f>_xlfn._xlws.FILTER(辅助信息!D:D,辅助信息!E:E=B2564)</f>
        <v>商投建工达州中医药科技园</v>
      </c>
    </row>
    <row r="2565" hidden="1" spans="2:18">
      <c r="B2565" s="33" t="s">
        <v>194</v>
      </c>
      <c r="C2565" s="63">
        <v>45869</v>
      </c>
      <c r="D2565" s="33" t="str">
        <f>VLOOKUP(B2565,辅助信息!E:K,7,FALSE)</f>
        <v>JWDD2025071500089</v>
      </c>
      <c r="E2565" s="33" t="str">
        <f>VLOOKUP(F2565,辅助信息!A:B,2,FALSE)</f>
        <v>螺纹钢</v>
      </c>
      <c r="F2565" s="33" t="s">
        <v>19</v>
      </c>
      <c r="G2565" s="29">
        <v>16</v>
      </c>
      <c r="H2565" s="127" t="str">
        <f>_xlfn.XLOOKUP(C2565&amp;F2565&amp;I2565&amp;J2565,'[1]2025年已发货'!$F:$F&amp;'[1]2025年已发货'!$C:$C&amp;'[1]2025年已发货'!$G:$G&amp;'[1]2025年已发货'!$H:$H,'[1]2025年已发货'!$E:$E,"未发货")</f>
        <v>未发货</v>
      </c>
      <c r="I2565" s="33" t="str">
        <f>VLOOKUP(B2565,辅助信息!E:I,3,FALSE)</f>
        <v>(宜宾兴港三江新区长江工业园保障性租赁住房建设项目-土建)四川省宜宾市翠屏区永善路南段宜宾市三江新区长江工业园区</v>
      </c>
      <c r="J2565" s="33" t="str">
        <f>VLOOKUP(B2565,辅助信息!E:I,4,FALSE)</f>
        <v>赵元虎</v>
      </c>
      <c r="K2565" s="33">
        <f>VLOOKUP(J2565,辅助信息!H:I,2,FALSE)</f>
        <v>13684167136</v>
      </c>
      <c r="L2565" s="102" t="str">
        <f>VLOOKUP(B2565,辅助信息!E:J,6,FALSE)</f>
        <v>现场要求调度统一联系指定收货人，不单独发司机位置。锈货不收，装货前联系收货人核实到场规格,没提前告知进场规格现场不给予接收</v>
      </c>
      <c r="M2565" s="84">
        <v>45870</v>
      </c>
      <c r="O2565" s="55">
        <f ca="1" t="shared" si="159"/>
        <v>0</v>
      </c>
      <c r="P2565" s="55">
        <f ca="1" t="shared" si="160"/>
        <v>87</v>
      </c>
      <c r="Q2565" s="22" t="str">
        <f>VLOOKUP(B2565,辅助信息!E:M,9,FALSE)</f>
        <v>ZTWM-CDYXGS-XS-2025-0014-宜宾兴港建材-三江新区长江工业园片区保障性租赁住房建设项目</v>
      </c>
      <c r="R2565" s="22" t="str">
        <f>_xlfn._xlws.FILTER(辅助信息!D:D,辅助信息!E:E=B2565)</f>
        <v>宜宾兴港三江新区长江工业园建设项目</v>
      </c>
    </row>
    <row r="2566" hidden="1" spans="2:18">
      <c r="B2566" s="33" t="s">
        <v>194</v>
      </c>
      <c r="C2566" s="63">
        <v>45869</v>
      </c>
      <c r="D2566" s="33" t="str">
        <f>VLOOKUP(B2566,辅助信息!E:K,7,FALSE)</f>
        <v>JWDD2025071500089</v>
      </c>
      <c r="E2566" s="33" t="str">
        <f>VLOOKUP(F2566,辅助信息!A:B,2,FALSE)</f>
        <v>螺纹钢</v>
      </c>
      <c r="F2566" s="33" t="s">
        <v>32</v>
      </c>
      <c r="G2566" s="29">
        <v>7</v>
      </c>
      <c r="H2566" s="127" t="str">
        <f>_xlfn.XLOOKUP(C2566&amp;F2566&amp;I2566&amp;J2566,'[1]2025年已发货'!$F:$F&amp;'[1]2025年已发货'!$C:$C&amp;'[1]2025年已发货'!$G:$G&amp;'[1]2025年已发货'!$H:$H,'[1]2025年已发货'!$E:$E,"未发货")</f>
        <v>未发货</v>
      </c>
      <c r="I2566" s="33" t="str">
        <f>VLOOKUP(B2566,辅助信息!E:I,3,FALSE)</f>
        <v>(宜宾兴港三江新区长江工业园保障性租赁住房建设项目-土建)四川省宜宾市翠屏区永善路南段宜宾市三江新区长江工业园区</v>
      </c>
      <c r="J2566" s="33" t="str">
        <f>VLOOKUP(B2566,辅助信息!E:I,4,FALSE)</f>
        <v>赵元虎</v>
      </c>
      <c r="K2566" s="33">
        <f>VLOOKUP(J2566,辅助信息!H:I,2,FALSE)</f>
        <v>13684167136</v>
      </c>
      <c r="L2566" s="102" t="str">
        <f>VLOOKUP(B2566,辅助信息!E:J,6,FALSE)</f>
        <v>现场要求调度统一联系指定收货人，不单独发司机位置。锈货不收，装货前联系收货人核实到场规格,没提前告知进场规格现场不给予接收</v>
      </c>
      <c r="M2566" s="84">
        <v>45870</v>
      </c>
      <c r="O2566" s="55">
        <f ca="1" t="shared" si="159"/>
        <v>0</v>
      </c>
      <c r="P2566" s="55">
        <f ca="1" t="shared" si="160"/>
        <v>87</v>
      </c>
      <c r="Q2566" s="22" t="str">
        <f>VLOOKUP(B2566,辅助信息!E:M,9,FALSE)</f>
        <v>ZTWM-CDYXGS-XS-2025-0014-宜宾兴港建材-三江新区长江工业园片区保障性租赁住房建设项目</v>
      </c>
      <c r="R2566" s="22" t="str">
        <f>_xlfn._xlws.FILTER(辅助信息!D:D,辅助信息!E:E=B2566)</f>
        <v>宜宾兴港三江新区长江工业园建设项目</v>
      </c>
    </row>
    <row r="2567" hidden="1" spans="2:18">
      <c r="B2567" s="33" t="s">
        <v>194</v>
      </c>
      <c r="C2567" s="63">
        <v>45869</v>
      </c>
      <c r="D2567" s="33" t="str">
        <f>VLOOKUP(B2567,辅助信息!E:K,7,FALSE)</f>
        <v>JWDD2025071500089</v>
      </c>
      <c r="E2567" s="33" t="str">
        <f>VLOOKUP(F2567,辅助信息!A:B,2,FALSE)</f>
        <v>螺纹钢</v>
      </c>
      <c r="F2567" s="33" t="s">
        <v>30</v>
      </c>
      <c r="G2567" s="29">
        <v>9</v>
      </c>
      <c r="H2567" s="127" t="str">
        <f>_xlfn.XLOOKUP(C2567&amp;F2567&amp;I2567&amp;J2567,'[1]2025年已发货'!$F:$F&amp;'[1]2025年已发货'!$C:$C&amp;'[1]2025年已发货'!$G:$G&amp;'[1]2025年已发货'!$H:$H,'[1]2025年已发货'!$E:$E,"未发货")</f>
        <v>未发货</v>
      </c>
      <c r="I2567" s="33" t="str">
        <f>VLOOKUP(B2567,辅助信息!E:I,3,FALSE)</f>
        <v>(宜宾兴港三江新区长江工业园保障性租赁住房建设项目-土建)四川省宜宾市翠屏区永善路南段宜宾市三江新区长江工业园区</v>
      </c>
      <c r="J2567" s="33" t="str">
        <f>VLOOKUP(B2567,辅助信息!E:I,4,FALSE)</f>
        <v>赵元虎</v>
      </c>
      <c r="K2567" s="33">
        <f>VLOOKUP(J2567,辅助信息!H:I,2,FALSE)</f>
        <v>13684167136</v>
      </c>
      <c r="L2567" s="102" t="str">
        <f>VLOOKUP(B2567,辅助信息!E:J,6,FALSE)</f>
        <v>现场要求调度统一联系指定收货人，不单独发司机位置。锈货不收，装货前联系收货人核实到场规格,没提前告知进场规格现场不给予接收</v>
      </c>
      <c r="M2567" s="84">
        <v>45870</v>
      </c>
      <c r="O2567" s="55">
        <f ca="1" t="shared" si="159"/>
        <v>0</v>
      </c>
      <c r="P2567" s="55">
        <f ca="1" t="shared" si="160"/>
        <v>87</v>
      </c>
      <c r="Q2567" s="22" t="str">
        <f>VLOOKUP(B2567,辅助信息!E:M,9,FALSE)</f>
        <v>ZTWM-CDYXGS-XS-2025-0014-宜宾兴港建材-三江新区长江工业园片区保障性租赁住房建设项目</v>
      </c>
      <c r="R2567" s="22" t="str">
        <f>_xlfn._xlws.FILTER(辅助信息!D:D,辅助信息!E:E=B2567)</f>
        <v>宜宾兴港三江新区长江工业园建设项目</v>
      </c>
    </row>
    <row r="2568" hidden="1" spans="2:18">
      <c r="B2568" s="33" t="s">
        <v>194</v>
      </c>
      <c r="C2568" s="63">
        <v>45869</v>
      </c>
      <c r="D2568" s="33" t="str">
        <f>VLOOKUP(B2568,辅助信息!E:K,7,FALSE)</f>
        <v>JWDD2025071500089</v>
      </c>
      <c r="E2568" s="33" t="str">
        <f>VLOOKUP(F2568,辅助信息!A:B,2,FALSE)</f>
        <v>螺纹钢</v>
      </c>
      <c r="F2568" s="33" t="s">
        <v>33</v>
      </c>
      <c r="G2568" s="29">
        <v>3</v>
      </c>
      <c r="H2568" s="127" t="str">
        <f>_xlfn.XLOOKUP(C2568&amp;F2568&amp;I2568&amp;J2568,'[1]2025年已发货'!$F:$F&amp;'[1]2025年已发货'!$C:$C&amp;'[1]2025年已发货'!$G:$G&amp;'[1]2025年已发货'!$H:$H,'[1]2025年已发货'!$E:$E,"未发货")</f>
        <v>未发货</v>
      </c>
      <c r="I2568" s="33" t="str">
        <f>VLOOKUP(B2568,辅助信息!E:I,3,FALSE)</f>
        <v>(宜宾兴港三江新区长江工业园保障性租赁住房建设项目-土建)四川省宜宾市翠屏区永善路南段宜宾市三江新区长江工业园区</v>
      </c>
      <c r="J2568" s="33" t="str">
        <f>VLOOKUP(B2568,辅助信息!E:I,4,FALSE)</f>
        <v>赵元虎</v>
      </c>
      <c r="K2568" s="33">
        <f>VLOOKUP(J2568,辅助信息!H:I,2,FALSE)</f>
        <v>13684167136</v>
      </c>
      <c r="L2568" s="102" t="str">
        <f>VLOOKUP(B2568,辅助信息!E:J,6,FALSE)</f>
        <v>现场要求调度统一联系指定收货人，不单独发司机位置。锈货不收，装货前联系收货人核实到场规格,没提前告知进场规格现场不给予接收</v>
      </c>
      <c r="M2568" s="84">
        <v>45870</v>
      </c>
      <c r="O2568" s="55">
        <f ca="1" t="shared" si="159"/>
        <v>0</v>
      </c>
      <c r="P2568" s="55">
        <f ca="1" t="shared" si="160"/>
        <v>87</v>
      </c>
      <c r="Q2568" s="22" t="str">
        <f>VLOOKUP(B2568,辅助信息!E:M,9,FALSE)</f>
        <v>ZTWM-CDYXGS-XS-2025-0014-宜宾兴港建材-三江新区长江工业园片区保障性租赁住房建设项目</v>
      </c>
      <c r="R2568" s="22" t="str">
        <f>_xlfn._xlws.FILTER(辅助信息!D:D,辅助信息!E:E=B2568)</f>
        <v>宜宾兴港三江新区长江工业园建设项目</v>
      </c>
    </row>
    <row r="2569" hidden="1" spans="2:18">
      <c r="B2569" s="33" t="s">
        <v>106</v>
      </c>
      <c r="C2569" s="63">
        <v>45869</v>
      </c>
      <c r="D2569" s="33" t="str">
        <f>VLOOKUP(B2569,辅助信息!E:K,7,FALSE)</f>
        <v>JWDDCD2024101600133</v>
      </c>
      <c r="E2569" s="33" t="str">
        <f>VLOOKUP(F2569,辅助信息!A:B,2,FALSE)</f>
        <v>盘螺</v>
      </c>
      <c r="F2569" s="33" t="s">
        <v>41</v>
      </c>
      <c r="G2569" s="29">
        <v>10</v>
      </c>
      <c r="H2569" s="127">
        <f>_xlfn.XLOOKUP(C2569&amp;F2569&amp;I2569&amp;J2569,'[1]2025年已发货'!$F:$F&amp;'[1]2025年已发货'!$C:$C&amp;'[1]2025年已发货'!$G:$G&amp;'[1]2025年已发货'!$H:$H,'[1]2025年已发货'!$E:$E,"未发货")</f>
        <v>10</v>
      </c>
      <c r="I2569" s="33" t="str">
        <f>VLOOKUP(B2569,辅助信息!E:I,3,FALSE)</f>
        <v>（五冶钢构宜宾高县月江镇建设项目）  四川省宜宾市高县月江镇刚记超市斜对面(还阳组团沪碳二期项目)</v>
      </c>
      <c r="J2569" s="33" t="str">
        <f>VLOOKUP(B2569,辅助信息!E:I,4,FALSE)</f>
        <v>张朝亮</v>
      </c>
      <c r="K2569" s="33">
        <f>VLOOKUP(J2569,辅助信息!H:I,2,FALSE)</f>
        <v>15228205853</v>
      </c>
      <c r="L2569" s="102" t="str">
        <f>VLOOKUP(B2569,辅助信息!E:J,6,FALSE)</f>
        <v>提前联系到场规格</v>
      </c>
      <c r="M2569" s="84">
        <v>45870</v>
      </c>
      <c r="O2569" s="55">
        <f ca="1" t="shared" si="159"/>
        <v>0</v>
      </c>
      <c r="P2569" s="55">
        <f ca="1" t="shared" si="160"/>
        <v>87</v>
      </c>
      <c r="Q2569" s="22" t="str">
        <f>VLOOKUP(B2569,辅助信息!E:M,9,FALSE)</f>
        <v>ZTWM-CDGS-XS-2024-0169-中冶西部钢构-宜宾市南溪区幸福路东路,高县月江镇建设项目</v>
      </c>
      <c r="R2569" s="22" t="str">
        <f>_xlfn._xlws.FILTER(辅助信息!D:D,辅助信息!E:E=B2569)</f>
        <v>五冶钢构-宜宾市南溪区高县月江镇建设项目</v>
      </c>
    </row>
    <row r="2570" hidden="1" spans="2:18">
      <c r="B2570" s="33" t="s">
        <v>106</v>
      </c>
      <c r="C2570" s="63">
        <v>45869</v>
      </c>
      <c r="D2570" s="33" t="str">
        <f>VLOOKUP(B2570,辅助信息!E:K,7,FALSE)</f>
        <v>JWDDCD2024101600133</v>
      </c>
      <c r="E2570" s="33" t="str">
        <f>VLOOKUP(F2570,辅助信息!A:B,2,FALSE)</f>
        <v>螺纹钢</v>
      </c>
      <c r="F2570" s="33" t="s">
        <v>27</v>
      </c>
      <c r="G2570" s="29">
        <v>15</v>
      </c>
      <c r="H2570" s="127">
        <f>_xlfn.XLOOKUP(C2570&amp;F2570&amp;I2570&amp;J2570,'[1]2025年已发货'!$F:$F&amp;'[1]2025年已发货'!$C:$C&amp;'[1]2025年已发货'!$G:$G&amp;'[1]2025年已发货'!$H:$H,'[1]2025年已发货'!$E:$E,"未发货")</f>
        <v>15</v>
      </c>
      <c r="I2570" s="33" t="str">
        <f>VLOOKUP(B2570,辅助信息!E:I,3,FALSE)</f>
        <v>（五冶钢构宜宾高县月江镇建设项目）  四川省宜宾市高县月江镇刚记超市斜对面(还阳组团沪碳二期项目)</v>
      </c>
      <c r="J2570" s="33" t="str">
        <f>VLOOKUP(B2570,辅助信息!E:I,4,FALSE)</f>
        <v>张朝亮</v>
      </c>
      <c r="K2570" s="33">
        <f>VLOOKUP(J2570,辅助信息!H:I,2,FALSE)</f>
        <v>15228205853</v>
      </c>
      <c r="L2570" s="102" t="str">
        <f>VLOOKUP(B2570,辅助信息!E:J,6,FALSE)</f>
        <v>提前联系到场规格</v>
      </c>
      <c r="M2570" s="84">
        <v>45870</v>
      </c>
      <c r="O2570" s="55">
        <f ca="1" t="shared" si="159"/>
        <v>0</v>
      </c>
      <c r="P2570" s="55">
        <f ca="1" t="shared" si="160"/>
        <v>87</v>
      </c>
      <c r="Q2570" s="22" t="str">
        <f>VLOOKUP(B2570,辅助信息!E:M,9,FALSE)</f>
        <v>ZTWM-CDGS-XS-2024-0169-中冶西部钢构-宜宾市南溪区幸福路东路,高县月江镇建设项目</v>
      </c>
      <c r="R2570" s="22" t="str">
        <f>_xlfn._xlws.FILTER(辅助信息!D:D,辅助信息!E:E=B2570)</f>
        <v>五冶钢构-宜宾市南溪区高县月江镇建设项目</v>
      </c>
    </row>
    <row r="2571" hidden="1" spans="2:18">
      <c r="B2571" s="33" t="s">
        <v>106</v>
      </c>
      <c r="C2571" s="63">
        <v>45869</v>
      </c>
      <c r="D2571" s="33" t="str">
        <f>VLOOKUP(B2571,辅助信息!E:K,7,FALSE)</f>
        <v>JWDDCD2024101600133</v>
      </c>
      <c r="E2571" s="33" t="str">
        <f>VLOOKUP(F2571,辅助信息!A:B,2,FALSE)</f>
        <v>螺纹钢</v>
      </c>
      <c r="F2571" s="33" t="s">
        <v>19</v>
      </c>
      <c r="G2571" s="29">
        <v>3</v>
      </c>
      <c r="H2571" s="127">
        <f>_xlfn.XLOOKUP(C2571&amp;F2571&amp;I2571&amp;J2571,'[1]2025年已发货'!$F:$F&amp;'[1]2025年已发货'!$C:$C&amp;'[1]2025年已发货'!$G:$G&amp;'[1]2025年已发货'!$H:$H,'[1]2025年已发货'!$E:$E,"未发货")</f>
        <v>3</v>
      </c>
      <c r="I2571" s="33" t="str">
        <f>VLOOKUP(B2571,辅助信息!E:I,3,FALSE)</f>
        <v>（五冶钢构宜宾高县月江镇建设项目）  四川省宜宾市高县月江镇刚记超市斜对面(还阳组团沪碳二期项目)</v>
      </c>
      <c r="J2571" s="33" t="str">
        <f>VLOOKUP(B2571,辅助信息!E:I,4,FALSE)</f>
        <v>张朝亮</v>
      </c>
      <c r="K2571" s="33">
        <f>VLOOKUP(J2571,辅助信息!H:I,2,FALSE)</f>
        <v>15228205853</v>
      </c>
      <c r="L2571" s="102" t="str">
        <f>VLOOKUP(B2571,辅助信息!E:J,6,FALSE)</f>
        <v>提前联系到场规格</v>
      </c>
      <c r="M2571" s="84">
        <v>45870</v>
      </c>
      <c r="O2571" s="55">
        <f ca="1" t="shared" si="159"/>
        <v>0</v>
      </c>
      <c r="P2571" s="55">
        <f ca="1" t="shared" si="160"/>
        <v>87</v>
      </c>
      <c r="Q2571" s="22" t="str">
        <f>VLOOKUP(B2571,辅助信息!E:M,9,FALSE)</f>
        <v>ZTWM-CDGS-XS-2024-0169-中冶西部钢构-宜宾市南溪区幸福路东路,高县月江镇建设项目</v>
      </c>
      <c r="R2571" s="22" t="str">
        <f>_xlfn._xlws.FILTER(辅助信息!D:D,辅助信息!E:E=B2571)</f>
        <v>五冶钢构-宜宾市南溪区高县月江镇建设项目</v>
      </c>
    </row>
    <row r="2572" hidden="1" spans="2:18">
      <c r="B2572" s="33" t="s">
        <v>106</v>
      </c>
      <c r="C2572" s="63">
        <v>45869</v>
      </c>
      <c r="D2572" s="33" t="str">
        <f>VLOOKUP(B2572,辅助信息!E:K,7,FALSE)</f>
        <v>JWDDCD2024101600133</v>
      </c>
      <c r="E2572" s="33" t="str">
        <f>VLOOKUP(F2572,辅助信息!A:B,2,FALSE)</f>
        <v>螺纹钢</v>
      </c>
      <c r="F2572" s="33" t="s">
        <v>32</v>
      </c>
      <c r="G2572" s="29">
        <v>12</v>
      </c>
      <c r="H2572" s="127">
        <f>_xlfn.XLOOKUP(C2572&amp;F2572&amp;I2572&amp;J2572,'[1]2025年已发货'!$F:$F&amp;'[1]2025年已发货'!$C:$C&amp;'[1]2025年已发货'!$G:$G&amp;'[1]2025年已发货'!$H:$H,'[1]2025年已发货'!$E:$E,"未发货")</f>
        <v>12</v>
      </c>
      <c r="I2572" s="33" t="str">
        <f>VLOOKUP(B2572,辅助信息!E:I,3,FALSE)</f>
        <v>（五冶钢构宜宾高县月江镇建设项目）  四川省宜宾市高县月江镇刚记超市斜对面(还阳组团沪碳二期项目)</v>
      </c>
      <c r="J2572" s="33" t="str">
        <f>VLOOKUP(B2572,辅助信息!E:I,4,FALSE)</f>
        <v>张朝亮</v>
      </c>
      <c r="K2572" s="33">
        <f>VLOOKUP(J2572,辅助信息!H:I,2,FALSE)</f>
        <v>15228205853</v>
      </c>
      <c r="L2572" s="102" t="str">
        <f>VLOOKUP(B2572,辅助信息!E:J,6,FALSE)</f>
        <v>提前联系到场规格</v>
      </c>
      <c r="M2572" s="84">
        <v>45870</v>
      </c>
      <c r="O2572" s="55">
        <f ca="1" t="shared" si="159"/>
        <v>0</v>
      </c>
      <c r="P2572" s="55">
        <f ca="1" t="shared" si="160"/>
        <v>87</v>
      </c>
      <c r="Q2572" s="22" t="str">
        <f>VLOOKUP(B2572,辅助信息!E:M,9,FALSE)</f>
        <v>ZTWM-CDGS-XS-2024-0169-中冶西部钢构-宜宾市南溪区幸福路东路,高县月江镇建设项目</v>
      </c>
      <c r="R2572" s="22" t="str">
        <f>_xlfn._xlws.FILTER(辅助信息!D:D,辅助信息!E:E=B2572)</f>
        <v>五冶钢构-宜宾市南溪区高县月江镇建设项目</v>
      </c>
    </row>
    <row r="2573" hidden="1" spans="2:18">
      <c r="B2573" s="33" t="s">
        <v>106</v>
      </c>
      <c r="C2573" s="63">
        <v>45869</v>
      </c>
      <c r="D2573" s="33" t="str">
        <f>VLOOKUP(B2573,辅助信息!E:K,7,FALSE)</f>
        <v>JWDDCD2024101600133</v>
      </c>
      <c r="E2573" s="33" t="str">
        <f>VLOOKUP(F2573,辅助信息!A:B,2,FALSE)</f>
        <v>螺纹钢</v>
      </c>
      <c r="F2573" s="33" t="s">
        <v>30</v>
      </c>
      <c r="G2573" s="29">
        <v>6</v>
      </c>
      <c r="H2573" s="127">
        <f>_xlfn.XLOOKUP(C2573&amp;F2573&amp;I2573&amp;J2573,'[1]2025年已发货'!$F:$F&amp;'[1]2025年已发货'!$C:$C&amp;'[1]2025年已发货'!$G:$G&amp;'[1]2025年已发货'!$H:$H,'[1]2025年已发货'!$E:$E,"未发货")</f>
        <v>6</v>
      </c>
      <c r="I2573" s="33" t="str">
        <f>VLOOKUP(B2573,辅助信息!E:I,3,FALSE)</f>
        <v>（五冶钢构宜宾高县月江镇建设项目）  四川省宜宾市高县月江镇刚记超市斜对面(还阳组团沪碳二期项目)</v>
      </c>
      <c r="J2573" s="33" t="str">
        <f>VLOOKUP(B2573,辅助信息!E:I,4,FALSE)</f>
        <v>张朝亮</v>
      </c>
      <c r="K2573" s="33">
        <f>VLOOKUP(J2573,辅助信息!H:I,2,FALSE)</f>
        <v>15228205853</v>
      </c>
      <c r="L2573" s="102" t="str">
        <f>VLOOKUP(B2573,辅助信息!E:J,6,FALSE)</f>
        <v>提前联系到场规格</v>
      </c>
      <c r="M2573" s="84">
        <v>45870</v>
      </c>
      <c r="O2573" s="55">
        <f ca="1" t="shared" si="159"/>
        <v>0</v>
      </c>
      <c r="P2573" s="55">
        <f ca="1" t="shared" si="160"/>
        <v>87</v>
      </c>
      <c r="Q2573" s="22" t="str">
        <f>VLOOKUP(B2573,辅助信息!E:M,9,FALSE)</f>
        <v>ZTWM-CDGS-XS-2024-0169-中冶西部钢构-宜宾市南溪区幸福路东路,高县月江镇建设项目</v>
      </c>
      <c r="R2573" s="22" t="str">
        <f>_xlfn._xlws.FILTER(辅助信息!D:D,辅助信息!E:E=B2573)</f>
        <v>五冶钢构-宜宾市南溪区高县月江镇建设项目</v>
      </c>
    </row>
    <row r="2574" hidden="1" spans="2:18">
      <c r="B2574" s="33" t="s">
        <v>106</v>
      </c>
      <c r="C2574" s="63">
        <v>45869</v>
      </c>
      <c r="D2574" s="33" t="str">
        <f>VLOOKUP(B2574,辅助信息!E:K,7,FALSE)</f>
        <v>JWDDCD2024101600133</v>
      </c>
      <c r="E2574" s="33" t="str">
        <f>VLOOKUP(F2574,辅助信息!A:B,2,FALSE)</f>
        <v>螺纹钢</v>
      </c>
      <c r="F2574" s="33" t="s">
        <v>33</v>
      </c>
      <c r="G2574" s="29">
        <v>12</v>
      </c>
      <c r="H2574" s="127">
        <f>_xlfn.XLOOKUP(C2574&amp;F2574&amp;I2574&amp;J2574,'[1]2025年已发货'!$F:$F&amp;'[1]2025年已发货'!$C:$C&amp;'[1]2025年已发货'!$G:$G&amp;'[1]2025年已发货'!$H:$H,'[1]2025年已发货'!$E:$E,"未发货")</f>
        <v>12</v>
      </c>
      <c r="I2574" s="33" t="str">
        <f>VLOOKUP(B2574,辅助信息!E:I,3,FALSE)</f>
        <v>（五冶钢构宜宾高县月江镇建设项目）  四川省宜宾市高县月江镇刚记超市斜对面(还阳组团沪碳二期项目)</v>
      </c>
      <c r="J2574" s="33" t="str">
        <f>VLOOKUP(B2574,辅助信息!E:I,4,FALSE)</f>
        <v>张朝亮</v>
      </c>
      <c r="K2574" s="33">
        <f>VLOOKUP(J2574,辅助信息!H:I,2,FALSE)</f>
        <v>15228205853</v>
      </c>
      <c r="L2574" s="102" t="str">
        <f>VLOOKUP(B2574,辅助信息!E:J,6,FALSE)</f>
        <v>提前联系到场规格</v>
      </c>
      <c r="M2574" s="84">
        <v>45870</v>
      </c>
      <c r="O2574" s="55">
        <f ca="1" t="shared" si="159"/>
        <v>0</v>
      </c>
      <c r="P2574" s="55">
        <f ca="1" t="shared" si="160"/>
        <v>87</v>
      </c>
      <c r="Q2574" s="22" t="str">
        <f>VLOOKUP(B2574,辅助信息!E:M,9,FALSE)</f>
        <v>ZTWM-CDGS-XS-2024-0169-中冶西部钢构-宜宾市南溪区幸福路东路,高县月江镇建设项目</v>
      </c>
      <c r="R2574" s="22" t="str">
        <f>_xlfn._xlws.FILTER(辅助信息!D:D,辅助信息!E:E=B2574)</f>
        <v>五冶钢构-宜宾市南溪区高县月江镇建设项目</v>
      </c>
    </row>
    <row r="2575" hidden="1" spans="2:18">
      <c r="B2575" s="33" t="s">
        <v>106</v>
      </c>
      <c r="C2575" s="63">
        <v>45869</v>
      </c>
      <c r="D2575" s="33" t="str">
        <f>VLOOKUP(B2575,辅助信息!E:K,7,FALSE)</f>
        <v>JWDDCD2024101600133</v>
      </c>
      <c r="E2575" s="33" t="str">
        <f>VLOOKUP(F2575,辅助信息!A:B,2,FALSE)</f>
        <v>螺纹钢</v>
      </c>
      <c r="F2575" s="33" t="s">
        <v>18</v>
      </c>
      <c r="G2575" s="29">
        <v>12</v>
      </c>
      <c r="H2575" s="127">
        <f>_xlfn.XLOOKUP(C2575&amp;F2575&amp;I2575&amp;J2575,'[1]2025年已发货'!$F:$F&amp;'[1]2025年已发货'!$C:$C&amp;'[1]2025年已发货'!$G:$G&amp;'[1]2025年已发货'!$H:$H,'[1]2025年已发货'!$E:$E,"未发货")</f>
        <v>12</v>
      </c>
      <c r="I2575" s="33" t="str">
        <f>VLOOKUP(B2575,辅助信息!E:I,3,FALSE)</f>
        <v>（五冶钢构宜宾高县月江镇建设项目）  四川省宜宾市高县月江镇刚记超市斜对面(还阳组团沪碳二期项目)</v>
      </c>
      <c r="J2575" s="33" t="str">
        <f>VLOOKUP(B2575,辅助信息!E:I,4,FALSE)</f>
        <v>张朝亮</v>
      </c>
      <c r="K2575" s="33">
        <f>VLOOKUP(J2575,辅助信息!H:I,2,FALSE)</f>
        <v>15228205853</v>
      </c>
      <c r="L2575" s="102" t="str">
        <f>VLOOKUP(B2575,辅助信息!E:J,6,FALSE)</f>
        <v>提前联系到场规格</v>
      </c>
      <c r="M2575" s="84">
        <v>45870</v>
      </c>
      <c r="O2575" s="55">
        <f ca="1" t="shared" si="159"/>
        <v>0</v>
      </c>
      <c r="P2575" s="55">
        <f ca="1" t="shared" si="160"/>
        <v>87</v>
      </c>
      <c r="Q2575" s="22" t="str">
        <f>VLOOKUP(B2575,辅助信息!E:M,9,FALSE)</f>
        <v>ZTWM-CDGS-XS-2024-0169-中冶西部钢构-宜宾市南溪区幸福路东路,高县月江镇建设项目</v>
      </c>
      <c r="R2575" s="22" t="str">
        <f>_xlfn._xlws.FILTER(辅助信息!D:D,辅助信息!E:E=B2575)</f>
        <v>五冶钢构-宜宾市南溪区高县月江镇建设项目</v>
      </c>
    </row>
    <row r="2576" hidden="1" spans="2:18">
      <c r="B2576" s="33" t="s">
        <v>147</v>
      </c>
      <c r="C2576" s="63">
        <v>45870</v>
      </c>
      <c r="D2576" s="33" t="str">
        <f>VLOOKUP(B2576,辅助信息!E:K,7,FALSE)</f>
        <v>JWDDCD2025052800131</v>
      </c>
      <c r="E2576" s="33" t="str">
        <f>VLOOKUP(F2576,辅助信息!A:B,2,FALSE)</f>
        <v>盘螺</v>
      </c>
      <c r="F2576" s="33" t="s">
        <v>40</v>
      </c>
      <c r="G2576" s="29">
        <v>22</v>
      </c>
      <c r="H2576" s="127" t="str">
        <f>_xlfn.XLOOKUP(C2576&amp;F2576&amp;I2576&amp;J2576,'[1]2025年已发货'!$F:$F&amp;'[1]2025年已发货'!$C:$C&amp;'[1]2025年已发货'!$G:$G&amp;'[1]2025年已发货'!$H:$H,'[1]2025年已发货'!$E:$E,"未发货")</f>
        <v>未发货</v>
      </c>
      <c r="I2576" s="33" t="str">
        <f>VLOOKUP(B2576,辅助信息!E:I,3,FALSE)</f>
        <v>（商投建工达州中医药科技园-4工区-11号楼）达州市通川区达州中医药职业学院犀牛大道北段</v>
      </c>
      <c r="J2576" s="33" t="str">
        <f>VLOOKUP(B2576,辅助信息!E:I,4,FALSE)</f>
        <v>张扬</v>
      </c>
      <c r="K2576" s="33">
        <f>VLOOKUP(J2576,辅助信息!H:I,2,FALSE)</f>
        <v>18381904567</v>
      </c>
      <c r="L2576" s="102" t="str">
        <f>VLOOKUP(B2576,辅助信息!E:J,6,FALSE)</f>
        <v>控制炉批号！多了现场不收！,优先安排达钢,提前联系到场规格及数量</v>
      </c>
      <c r="M2576" s="84">
        <v>45870</v>
      </c>
      <c r="O2576" s="55">
        <f ca="1" t="shared" si="159"/>
        <v>0</v>
      </c>
      <c r="P2576" s="55">
        <f ca="1" t="shared" si="160"/>
        <v>87</v>
      </c>
      <c r="Q2576" s="22" t="str">
        <f>VLOOKUP(B2576,辅助信息!E:M,9,FALSE)</f>
        <v>ZTWM-CDGS-XS-2024-0134-商投建工达州中医药科技成果示范园项目</v>
      </c>
      <c r="R2576" s="22" t="str">
        <f>_xlfn._xlws.FILTER(辅助信息!D:D,辅助信息!E:E=B2576)</f>
        <v>商投建工达州中医药科技园</v>
      </c>
    </row>
    <row r="2577" hidden="1" spans="2:18">
      <c r="B2577" s="33" t="s">
        <v>147</v>
      </c>
      <c r="C2577" s="63">
        <v>45870</v>
      </c>
      <c r="D2577" s="33" t="str">
        <f>VLOOKUP(B2577,辅助信息!E:K,7,FALSE)</f>
        <v>JWDDCD2025052800131</v>
      </c>
      <c r="E2577" s="33" t="str">
        <f>VLOOKUP(F2577,辅助信息!A:B,2,FALSE)</f>
        <v>螺纹钢</v>
      </c>
      <c r="F2577" s="33" t="s">
        <v>21</v>
      </c>
      <c r="G2577" s="29">
        <v>9</v>
      </c>
      <c r="H2577" s="127" t="str">
        <f>_xlfn.XLOOKUP(C2577&amp;F2577&amp;I2577&amp;J2577,'[1]2025年已发货'!$F:$F&amp;'[1]2025年已发货'!$C:$C&amp;'[1]2025年已发货'!$G:$G&amp;'[1]2025年已发货'!$H:$H,'[1]2025年已发货'!$E:$E,"未发货")</f>
        <v>未发货</v>
      </c>
      <c r="I2577" s="33" t="str">
        <f>VLOOKUP(B2577,辅助信息!E:I,3,FALSE)</f>
        <v>（商投建工达州中医药科技园-4工区-11号楼）达州市通川区达州中医药职业学院犀牛大道北段</v>
      </c>
      <c r="J2577" s="33" t="str">
        <f>VLOOKUP(B2577,辅助信息!E:I,4,FALSE)</f>
        <v>张扬</v>
      </c>
      <c r="K2577" s="33">
        <f>VLOOKUP(J2577,辅助信息!H:I,2,FALSE)</f>
        <v>18381904567</v>
      </c>
      <c r="L2577" s="102" t="str">
        <f>VLOOKUP(B2577,辅助信息!E:J,6,FALSE)</f>
        <v>控制炉批号！多了现场不收！,优先安排达钢,提前联系到场规格及数量</v>
      </c>
      <c r="O2577" s="55" t="str">
        <f ca="1" t="shared" si="159"/>
        <v/>
      </c>
      <c r="P2577" s="55" t="str">
        <f ca="1" t="shared" si="160"/>
        <v/>
      </c>
      <c r="Q2577" s="22" t="str">
        <f>VLOOKUP(B2577,辅助信息!E:M,9,FALSE)</f>
        <v>ZTWM-CDGS-XS-2024-0134-商投建工达州中医药科技成果示范园项目</v>
      </c>
      <c r="R2577" s="22" t="str">
        <f>_xlfn._xlws.FILTER(辅助信息!D:D,辅助信息!E:E=B2577)</f>
        <v>商投建工达州中医药科技园</v>
      </c>
    </row>
    <row r="2578" hidden="1" spans="2:18">
      <c r="B2578" s="33" t="s">
        <v>147</v>
      </c>
      <c r="C2578" s="63">
        <v>45870</v>
      </c>
      <c r="D2578" s="33" t="str">
        <f>VLOOKUP(B2578,辅助信息!E:K,7,FALSE)</f>
        <v>JWDDCD2025052800131</v>
      </c>
      <c r="E2578" s="33" t="str">
        <f>VLOOKUP(F2578,辅助信息!A:B,2,FALSE)</f>
        <v>螺纹钢</v>
      </c>
      <c r="F2578" s="33" t="s">
        <v>58</v>
      </c>
      <c r="G2578" s="29">
        <v>9</v>
      </c>
      <c r="H2578" s="127" t="str">
        <f>_xlfn.XLOOKUP(C2578&amp;F2578&amp;I2578&amp;J2578,'[1]2025年已发货'!$F:$F&amp;'[1]2025年已发货'!$C:$C&amp;'[1]2025年已发货'!$G:$G&amp;'[1]2025年已发货'!$H:$H,'[1]2025年已发货'!$E:$E,"未发货")</f>
        <v>未发货</v>
      </c>
      <c r="I2578" s="33" t="str">
        <f>VLOOKUP(B2578,辅助信息!E:I,3,FALSE)</f>
        <v>（商投建工达州中医药科技园-4工区-11号楼）达州市通川区达州中医药职业学院犀牛大道北段</v>
      </c>
      <c r="J2578" s="33" t="str">
        <f>VLOOKUP(B2578,辅助信息!E:I,4,FALSE)</f>
        <v>张扬</v>
      </c>
      <c r="K2578" s="33">
        <f>VLOOKUP(J2578,辅助信息!H:I,2,FALSE)</f>
        <v>18381904567</v>
      </c>
      <c r="L2578" s="102" t="str">
        <f>VLOOKUP(B2578,辅助信息!E:J,6,FALSE)</f>
        <v>控制炉批号！多了现场不收！,优先安排达钢,提前联系到场规格及数量</v>
      </c>
      <c r="O2578" s="55" t="str">
        <f ca="1" t="shared" si="159"/>
        <v/>
      </c>
      <c r="P2578" s="55" t="str">
        <f ca="1" t="shared" si="160"/>
        <v/>
      </c>
      <c r="Q2578" s="22" t="str">
        <f>VLOOKUP(B2578,辅助信息!E:M,9,FALSE)</f>
        <v>ZTWM-CDGS-XS-2024-0134-商投建工达州中医药科技成果示范园项目</v>
      </c>
      <c r="R2578" s="22" t="str">
        <f>_xlfn._xlws.FILTER(辅助信息!D:D,辅助信息!E:E=B2578)</f>
        <v>商投建工达州中医药科技园</v>
      </c>
    </row>
    <row r="2579" hidden="1" spans="2:18">
      <c r="B2579" s="33" t="s">
        <v>147</v>
      </c>
      <c r="C2579" s="63">
        <v>45870</v>
      </c>
      <c r="D2579" s="33" t="str">
        <f>VLOOKUP(B2579,辅助信息!E:K,7,FALSE)</f>
        <v>JWDDCD2025052800131</v>
      </c>
      <c r="E2579" s="33" t="str">
        <f>VLOOKUP(F2579,辅助信息!A:B,2,FALSE)</f>
        <v>螺纹钢</v>
      </c>
      <c r="F2579" s="33" t="s">
        <v>46</v>
      </c>
      <c r="G2579" s="29">
        <v>9</v>
      </c>
      <c r="H2579" s="127" t="str">
        <f>_xlfn.XLOOKUP(C2579&amp;F2579&amp;I2579&amp;J2579,'[1]2025年已发货'!$F:$F&amp;'[1]2025年已发货'!$C:$C&amp;'[1]2025年已发货'!$G:$G&amp;'[1]2025年已发货'!$H:$H,'[1]2025年已发货'!$E:$E,"未发货")</f>
        <v>未发货</v>
      </c>
      <c r="I2579" s="33" t="str">
        <f>VLOOKUP(B2579,辅助信息!E:I,3,FALSE)</f>
        <v>（商投建工达州中医药科技园-4工区-11号楼）达州市通川区达州中医药职业学院犀牛大道北段</v>
      </c>
      <c r="J2579" s="33" t="str">
        <f>VLOOKUP(B2579,辅助信息!E:I,4,FALSE)</f>
        <v>张扬</v>
      </c>
      <c r="K2579" s="33">
        <f>VLOOKUP(J2579,辅助信息!H:I,2,FALSE)</f>
        <v>18381904567</v>
      </c>
      <c r="L2579" s="102" t="str">
        <f>VLOOKUP(B2579,辅助信息!E:J,6,FALSE)</f>
        <v>控制炉批号！多了现场不收！,优先安排达钢,提前联系到场规格及数量</v>
      </c>
      <c r="O2579" s="55" t="str">
        <f ca="1" t="shared" si="159"/>
        <v/>
      </c>
      <c r="P2579" s="55" t="str">
        <f ca="1" t="shared" si="160"/>
        <v/>
      </c>
      <c r="Q2579" s="22" t="str">
        <f>VLOOKUP(B2579,辅助信息!E:M,9,FALSE)</f>
        <v>ZTWM-CDGS-XS-2024-0134-商投建工达州中医药科技成果示范园项目</v>
      </c>
      <c r="R2579" s="22" t="str">
        <f>_xlfn._xlws.FILTER(辅助信息!D:D,辅助信息!E:E=B2579)</f>
        <v>商投建工达州中医药科技园</v>
      </c>
    </row>
    <row r="2580" hidden="1" spans="2:18">
      <c r="B2580" s="33" t="s">
        <v>147</v>
      </c>
      <c r="C2580" s="63">
        <v>45870</v>
      </c>
      <c r="D2580" s="33" t="str">
        <f>VLOOKUP(B2580,辅助信息!E:K,7,FALSE)</f>
        <v>JWDDCD2025052800131</v>
      </c>
      <c r="E2580" s="33" t="str">
        <f>VLOOKUP(F2580,辅助信息!A:B,2,FALSE)</f>
        <v>螺纹钢</v>
      </c>
      <c r="F2580" s="33" t="s">
        <v>22</v>
      </c>
      <c r="G2580" s="29">
        <v>15</v>
      </c>
      <c r="H2580" s="127" t="str">
        <f>_xlfn.XLOOKUP(C2580&amp;F2580&amp;I2580&amp;J2580,'[1]2025年已发货'!$F:$F&amp;'[1]2025年已发货'!$C:$C&amp;'[1]2025年已发货'!$G:$G&amp;'[1]2025年已发货'!$H:$H,'[1]2025年已发货'!$E:$E,"未发货")</f>
        <v>未发货</v>
      </c>
      <c r="I2580" s="33" t="str">
        <f>VLOOKUP(B2580,辅助信息!E:I,3,FALSE)</f>
        <v>（商投建工达州中医药科技园-4工区-11号楼）达州市通川区达州中医药职业学院犀牛大道北段</v>
      </c>
      <c r="J2580" s="33" t="str">
        <f>VLOOKUP(B2580,辅助信息!E:I,4,FALSE)</f>
        <v>张扬</v>
      </c>
      <c r="K2580" s="33">
        <f>VLOOKUP(J2580,辅助信息!H:I,2,FALSE)</f>
        <v>18381904567</v>
      </c>
      <c r="L2580" s="102" t="str">
        <f>VLOOKUP(B2580,辅助信息!E:J,6,FALSE)</f>
        <v>控制炉批号！多了现场不收！,优先安排达钢,提前联系到场规格及数量</v>
      </c>
      <c r="O2580" s="55" t="str">
        <f ca="1" t="shared" si="159"/>
        <v/>
      </c>
      <c r="P2580" s="55" t="str">
        <f ca="1" t="shared" si="160"/>
        <v/>
      </c>
      <c r="Q2580" s="22" t="str">
        <f>VLOOKUP(B2580,辅助信息!E:M,9,FALSE)</f>
        <v>ZTWM-CDGS-XS-2024-0134-商投建工达州中医药科技成果示范园项目</v>
      </c>
      <c r="R2580" s="22" t="str">
        <f>_xlfn._xlws.FILTER(辅助信息!D:D,辅助信息!E:E=B2580)</f>
        <v>商投建工达州中医药科技园</v>
      </c>
    </row>
    <row r="2581" hidden="1" spans="2:18">
      <c r="B2581" s="33" t="s">
        <v>147</v>
      </c>
      <c r="C2581" s="63">
        <v>45870</v>
      </c>
      <c r="D2581" s="33" t="str">
        <f>VLOOKUP(B2581,辅助信息!E:K,7,FALSE)</f>
        <v>JWDDCD2025052800131</v>
      </c>
      <c r="E2581" s="33" t="str">
        <f>VLOOKUP(F2581,辅助信息!A:B,2,FALSE)</f>
        <v>螺纹钢</v>
      </c>
      <c r="F2581" s="33" t="s">
        <v>28</v>
      </c>
      <c r="G2581" s="29">
        <v>6</v>
      </c>
      <c r="H2581" s="127" t="str">
        <f>_xlfn.XLOOKUP(C2581&amp;F2581&amp;I2581&amp;J2581,'[1]2025年已发货'!$F:$F&amp;'[1]2025年已发货'!$C:$C&amp;'[1]2025年已发货'!$G:$G&amp;'[1]2025年已发货'!$H:$H,'[1]2025年已发货'!$E:$E,"未发货")</f>
        <v>未发货</v>
      </c>
      <c r="I2581" s="33" t="str">
        <f>VLOOKUP(B2581,辅助信息!E:I,3,FALSE)</f>
        <v>（商投建工达州中医药科技园-4工区-11号楼）达州市通川区达州中医药职业学院犀牛大道北段</v>
      </c>
      <c r="J2581" s="33" t="str">
        <f>VLOOKUP(B2581,辅助信息!E:I,4,FALSE)</f>
        <v>张扬</v>
      </c>
      <c r="K2581" s="33">
        <f>VLOOKUP(J2581,辅助信息!H:I,2,FALSE)</f>
        <v>18381904567</v>
      </c>
      <c r="L2581" s="102" t="str">
        <f>VLOOKUP(B2581,辅助信息!E:J,6,FALSE)</f>
        <v>控制炉批号！多了现场不收！,优先安排达钢,提前联系到场规格及数量</v>
      </c>
      <c r="O2581" s="55" t="str">
        <f ca="1" t="shared" si="159"/>
        <v/>
      </c>
      <c r="P2581" s="55" t="str">
        <f ca="1" t="shared" si="160"/>
        <v/>
      </c>
      <c r="Q2581" s="22" t="str">
        <f>VLOOKUP(B2581,辅助信息!E:M,9,FALSE)</f>
        <v>ZTWM-CDGS-XS-2024-0134-商投建工达州中医药科技成果示范园项目</v>
      </c>
      <c r="R2581" s="22" t="str">
        <f>_xlfn._xlws.FILTER(辅助信息!D:D,辅助信息!E:E=B2581)</f>
        <v>商投建工达州中医药科技园</v>
      </c>
    </row>
    <row r="2582" hidden="1" spans="2:18">
      <c r="B2582" s="33" t="s">
        <v>186</v>
      </c>
      <c r="C2582" s="63">
        <v>45873</v>
      </c>
      <c r="D2582" s="33" t="str">
        <f>VLOOKUP(B2582,辅助信息!E:K,7,FALSE)</f>
        <v>JWDDCD2025072900123</v>
      </c>
      <c r="E2582" s="33" t="str">
        <f>VLOOKUP(F2582,辅助信息!A:B,2,FALSE)</f>
        <v>螺纹钢</v>
      </c>
      <c r="F2582" s="33" t="s">
        <v>28</v>
      </c>
      <c r="G2582" s="29">
        <v>18</v>
      </c>
      <c r="H2582" s="127">
        <f>_xlfn.XLOOKUP(C2582&amp;F2582&amp;I2582&amp;J2582,'[1]2025年已发货'!$F:$F&amp;'[1]2025年已发货'!$C:$C&amp;'[1]2025年已发货'!$G:$G&amp;'[1]2025年已发货'!$H:$H,'[1]2025年已发货'!$E:$E,"未发货")</f>
        <v>18</v>
      </c>
      <c r="I2582" s="33" t="str">
        <f>VLOOKUP(B2582,辅助信息!E:I,3,FALSE)</f>
        <v>(乐山市校地共建产教融合基地建设项目二标段)四川省乐山市市中区苏稽镇</v>
      </c>
      <c r="J2582" s="33" t="str">
        <f>VLOOKUP(B2582,辅助信息!E:I,4,FALSE)</f>
        <v>彭江涛</v>
      </c>
      <c r="K2582" s="33">
        <f>VLOOKUP(J2582,辅助信息!H:I,2,FALSE)</f>
        <v>13990276572</v>
      </c>
      <c r="L2582" s="102" t="str">
        <f>VLOOKUP(B2582,辅助信息!E:J,6,FALSE)</f>
        <v>联系实际收货人（彭江涛13990276572）现场要求炉批号控制2个以下，超2个不给予签收。提前联系到场规格及数量</v>
      </c>
      <c r="M2582" s="84">
        <v>45874</v>
      </c>
      <c r="O2582" s="55">
        <f ca="1" t="shared" si="159"/>
        <v>0</v>
      </c>
      <c r="P2582" s="55">
        <f ca="1" t="shared" si="160"/>
        <v>83</v>
      </c>
      <c r="Q2582" s="22" t="str">
        <f>VLOOKUP(B2582,辅助信息!E:M,9,FALSE)</f>
        <v>ZTWM-CDGS-XS-2025-0126-四川机司-乐山市校地共建产教融合基地配套设施项目施工二标段钢筋采购合同</v>
      </c>
      <c r="R2582" s="22" t="str">
        <f>_xlfn._xlws.FILTER(辅助信息!D:D,辅助信息!E:E=B2582)</f>
        <v>乐山市校地共建产教融合基地建设项目二标段</v>
      </c>
    </row>
    <row r="2583" hidden="1" spans="2:18">
      <c r="B2583" s="33" t="s">
        <v>186</v>
      </c>
      <c r="C2583" s="63">
        <v>45873</v>
      </c>
      <c r="D2583" s="33" t="str">
        <f>VLOOKUP(B2583,辅助信息!E:K,7,FALSE)</f>
        <v>JWDDCD2025072900123</v>
      </c>
      <c r="E2583" s="33" t="str">
        <f>VLOOKUP(F2583,辅助信息!A:B,2,FALSE)</f>
        <v>螺纹钢</v>
      </c>
      <c r="F2583" s="33" t="s">
        <v>18</v>
      </c>
      <c r="G2583" s="29">
        <v>18</v>
      </c>
      <c r="H2583" s="127">
        <f>_xlfn.XLOOKUP(C2583&amp;F2583&amp;I2583&amp;J2583,'[1]2025年已发货'!$F:$F&amp;'[1]2025年已发货'!$C:$C&amp;'[1]2025年已发货'!$G:$G&amp;'[1]2025年已发货'!$H:$H,'[1]2025年已发货'!$E:$E,"未发货")</f>
        <v>18</v>
      </c>
      <c r="I2583" s="33" t="str">
        <f>VLOOKUP(B2583,辅助信息!E:I,3,FALSE)</f>
        <v>(乐山市校地共建产教融合基地建设项目二标段)四川省乐山市市中区苏稽镇</v>
      </c>
      <c r="J2583" s="33" t="str">
        <f>VLOOKUP(B2583,辅助信息!E:I,4,FALSE)</f>
        <v>彭江涛</v>
      </c>
      <c r="K2583" s="33">
        <f>VLOOKUP(J2583,辅助信息!H:I,2,FALSE)</f>
        <v>13990276572</v>
      </c>
      <c r="L2583" s="102" t="str">
        <f>VLOOKUP(B2583,辅助信息!E:J,6,FALSE)</f>
        <v>联系实际收货人（彭江涛13990276572）现场要求炉批号控制2个以下，超2个不给予签收。提前联系到场规格及数量</v>
      </c>
      <c r="M2583" s="84">
        <v>45874</v>
      </c>
      <c r="O2583" s="55">
        <f ca="1" t="shared" si="159"/>
        <v>0</v>
      </c>
      <c r="P2583" s="55">
        <f ca="1" t="shared" si="160"/>
        <v>83</v>
      </c>
      <c r="Q2583" s="22" t="str">
        <f>VLOOKUP(B2583,辅助信息!E:M,9,FALSE)</f>
        <v>ZTWM-CDGS-XS-2025-0126-四川机司-乐山市校地共建产教融合基地配套设施项目施工二标段钢筋采购合同</v>
      </c>
      <c r="R2583" s="22" t="str">
        <f>_xlfn._xlws.FILTER(辅助信息!D:D,辅助信息!E:E=B2583)</f>
        <v>乐山市校地共建产教融合基地建设项目二标段</v>
      </c>
    </row>
    <row r="2584" hidden="1" spans="2:18">
      <c r="B2584" s="33" t="s">
        <v>186</v>
      </c>
      <c r="C2584" s="63">
        <v>45873</v>
      </c>
      <c r="D2584" s="33" t="str">
        <f>VLOOKUP(B2584,辅助信息!E:K,7,FALSE)</f>
        <v>JWDDCD2025072900123</v>
      </c>
      <c r="E2584" s="33" t="str">
        <f>VLOOKUP(F2584,辅助信息!A:B,2,FALSE)</f>
        <v>盘螺</v>
      </c>
      <c r="F2584" s="33" t="s">
        <v>40</v>
      </c>
      <c r="G2584" s="29">
        <v>3</v>
      </c>
      <c r="H2584" s="127">
        <f>_xlfn.XLOOKUP(C2584&amp;F2584&amp;I2584&amp;J2584,'[1]2025年已发货'!$F:$F&amp;'[1]2025年已发货'!$C:$C&amp;'[1]2025年已发货'!$G:$G&amp;'[1]2025年已发货'!$H:$H,'[1]2025年已发货'!$E:$E,"未发货")</f>
        <v>3</v>
      </c>
      <c r="I2584" s="33" t="str">
        <f>VLOOKUP(B2584,辅助信息!E:I,3,FALSE)</f>
        <v>(乐山市校地共建产教融合基地建设项目二标段)四川省乐山市市中区苏稽镇</v>
      </c>
      <c r="J2584" s="33" t="str">
        <f>VLOOKUP(B2584,辅助信息!E:I,4,FALSE)</f>
        <v>彭江涛</v>
      </c>
      <c r="K2584" s="33">
        <f>VLOOKUP(J2584,辅助信息!H:I,2,FALSE)</f>
        <v>13990276572</v>
      </c>
      <c r="L2584" s="102" t="str">
        <f>VLOOKUP(B2584,辅助信息!E:J,6,FALSE)</f>
        <v>联系实际收货人（彭江涛13990276572）现场要求炉批号控制2个以下，超2个不给予签收。提前联系到场规格及数量</v>
      </c>
      <c r="M2584" s="84">
        <v>45874</v>
      </c>
      <c r="O2584" s="55">
        <f ca="1" t="shared" si="159"/>
        <v>0</v>
      </c>
      <c r="P2584" s="55">
        <f ca="1" t="shared" si="160"/>
        <v>83</v>
      </c>
      <c r="Q2584" s="22" t="str">
        <f>VLOOKUP(B2584,辅助信息!E:M,9,FALSE)</f>
        <v>ZTWM-CDGS-XS-2025-0126-四川机司-乐山市校地共建产教融合基地配套设施项目施工二标段钢筋采购合同</v>
      </c>
      <c r="R2584" s="22" t="str">
        <f>_xlfn._xlws.FILTER(辅助信息!D:D,辅助信息!E:E=B2584)</f>
        <v>乐山市校地共建产教融合基地建设项目二标段</v>
      </c>
    </row>
    <row r="2585" hidden="1" spans="2:18">
      <c r="B2585" s="33" t="s">
        <v>186</v>
      </c>
      <c r="C2585" s="63">
        <v>45873</v>
      </c>
      <c r="D2585" s="33" t="str">
        <f>VLOOKUP(B2585,辅助信息!E:K,7,FALSE)</f>
        <v>JWDDCD2025072900123</v>
      </c>
      <c r="E2585" s="33" t="str">
        <f>VLOOKUP(F2585,辅助信息!A:B,2,FALSE)</f>
        <v>盘螺</v>
      </c>
      <c r="F2585" s="33" t="s">
        <v>41</v>
      </c>
      <c r="G2585" s="29">
        <v>10</v>
      </c>
      <c r="H2585" s="127">
        <f>_xlfn.XLOOKUP(C2585&amp;F2585&amp;I2585&amp;J2585,'[1]2025年已发货'!$F:$F&amp;'[1]2025年已发货'!$C:$C&amp;'[1]2025年已发货'!$G:$G&amp;'[1]2025年已发货'!$H:$H,'[1]2025年已发货'!$E:$E,"未发货")</f>
        <v>10</v>
      </c>
      <c r="I2585" s="33" t="str">
        <f>VLOOKUP(B2585,辅助信息!E:I,3,FALSE)</f>
        <v>(乐山市校地共建产教融合基地建设项目二标段)四川省乐山市市中区苏稽镇</v>
      </c>
      <c r="J2585" s="33" t="str">
        <f>VLOOKUP(B2585,辅助信息!E:I,4,FALSE)</f>
        <v>彭江涛</v>
      </c>
      <c r="K2585" s="33">
        <f>VLOOKUP(J2585,辅助信息!H:I,2,FALSE)</f>
        <v>13990276572</v>
      </c>
      <c r="L2585" s="102" t="str">
        <f>VLOOKUP(B2585,辅助信息!E:J,6,FALSE)</f>
        <v>联系实际收货人（彭江涛13990276572）现场要求炉批号控制2个以下，超2个不给予签收。提前联系到场规格及数量</v>
      </c>
      <c r="M2585" s="84">
        <v>45874</v>
      </c>
      <c r="O2585" s="55">
        <f ca="1" t="shared" si="159"/>
        <v>0</v>
      </c>
      <c r="P2585" s="55">
        <f ca="1" t="shared" si="160"/>
        <v>83</v>
      </c>
      <c r="Q2585" s="22" t="str">
        <f>VLOOKUP(B2585,辅助信息!E:M,9,FALSE)</f>
        <v>ZTWM-CDGS-XS-2025-0126-四川机司-乐山市校地共建产教融合基地配套设施项目施工二标段钢筋采购合同</v>
      </c>
      <c r="R2585" s="22" t="str">
        <f>_xlfn._xlws.FILTER(辅助信息!D:D,辅助信息!E:E=B2585)</f>
        <v>乐山市校地共建产教融合基地建设项目二标段</v>
      </c>
    </row>
    <row r="2586" hidden="1" spans="2:18">
      <c r="B2586" s="33" t="s">
        <v>186</v>
      </c>
      <c r="C2586" s="63">
        <v>45873</v>
      </c>
      <c r="D2586" s="33" t="str">
        <f>VLOOKUP(B2586,辅助信息!E:K,7,FALSE)</f>
        <v>JWDDCD2025072900123</v>
      </c>
      <c r="E2586" s="33" t="str">
        <f>VLOOKUP(F2586,辅助信息!A:B,2,FALSE)</f>
        <v>盘螺</v>
      </c>
      <c r="F2586" s="33" t="s">
        <v>26</v>
      </c>
      <c r="G2586" s="29">
        <v>17</v>
      </c>
      <c r="H2586" s="127">
        <f>_xlfn.XLOOKUP(C2586&amp;F2586&amp;I2586&amp;J2586,'[1]2025年已发货'!$F:$F&amp;'[1]2025年已发货'!$C:$C&amp;'[1]2025年已发货'!$G:$G&amp;'[1]2025年已发货'!$H:$H,'[1]2025年已发货'!$E:$E,"未发货")</f>
        <v>17</v>
      </c>
      <c r="I2586" s="33" t="str">
        <f>VLOOKUP(B2586,辅助信息!E:I,3,FALSE)</f>
        <v>(乐山市校地共建产教融合基地建设项目二标段)四川省乐山市市中区苏稽镇</v>
      </c>
      <c r="J2586" s="33" t="str">
        <f>VLOOKUP(B2586,辅助信息!E:I,4,FALSE)</f>
        <v>彭江涛</v>
      </c>
      <c r="K2586" s="33">
        <f>VLOOKUP(J2586,辅助信息!H:I,2,FALSE)</f>
        <v>13990276572</v>
      </c>
      <c r="L2586" s="102" t="str">
        <f>VLOOKUP(B2586,辅助信息!E:J,6,FALSE)</f>
        <v>联系实际收货人（彭江涛13990276572）现场要求炉批号控制2个以下，超2个不给予签收。提前联系到场规格及数量</v>
      </c>
      <c r="M2586" s="84">
        <v>45874</v>
      </c>
      <c r="O2586" s="55">
        <f ca="1" t="shared" si="159"/>
        <v>0</v>
      </c>
      <c r="P2586" s="55">
        <f ca="1" t="shared" si="160"/>
        <v>83</v>
      </c>
      <c r="Q2586" s="22" t="str">
        <f>VLOOKUP(B2586,辅助信息!E:M,9,FALSE)</f>
        <v>ZTWM-CDGS-XS-2025-0126-四川机司-乐山市校地共建产教融合基地配套设施项目施工二标段钢筋采购合同</v>
      </c>
      <c r="R2586" s="22" t="str">
        <f>_xlfn._xlws.FILTER(辅助信息!D:D,辅助信息!E:E=B2586)</f>
        <v>乐山市校地共建产教融合基地建设项目二标段</v>
      </c>
    </row>
    <row r="2587" hidden="1" spans="2:18">
      <c r="B2587" s="33" t="s">
        <v>186</v>
      </c>
      <c r="C2587" s="63">
        <v>45873</v>
      </c>
      <c r="D2587" s="33" t="str">
        <f>VLOOKUP(B2587,辅助信息!E:K,7,FALSE)</f>
        <v>JWDDCD2025072900123</v>
      </c>
      <c r="E2587" s="33" t="str">
        <f>VLOOKUP(F2587,辅助信息!A:B,2,FALSE)</f>
        <v>螺纹钢</v>
      </c>
      <c r="F2587" s="33" t="s">
        <v>76</v>
      </c>
      <c r="G2587" s="29">
        <v>8</v>
      </c>
      <c r="H2587" s="127">
        <f>_xlfn.XLOOKUP(C2587&amp;F2587&amp;I2587&amp;J2587,'[1]2025年已发货'!$F:$F&amp;'[1]2025年已发货'!$C:$C&amp;'[1]2025年已发货'!$G:$G&amp;'[1]2025年已发货'!$H:$H,'[1]2025年已发货'!$E:$E,"未发货")</f>
        <v>8</v>
      </c>
      <c r="I2587" s="33" t="str">
        <f>VLOOKUP(B2587,辅助信息!E:I,3,FALSE)</f>
        <v>(乐山市校地共建产教融合基地建设项目二标段)四川省乐山市市中区苏稽镇</v>
      </c>
      <c r="J2587" s="33" t="str">
        <f>VLOOKUP(B2587,辅助信息!E:I,4,FALSE)</f>
        <v>彭江涛</v>
      </c>
      <c r="K2587" s="33">
        <f>VLOOKUP(J2587,辅助信息!H:I,2,FALSE)</f>
        <v>13990276572</v>
      </c>
      <c r="L2587" s="102" t="str">
        <f>VLOOKUP(B2587,辅助信息!E:J,6,FALSE)</f>
        <v>联系实际收货人（彭江涛13990276572）现场要求炉批号控制2个以下，超2个不给予签收。提前联系到场规格及数量</v>
      </c>
      <c r="M2587" s="84">
        <v>45874</v>
      </c>
      <c r="O2587" s="55">
        <f ca="1" t="shared" si="159"/>
        <v>0</v>
      </c>
      <c r="P2587" s="55">
        <f ca="1" t="shared" si="160"/>
        <v>83</v>
      </c>
      <c r="Q2587" s="22" t="str">
        <f>VLOOKUP(B2587,辅助信息!E:M,9,FALSE)</f>
        <v>ZTWM-CDGS-XS-2025-0126-四川机司-乐山市校地共建产教融合基地配套设施项目施工二标段钢筋采购合同</v>
      </c>
      <c r="R2587" s="22" t="str">
        <f>_xlfn._xlws.FILTER(辅助信息!D:D,辅助信息!E:E=B2587)</f>
        <v>乐山市校地共建产教融合基地建设项目二标段</v>
      </c>
    </row>
    <row r="2588" hidden="1" spans="2:18">
      <c r="B2588" s="33" t="s">
        <v>186</v>
      </c>
      <c r="C2588" s="63">
        <v>45873</v>
      </c>
      <c r="D2588" s="33" t="str">
        <f>VLOOKUP(B2588,辅助信息!E:K,7,FALSE)</f>
        <v>JWDDCD2025072900123</v>
      </c>
      <c r="E2588" s="33" t="str">
        <f>VLOOKUP(F2588,辅助信息!A:B,2,FALSE)</f>
        <v>螺纹钢</v>
      </c>
      <c r="F2588" s="33" t="s">
        <v>90</v>
      </c>
      <c r="G2588" s="29">
        <v>3</v>
      </c>
      <c r="H2588" s="127">
        <f>_xlfn.XLOOKUP(C2588&amp;F2588&amp;I2588&amp;J2588,'[1]2025年已发货'!$F:$F&amp;'[1]2025年已发货'!$C:$C&amp;'[1]2025年已发货'!$G:$G&amp;'[1]2025年已发货'!$H:$H,'[1]2025年已发货'!$E:$E,"未发货")</f>
        <v>3</v>
      </c>
      <c r="I2588" s="33" t="str">
        <f>VLOOKUP(B2588,辅助信息!E:I,3,FALSE)</f>
        <v>(乐山市校地共建产教融合基地建设项目二标段)四川省乐山市市中区苏稽镇</v>
      </c>
      <c r="J2588" s="33" t="str">
        <f>VLOOKUP(B2588,辅助信息!E:I,4,FALSE)</f>
        <v>彭江涛</v>
      </c>
      <c r="K2588" s="33">
        <f>VLOOKUP(J2588,辅助信息!H:I,2,FALSE)</f>
        <v>13990276572</v>
      </c>
      <c r="L2588" s="102" t="str">
        <f>VLOOKUP(B2588,辅助信息!E:J,6,FALSE)</f>
        <v>联系实际收货人（彭江涛13990276572）现场要求炉批号控制2个以下，超2个不给予签收。提前联系到场规格及数量</v>
      </c>
      <c r="M2588" s="84">
        <v>45874</v>
      </c>
      <c r="O2588" s="55">
        <f ca="1" t="shared" si="159"/>
        <v>0</v>
      </c>
      <c r="P2588" s="55">
        <f ca="1" t="shared" si="160"/>
        <v>83</v>
      </c>
      <c r="Q2588" s="22" t="str">
        <f>VLOOKUP(B2588,辅助信息!E:M,9,FALSE)</f>
        <v>ZTWM-CDGS-XS-2025-0126-四川机司-乐山市校地共建产教融合基地配套设施项目施工二标段钢筋采购合同</v>
      </c>
      <c r="R2588" s="22" t="str">
        <f>_xlfn._xlws.FILTER(辅助信息!D:D,辅助信息!E:E=B2588)</f>
        <v>乐山市校地共建产教融合基地建设项目二标段</v>
      </c>
    </row>
    <row r="2589" hidden="1" spans="2:18">
      <c r="B2589" s="33" t="s">
        <v>186</v>
      </c>
      <c r="C2589" s="63">
        <v>45873</v>
      </c>
      <c r="D2589" s="33" t="str">
        <f>VLOOKUP(B2589,辅助信息!E:K,7,FALSE)</f>
        <v>JWDDCD2025072900123</v>
      </c>
      <c r="E2589" s="33" t="str">
        <f>VLOOKUP(F2589,辅助信息!A:B,2,FALSE)</f>
        <v>螺纹钢</v>
      </c>
      <c r="F2589" s="33" t="s">
        <v>133</v>
      </c>
      <c r="G2589" s="29">
        <v>67</v>
      </c>
      <c r="H2589" s="127">
        <f>_xlfn.XLOOKUP(C2589&amp;F2589&amp;I2589&amp;J2589,'[1]2025年已发货'!$F:$F&amp;'[1]2025年已发货'!$C:$C&amp;'[1]2025年已发货'!$G:$G&amp;'[1]2025年已发货'!$H:$H,'[1]2025年已发货'!$E:$E,"未发货")</f>
        <v>30</v>
      </c>
      <c r="I2589" s="33" t="str">
        <f>VLOOKUP(B2589,辅助信息!E:I,3,FALSE)</f>
        <v>(乐山市校地共建产教融合基地建设项目二标段)四川省乐山市市中区苏稽镇</v>
      </c>
      <c r="J2589" s="33" t="str">
        <f>VLOOKUP(B2589,辅助信息!E:I,4,FALSE)</f>
        <v>彭江涛</v>
      </c>
      <c r="K2589" s="33">
        <f>VLOOKUP(J2589,辅助信息!H:I,2,FALSE)</f>
        <v>13990276572</v>
      </c>
      <c r="L2589" s="102" t="str">
        <f>VLOOKUP(B2589,辅助信息!E:J,6,FALSE)</f>
        <v>联系实际收货人（彭江涛13990276572）现场要求炉批号控制2个以下，超2个不给予签收。提前联系到场规格及数量</v>
      </c>
      <c r="M2589" s="84">
        <v>45874</v>
      </c>
      <c r="O2589" s="55">
        <f ca="1" t="shared" ref="O2589:O2652" si="161">IF(OR(M2589="",N2589&lt;&gt;""),"",MAX(M2589-TODAY(),0))</f>
        <v>0</v>
      </c>
      <c r="P2589" s="55">
        <f ca="1" t="shared" ref="P2589:P2652" si="162">IF(M2589="","",IF(N2589&lt;&gt;"",MAX(N2589-M2589,0),IF(TODAY()&gt;M2589,TODAY()-M2589,0)))</f>
        <v>83</v>
      </c>
      <c r="Q2589" s="22" t="str">
        <f>VLOOKUP(B2589,辅助信息!E:M,9,FALSE)</f>
        <v>ZTWM-CDGS-XS-2025-0126-四川机司-乐山市校地共建产教融合基地配套设施项目施工二标段钢筋采购合同</v>
      </c>
      <c r="R2589" s="22" t="str">
        <f>_xlfn._xlws.FILTER(辅助信息!D:D,辅助信息!E:E=B2589)</f>
        <v>乐山市校地共建产教融合基地建设项目二标段</v>
      </c>
    </row>
    <row r="2590" hidden="1" spans="2:18">
      <c r="B2590" s="33" t="s">
        <v>186</v>
      </c>
      <c r="C2590" s="63">
        <v>45873</v>
      </c>
      <c r="D2590" s="33" t="str">
        <f>VLOOKUP(B2590,辅助信息!E:K,7,FALSE)</f>
        <v>JWDDCD2025072900123</v>
      </c>
      <c r="E2590" s="33" t="str">
        <f>VLOOKUP(F2590,辅助信息!A:B,2,FALSE)</f>
        <v>螺纹钢</v>
      </c>
      <c r="F2590" s="33" t="s">
        <v>91</v>
      </c>
      <c r="G2590" s="29">
        <v>192</v>
      </c>
      <c r="H2590" s="127">
        <f>_xlfn.XLOOKUP(C2590&amp;F2590&amp;I2590&amp;J2590,'[1]2025年已发货'!$F:$F&amp;'[1]2025年已发货'!$C:$C&amp;'[1]2025年已发货'!$G:$G&amp;'[1]2025年已发货'!$H:$H,'[1]2025年已发货'!$E:$E,"未发货")</f>
        <v>35</v>
      </c>
      <c r="I2590" s="33" t="str">
        <f>VLOOKUP(B2590,辅助信息!E:I,3,FALSE)</f>
        <v>(乐山市校地共建产教融合基地建设项目二标段)四川省乐山市市中区苏稽镇</v>
      </c>
      <c r="J2590" s="33" t="str">
        <f>VLOOKUP(B2590,辅助信息!E:I,4,FALSE)</f>
        <v>彭江涛</v>
      </c>
      <c r="K2590" s="33">
        <f>VLOOKUP(J2590,辅助信息!H:I,2,FALSE)</f>
        <v>13990276572</v>
      </c>
      <c r="L2590" s="102" t="str">
        <f>VLOOKUP(B2590,辅助信息!E:J,6,FALSE)</f>
        <v>联系实际收货人（彭江涛13990276572）现场要求炉批号控制2个以下，超2个不给予签收。提前联系到场规格及数量</v>
      </c>
      <c r="M2590" s="84">
        <v>45874</v>
      </c>
      <c r="O2590" s="55">
        <f ca="1" t="shared" si="161"/>
        <v>0</v>
      </c>
      <c r="P2590" s="55">
        <f ca="1" t="shared" si="162"/>
        <v>83</v>
      </c>
      <c r="Q2590" s="22" t="str">
        <f>VLOOKUP(B2590,辅助信息!E:M,9,FALSE)</f>
        <v>ZTWM-CDGS-XS-2025-0126-四川机司-乐山市校地共建产教融合基地配套设施项目施工二标段钢筋采购合同</v>
      </c>
      <c r="R2590" s="22" t="str">
        <f>_xlfn._xlws.FILTER(辅助信息!D:D,辅助信息!E:E=B2590)</f>
        <v>乐山市校地共建产教融合基地建设项目二标段</v>
      </c>
    </row>
    <row r="2591" hidden="1" spans="2:18">
      <c r="B2591" s="33" t="s">
        <v>47</v>
      </c>
      <c r="C2591" s="63">
        <v>45873</v>
      </c>
      <c r="D2591" s="33" t="str">
        <f>VLOOKUP(B2591,辅助信息!E:K,7,FALSE)</f>
        <v>JWDDCD2025052800131</v>
      </c>
      <c r="E2591" s="33" t="str">
        <f>VLOOKUP(F2591,辅助信息!A:B,2,FALSE)</f>
        <v>盘螺</v>
      </c>
      <c r="F2591" s="33" t="s">
        <v>49</v>
      </c>
      <c r="G2591" s="29">
        <v>3</v>
      </c>
      <c r="H2591" s="127">
        <f>_xlfn.XLOOKUP(C2591&amp;F2591&amp;I2591&amp;J2591,'[1]2025年已发货'!$F:$F&amp;'[1]2025年已发货'!$C:$C&amp;'[1]2025年已发货'!$G:$G&amp;'[1]2025年已发货'!$H:$H,'[1]2025年已发货'!$E:$E,"未发货")</f>
        <v>3</v>
      </c>
      <c r="I2591" s="33" t="str">
        <f>VLOOKUP(B2591,辅助信息!E:I,3,FALSE)</f>
        <v>（商投建工达州中医药科技园-1工区）达州市通川区达州中医药职业学院犀牛大道北段</v>
      </c>
      <c r="J2591" s="33" t="str">
        <f>VLOOKUP(B2591,辅助信息!E:I,4,FALSE)</f>
        <v>程黄刚</v>
      </c>
      <c r="K2591" s="33">
        <f>VLOOKUP(J2591,辅助信息!H:I,2,FALSE)</f>
        <v>15108211617</v>
      </c>
      <c r="L2591" s="102" t="str">
        <f>VLOOKUP(B2591,辅助信息!E:J,6,FALSE)</f>
        <v>控制炉批号！多了现场不收！,优先安排达钢,提前联系到场规格及数量</v>
      </c>
      <c r="M2591" s="84">
        <v>45874</v>
      </c>
      <c r="O2591" s="55">
        <f ca="1" t="shared" si="161"/>
        <v>0</v>
      </c>
      <c r="P2591" s="55">
        <f ca="1" t="shared" si="162"/>
        <v>83</v>
      </c>
      <c r="Q2591" s="22" t="str">
        <f>VLOOKUP(B2591,辅助信息!E:M,9,FALSE)</f>
        <v>ZTWM-CDGS-XS-2024-0134-商投建工达州中医药科技成果示范园项目</v>
      </c>
      <c r="R2591" s="22" t="str">
        <f>_xlfn._xlws.FILTER(辅助信息!D:D,辅助信息!E:E=B2591)</f>
        <v>商投建工达州中医药科技园</v>
      </c>
    </row>
    <row r="2592" hidden="1" spans="2:18">
      <c r="B2592" s="33" t="s">
        <v>47</v>
      </c>
      <c r="C2592" s="63">
        <v>45873</v>
      </c>
      <c r="D2592" s="33" t="str">
        <f>VLOOKUP(B2592,辅助信息!E:K,7,FALSE)</f>
        <v>JWDDCD2025052800131</v>
      </c>
      <c r="E2592" s="33" t="str">
        <f>VLOOKUP(F2592,辅助信息!A:B,2,FALSE)</f>
        <v>盘螺</v>
      </c>
      <c r="F2592" s="33" t="s">
        <v>40</v>
      </c>
      <c r="G2592" s="29">
        <v>21</v>
      </c>
      <c r="H2592" s="127">
        <f>_xlfn.XLOOKUP(C2592&amp;F2592&amp;I2592&amp;J2592,'[1]2025年已发货'!$F:$F&amp;'[1]2025年已发货'!$C:$C&amp;'[1]2025年已发货'!$G:$G&amp;'[1]2025年已发货'!$H:$H,'[1]2025年已发货'!$E:$E,"未发货")</f>
        <v>21</v>
      </c>
      <c r="I2592" s="33" t="str">
        <f>VLOOKUP(B2592,辅助信息!E:I,3,FALSE)</f>
        <v>（商投建工达州中医药科技园-1工区）达州市通川区达州中医药职业学院犀牛大道北段</v>
      </c>
      <c r="J2592" s="33" t="str">
        <f>VLOOKUP(B2592,辅助信息!E:I,4,FALSE)</f>
        <v>程黄刚</v>
      </c>
      <c r="K2592" s="33">
        <f>VLOOKUP(J2592,辅助信息!H:I,2,FALSE)</f>
        <v>15108211617</v>
      </c>
      <c r="L2592" s="102" t="str">
        <f>VLOOKUP(B2592,辅助信息!E:J,6,FALSE)</f>
        <v>控制炉批号！多了现场不收！,优先安排达钢,提前联系到场规格及数量</v>
      </c>
      <c r="M2592" s="84">
        <v>45874</v>
      </c>
      <c r="O2592" s="55">
        <f ca="1" t="shared" si="161"/>
        <v>0</v>
      </c>
      <c r="P2592" s="55">
        <f ca="1" t="shared" si="162"/>
        <v>83</v>
      </c>
      <c r="Q2592" s="22" t="str">
        <f>VLOOKUP(B2592,辅助信息!E:M,9,FALSE)</f>
        <v>ZTWM-CDGS-XS-2024-0134-商投建工达州中医药科技成果示范园项目</v>
      </c>
      <c r="R2592" s="22" t="str">
        <f>_xlfn._xlws.FILTER(辅助信息!D:D,辅助信息!E:E=B2592)</f>
        <v>商投建工达州中医药科技园</v>
      </c>
    </row>
    <row r="2593" hidden="1" spans="2:18">
      <c r="B2593" s="33" t="s">
        <v>47</v>
      </c>
      <c r="C2593" s="63">
        <v>45873</v>
      </c>
      <c r="D2593" s="33" t="str">
        <f>VLOOKUP(B2593,辅助信息!E:K,7,FALSE)</f>
        <v>JWDDCD2025052800131</v>
      </c>
      <c r="E2593" s="33" t="str">
        <f>VLOOKUP(F2593,辅助信息!A:B,2,FALSE)</f>
        <v>盘螺</v>
      </c>
      <c r="F2593" s="33" t="s">
        <v>41</v>
      </c>
      <c r="G2593" s="29">
        <v>6</v>
      </c>
      <c r="H2593" s="127">
        <f>_xlfn.XLOOKUP(C2593&amp;F2593&amp;I2593&amp;J2593,'[1]2025年已发货'!$F:$F&amp;'[1]2025年已发货'!$C:$C&amp;'[1]2025年已发货'!$G:$G&amp;'[1]2025年已发货'!$H:$H,'[1]2025年已发货'!$E:$E,"未发货")</f>
        <v>6</v>
      </c>
      <c r="I2593" s="33" t="str">
        <f>VLOOKUP(B2593,辅助信息!E:I,3,FALSE)</f>
        <v>（商投建工达州中医药科技园-1工区）达州市通川区达州中医药职业学院犀牛大道北段</v>
      </c>
      <c r="J2593" s="33" t="str">
        <f>VLOOKUP(B2593,辅助信息!E:I,4,FALSE)</f>
        <v>程黄刚</v>
      </c>
      <c r="K2593" s="33">
        <f>VLOOKUP(J2593,辅助信息!H:I,2,FALSE)</f>
        <v>15108211617</v>
      </c>
      <c r="L2593" s="102" t="str">
        <f>VLOOKUP(B2593,辅助信息!E:J,6,FALSE)</f>
        <v>控制炉批号！多了现场不收！,优先安排达钢,提前联系到场规格及数量</v>
      </c>
      <c r="M2593" s="84">
        <v>45874</v>
      </c>
      <c r="O2593" s="55">
        <f ca="1" t="shared" si="161"/>
        <v>0</v>
      </c>
      <c r="P2593" s="55">
        <f ca="1" t="shared" si="162"/>
        <v>83</v>
      </c>
      <c r="Q2593" s="22" t="str">
        <f>VLOOKUP(B2593,辅助信息!E:M,9,FALSE)</f>
        <v>ZTWM-CDGS-XS-2024-0134-商投建工达州中医药科技成果示范园项目</v>
      </c>
      <c r="R2593" s="22" t="str">
        <f>_xlfn._xlws.FILTER(辅助信息!D:D,辅助信息!E:E=B2593)</f>
        <v>商投建工达州中医药科技园</v>
      </c>
    </row>
    <row r="2594" hidden="1" spans="2:18">
      <c r="B2594" s="33" t="s">
        <v>47</v>
      </c>
      <c r="C2594" s="63">
        <v>45873</v>
      </c>
      <c r="D2594" s="33" t="str">
        <f>VLOOKUP(B2594,辅助信息!E:K,7,FALSE)</f>
        <v>JWDDCD2025052800131</v>
      </c>
      <c r="E2594" s="33" t="str">
        <f>VLOOKUP(F2594,辅助信息!A:B,2,FALSE)</f>
        <v>螺纹钢</v>
      </c>
      <c r="F2594" s="33" t="s">
        <v>27</v>
      </c>
      <c r="G2594" s="29">
        <v>9</v>
      </c>
      <c r="H2594" s="127">
        <f>_xlfn.XLOOKUP(C2594&amp;F2594&amp;I2594&amp;J2594,'[1]2025年已发货'!$F:$F&amp;'[1]2025年已发货'!$C:$C&amp;'[1]2025年已发货'!$G:$G&amp;'[1]2025年已发货'!$H:$H,'[1]2025年已发货'!$E:$E,"未发货")</f>
        <v>9</v>
      </c>
      <c r="I2594" s="33" t="str">
        <f>VLOOKUP(B2594,辅助信息!E:I,3,FALSE)</f>
        <v>（商投建工达州中医药科技园-1工区）达州市通川区达州中医药职业学院犀牛大道北段</v>
      </c>
      <c r="J2594" s="33" t="str">
        <f>VLOOKUP(B2594,辅助信息!E:I,4,FALSE)</f>
        <v>程黄刚</v>
      </c>
      <c r="K2594" s="33">
        <f>VLOOKUP(J2594,辅助信息!H:I,2,FALSE)</f>
        <v>15108211617</v>
      </c>
      <c r="L2594" s="102" t="str">
        <f>VLOOKUP(B2594,辅助信息!E:J,6,FALSE)</f>
        <v>控制炉批号！多了现场不收！,优先安排达钢,提前联系到场规格及数量</v>
      </c>
      <c r="M2594" s="84">
        <v>45874</v>
      </c>
      <c r="O2594" s="55">
        <f ca="1" t="shared" si="161"/>
        <v>0</v>
      </c>
      <c r="P2594" s="55">
        <f ca="1" t="shared" si="162"/>
        <v>83</v>
      </c>
      <c r="Q2594" s="22" t="str">
        <f>VLOOKUP(B2594,辅助信息!E:M,9,FALSE)</f>
        <v>ZTWM-CDGS-XS-2024-0134-商投建工达州中医药科技成果示范园项目</v>
      </c>
      <c r="R2594" s="22" t="str">
        <f>_xlfn._xlws.FILTER(辅助信息!D:D,辅助信息!E:E=B2594)</f>
        <v>商投建工达州中医药科技园</v>
      </c>
    </row>
    <row r="2595" hidden="1" spans="2:18">
      <c r="B2595" s="33" t="s">
        <v>47</v>
      </c>
      <c r="C2595" s="63">
        <v>45873</v>
      </c>
      <c r="D2595" s="33" t="str">
        <f>VLOOKUP(B2595,辅助信息!E:K,7,FALSE)</f>
        <v>JWDDCD2025052800131</v>
      </c>
      <c r="E2595" s="33" t="str">
        <f>VLOOKUP(F2595,辅助信息!A:B,2,FALSE)</f>
        <v>螺纹钢</v>
      </c>
      <c r="F2595" s="33" t="s">
        <v>32</v>
      </c>
      <c r="G2595" s="29">
        <v>3</v>
      </c>
      <c r="H2595" s="127">
        <f>_xlfn.XLOOKUP(C2595&amp;F2595&amp;I2595&amp;J2595,'[1]2025年已发货'!$F:$F&amp;'[1]2025年已发货'!$C:$C&amp;'[1]2025年已发货'!$G:$G&amp;'[1]2025年已发货'!$H:$H,'[1]2025年已发货'!$E:$E,"未发货")</f>
        <v>3</v>
      </c>
      <c r="I2595" s="33" t="str">
        <f>VLOOKUP(B2595,辅助信息!E:I,3,FALSE)</f>
        <v>（商投建工达州中医药科技园-1工区）达州市通川区达州中医药职业学院犀牛大道北段</v>
      </c>
      <c r="J2595" s="33" t="str">
        <f>VLOOKUP(B2595,辅助信息!E:I,4,FALSE)</f>
        <v>程黄刚</v>
      </c>
      <c r="K2595" s="33">
        <f>VLOOKUP(J2595,辅助信息!H:I,2,FALSE)</f>
        <v>15108211617</v>
      </c>
      <c r="L2595" s="102" t="str">
        <f>VLOOKUP(B2595,辅助信息!E:J,6,FALSE)</f>
        <v>控制炉批号！多了现场不收！,优先安排达钢,提前联系到场规格及数量</v>
      </c>
      <c r="M2595" s="84">
        <v>45874</v>
      </c>
      <c r="O2595" s="55">
        <f ca="1" t="shared" si="161"/>
        <v>0</v>
      </c>
      <c r="P2595" s="55">
        <f ca="1" t="shared" si="162"/>
        <v>83</v>
      </c>
      <c r="Q2595" s="22" t="str">
        <f>VLOOKUP(B2595,辅助信息!E:M,9,FALSE)</f>
        <v>ZTWM-CDGS-XS-2024-0134-商投建工达州中医药科技成果示范园项目</v>
      </c>
      <c r="R2595" s="22" t="str">
        <f>_xlfn._xlws.FILTER(辅助信息!D:D,辅助信息!E:E=B2595)</f>
        <v>商投建工达州中医药科技园</v>
      </c>
    </row>
    <row r="2596" hidden="1" spans="2:18">
      <c r="B2596" s="33" t="s">
        <v>47</v>
      </c>
      <c r="C2596" s="63">
        <v>45873</v>
      </c>
      <c r="D2596" s="33" t="str">
        <f>VLOOKUP(B2596,辅助信息!E:K,7,FALSE)</f>
        <v>JWDDCD2025052800131</v>
      </c>
      <c r="E2596" s="33" t="str">
        <f>VLOOKUP(F2596,辅助信息!A:B,2,FALSE)</f>
        <v>螺纹钢</v>
      </c>
      <c r="F2596" s="33" t="s">
        <v>205</v>
      </c>
      <c r="G2596" s="29">
        <v>3</v>
      </c>
      <c r="H2596" s="127" t="str">
        <f>_xlfn.XLOOKUP(C2596&amp;F2596&amp;I2596&amp;J2596,'[1]2025年已发货'!$F:$F&amp;'[1]2025年已发货'!$C:$C&amp;'[1]2025年已发货'!$G:$G&amp;'[1]2025年已发货'!$H:$H,'[1]2025年已发货'!$E:$E,"未发货")</f>
        <v>未发货</v>
      </c>
      <c r="I2596" s="33" t="str">
        <f>VLOOKUP(B2596,辅助信息!E:I,3,FALSE)</f>
        <v>（商投建工达州中医药科技园-1工区）达州市通川区达州中医药职业学院犀牛大道北段</v>
      </c>
      <c r="J2596" s="33" t="str">
        <f>VLOOKUP(B2596,辅助信息!E:I,4,FALSE)</f>
        <v>程黄刚</v>
      </c>
      <c r="K2596" s="33">
        <f>VLOOKUP(J2596,辅助信息!H:I,2,FALSE)</f>
        <v>15108211617</v>
      </c>
      <c r="L2596" s="102" t="str">
        <f>VLOOKUP(B2596,辅助信息!E:J,6,FALSE)</f>
        <v>控制炉批号！多了现场不收！,优先安排达钢,提前联系到场规格及数量</v>
      </c>
      <c r="M2596" s="84">
        <v>45874</v>
      </c>
      <c r="O2596" s="55">
        <f ca="1" t="shared" si="161"/>
        <v>0</v>
      </c>
      <c r="P2596" s="55">
        <f ca="1" t="shared" si="162"/>
        <v>83</v>
      </c>
      <c r="Q2596" s="22" t="str">
        <f>VLOOKUP(B2596,辅助信息!E:M,9,FALSE)</f>
        <v>ZTWM-CDGS-XS-2024-0134-商投建工达州中医药科技成果示范园项目</v>
      </c>
      <c r="R2596" s="22" t="str">
        <f>_xlfn._xlws.FILTER(辅助信息!D:D,辅助信息!E:E=B2596)</f>
        <v>商投建工达州中医药科技园</v>
      </c>
    </row>
    <row r="2597" hidden="1" spans="2:18">
      <c r="B2597" s="33" t="s">
        <v>47</v>
      </c>
      <c r="C2597" s="63">
        <v>45873</v>
      </c>
      <c r="D2597" s="33" t="str">
        <f>VLOOKUP(B2597,辅助信息!E:K,7,FALSE)</f>
        <v>JWDDCD2025052800131</v>
      </c>
      <c r="E2597" s="33" t="str">
        <f>VLOOKUP(F2597,辅助信息!A:B,2,FALSE)</f>
        <v>螺纹钢</v>
      </c>
      <c r="F2597" s="33" t="s">
        <v>198</v>
      </c>
      <c r="G2597" s="29">
        <v>3</v>
      </c>
      <c r="H2597" s="127" t="str">
        <f>_xlfn.XLOOKUP(C2597&amp;F2597&amp;I2597&amp;J2597,'[1]2025年已发货'!$F:$F&amp;'[1]2025年已发货'!$C:$C&amp;'[1]2025年已发货'!$G:$G&amp;'[1]2025年已发货'!$H:$H,'[1]2025年已发货'!$E:$E,"未发货")</f>
        <v>未发货</v>
      </c>
      <c r="I2597" s="33" t="str">
        <f>VLOOKUP(B2597,辅助信息!E:I,3,FALSE)</f>
        <v>（商投建工达州中医药科技园-1工区）达州市通川区达州中医药职业学院犀牛大道北段</v>
      </c>
      <c r="J2597" s="33" t="str">
        <f>VLOOKUP(B2597,辅助信息!E:I,4,FALSE)</f>
        <v>程黄刚</v>
      </c>
      <c r="K2597" s="33">
        <f>VLOOKUP(J2597,辅助信息!H:I,2,FALSE)</f>
        <v>15108211617</v>
      </c>
      <c r="L2597" s="102" t="str">
        <f>VLOOKUP(B2597,辅助信息!E:J,6,FALSE)</f>
        <v>控制炉批号！多了现场不收！,优先安排达钢,提前联系到场规格及数量</v>
      </c>
      <c r="M2597" s="84">
        <v>45874</v>
      </c>
      <c r="O2597" s="55">
        <f ca="1" t="shared" si="161"/>
        <v>0</v>
      </c>
      <c r="P2597" s="55">
        <f ca="1" t="shared" si="162"/>
        <v>83</v>
      </c>
      <c r="Q2597" s="22" t="str">
        <f>VLOOKUP(B2597,辅助信息!E:M,9,FALSE)</f>
        <v>ZTWM-CDGS-XS-2024-0134-商投建工达州中医药科技成果示范园项目</v>
      </c>
      <c r="R2597" s="22" t="str">
        <f>_xlfn._xlws.FILTER(辅助信息!D:D,辅助信息!E:E=B2597)</f>
        <v>商投建工达州中医药科技园</v>
      </c>
    </row>
    <row r="2598" hidden="1" spans="2:18">
      <c r="B2598" s="33" t="s">
        <v>47</v>
      </c>
      <c r="C2598" s="63">
        <v>45873</v>
      </c>
      <c r="D2598" s="33" t="str">
        <f>VLOOKUP(B2598,辅助信息!E:K,7,FALSE)</f>
        <v>JWDDCD2025052800131</v>
      </c>
      <c r="E2598" s="33" t="str">
        <f>VLOOKUP(F2598,辅助信息!A:B,2,FALSE)</f>
        <v>螺纹钢</v>
      </c>
      <c r="F2598" s="33" t="s">
        <v>199</v>
      </c>
      <c r="G2598" s="29">
        <v>3</v>
      </c>
      <c r="H2598" s="127" t="str">
        <f>_xlfn.XLOOKUP(C2598&amp;F2598&amp;I2598&amp;J2598,'[1]2025年已发货'!$F:$F&amp;'[1]2025年已发货'!$C:$C&amp;'[1]2025年已发货'!$G:$G&amp;'[1]2025年已发货'!$H:$H,'[1]2025年已发货'!$E:$E,"未发货")</f>
        <v>未发货</v>
      </c>
      <c r="I2598" s="33" t="str">
        <f>VLOOKUP(B2598,辅助信息!E:I,3,FALSE)</f>
        <v>（商投建工达州中医药科技园-1工区）达州市通川区达州中医药职业学院犀牛大道北段</v>
      </c>
      <c r="J2598" s="33" t="str">
        <f>VLOOKUP(B2598,辅助信息!E:I,4,FALSE)</f>
        <v>程黄刚</v>
      </c>
      <c r="K2598" s="33">
        <f>VLOOKUP(J2598,辅助信息!H:I,2,FALSE)</f>
        <v>15108211617</v>
      </c>
      <c r="L2598" s="102" t="str">
        <f>VLOOKUP(B2598,辅助信息!E:J,6,FALSE)</f>
        <v>控制炉批号！多了现场不收！,优先安排达钢,提前联系到场规格及数量</v>
      </c>
      <c r="M2598" s="84">
        <v>45874</v>
      </c>
      <c r="O2598" s="55">
        <f ca="1" t="shared" si="161"/>
        <v>0</v>
      </c>
      <c r="P2598" s="55">
        <f ca="1" t="shared" si="162"/>
        <v>83</v>
      </c>
      <c r="Q2598" s="22" t="str">
        <f>VLOOKUP(B2598,辅助信息!E:M,9,FALSE)</f>
        <v>ZTWM-CDGS-XS-2024-0134-商投建工达州中医药科技成果示范园项目</v>
      </c>
      <c r="R2598" s="22" t="str">
        <f>_xlfn._xlws.FILTER(辅助信息!D:D,辅助信息!E:E=B2598)</f>
        <v>商投建工达州中医药科技园</v>
      </c>
    </row>
    <row r="2599" hidden="1" spans="2:18">
      <c r="B2599" s="33" t="s">
        <v>169</v>
      </c>
      <c r="C2599" s="63">
        <v>45873</v>
      </c>
      <c r="D2599" s="33" t="str">
        <f>VLOOKUP(B2599,辅助信息!E:K,7,FALSE)</f>
        <v>JWDDCD2025051800044</v>
      </c>
      <c r="E2599" s="33" t="str">
        <f>VLOOKUP(F2599,辅助信息!A:B,2,FALSE)</f>
        <v>螺纹钢</v>
      </c>
      <c r="F2599" s="33" t="s">
        <v>28</v>
      </c>
      <c r="G2599" s="29">
        <v>35</v>
      </c>
      <c r="H2599" s="127" t="str">
        <f>_xlfn.XLOOKUP(C2599&amp;F2599&amp;I2599&amp;J2599,'[1]2025年已发货'!$F:$F&amp;'[1]2025年已发货'!$C:$C&amp;'[1]2025年已发货'!$G:$G&amp;'[1]2025年已发货'!$H:$H,'[1]2025年已发货'!$E:$E,"未发货")</f>
        <v>未发货</v>
      </c>
      <c r="I2599" s="33" t="str">
        <f>VLOOKUP(B2599,辅助信息!E:I,3,FALSE)</f>
        <v>(五冶建设龙泉芙蓉花语项目-1,3地块)龙泉驿区北川路双堰塘钓鱼东100米(北川路)</v>
      </c>
      <c r="J2599" s="33" t="str">
        <f>VLOOKUP(B2599,辅助信息!E:I,4,FALSE)</f>
        <v>祝斯阳</v>
      </c>
      <c r="K2599" s="33">
        <f>VLOOKUP(J2599,辅助信息!H:I,2,FALSE)</f>
        <v>15583590797</v>
      </c>
      <c r="L2599" s="102"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84">
        <v>45874</v>
      </c>
      <c r="O2599" s="55">
        <f ca="1" t="shared" si="161"/>
        <v>0</v>
      </c>
      <c r="P2599" s="55">
        <f ca="1" t="shared" si="162"/>
        <v>83</v>
      </c>
      <c r="Q2599" s="22" t="str">
        <f>VLOOKUP(B2599,辅助信息!E:M,9,FALSE)</f>
        <v>ZTWM-CDGS-XS-2025-0073-五冶天府-成都怡心湖片区及龙泉驿医院等项目</v>
      </c>
      <c r="R2599" s="22" t="str">
        <f>_xlfn._xlws.FILTER(辅助信息!D:D,辅助信息!E:E=B2599)</f>
        <v>五冶建设龙泉芙蓉花语项目</v>
      </c>
    </row>
    <row r="2600" hidden="1" spans="2:18">
      <c r="B2600" s="33" t="s">
        <v>31</v>
      </c>
      <c r="C2600" s="63">
        <v>45873</v>
      </c>
      <c r="D2600" s="33" t="str">
        <f>VLOOKUP(B2600,辅助信息!E:K,7,FALSE)</f>
        <v>JWDDCD2024121000136</v>
      </c>
      <c r="E2600" s="33" t="str">
        <f>VLOOKUP(F2600,辅助信息!A:B,2,FALSE)</f>
        <v>盘螺</v>
      </c>
      <c r="F2600" s="33" t="s">
        <v>49</v>
      </c>
      <c r="G2600" s="29">
        <v>32.5</v>
      </c>
      <c r="H2600" s="127">
        <f>_xlfn.XLOOKUP(C2600&amp;F2600&amp;I2600&amp;J2600,'[1]2025年已发货'!$F:$F&amp;'[1]2025年已发货'!$C:$C&amp;'[1]2025年已发货'!$G:$G&amp;'[1]2025年已发货'!$H:$H,'[1]2025年已发货'!$E:$E,"未发货")</f>
        <v>32.5</v>
      </c>
      <c r="I2600" s="33" t="str">
        <f>VLOOKUP(B2600,辅助信息!E:I,3,FALSE)</f>
        <v>（四川商建-射洪城乡一体化项目）遂宁市射洪市忠新幼儿园北侧约220米新溪小区</v>
      </c>
      <c r="J2600" s="33" t="str">
        <f>VLOOKUP(B2600,辅助信息!E:I,4,FALSE)</f>
        <v>柏子刚</v>
      </c>
      <c r="K2600" s="33">
        <f>VLOOKUP(J2600,辅助信息!H:I,2,FALSE)</f>
        <v>15692885305</v>
      </c>
      <c r="L2600" s="102" t="str">
        <f>VLOOKUP(B2600,辅助信息!E:J,6,FALSE)</f>
        <v>提前联系到场规格及数量</v>
      </c>
      <c r="M2600" s="84">
        <v>45874</v>
      </c>
      <c r="O2600" s="55">
        <f ca="1" t="shared" si="161"/>
        <v>0</v>
      </c>
      <c r="P2600" s="55">
        <f ca="1" t="shared" si="162"/>
        <v>83</v>
      </c>
      <c r="Q2600" s="22" t="str">
        <f>VLOOKUP(B2600,辅助信息!E:M,9,FALSE)</f>
        <v>ZTWM-CDGS-XS-2024-0179-四川商投-射洪城乡一体化建设项目</v>
      </c>
      <c r="R2600" s="22" t="str">
        <f>_xlfn._xlws.FILTER(辅助信息!D:D,辅助信息!E:E=B2600)</f>
        <v>四川商建
射洪城乡一体化项目</v>
      </c>
    </row>
    <row r="2601" hidden="1" spans="2:18">
      <c r="B2601" s="33" t="s">
        <v>31</v>
      </c>
      <c r="C2601" s="63">
        <v>45873</v>
      </c>
      <c r="D2601" s="33" t="str">
        <f>VLOOKUP(B2601,辅助信息!E:K,7,FALSE)</f>
        <v>JWDDCD2024121000136</v>
      </c>
      <c r="E2601" s="33" t="str">
        <f>VLOOKUP(F2601,辅助信息!A:B,2,FALSE)</f>
        <v>螺纹钢</v>
      </c>
      <c r="F2601" s="33" t="s">
        <v>18</v>
      </c>
      <c r="G2601" s="29">
        <v>2.5</v>
      </c>
      <c r="H2601" s="127">
        <f>_xlfn.XLOOKUP(C2601&amp;F2601&amp;I2601&amp;J2601,'[1]2025年已发货'!$F:$F&amp;'[1]2025年已发货'!$C:$C&amp;'[1]2025年已发货'!$G:$G&amp;'[1]2025年已发货'!$H:$H,'[1]2025年已发货'!$E:$E,"未发货")</f>
        <v>2.5</v>
      </c>
      <c r="I2601" s="33" t="str">
        <f>VLOOKUP(B2601,辅助信息!E:I,3,FALSE)</f>
        <v>（四川商建-射洪城乡一体化项目）遂宁市射洪市忠新幼儿园北侧约220米新溪小区</v>
      </c>
      <c r="J2601" s="33" t="str">
        <f>VLOOKUP(B2601,辅助信息!E:I,4,FALSE)</f>
        <v>柏子刚</v>
      </c>
      <c r="K2601" s="33">
        <f>VLOOKUP(J2601,辅助信息!H:I,2,FALSE)</f>
        <v>15692885305</v>
      </c>
      <c r="L2601" s="102" t="str">
        <f>VLOOKUP(B2601,辅助信息!E:J,6,FALSE)</f>
        <v>提前联系到场规格及数量</v>
      </c>
      <c r="M2601" s="84">
        <v>45874</v>
      </c>
      <c r="O2601" s="55">
        <f ca="1" t="shared" si="161"/>
        <v>0</v>
      </c>
      <c r="P2601" s="55">
        <f ca="1" t="shared" si="162"/>
        <v>83</v>
      </c>
      <c r="Q2601" s="22" t="str">
        <f>VLOOKUP(B2601,辅助信息!E:M,9,FALSE)</f>
        <v>ZTWM-CDGS-XS-2024-0179-四川商投-射洪城乡一体化建设项目</v>
      </c>
      <c r="R2601" s="22" t="str">
        <f>_xlfn._xlws.FILTER(辅助信息!D:D,辅助信息!E:E=B2601)</f>
        <v>四川商建
射洪城乡一体化项目</v>
      </c>
    </row>
    <row r="2602" hidden="1" spans="2:18">
      <c r="B2602" s="33" t="s">
        <v>147</v>
      </c>
      <c r="C2602" s="63">
        <v>45873</v>
      </c>
      <c r="D2602" s="33" t="str">
        <f>VLOOKUP(B2602,辅助信息!E:K,7,FALSE)</f>
        <v>JWDDCD2025052800131</v>
      </c>
      <c r="E2602" s="33" t="str">
        <f>VLOOKUP(F2602,辅助信息!A:B,2,FALSE)</f>
        <v>盘螺</v>
      </c>
      <c r="F2602" s="33" t="s">
        <v>49</v>
      </c>
      <c r="G2602" s="29">
        <v>5</v>
      </c>
      <c r="H2602" s="127">
        <f>_xlfn.XLOOKUP(C2602&amp;F2602&amp;I2602&amp;J2602,'[1]2025年已发货'!$F:$F&amp;'[1]2025年已发货'!$C:$C&amp;'[1]2025年已发货'!$G:$G&amp;'[1]2025年已发货'!$H:$H,'[1]2025年已发货'!$E:$E,"未发货")</f>
        <v>5</v>
      </c>
      <c r="I2602" s="33" t="str">
        <f>VLOOKUP(B2602,辅助信息!E:I,3,FALSE)</f>
        <v>（商投建工达州中医药科技园-4工区-11号楼）达州市通川区达州中医药职业学院犀牛大道北段</v>
      </c>
      <c r="J2602" s="33" t="str">
        <f>VLOOKUP(B2602,辅助信息!E:I,4,FALSE)</f>
        <v>张扬</v>
      </c>
      <c r="K2602" s="33">
        <f>VLOOKUP(J2602,辅助信息!H:I,2,FALSE)</f>
        <v>18381904567</v>
      </c>
      <c r="L2602" s="102" t="str">
        <f>VLOOKUP(B2602,辅助信息!E:J,6,FALSE)</f>
        <v>控制炉批号！多了现场不收！,优先安排达钢,提前联系到场规格及数量</v>
      </c>
      <c r="M2602" s="84">
        <v>45874</v>
      </c>
      <c r="O2602" s="55">
        <f ca="1" t="shared" si="161"/>
        <v>0</v>
      </c>
      <c r="P2602" s="55">
        <f ca="1" t="shared" si="162"/>
        <v>83</v>
      </c>
      <c r="Q2602" s="22" t="str">
        <f>VLOOKUP(B2602,辅助信息!E:M,9,FALSE)</f>
        <v>ZTWM-CDGS-XS-2024-0134-商投建工达州中医药科技成果示范园项目</v>
      </c>
      <c r="R2602" s="22" t="str">
        <f>_xlfn._xlws.FILTER(辅助信息!D:D,辅助信息!E:E=B2602)</f>
        <v>商投建工达州中医药科技园</v>
      </c>
    </row>
    <row r="2603" hidden="1" spans="2:18">
      <c r="B2603" s="33" t="s">
        <v>147</v>
      </c>
      <c r="C2603" s="63">
        <v>45873</v>
      </c>
      <c r="D2603" s="33" t="str">
        <f>VLOOKUP(B2603,辅助信息!E:K,7,FALSE)</f>
        <v>JWDDCD2025052800131</v>
      </c>
      <c r="E2603" s="33" t="str">
        <f>VLOOKUP(F2603,辅助信息!A:B,2,FALSE)</f>
        <v>盘螺</v>
      </c>
      <c r="F2603" s="33" t="s">
        <v>40</v>
      </c>
      <c r="G2603" s="29">
        <v>9</v>
      </c>
      <c r="H2603" s="127">
        <f>_xlfn.XLOOKUP(C2603&amp;F2603&amp;I2603&amp;J2603,'[1]2025年已发货'!$F:$F&amp;'[1]2025年已发货'!$C:$C&amp;'[1]2025年已发货'!$G:$G&amp;'[1]2025年已发货'!$H:$H,'[1]2025年已发货'!$E:$E,"未发货")</f>
        <v>9</v>
      </c>
      <c r="I2603" s="33" t="str">
        <f>VLOOKUP(B2603,辅助信息!E:I,3,FALSE)</f>
        <v>（商投建工达州中医药科技园-4工区-11号楼）达州市通川区达州中医药职业学院犀牛大道北段</v>
      </c>
      <c r="J2603" s="33" t="str">
        <f>VLOOKUP(B2603,辅助信息!E:I,4,FALSE)</f>
        <v>张扬</v>
      </c>
      <c r="K2603" s="33">
        <f>VLOOKUP(J2603,辅助信息!H:I,2,FALSE)</f>
        <v>18381904567</v>
      </c>
      <c r="L2603" s="102" t="str">
        <f>VLOOKUP(B2603,辅助信息!E:J,6,FALSE)</f>
        <v>控制炉批号！多了现场不收！,优先安排达钢,提前联系到场规格及数量</v>
      </c>
      <c r="M2603" s="84">
        <v>45874</v>
      </c>
      <c r="O2603" s="55">
        <f ca="1" t="shared" si="161"/>
        <v>0</v>
      </c>
      <c r="P2603" s="55">
        <f ca="1" t="shared" si="162"/>
        <v>83</v>
      </c>
      <c r="Q2603" s="22" t="str">
        <f>VLOOKUP(B2603,辅助信息!E:M,9,FALSE)</f>
        <v>ZTWM-CDGS-XS-2024-0134-商投建工达州中医药科技成果示范园项目</v>
      </c>
      <c r="R2603" s="22" t="str">
        <f>_xlfn._xlws.FILTER(辅助信息!D:D,辅助信息!E:E=B2603)</f>
        <v>商投建工达州中医药科技园</v>
      </c>
    </row>
    <row r="2604" hidden="1" spans="2:18">
      <c r="B2604" s="33" t="s">
        <v>147</v>
      </c>
      <c r="C2604" s="63">
        <v>45873</v>
      </c>
      <c r="D2604" s="33" t="str">
        <f>VLOOKUP(B2604,辅助信息!E:K,7,FALSE)</f>
        <v>JWDDCD2025052800131</v>
      </c>
      <c r="E2604" s="33" t="str">
        <f>VLOOKUP(F2604,辅助信息!A:B,2,FALSE)</f>
        <v>盘螺</v>
      </c>
      <c r="F2604" s="33" t="s">
        <v>41</v>
      </c>
      <c r="G2604" s="29">
        <f>6*2.5</f>
        <v>15</v>
      </c>
      <c r="H2604" s="127">
        <f>_xlfn.XLOOKUP(C2604&amp;F2604&amp;I2604&amp;J2604,'[1]2025年已发货'!$F:$F&amp;'[1]2025年已发货'!$C:$C&amp;'[1]2025年已发货'!$G:$G&amp;'[1]2025年已发货'!$H:$H,'[1]2025年已发货'!$E:$E,"未发货")</f>
        <v>15</v>
      </c>
      <c r="I2604" s="33" t="str">
        <f>VLOOKUP(B2604,辅助信息!E:I,3,FALSE)</f>
        <v>（商投建工达州中医药科技园-4工区-11号楼）达州市通川区达州中医药职业学院犀牛大道北段</v>
      </c>
      <c r="J2604" s="33" t="str">
        <f>VLOOKUP(B2604,辅助信息!E:I,4,FALSE)</f>
        <v>张扬</v>
      </c>
      <c r="K2604" s="33">
        <f>VLOOKUP(J2604,辅助信息!H:I,2,FALSE)</f>
        <v>18381904567</v>
      </c>
      <c r="L2604" s="102" t="str">
        <f>VLOOKUP(B2604,辅助信息!E:J,6,FALSE)</f>
        <v>控制炉批号！多了现场不收！,优先安排达钢,提前联系到场规格及数量</v>
      </c>
      <c r="M2604" s="84">
        <v>45874</v>
      </c>
      <c r="O2604" s="55">
        <f ca="1" t="shared" si="161"/>
        <v>0</v>
      </c>
      <c r="P2604" s="55">
        <f ca="1" t="shared" si="162"/>
        <v>83</v>
      </c>
      <c r="Q2604" s="22" t="str">
        <f>VLOOKUP(B2604,辅助信息!E:M,9,FALSE)</f>
        <v>ZTWM-CDGS-XS-2024-0134-商投建工达州中医药科技成果示范园项目</v>
      </c>
      <c r="R2604" s="22" t="str">
        <f>_xlfn._xlws.FILTER(辅助信息!D:D,辅助信息!E:E=B2604)</f>
        <v>商投建工达州中医药科技园</v>
      </c>
    </row>
    <row r="2605" hidden="1" spans="1:18">
      <c r="A2605" s="50" t="s">
        <v>207</v>
      </c>
      <c r="B2605" s="33" t="s">
        <v>147</v>
      </c>
      <c r="C2605" s="63">
        <v>45873</v>
      </c>
      <c r="D2605" s="33" t="str">
        <f>VLOOKUP(B2605,辅助信息!E:K,7,FALSE)</f>
        <v>JWDDCD2025052800131</v>
      </c>
      <c r="E2605" s="33" t="str">
        <f>VLOOKUP(F2605,辅助信息!A:B,2,FALSE)</f>
        <v>螺纹钢</v>
      </c>
      <c r="F2605" s="33" t="s">
        <v>28</v>
      </c>
      <c r="G2605" s="29">
        <v>6</v>
      </c>
      <c r="H2605" s="127">
        <f>_xlfn.XLOOKUP(C2605&amp;F2605&amp;I2605&amp;J2605,'[1]2025年已发货'!$F:$F&amp;'[1]2025年已发货'!$C:$C&amp;'[1]2025年已发货'!$G:$G&amp;'[1]2025年已发货'!$H:$H,'[1]2025年已发货'!$E:$E,"未发货")</f>
        <v>6</v>
      </c>
      <c r="I2605" s="33" t="str">
        <f>VLOOKUP(B2605,辅助信息!E:I,3,FALSE)</f>
        <v>（商投建工达州中医药科技园-4工区-11号楼）达州市通川区达州中医药职业学院犀牛大道北段</v>
      </c>
      <c r="J2605" s="33" t="str">
        <f>VLOOKUP(B2605,辅助信息!E:I,4,FALSE)</f>
        <v>张扬</v>
      </c>
      <c r="K2605" s="33">
        <f>VLOOKUP(J2605,辅助信息!H:I,2,FALSE)</f>
        <v>18381904567</v>
      </c>
      <c r="L2605" s="102" t="str">
        <f>VLOOKUP(B2605,辅助信息!E:J,6,FALSE)</f>
        <v>控制炉批号！多了现场不收！,优先安排达钢,提前联系到场规格及数量</v>
      </c>
      <c r="M2605" s="84">
        <v>45874</v>
      </c>
      <c r="O2605" s="55">
        <f ca="1" t="shared" si="161"/>
        <v>0</v>
      </c>
      <c r="P2605" s="55">
        <f ca="1" t="shared" si="162"/>
        <v>83</v>
      </c>
      <c r="Q2605" s="22" t="str">
        <f>VLOOKUP(B2605,辅助信息!E:M,9,FALSE)</f>
        <v>ZTWM-CDGS-XS-2024-0134-商投建工达州中医药科技成果示范园项目</v>
      </c>
      <c r="R2605" s="22" t="str">
        <f>_xlfn._xlws.FILTER(辅助信息!D:D,辅助信息!E:E=B2605)</f>
        <v>商投建工达州中医药科技园</v>
      </c>
    </row>
    <row r="2606" hidden="1" spans="2:18">
      <c r="B2606" s="33" t="s">
        <v>147</v>
      </c>
      <c r="C2606" s="63">
        <v>45874</v>
      </c>
      <c r="D2606" s="33" t="str">
        <f>VLOOKUP(B2606,辅助信息!E:K,7,FALSE)</f>
        <v>JWDDCD2025052800131</v>
      </c>
      <c r="E2606" s="33" t="str">
        <f>VLOOKUP(F2606,辅助信息!A:B,2,FALSE)</f>
        <v>螺纹钢</v>
      </c>
      <c r="F2606" s="33" t="s">
        <v>21</v>
      </c>
      <c r="G2606" s="29">
        <v>9</v>
      </c>
      <c r="H2606" s="127">
        <f>_xlfn.XLOOKUP(C2606&amp;F2606&amp;I2606&amp;J2606,'[1]2025年已发货'!$F:$F&amp;'[1]2025年已发货'!$C:$C&amp;'[1]2025年已发货'!$G:$G&amp;'[1]2025年已发货'!$H:$H,'[1]2025年已发货'!$E:$E,"未发货")</f>
        <v>7.5</v>
      </c>
      <c r="I2606" s="33" t="str">
        <f>VLOOKUP(B2606,辅助信息!E:I,3,FALSE)</f>
        <v>（商投建工达州中医药科技园-4工区-11号楼）达州市通川区达州中医药职业学院犀牛大道北段</v>
      </c>
      <c r="J2606" s="33" t="str">
        <f>VLOOKUP(B2606,辅助信息!E:I,4,FALSE)</f>
        <v>张扬</v>
      </c>
      <c r="K2606" s="33">
        <f>VLOOKUP(J2606,辅助信息!H:I,2,FALSE)</f>
        <v>18381904567</v>
      </c>
      <c r="L2606" s="102" t="str">
        <f>VLOOKUP(B2606,辅助信息!E:J,6,FALSE)</f>
        <v>控制炉批号！多了现场不收！,优先安排达钢,提前联系到场规格及数量</v>
      </c>
      <c r="O2606" s="55" t="str">
        <f ca="1" t="shared" si="161"/>
        <v/>
      </c>
      <c r="P2606" s="55" t="str">
        <f ca="1" t="shared" si="162"/>
        <v/>
      </c>
      <c r="Q2606" s="22" t="str">
        <f>VLOOKUP(B2606,辅助信息!E:M,9,FALSE)</f>
        <v>ZTWM-CDGS-XS-2024-0134-商投建工达州中医药科技成果示范园项目</v>
      </c>
      <c r="R2606" s="22" t="str">
        <f>_xlfn._xlws.FILTER(辅助信息!D:D,辅助信息!E:E=B2606)</f>
        <v>商投建工达州中医药科技园</v>
      </c>
    </row>
    <row r="2607" hidden="1" spans="2:18">
      <c r="B2607" s="33" t="s">
        <v>147</v>
      </c>
      <c r="C2607" s="63">
        <v>45874</v>
      </c>
      <c r="D2607" s="33" t="str">
        <f>VLOOKUP(B2607,辅助信息!E:K,7,FALSE)</f>
        <v>JWDDCD2025052800131</v>
      </c>
      <c r="E2607" s="33" t="str">
        <f>VLOOKUP(F2607,辅助信息!A:B,2,FALSE)</f>
        <v>螺纹钢</v>
      </c>
      <c r="F2607" s="33" t="s">
        <v>58</v>
      </c>
      <c r="G2607" s="29">
        <v>9</v>
      </c>
      <c r="H2607" s="127">
        <f>_xlfn.XLOOKUP(C2607&amp;F2607&amp;I2607&amp;J2607,'[1]2025年已发货'!$F:$F&amp;'[1]2025年已发货'!$C:$C&amp;'[1]2025年已发货'!$G:$G&amp;'[1]2025年已发货'!$H:$H,'[1]2025年已发货'!$E:$E,"未发货")</f>
        <v>7.5</v>
      </c>
      <c r="I2607" s="33" t="str">
        <f>VLOOKUP(B2607,辅助信息!E:I,3,FALSE)</f>
        <v>（商投建工达州中医药科技园-4工区-11号楼）达州市通川区达州中医药职业学院犀牛大道北段</v>
      </c>
      <c r="J2607" s="33" t="str">
        <f>VLOOKUP(B2607,辅助信息!E:I,4,FALSE)</f>
        <v>张扬</v>
      </c>
      <c r="K2607" s="33">
        <f>VLOOKUP(J2607,辅助信息!H:I,2,FALSE)</f>
        <v>18381904567</v>
      </c>
      <c r="L2607" s="102" t="str">
        <f>VLOOKUP(B2607,辅助信息!E:J,6,FALSE)</f>
        <v>控制炉批号！多了现场不收！,优先安排达钢,提前联系到场规格及数量</v>
      </c>
      <c r="O2607" s="55" t="str">
        <f ca="1" t="shared" si="161"/>
        <v/>
      </c>
      <c r="P2607" s="55" t="str">
        <f ca="1" t="shared" si="162"/>
        <v/>
      </c>
      <c r="Q2607" s="22" t="str">
        <f>VLOOKUP(B2607,辅助信息!E:M,9,FALSE)</f>
        <v>ZTWM-CDGS-XS-2024-0134-商投建工达州中医药科技成果示范园项目</v>
      </c>
      <c r="R2607" s="22" t="str">
        <f>_xlfn._xlws.FILTER(辅助信息!D:D,辅助信息!E:E=B2607)</f>
        <v>商投建工达州中医药科技园</v>
      </c>
    </row>
    <row r="2608" hidden="1" spans="2:18">
      <c r="B2608" s="33" t="s">
        <v>147</v>
      </c>
      <c r="C2608" s="63">
        <v>45874</v>
      </c>
      <c r="D2608" s="33" t="str">
        <f>VLOOKUP(B2608,辅助信息!E:K,7,FALSE)</f>
        <v>JWDDCD2025052800131</v>
      </c>
      <c r="E2608" s="33" t="str">
        <f>VLOOKUP(F2608,辅助信息!A:B,2,FALSE)</f>
        <v>螺纹钢</v>
      </c>
      <c r="F2608" s="33" t="s">
        <v>46</v>
      </c>
      <c r="G2608" s="29">
        <v>9</v>
      </c>
      <c r="H2608" s="127">
        <f>_xlfn.XLOOKUP(C2608&amp;F2608&amp;I2608&amp;J2608,'[1]2025年已发货'!$F:$F&amp;'[1]2025年已发货'!$C:$C&amp;'[1]2025年已发货'!$G:$G&amp;'[1]2025年已发货'!$H:$H,'[1]2025年已发货'!$E:$E,"未发货")</f>
        <v>7.5</v>
      </c>
      <c r="I2608" s="33" t="str">
        <f>VLOOKUP(B2608,辅助信息!E:I,3,FALSE)</f>
        <v>（商投建工达州中医药科技园-4工区-11号楼）达州市通川区达州中医药职业学院犀牛大道北段</v>
      </c>
      <c r="J2608" s="33" t="str">
        <f>VLOOKUP(B2608,辅助信息!E:I,4,FALSE)</f>
        <v>张扬</v>
      </c>
      <c r="K2608" s="33">
        <f>VLOOKUP(J2608,辅助信息!H:I,2,FALSE)</f>
        <v>18381904567</v>
      </c>
      <c r="L2608" s="102" t="str">
        <f>VLOOKUP(B2608,辅助信息!E:J,6,FALSE)</f>
        <v>控制炉批号！多了现场不收！,优先安排达钢,提前联系到场规格及数量</v>
      </c>
      <c r="O2608" s="55" t="str">
        <f ca="1" t="shared" si="161"/>
        <v/>
      </c>
      <c r="P2608" s="55" t="str">
        <f ca="1" t="shared" si="162"/>
        <v/>
      </c>
      <c r="Q2608" s="22" t="str">
        <f>VLOOKUP(B2608,辅助信息!E:M,9,FALSE)</f>
        <v>ZTWM-CDGS-XS-2024-0134-商投建工达州中医药科技成果示范园项目</v>
      </c>
      <c r="R2608" s="22" t="str">
        <f>_xlfn._xlws.FILTER(辅助信息!D:D,辅助信息!E:E=B2608)</f>
        <v>商投建工达州中医药科技园</v>
      </c>
    </row>
    <row r="2609" hidden="1" spans="2:18">
      <c r="B2609" s="33" t="s">
        <v>147</v>
      </c>
      <c r="C2609" s="63">
        <v>45874</v>
      </c>
      <c r="D2609" s="33" t="str">
        <f>VLOOKUP(B2609,辅助信息!E:K,7,FALSE)</f>
        <v>JWDDCD2025052800131</v>
      </c>
      <c r="E2609" s="33" t="str">
        <f>VLOOKUP(F2609,辅助信息!A:B,2,FALSE)</f>
        <v>螺纹钢</v>
      </c>
      <c r="F2609" s="33" t="s">
        <v>22</v>
      </c>
      <c r="G2609" s="29">
        <v>15</v>
      </c>
      <c r="H2609" s="127">
        <f>_xlfn.XLOOKUP(C2609&amp;F2609&amp;I2609&amp;J2609,'[1]2025年已发货'!$F:$F&amp;'[1]2025年已发货'!$C:$C&amp;'[1]2025年已发货'!$G:$G&amp;'[1]2025年已发货'!$H:$H,'[1]2025年已发货'!$E:$E,"未发货")</f>
        <v>12.5</v>
      </c>
      <c r="I2609" s="33" t="str">
        <f>VLOOKUP(B2609,辅助信息!E:I,3,FALSE)</f>
        <v>（商投建工达州中医药科技园-4工区-11号楼）达州市通川区达州中医药职业学院犀牛大道北段</v>
      </c>
      <c r="J2609" s="33" t="str">
        <f>VLOOKUP(B2609,辅助信息!E:I,4,FALSE)</f>
        <v>张扬</v>
      </c>
      <c r="K2609" s="33">
        <f>VLOOKUP(J2609,辅助信息!H:I,2,FALSE)</f>
        <v>18381904567</v>
      </c>
      <c r="L2609" s="102" t="str">
        <f>VLOOKUP(B2609,辅助信息!E:J,6,FALSE)</f>
        <v>控制炉批号！多了现场不收！,优先安排达钢,提前联系到场规格及数量</v>
      </c>
      <c r="O2609" s="55" t="str">
        <f ca="1" t="shared" si="161"/>
        <v/>
      </c>
      <c r="P2609" s="55" t="str">
        <f ca="1" t="shared" si="162"/>
        <v/>
      </c>
      <c r="Q2609" s="22" t="str">
        <f>VLOOKUP(B2609,辅助信息!E:M,9,FALSE)</f>
        <v>ZTWM-CDGS-XS-2024-0134-商投建工达州中医药科技成果示范园项目</v>
      </c>
      <c r="R2609" s="22" t="str">
        <f>_xlfn._xlws.FILTER(辅助信息!D:D,辅助信息!E:E=B2609)</f>
        <v>商投建工达州中医药科技园</v>
      </c>
    </row>
    <row r="2610" hidden="1" spans="2:18">
      <c r="B2610" s="113" t="s">
        <v>186</v>
      </c>
      <c r="C2610" s="63">
        <v>45875</v>
      </c>
      <c r="D2610" s="113" t="str">
        <f>VLOOKUP(B2610,辅助信息!E:K,7,FALSE)</f>
        <v>JWDDCD2025072900123</v>
      </c>
      <c r="E2610" s="113" t="str">
        <f>VLOOKUP(F2610,辅助信息!A:B,2,FALSE)</f>
        <v>螺纹钢</v>
      </c>
      <c r="F2610" s="113" t="s">
        <v>133</v>
      </c>
      <c r="G2610" s="114">
        <v>37</v>
      </c>
      <c r="H2610" s="127">
        <f>_xlfn.XLOOKUP(C2610&amp;F2610&amp;I2610&amp;J2610,'[1]2025年已发货'!$F:$F&amp;'[1]2025年已发货'!$C:$C&amp;'[1]2025年已发货'!$G:$G&amp;'[1]2025年已发货'!$H:$H,'[1]2025年已发货'!$E:$E,"未发货")</f>
        <v>35</v>
      </c>
      <c r="I2610" s="113" t="str">
        <f>VLOOKUP(B2610,辅助信息!E:I,3,FALSE)</f>
        <v>(乐山市校地共建产教融合基地建设项目二标段)四川省乐山市市中区苏稽镇</v>
      </c>
      <c r="J2610" s="113" t="str">
        <f>VLOOKUP(B2610,辅助信息!E:I,4,FALSE)</f>
        <v>彭江涛</v>
      </c>
      <c r="K2610" s="113">
        <f>VLOOKUP(J2610,辅助信息!H:I,2,FALSE)</f>
        <v>13990276572</v>
      </c>
      <c r="L2610" s="115" t="str">
        <f>VLOOKUP(B2610,辅助信息!E:J,6,FALSE)</f>
        <v>联系实际收货人（彭江涛13990276572）现场要求炉批号控制2个以下，超2个不给予签收。提前联系到场规格及数量</v>
      </c>
      <c r="M2610" s="84">
        <v>45875</v>
      </c>
      <c r="O2610" s="55">
        <f ca="1" t="shared" si="161"/>
        <v>0</v>
      </c>
      <c r="P2610" s="55">
        <f ca="1" t="shared" si="162"/>
        <v>82</v>
      </c>
      <c r="Q2610" s="22" t="str">
        <f>VLOOKUP(B2610,辅助信息!E:M,9,FALSE)</f>
        <v>ZTWM-CDGS-XS-2025-0126-四川机司-乐山市校地共建产教融合基地配套设施项目施工二标段钢筋采购合同</v>
      </c>
      <c r="R2610" s="22" t="str">
        <f>_xlfn._xlws.FILTER(辅助信息!D:D,辅助信息!E:E=B2610)</f>
        <v>乐山市校地共建产教融合基地建设项目二标段</v>
      </c>
    </row>
    <row r="2611" hidden="1" spans="2:18">
      <c r="B2611" s="113" t="s">
        <v>186</v>
      </c>
      <c r="C2611" s="63">
        <v>45875</v>
      </c>
      <c r="D2611" s="113" t="str">
        <f>VLOOKUP(B2611,辅助信息!E:K,7,FALSE)</f>
        <v>JWDDCD2025072900123</v>
      </c>
      <c r="E2611" s="113" t="str">
        <f>VLOOKUP(F2611,辅助信息!A:B,2,FALSE)</f>
        <v>螺纹钢</v>
      </c>
      <c r="F2611" s="113" t="s">
        <v>91</v>
      </c>
      <c r="G2611" s="114">
        <f>192-35</f>
        <v>157</v>
      </c>
      <c r="H2611" s="127">
        <f>_xlfn.XLOOKUP(C2611&amp;F2611&amp;I2611&amp;J2611,'[1]2025年已发货'!$F:$F&amp;'[1]2025年已发货'!$C:$C&amp;'[1]2025年已发货'!$G:$G&amp;'[1]2025年已发货'!$H:$H,'[1]2025年已发货'!$E:$E,"未发货")</f>
        <v>140</v>
      </c>
      <c r="I2611" s="113" t="str">
        <f>VLOOKUP(B2611,辅助信息!E:I,3,FALSE)</f>
        <v>(乐山市校地共建产教融合基地建设项目二标段)四川省乐山市市中区苏稽镇</v>
      </c>
      <c r="J2611" s="113" t="str">
        <f>VLOOKUP(B2611,辅助信息!E:I,4,FALSE)</f>
        <v>彭江涛</v>
      </c>
      <c r="K2611" s="113">
        <f>VLOOKUP(J2611,辅助信息!H:I,2,FALSE)</f>
        <v>13990276572</v>
      </c>
      <c r="L2611" s="115" t="str">
        <f>VLOOKUP(B2611,辅助信息!E:J,6,FALSE)</f>
        <v>联系实际收货人（彭江涛13990276572）现场要求炉批号控制2个以下，超2个不给予签收。提前联系到场规格及数量</v>
      </c>
      <c r="M2611" s="84">
        <v>45875</v>
      </c>
      <c r="O2611" s="55">
        <f ca="1" t="shared" si="161"/>
        <v>0</v>
      </c>
      <c r="P2611" s="55">
        <f ca="1" t="shared" si="162"/>
        <v>82</v>
      </c>
      <c r="Q2611" s="22" t="str">
        <f>VLOOKUP(B2611,辅助信息!E:M,9,FALSE)</f>
        <v>ZTWM-CDGS-XS-2025-0126-四川机司-乐山市校地共建产教融合基地配套设施项目施工二标段钢筋采购合同</v>
      </c>
      <c r="R2611" s="22" t="str">
        <f>_xlfn._xlws.FILTER(辅助信息!D:D,辅助信息!E:E=B2611)</f>
        <v>乐山市校地共建产教融合基地建设项目二标段</v>
      </c>
    </row>
    <row r="2612" hidden="1" spans="2:18">
      <c r="B2612" s="33" t="s">
        <v>194</v>
      </c>
      <c r="C2612" s="63">
        <v>45875</v>
      </c>
      <c r="D2612" s="33" t="str">
        <f>VLOOKUP(B2612,辅助信息!E:K,7,FALSE)</f>
        <v>JWDD2025071500089</v>
      </c>
      <c r="E2612" s="33" t="str">
        <f>VLOOKUP(F2612,辅助信息!A:B,2,FALSE)</f>
        <v>盘螺</v>
      </c>
      <c r="F2612" s="33" t="s">
        <v>40</v>
      </c>
      <c r="G2612" s="29">
        <v>10</v>
      </c>
      <c r="H2612" s="127" t="str">
        <f>_xlfn.XLOOKUP(C2612&amp;F2612&amp;I2612&amp;J2612,'[1]2025年已发货'!$F:$F&amp;'[1]2025年已发货'!$C:$C&amp;'[1]2025年已发货'!$G:$G&amp;'[1]2025年已发货'!$H:$H,'[1]2025年已发货'!$E:$E,"未发货")</f>
        <v>未发货</v>
      </c>
      <c r="I2612" s="33" t="str">
        <f>VLOOKUP(B2612,辅助信息!E:I,3,FALSE)</f>
        <v>(宜宾兴港三江新区长江工业园保障性租赁住房建设项目-土建)四川省宜宾市翠屏区永善路南段宜宾市三江新区长江工业园区</v>
      </c>
      <c r="J2612" s="33" t="str">
        <f>VLOOKUP(B2612,辅助信息!E:I,4,FALSE)</f>
        <v>赵元虎</v>
      </c>
      <c r="K2612" s="33">
        <f>VLOOKUP(J2612,辅助信息!H:I,2,FALSE)</f>
        <v>13684167136</v>
      </c>
      <c r="L2612" s="102" t="str">
        <f>VLOOKUP(B2612,辅助信息!E:J,6,FALSE)</f>
        <v>现场要求调度统一联系指定收货人，不单独发司机位置。锈货不收，装货前联系收货人核实到场规格,没提前告知进场规格现场不给予接收</v>
      </c>
      <c r="M2612" s="84">
        <v>45875</v>
      </c>
      <c r="O2612" s="55">
        <f ca="1" t="shared" si="161"/>
        <v>0</v>
      </c>
      <c r="P2612" s="55">
        <f ca="1" t="shared" si="162"/>
        <v>82</v>
      </c>
      <c r="Q2612" s="22" t="str">
        <f>VLOOKUP(B2612,辅助信息!E:M,9,FALSE)</f>
        <v>ZTWM-CDYXGS-XS-2025-0014-宜宾兴港建材-三江新区长江工业园片区保障性租赁住房建设项目</v>
      </c>
      <c r="R2612" s="22" t="str">
        <f>_xlfn._xlws.FILTER(辅助信息!D:D,辅助信息!E:E=B2612)</f>
        <v>宜宾兴港三江新区长江工业园建设项目</v>
      </c>
    </row>
    <row r="2613" hidden="1" spans="2:18">
      <c r="B2613" s="33" t="s">
        <v>194</v>
      </c>
      <c r="C2613" s="63">
        <v>45875</v>
      </c>
      <c r="D2613" s="33" t="str">
        <f>VLOOKUP(B2613,辅助信息!E:K,7,FALSE)</f>
        <v>JWDD2025071500089</v>
      </c>
      <c r="E2613" s="33" t="str">
        <f>VLOOKUP(F2613,辅助信息!A:B,2,FALSE)</f>
        <v>盘螺</v>
      </c>
      <c r="F2613" s="33" t="s">
        <v>41</v>
      </c>
      <c r="G2613" s="29">
        <v>15</v>
      </c>
      <c r="H2613" s="127" t="str">
        <f>_xlfn.XLOOKUP(C2613&amp;F2613&amp;I2613&amp;J2613,'[1]2025年已发货'!$F:$F&amp;'[1]2025年已发货'!$C:$C&amp;'[1]2025年已发货'!$G:$G&amp;'[1]2025年已发货'!$H:$H,'[1]2025年已发货'!$E:$E,"未发货")</f>
        <v>未发货</v>
      </c>
      <c r="I2613" s="33" t="str">
        <f>VLOOKUP(B2613,辅助信息!E:I,3,FALSE)</f>
        <v>(宜宾兴港三江新区长江工业园保障性租赁住房建设项目-土建)四川省宜宾市翠屏区永善路南段宜宾市三江新区长江工业园区</v>
      </c>
      <c r="J2613" s="33" t="str">
        <f>VLOOKUP(B2613,辅助信息!E:I,4,FALSE)</f>
        <v>赵元虎</v>
      </c>
      <c r="K2613" s="33">
        <f>VLOOKUP(J2613,辅助信息!H:I,2,FALSE)</f>
        <v>13684167136</v>
      </c>
      <c r="L2613" s="102" t="str">
        <f>VLOOKUP(B2613,辅助信息!E:J,6,FALSE)</f>
        <v>现场要求调度统一联系指定收货人，不单独发司机位置。锈货不收，装货前联系收货人核实到场规格,没提前告知进场规格现场不给予接收</v>
      </c>
      <c r="M2613" s="84">
        <v>45875</v>
      </c>
      <c r="O2613" s="55">
        <f ca="1" t="shared" si="161"/>
        <v>0</v>
      </c>
      <c r="P2613" s="55">
        <f ca="1" t="shared" si="162"/>
        <v>82</v>
      </c>
      <c r="Q2613" s="22" t="str">
        <f>VLOOKUP(B2613,辅助信息!E:M,9,FALSE)</f>
        <v>ZTWM-CDYXGS-XS-2025-0014-宜宾兴港建材-三江新区长江工业园片区保障性租赁住房建设项目</v>
      </c>
      <c r="R2613" s="22" t="str">
        <f>_xlfn._xlws.FILTER(辅助信息!D:D,辅助信息!E:E=B2613)</f>
        <v>宜宾兴港三江新区长江工业园建设项目</v>
      </c>
    </row>
    <row r="2614" hidden="1" spans="2:18">
      <c r="B2614" s="33" t="s">
        <v>194</v>
      </c>
      <c r="C2614" s="63">
        <v>45875</v>
      </c>
      <c r="D2614" s="33" t="str">
        <f>VLOOKUP(B2614,辅助信息!E:K,7,FALSE)</f>
        <v>JWDD2025071500089</v>
      </c>
      <c r="E2614" s="33" t="str">
        <f>VLOOKUP(F2614,辅助信息!A:B,2,FALSE)</f>
        <v>螺纹钢</v>
      </c>
      <c r="F2614" s="33" t="s">
        <v>19</v>
      </c>
      <c r="G2614" s="29">
        <v>70</v>
      </c>
      <c r="H2614" s="127">
        <v>70</v>
      </c>
      <c r="I2614" s="33" t="str">
        <f>VLOOKUP(B2614,辅助信息!E:I,3,FALSE)</f>
        <v>(宜宾兴港三江新区长江工业园保障性租赁住房建设项目-土建)四川省宜宾市翠屏区永善路南段宜宾市三江新区长江工业园区</v>
      </c>
      <c r="J2614" s="33" t="str">
        <f>VLOOKUP(B2614,辅助信息!E:I,4,FALSE)</f>
        <v>赵元虎</v>
      </c>
      <c r="K2614" s="33">
        <f>VLOOKUP(J2614,辅助信息!H:I,2,FALSE)</f>
        <v>13684167136</v>
      </c>
      <c r="L2614" s="102" t="str">
        <f>VLOOKUP(B2614,辅助信息!E:J,6,FALSE)</f>
        <v>现场要求调度统一联系指定收货人，不单独发司机位置。锈货不收，装货前联系收货人核实到场规格,没提前告知进场规格现场不给予接收</v>
      </c>
      <c r="M2614" s="84">
        <v>45875</v>
      </c>
      <c r="O2614" s="55">
        <f ca="1" t="shared" si="161"/>
        <v>0</v>
      </c>
      <c r="P2614" s="55">
        <f ca="1" t="shared" si="162"/>
        <v>82</v>
      </c>
      <c r="Q2614" s="22" t="str">
        <f>VLOOKUP(B2614,辅助信息!E:M,9,FALSE)</f>
        <v>ZTWM-CDYXGS-XS-2025-0014-宜宾兴港建材-三江新区长江工业园片区保障性租赁住房建设项目</v>
      </c>
      <c r="R2614" s="22" t="str">
        <f>_xlfn._xlws.FILTER(辅助信息!D:D,辅助信息!E:E=B2614)</f>
        <v>宜宾兴港三江新区长江工业园建设项目</v>
      </c>
    </row>
    <row r="2615" hidden="1" spans="2:18">
      <c r="B2615" s="33" t="s">
        <v>194</v>
      </c>
      <c r="C2615" s="63">
        <v>45875</v>
      </c>
      <c r="D2615" s="33" t="str">
        <f>VLOOKUP(B2615,辅助信息!E:K,7,FALSE)</f>
        <v>JWDD2025071500089</v>
      </c>
      <c r="E2615" s="33" t="str">
        <f>VLOOKUP(F2615,辅助信息!A:B,2,FALSE)</f>
        <v>螺纹钢</v>
      </c>
      <c r="F2615" s="33" t="s">
        <v>32</v>
      </c>
      <c r="G2615" s="29">
        <v>35</v>
      </c>
      <c r="H2615" s="127">
        <v>35</v>
      </c>
      <c r="I2615" s="33" t="str">
        <f>VLOOKUP(B2615,辅助信息!E:I,3,FALSE)</f>
        <v>(宜宾兴港三江新区长江工业园保障性租赁住房建设项目-土建)四川省宜宾市翠屏区永善路南段宜宾市三江新区长江工业园区</v>
      </c>
      <c r="J2615" s="33" t="str">
        <f>VLOOKUP(B2615,辅助信息!E:I,4,FALSE)</f>
        <v>赵元虎</v>
      </c>
      <c r="K2615" s="33">
        <f>VLOOKUP(J2615,辅助信息!H:I,2,FALSE)</f>
        <v>13684167136</v>
      </c>
      <c r="L2615" s="102" t="str">
        <f>VLOOKUP(B2615,辅助信息!E:J,6,FALSE)</f>
        <v>现场要求调度统一联系指定收货人，不单独发司机位置。锈货不收，装货前联系收货人核实到场规格,没提前告知进场规格现场不给予接收</v>
      </c>
      <c r="M2615" s="84">
        <v>45875</v>
      </c>
      <c r="O2615" s="55">
        <f ca="1" t="shared" si="161"/>
        <v>0</v>
      </c>
      <c r="P2615" s="55">
        <f ca="1" t="shared" si="162"/>
        <v>82</v>
      </c>
      <c r="Q2615" s="22" t="str">
        <f>VLOOKUP(B2615,辅助信息!E:M,9,FALSE)</f>
        <v>ZTWM-CDYXGS-XS-2025-0014-宜宾兴港建材-三江新区长江工业园片区保障性租赁住房建设项目</v>
      </c>
      <c r="R2615" s="22" t="str">
        <f>_xlfn._xlws.FILTER(辅助信息!D:D,辅助信息!E:E=B2615)</f>
        <v>宜宾兴港三江新区长江工业园建设项目</v>
      </c>
    </row>
    <row r="2616" hidden="1" spans="2:18">
      <c r="B2616" s="33" t="s">
        <v>194</v>
      </c>
      <c r="C2616" s="63">
        <v>45875</v>
      </c>
      <c r="D2616" s="33" t="str">
        <f>VLOOKUP(B2616,辅助信息!E:K,7,FALSE)</f>
        <v>JWDD2025071500089</v>
      </c>
      <c r="E2616" s="33" t="str">
        <f>VLOOKUP(F2616,辅助信息!A:B,2,FALSE)</f>
        <v>螺纹钢</v>
      </c>
      <c r="F2616" s="33" t="s">
        <v>30</v>
      </c>
      <c r="G2616" s="29">
        <v>20</v>
      </c>
      <c r="H2616" s="127">
        <v>20</v>
      </c>
      <c r="I2616" s="33" t="str">
        <f>VLOOKUP(B2616,辅助信息!E:I,3,FALSE)</f>
        <v>(宜宾兴港三江新区长江工业园保障性租赁住房建设项目-土建)四川省宜宾市翠屏区永善路南段宜宾市三江新区长江工业园区</v>
      </c>
      <c r="J2616" s="33" t="str">
        <f>VLOOKUP(B2616,辅助信息!E:I,4,FALSE)</f>
        <v>赵元虎</v>
      </c>
      <c r="K2616" s="33">
        <f>VLOOKUP(J2616,辅助信息!H:I,2,FALSE)</f>
        <v>13684167136</v>
      </c>
      <c r="L2616" s="102" t="str">
        <f>VLOOKUP(B2616,辅助信息!E:J,6,FALSE)</f>
        <v>现场要求调度统一联系指定收货人，不单独发司机位置。锈货不收，装货前联系收货人核实到场规格,没提前告知进场规格现场不给予接收</v>
      </c>
      <c r="M2616" s="84">
        <v>45875</v>
      </c>
      <c r="O2616" s="55">
        <f ca="1" t="shared" si="161"/>
        <v>0</v>
      </c>
      <c r="P2616" s="55">
        <f ca="1" t="shared" si="162"/>
        <v>82</v>
      </c>
      <c r="Q2616" s="22" t="str">
        <f>VLOOKUP(B2616,辅助信息!E:M,9,FALSE)</f>
        <v>ZTWM-CDYXGS-XS-2025-0014-宜宾兴港建材-三江新区长江工业园片区保障性租赁住房建设项目</v>
      </c>
      <c r="R2616" s="22" t="str">
        <f>_xlfn._xlws.FILTER(辅助信息!D:D,辅助信息!E:E=B2616)</f>
        <v>宜宾兴港三江新区长江工业园建设项目</v>
      </c>
    </row>
    <row r="2617" hidden="1" spans="2:18">
      <c r="B2617" s="33" t="s">
        <v>194</v>
      </c>
      <c r="C2617" s="63">
        <v>45875</v>
      </c>
      <c r="D2617" s="33" t="str">
        <f>VLOOKUP(B2617,辅助信息!E:K,7,FALSE)</f>
        <v>JWDD2025071500089</v>
      </c>
      <c r="E2617" s="33" t="str">
        <f>VLOOKUP(F2617,辅助信息!A:B,2,FALSE)</f>
        <v>螺纹钢</v>
      </c>
      <c r="F2617" s="33" t="s">
        <v>33</v>
      </c>
      <c r="G2617" s="29">
        <v>5</v>
      </c>
      <c r="H2617" s="127">
        <v>5</v>
      </c>
      <c r="I2617" s="33" t="str">
        <f>VLOOKUP(B2617,辅助信息!E:I,3,FALSE)</f>
        <v>(宜宾兴港三江新区长江工业园保障性租赁住房建设项目-土建)四川省宜宾市翠屏区永善路南段宜宾市三江新区长江工业园区</v>
      </c>
      <c r="J2617" s="33" t="str">
        <f>VLOOKUP(B2617,辅助信息!E:I,4,FALSE)</f>
        <v>赵元虎</v>
      </c>
      <c r="K2617" s="33">
        <f>VLOOKUP(J2617,辅助信息!H:I,2,FALSE)</f>
        <v>13684167136</v>
      </c>
      <c r="L2617" s="102" t="str">
        <f>VLOOKUP(B2617,辅助信息!E:J,6,FALSE)</f>
        <v>现场要求调度统一联系指定收货人，不单独发司机位置。锈货不收，装货前联系收货人核实到场规格,没提前告知进场规格现场不给予接收</v>
      </c>
      <c r="M2617" s="84">
        <v>45875</v>
      </c>
      <c r="O2617" s="55">
        <f ca="1" t="shared" si="161"/>
        <v>0</v>
      </c>
      <c r="P2617" s="55">
        <f ca="1" t="shared" si="162"/>
        <v>82</v>
      </c>
      <c r="Q2617" s="22" t="str">
        <f>VLOOKUP(B2617,辅助信息!E:M,9,FALSE)</f>
        <v>ZTWM-CDYXGS-XS-2025-0014-宜宾兴港建材-三江新区长江工业园片区保障性租赁住房建设项目</v>
      </c>
      <c r="R2617" s="22" t="str">
        <f>_xlfn._xlws.FILTER(辅助信息!D:D,辅助信息!E:E=B2617)</f>
        <v>宜宾兴港三江新区长江工业园建设项目</v>
      </c>
    </row>
    <row r="2618" hidden="1" spans="2:18">
      <c r="B2618" s="33" t="s">
        <v>194</v>
      </c>
      <c r="C2618" s="63">
        <v>45875</v>
      </c>
      <c r="D2618" s="33" t="str">
        <f>VLOOKUP(B2618,辅助信息!E:K,7,FALSE)</f>
        <v>JWDD2025071500089</v>
      </c>
      <c r="E2618" s="33" t="str">
        <f>VLOOKUP(F2618,辅助信息!A:B,2,FALSE)</f>
        <v>螺纹钢</v>
      </c>
      <c r="F2618" s="33" t="s">
        <v>28</v>
      </c>
      <c r="G2618" s="29">
        <v>20</v>
      </c>
      <c r="H2618" s="127">
        <v>20</v>
      </c>
      <c r="I2618" s="33" t="str">
        <f>VLOOKUP(B2618,辅助信息!E:I,3,FALSE)</f>
        <v>(宜宾兴港三江新区长江工业园保障性租赁住房建设项目-土建)四川省宜宾市翠屏区永善路南段宜宾市三江新区长江工业园区</v>
      </c>
      <c r="J2618" s="33" t="str">
        <f>VLOOKUP(B2618,辅助信息!E:I,4,FALSE)</f>
        <v>赵元虎</v>
      </c>
      <c r="K2618" s="33">
        <f>VLOOKUP(J2618,辅助信息!H:I,2,FALSE)</f>
        <v>13684167136</v>
      </c>
      <c r="L2618" s="102" t="str">
        <f>VLOOKUP(B2618,辅助信息!E:J,6,FALSE)</f>
        <v>现场要求调度统一联系指定收货人，不单独发司机位置。锈货不收，装货前联系收货人核实到场规格,没提前告知进场规格现场不给予接收</v>
      </c>
      <c r="M2618" s="84">
        <v>45875</v>
      </c>
      <c r="O2618" s="55">
        <f ca="1" t="shared" si="161"/>
        <v>0</v>
      </c>
      <c r="P2618" s="55">
        <f ca="1" t="shared" si="162"/>
        <v>82</v>
      </c>
      <c r="Q2618" s="22" t="str">
        <f>VLOOKUP(B2618,辅助信息!E:M,9,FALSE)</f>
        <v>ZTWM-CDYXGS-XS-2025-0014-宜宾兴港建材-三江新区长江工业园片区保障性租赁住房建设项目</v>
      </c>
      <c r="R2618" s="22" t="str">
        <f>_xlfn._xlws.FILTER(辅助信息!D:D,辅助信息!E:E=B2618)</f>
        <v>宜宾兴港三江新区长江工业园建设项目</v>
      </c>
    </row>
    <row r="2619" hidden="1" spans="2:18">
      <c r="B2619" s="33" t="s">
        <v>194</v>
      </c>
      <c r="C2619" s="63">
        <v>45875</v>
      </c>
      <c r="D2619" s="33" t="str">
        <f>VLOOKUP(B2619,辅助信息!E:K,7,FALSE)</f>
        <v>JWDD2025071500089</v>
      </c>
      <c r="E2619" s="33" t="str">
        <f>VLOOKUP(F2619,辅助信息!A:B,2,FALSE)</f>
        <v>螺纹钢</v>
      </c>
      <c r="F2619" s="33" t="s">
        <v>18</v>
      </c>
      <c r="G2619" s="29">
        <v>35</v>
      </c>
      <c r="H2619" s="127">
        <v>25</v>
      </c>
      <c r="I2619" s="33" t="str">
        <f>VLOOKUP(B2619,辅助信息!E:I,3,FALSE)</f>
        <v>(宜宾兴港三江新区长江工业园保障性租赁住房建设项目-土建)四川省宜宾市翠屏区永善路南段宜宾市三江新区长江工业园区</v>
      </c>
      <c r="J2619" s="33" t="str">
        <f>VLOOKUP(B2619,辅助信息!E:I,4,FALSE)</f>
        <v>赵元虎</v>
      </c>
      <c r="K2619" s="33">
        <f>VLOOKUP(J2619,辅助信息!H:I,2,FALSE)</f>
        <v>13684167136</v>
      </c>
      <c r="L2619" s="102" t="str">
        <f>VLOOKUP(B2619,辅助信息!E:J,6,FALSE)</f>
        <v>现场要求调度统一联系指定收货人，不单独发司机位置。锈货不收，装货前联系收货人核实到场规格,没提前告知进场规格现场不给予接收</v>
      </c>
      <c r="M2619" s="84">
        <v>45875</v>
      </c>
      <c r="O2619" s="55">
        <f ca="1" t="shared" si="161"/>
        <v>0</v>
      </c>
      <c r="P2619" s="55">
        <f ca="1" t="shared" si="162"/>
        <v>82</v>
      </c>
      <c r="Q2619" s="22" t="str">
        <f>VLOOKUP(B2619,辅助信息!E:M,9,FALSE)</f>
        <v>ZTWM-CDYXGS-XS-2025-0014-宜宾兴港建材-三江新区长江工业园片区保障性租赁住房建设项目</v>
      </c>
      <c r="R2619" s="22" t="str">
        <f>_xlfn._xlws.FILTER(辅助信息!D:D,辅助信息!E:E=B2619)</f>
        <v>宜宾兴港三江新区长江工业园建设项目</v>
      </c>
    </row>
    <row r="2620" hidden="1" spans="2:18">
      <c r="B2620" s="33" t="s">
        <v>81</v>
      </c>
      <c r="C2620" s="63">
        <v>45875</v>
      </c>
      <c r="D2620" s="33" t="str">
        <f>VLOOKUP(B2620,辅助信息!E:K,7,FALSE)</f>
        <v>JWDDCD2025060900080</v>
      </c>
      <c r="E2620" s="33" t="str">
        <f>VLOOKUP(F2620,辅助信息!A:B,2,FALSE)</f>
        <v>盘螺</v>
      </c>
      <c r="F2620" s="33" t="s">
        <v>49</v>
      </c>
      <c r="G2620" s="29">
        <v>2.5</v>
      </c>
      <c r="H2620" s="127">
        <f>_xlfn.XLOOKUP(C2620&amp;F2620&amp;I2620&amp;J2620,'[1]2025年已发货'!$F:$F&amp;'[1]2025年已发货'!$C:$C&amp;'[1]2025年已发货'!$G:$G&amp;'[1]2025年已发货'!$H:$H,'[1]2025年已发货'!$E:$E,"未发货")</f>
        <v>2.5</v>
      </c>
      <c r="I2620" s="33" t="str">
        <f>VLOOKUP(B2620,辅助信息!E:I,3,FALSE)</f>
        <v>（华西简阳西城嘉苑）四川省成都市简阳市简城街道高屋村</v>
      </c>
      <c r="J2620" s="33" t="str">
        <f>VLOOKUP(B2620,辅助信息!E:I,4,FALSE)</f>
        <v>张瀚镭</v>
      </c>
      <c r="K2620" s="33">
        <f>VLOOKUP(J2620,辅助信息!H:I,2,FALSE)</f>
        <v>15884666220</v>
      </c>
      <c r="L2620" s="102" t="str">
        <f>VLOOKUP(B2620,辅助信息!E:J,6,FALSE)</f>
        <v>现场禁止使用氢能源挂车！优先威钢发货,我方卸车,新老国标钢厂不加价可直发，因陕钢多次出现磅差，项目拒绝使用</v>
      </c>
      <c r="M2620" s="84">
        <v>45875</v>
      </c>
      <c r="O2620" s="55">
        <f ca="1" t="shared" si="161"/>
        <v>0</v>
      </c>
      <c r="P2620" s="55">
        <f ca="1" t="shared" si="162"/>
        <v>82</v>
      </c>
      <c r="Q2620" s="22" t="str">
        <f>VLOOKUP(B2620,辅助信息!E:M,9,FALSE)</f>
        <v>ZTWM-CDGS-XS-2024-0030-华西集采-简州大道</v>
      </c>
      <c r="R2620" s="22" t="str">
        <f>_xlfn._xlws.FILTER(辅助信息!D:D,辅助信息!E:E=B2620)</f>
        <v>华西简阳西城嘉苑</v>
      </c>
    </row>
    <row r="2621" hidden="1" spans="2:18">
      <c r="B2621" s="33" t="s">
        <v>81</v>
      </c>
      <c r="C2621" s="63">
        <v>45875</v>
      </c>
      <c r="D2621" s="33" t="str">
        <f>VLOOKUP(B2621,辅助信息!E:K,7,FALSE)</f>
        <v>JWDDCD2025060900080</v>
      </c>
      <c r="E2621" s="33" t="str">
        <f>VLOOKUP(F2621,辅助信息!A:B,2,FALSE)</f>
        <v>盘螺</v>
      </c>
      <c r="F2621" s="33" t="s">
        <v>40</v>
      </c>
      <c r="G2621" s="29">
        <v>49</v>
      </c>
      <c r="H2621" s="127">
        <f>_xlfn.XLOOKUP(C2621&amp;F2621&amp;I2621&amp;J2621,'[1]2025年已发货'!$F:$F&amp;'[1]2025年已发货'!$C:$C&amp;'[1]2025年已发货'!$G:$G&amp;'[1]2025年已发货'!$H:$H,'[1]2025年已发货'!$E:$E,"未发货")</f>
        <v>32</v>
      </c>
      <c r="I2621" s="33" t="str">
        <f>VLOOKUP(B2621,辅助信息!E:I,3,FALSE)</f>
        <v>（华西简阳西城嘉苑）四川省成都市简阳市简城街道高屋村</v>
      </c>
      <c r="J2621" s="33" t="str">
        <f>VLOOKUP(B2621,辅助信息!E:I,4,FALSE)</f>
        <v>张瀚镭</v>
      </c>
      <c r="K2621" s="33">
        <f>VLOOKUP(J2621,辅助信息!H:I,2,FALSE)</f>
        <v>15884666220</v>
      </c>
      <c r="L2621" s="102" t="str">
        <f>VLOOKUP(B2621,辅助信息!E:J,6,FALSE)</f>
        <v>现场禁止使用氢能源挂车！优先威钢发货,我方卸车,新老国标钢厂不加价可直发，因陕钢多次出现磅差，项目拒绝使用</v>
      </c>
      <c r="M2621" s="84">
        <v>45875</v>
      </c>
      <c r="O2621" s="55">
        <f ca="1" t="shared" si="161"/>
        <v>0</v>
      </c>
      <c r="P2621" s="55">
        <f ca="1" t="shared" si="162"/>
        <v>82</v>
      </c>
      <c r="Q2621" s="22" t="str">
        <f>VLOOKUP(B2621,辅助信息!E:M,9,FALSE)</f>
        <v>ZTWM-CDGS-XS-2024-0030-华西集采-简州大道</v>
      </c>
      <c r="R2621" s="22" t="str">
        <f>_xlfn._xlws.FILTER(辅助信息!D:D,辅助信息!E:E=B2621)</f>
        <v>华西简阳西城嘉苑</v>
      </c>
    </row>
    <row r="2622" hidden="1" spans="2:18">
      <c r="B2622" s="33" t="s">
        <v>81</v>
      </c>
      <c r="C2622" s="63">
        <v>45875</v>
      </c>
      <c r="D2622" s="33" t="str">
        <f>VLOOKUP(B2622,辅助信息!E:K,7,FALSE)</f>
        <v>JWDDCD2025060900080</v>
      </c>
      <c r="E2622" s="33" t="str">
        <f>VLOOKUP(F2622,辅助信息!A:B,2,FALSE)</f>
        <v>盘螺</v>
      </c>
      <c r="F2622" s="33" t="s">
        <v>41</v>
      </c>
      <c r="G2622" s="29">
        <v>12.5</v>
      </c>
      <c r="H2622" s="127">
        <f>_xlfn.XLOOKUP(C2622&amp;F2622&amp;I2622&amp;J2622,'[1]2025年已发货'!$F:$F&amp;'[1]2025年已发货'!$C:$C&amp;'[1]2025年已发货'!$G:$G&amp;'[1]2025年已发货'!$H:$H,'[1]2025年已发货'!$E:$E,"未发货")</f>
        <v>12.5</v>
      </c>
      <c r="I2622" s="33" t="str">
        <f>VLOOKUP(B2622,辅助信息!E:I,3,FALSE)</f>
        <v>（华西简阳西城嘉苑）四川省成都市简阳市简城街道高屋村</v>
      </c>
      <c r="J2622" s="33" t="str">
        <f>VLOOKUP(B2622,辅助信息!E:I,4,FALSE)</f>
        <v>张瀚镭</v>
      </c>
      <c r="K2622" s="33">
        <f>VLOOKUP(J2622,辅助信息!H:I,2,FALSE)</f>
        <v>15884666220</v>
      </c>
      <c r="L2622" s="102" t="str">
        <f>VLOOKUP(B2622,辅助信息!E:J,6,FALSE)</f>
        <v>现场禁止使用氢能源挂车！优先威钢发货,我方卸车,新老国标钢厂不加价可直发，因陕钢多次出现磅差，项目拒绝使用</v>
      </c>
      <c r="M2622" s="84">
        <v>45875</v>
      </c>
      <c r="O2622" s="55">
        <f ca="1" t="shared" si="161"/>
        <v>0</v>
      </c>
      <c r="P2622" s="55">
        <f ca="1" t="shared" si="162"/>
        <v>82</v>
      </c>
      <c r="Q2622" s="22" t="str">
        <f>VLOOKUP(B2622,辅助信息!E:M,9,FALSE)</f>
        <v>ZTWM-CDGS-XS-2024-0030-华西集采-简州大道</v>
      </c>
      <c r="R2622" s="22" t="str">
        <f>_xlfn._xlws.FILTER(辅助信息!D:D,辅助信息!E:E=B2622)</f>
        <v>华西简阳西城嘉苑</v>
      </c>
    </row>
    <row r="2623" hidden="1" spans="2:18">
      <c r="B2623" s="33" t="s">
        <v>81</v>
      </c>
      <c r="C2623" s="63">
        <v>45875</v>
      </c>
      <c r="D2623" s="33" t="str">
        <f>VLOOKUP(B2623,辅助信息!E:K,7,FALSE)</f>
        <v>JWDDCD2025060900080</v>
      </c>
      <c r="E2623" s="33" t="str">
        <f>VLOOKUP(F2623,辅助信息!A:B,2,FALSE)</f>
        <v>盘螺</v>
      </c>
      <c r="F2623" s="33" t="s">
        <v>26</v>
      </c>
      <c r="G2623" s="29">
        <v>24</v>
      </c>
      <c r="H2623" s="127">
        <f>_xlfn.XLOOKUP(C2623&amp;F2623&amp;I2623&amp;J2623,'[1]2025年已发货'!$F:$F&amp;'[1]2025年已发货'!$C:$C&amp;'[1]2025年已发货'!$G:$G&amp;'[1]2025年已发货'!$H:$H,'[1]2025年已发货'!$E:$E,"未发货")</f>
        <v>24</v>
      </c>
      <c r="I2623" s="33" t="str">
        <f>VLOOKUP(B2623,辅助信息!E:I,3,FALSE)</f>
        <v>（华西简阳西城嘉苑）四川省成都市简阳市简城街道高屋村</v>
      </c>
      <c r="J2623" s="33" t="str">
        <f>VLOOKUP(B2623,辅助信息!E:I,4,FALSE)</f>
        <v>张瀚镭</v>
      </c>
      <c r="K2623" s="33">
        <f>VLOOKUP(J2623,辅助信息!H:I,2,FALSE)</f>
        <v>15884666220</v>
      </c>
      <c r="L2623" s="102" t="str">
        <f>VLOOKUP(B2623,辅助信息!E:J,6,FALSE)</f>
        <v>现场禁止使用氢能源挂车！优先威钢发货,我方卸车,新老国标钢厂不加价可直发，因陕钢多次出现磅差，项目拒绝使用</v>
      </c>
      <c r="M2623" s="84">
        <v>45875</v>
      </c>
      <c r="O2623" s="55">
        <f ca="1" t="shared" si="161"/>
        <v>0</v>
      </c>
      <c r="P2623" s="55">
        <f ca="1" t="shared" si="162"/>
        <v>82</v>
      </c>
      <c r="Q2623" s="22" t="str">
        <f>VLOOKUP(B2623,辅助信息!E:M,9,FALSE)</f>
        <v>ZTWM-CDGS-XS-2024-0030-华西集采-简州大道</v>
      </c>
      <c r="R2623" s="22" t="str">
        <f>_xlfn._xlws.FILTER(辅助信息!D:D,辅助信息!E:E=B2623)</f>
        <v>华西简阳西城嘉苑</v>
      </c>
    </row>
    <row r="2624" hidden="1" spans="2:18">
      <c r="B2624" s="33" t="s">
        <v>81</v>
      </c>
      <c r="C2624" s="63">
        <v>45875</v>
      </c>
      <c r="D2624" s="33" t="str">
        <f>VLOOKUP(B2624,辅助信息!E:K,7,FALSE)</f>
        <v>JWDDCD2025060900080</v>
      </c>
      <c r="E2624" s="33" t="str">
        <f>VLOOKUP(F2624,辅助信息!A:B,2,FALSE)</f>
        <v>螺纹钢</v>
      </c>
      <c r="F2624" s="33" t="s">
        <v>19</v>
      </c>
      <c r="G2624" s="29">
        <v>95</v>
      </c>
      <c r="H2624" s="127">
        <f>_xlfn.XLOOKUP(C2624&amp;F2624&amp;I2624&amp;J2624,'[1]2025年已发货'!$F:$F&amp;'[1]2025年已发货'!$C:$C&amp;'[1]2025年已发货'!$G:$G&amp;'[1]2025年已发货'!$H:$H,'[1]2025年已发货'!$E:$E,"未发货")</f>
        <v>95</v>
      </c>
      <c r="I2624" s="33" t="str">
        <f>VLOOKUP(B2624,辅助信息!E:I,3,FALSE)</f>
        <v>（华西简阳西城嘉苑）四川省成都市简阳市简城街道高屋村</v>
      </c>
      <c r="J2624" s="33" t="str">
        <f>VLOOKUP(B2624,辅助信息!E:I,4,FALSE)</f>
        <v>张瀚镭</v>
      </c>
      <c r="K2624" s="33">
        <f>VLOOKUP(J2624,辅助信息!H:I,2,FALSE)</f>
        <v>15884666220</v>
      </c>
      <c r="L2624" s="102" t="str">
        <f>VLOOKUP(B2624,辅助信息!E:J,6,FALSE)</f>
        <v>现场禁止使用氢能源挂车！优先威钢发货,我方卸车,新老国标钢厂不加价可直发，因陕钢多次出现磅差，项目拒绝使用</v>
      </c>
      <c r="M2624" s="84">
        <v>45875</v>
      </c>
      <c r="O2624" s="55">
        <f ca="1" t="shared" si="161"/>
        <v>0</v>
      </c>
      <c r="P2624" s="55">
        <f ca="1" t="shared" si="162"/>
        <v>82</v>
      </c>
      <c r="Q2624" s="22" t="str">
        <f>VLOOKUP(B2624,辅助信息!E:M,9,FALSE)</f>
        <v>ZTWM-CDGS-XS-2024-0030-华西集采-简州大道</v>
      </c>
      <c r="R2624" s="22" t="str">
        <f>_xlfn._xlws.FILTER(辅助信息!D:D,辅助信息!E:E=B2624)</f>
        <v>华西简阳西城嘉苑</v>
      </c>
    </row>
    <row r="2625" hidden="1" spans="2:18">
      <c r="B2625" s="33" t="s">
        <v>81</v>
      </c>
      <c r="C2625" s="63">
        <v>45875</v>
      </c>
      <c r="D2625" s="33" t="str">
        <f>VLOOKUP(B2625,辅助信息!E:K,7,FALSE)</f>
        <v>JWDDCD2025060900080</v>
      </c>
      <c r="E2625" s="33" t="str">
        <f>VLOOKUP(F2625,辅助信息!A:B,2,FALSE)</f>
        <v>螺纹钢</v>
      </c>
      <c r="F2625" s="33" t="s">
        <v>32</v>
      </c>
      <c r="G2625" s="29">
        <v>9</v>
      </c>
      <c r="H2625" s="127">
        <f>_xlfn.XLOOKUP(C2625&amp;F2625&amp;I2625&amp;J2625,'[1]2025年已发货'!$F:$F&amp;'[1]2025年已发货'!$C:$C&amp;'[1]2025年已发货'!$G:$G&amp;'[1]2025年已发货'!$H:$H,'[1]2025年已发货'!$E:$E,"未发货")</f>
        <v>9</v>
      </c>
      <c r="I2625" s="33" t="str">
        <f>VLOOKUP(B2625,辅助信息!E:I,3,FALSE)</f>
        <v>（华西简阳西城嘉苑）四川省成都市简阳市简城街道高屋村</v>
      </c>
      <c r="J2625" s="33" t="str">
        <f>VLOOKUP(B2625,辅助信息!E:I,4,FALSE)</f>
        <v>张瀚镭</v>
      </c>
      <c r="K2625" s="33">
        <f>VLOOKUP(J2625,辅助信息!H:I,2,FALSE)</f>
        <v>15884666220</v>
      </c>
      <c r="L2625" s="102" t="str">
        <f>VLOOKUP(B2625,辅助信息!E:J,6,FALSE)</f>
        <v>现场禁止使用氢能源挂车！优先威钢发货,我方卸车,新老国标钢厂不加价可直发，因陕钢多次出现磅差，项目拒绝使用</v>
      </c>
      <c r="M2625" s="84">
        <v>45875</v>
      </c>
      <c r="O2625" s="55">
        <f ca="1" t="shared" si="161"/>
        <v>0</v>
      </c>
      <c r="P2625" s="55">
        <f ca="1" t="shared" si="162"/>
        <v>82</v>
      </c>
      <c r="Q2625" s="22" t="str">
        <f>VLOOKUP(B2625,辅助信息!E:M,9,FALSE)</f>
        <v>ZTWM-CDGS-XS-2024-0030-华西集采-简州大道</v>
      </c>
      <c r="R2625" s="22" t="str">
        <f>_xlfn._xlws.FILTER(辅助信息!D:D,辅助信息!E:E=B2625)</f>
        <v>华西简阳西城嘉苑</v>
      </c>
    </row>
    <row r="2626" hidden="1" spans="2:18">
      <c r="B2626" s="33" t="s">
        <v>81</v>
      </c>
      <c r="C2626" s="63">
        <v>45875</v>
      </c>
      <c r="D2626" s="33" t="str">
        <f>VLOOKUP(B2626,辅助信息!E:K,7,FALSE)</f>
        <v>JWDDCD2025060900080</v>
      </c>
      <c r="E2626" s="33" t="str">
        <f>VLOOKUP(F2626,辅助信息!A:B,2,FALSE)</f>
        <v>螺纹钢</v>
      </c>
      <c r="F2626" s="33" t="s">
        <v>30</v>
      </c>
      <c r="G2626" s="29">
        <v>21.5</v>
      </c>
      <c r="H2626" s="127">
        <f>_xlfn.XLOOKUP(C2626&amp;F2626&amp;I2626&amp;J2626,'[1]2025年已发货'!$F:$F&amp;'[1]2025年已发货'!$C:$C&amp;'[1]2025年已发货'!$G:$G&amp;'[1]2025年已发货'!$H:$H,'[1]2025年已发货'!$E:$E,"未发货")</f>
        <v>21.5</v>
      </c>
      <c r="I2626" s="33" t="str">
        <f>VLOOKUP(B2626,辅助信息!E:I,3,FALSE)</f>
        <v>（华西简阳西城嘉苑）四川省成都市简阳市简城街道高屋村</v>
      </c>
      <c r="J2626" s="33" t="str">
        <f>VLOOKUP(B2626,辅助信息!E:I,4,FALSE)</f>
        <v>张瀚镭</v>
      </c>
      <c r="K2626" s="33">
        <f>VLOOKUP(J2626,辅助信息!H:I,2,FALSE)</f>
        <v>15884666220</v>
      </c>
      <c r="L2626" s="102" t="str">
        <f>VLOOKUP(B2626,辅助信息!E:J,6,FALSE)</f>
        <v>现场禁止使用氢能源挂车！优先威钢发货,我方卸车,新老国标钢厂不加价可直发，因陕钢多次出现磅差，项目拒绝使用</v>
      </c>
      <c r="M2626" s="84">
        <v>45875</v>
      </c>
      <c r="O2626" s="55">
        <f ca="1" t="shared" si="161"/>
        <v>0</v>
      </c>
      <c r="P2626" s="55">
        <f ca="1" t="shared" si="162"/>
        <v>82</v>
      </c>
      <c r="Q2626" s="22" t="str">
        <f>VLOOKUP(B2626,辅助信息!E:M,9,FALSE)</f>
        <v>ZTWM-CDGS-XS-2024-0030-华西集采-简州大道</v>
      </c>
      <c r="R2626" s="22" t="str">
        <f>_xlfn._xlws.FILTER(辅助信息!D:D,辅助信息!E:E=B2626)</f>
        <v>华西简阳西城嘉苑</v>
      </c>
    </row>
    <row r="2627" hidden="1" spans="2:18">
      <c r="B2627" s="33" t="s">
        <v>81</v>
      </c>
      <c r="C2627" s="63">
        <v>45875</v>
      </c>
      <c r="D2627" s="33" t="str">
        <f>VLOOKUP(B2627,辅助信息!E:K,7,FALSE)</f>
        <v>JWDDCD2025060900080</v>
      </c>
      <c r="E2627" s="33" t="str">
        <f>VLOOKUP(F2627,辅助信息!A:B,2,FALSE)</f>
        <v>螺纹钢</v>
      </c>
      <c r="F2627" s="33" t="s">
        <v>18</v>
      </c>
      <c r="G2627" s="29">
        <v>10</v>
      </c>
      <c r="H2627" s="127">
        <f>_xlfn.XLOOKUP(C2627&amp;F2627&amp;I2627&amp;J2627,'[1]2025年已发货'!$F:$F&amp;'[1]2025年已发货'!$C:$C&amp;'[1]2025年已发货'!$G:$G&amp;'[1]2025年已发货'!$H:$H,'[1]2025年已发货'!$E:$E,"未发货")</f>
        <v>10</v>
      </c>
      <c r="I2627" s="33" t="str">
        <f>VLOOKUP(B2627,辅助信息!E:I,3,FALSE)</f>
        <v>（华西简阳西城嘉苑）四川省成都市简阳市简城街道高屋村</v>
      </c>
      <c r="J2627" s="33" t="str">
        <f>VLOOKUP(B2627,辅助信息!E:I,4,FALSE)</f>
        <v>张瀚镭</v>
      </c>
      <c r="K2627" s="33">
        <f>VLOOKUP(J2627,辅助信息!H:I,2,FALSE)</f>
        <v>15884666220</v>
      </c>
      <c r="L2627" s="102" t="str">
        <f>VLOOKUP(B2627,辅助信息!E:J,6,FALSE)</f>
        <v>现场禁止使用氢能源挂车！优先威钢发货,我方卸车,新老国标钢厂不加价可直发，因陕钢多次出现磅差，项目拒绝使用</v>
      </c>
      <c r="M2627" s="84">
        <v>45875</v>
      </c>
      <c r="O2627" s="55">
        <f ca="1" t="shared" si="161"/>
        <v>0</v>
      </c>
      <c r="P2627" s="55">
        <f ca="1" t="shared" si="162"/>
        <v>82</v>
      </c>
      <c r="Q2627" s="22" t="str">
        <f>VLOOKUP(B2627,辅助信息!E:M,9,FALSE)</f>
        <v>ZTWM-CDGS-XS-2024-0030-华西集采-简州大道</v>
      </c>
      <c r="R2627" s="22" t="str">
        <f>_xlfn._xlws.FILTER(辅助信息!D:D,辅助信息!E:E=B2627)</f>
        <v>华西简阳西城嘉苑</v>
      </c>
    </row>
    <row r="2628" hidden="1" spans="2:18">
      <c r="B2628" s="33" t="s">
        <v>81</v>
      </c>
      <c r="C2628" s="63">
        <v>45875</v>
      </c>
      <c r="D2628" s="33" t="str">
        <f>VLOOKUP(B2628,辅助信息!E:K,7,FALSE)</f>
        <v>JWDDCD2025060900080</v>
      </c>
      <c r="E2628" s="33" t="str">
        <f>VLOOKUP(F2628,辅助信息!A:B,2,FALSE)</f>
        <v>螺纹钢</v>
      </c>
      <c r="F2628" s="33" t="s">
        <v>52</v>
      </c>
      <c r="G2628" s="29">
        <v>6</v>
      </c>
      <c r="H2628" s="127">
        <f>_xlfn.XLOOKUP(C2628&amp;F2628&amp;I2628&amp;J2628,'[1]2025年已发货'!$F:$F&amp;'[1]2025年已发货'!$C:$C&amp;'[1]2025年已发货'!$G:$G&amp;'[1]2025年已发货'!$H:$H,'[1]2025年已发货'!$E:$E,"未发货")</f>
        <v>6</v>
      </c>
      <c r="I2628" s="33" t="str">
        <f>VLOOKUP(B2628,辅助信息!E:I,3,FALSE)</f>
        <v>（华西简阳西城嘉苑）四川省成都市简阳市简城街道高屋村</v>
      </c>
      <c r="J2628" s="33" t="str">
        <f>VLOOKUP(B2628,辅助信息!E:I,4,FALSE)</f>
        <v>张瀚镭</v>
      </c>
      <c r="K2628" s="33">
        <f>VLOOKUP(J2628,辅助信息!H:I,2,FALSE)</f>
        <v>15884666220</v>
      </c>
      <c r="L2628" s="102" t="str">
        <f>VLOOKUP(B2628,辅助信息!E:J,6,FALSE)</f>
        <v>现场禁止使用氢能源挂车！优先威钢发货,我方卸车,新老国标钢厂不加价可直发，因陕钢多次出现磅差，项目拒绝使用</v>
      </c>
      <c r="M2628" s="84">
        <v>45875</v>
      </c>
      <c r="O2628" s="55">
        <f ca="1" t="shared" si="161"/>
        <v>0</v>
      </c>
      <c r="P2628" s="55">
        <f ca="1" t="shared" si="162"/>
        <v>82</v>
      </c>
      <c r="Q2628" s="22" t="str">
        <f>VLOOKUP(B2628,辅助信息!E:M,9,FALSE)</f>
        <v>ZTWM-CDGS-XS-2024-0030-华西集采-简州大道</v>
      </c>
      <c r="R2628" s="22" t="str">
        <f>_xlfn._xlws.FILTER(辅助信息!D:D,辅助信息!E:E=B2628)</f>
        <v>华西简阳西城嘉苑</v>
      </c>
    </row>
    <row r="2629" hidden="1" spans="2:18">
      <c r="B2629" s="33" t="s">
        <v>192</v>
      </c>
      <c r="C2629" s="63">
        <v>45875</v>
      </c>
      <c r="D2629" s="33" t="str">
        <f>VLOOKUP(B2629,辅助信息!E:K,7,FALSE)</f>
        <v>JWDDCD2025102100475</v>
      </c>
      <c r="E2629" s="33" t="str">
        <f>VLOOKUP(F2629,辅助信息!A:B,2,FALSE)</f>
        <v>螺纹钢</v>
      </c>
      <c r="F2629" s="33" t="s">
        <v>27</v>
      </c>
      <c r="G2629" s="29">
        <v>5</v>
      </c>
      <c r="H2629" s="127">
        <f>_xlfn.XLOOKUP(C2629&amp;F2629&amp;I2629&amp;J2629,'[1]2025年已发货'!$F:$F&amp;'[1]2025年已发货'!$C:$C&amp;'[1]2025年已发货'!$G:$G&amp;'[1]2025年已发货'!$H:$H,'[1]2025年已发货'!$E:$E,"未发货")</f>
        <v>5</v>
      </c>
      <c r="I2629" s="33" t="str">
        <f>VLOOKUP(B2629,辅助信息!E:I,3,FALSE)</f>
        <v>(五冶建设成都国际铁路港多式联项目)四川省成都市青白江区桂平大道成都中远海运陆港多式联运有限公司</v>
      </c>
      <c r="J2629" s="33" t="str">
        <f>VLOOKUP(B2629,辅助信息!E:I,4,FALSE)</f>
        <v>黄勇杰</v>
      </c>
      <c r="K2629" s="33">
        <f>VLOOKUP(J2629,辅助信息!H:I,2,FALSE)</f>
        <v>13880580196</v>
      </c>
      <c r="L2629" s="102"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84">
        <v>45875</v>
      </c>
      <c r="O2629" s="55">
        <f ca="1" t="shared" si="161"/>
        <v>0</v>
      </c>
      <c r="P2629" s="55">
        <f ca="1" t="shared" si="162"/>
        <v>82</v>
      </c>
      <c r="Q2629" s="22" t="str">
        <f>VLOOKUP(B2629,辅助信息!E:M,9,FALSE)</f>
        <v>ZTWM-CDGS-XS-2025-0073-五冶天府-成都怡心湖片区及龙泉驿医院等项目</v>
      </c>
      <c r="R2629" s="22" t="str">
        <f>_xlfn._xlws.FILTER(辅助信息!D:D,辅助信息!E:E=B2629)</f>
        <v>五冶建设成都国际铁路港多式联项目</v>
      </c>
    </row>
    <row r="2630" hidden="1" spans="2:18">
      <c r="B2630" s="33" t="s">
        <v>192</v>
      </c>
      <c r="C2630" s="63">
        <v>45875</v>
      </c>
      <c r="D2630" s="33" t="str">
        <f>VLOOKUP(B2630,辅助信息!E:K,7,FALSE)</f>
        <v>JWDDCD2025102100475</v>
      </c>
      <c r="E2630" s="33" t="str">
        <f>VLOOKUP(F2630,辅助信息!A:B,2,FALSE)</f>
        <v>螺纹钢</v>
      </c>
      <c r="F2630" s="33" t="s">
        <v>19</v>
      </c>
      <c r="G2630" s="29">
        <v>7</v>
      </c>
      <c r="H2630" s="127">
        <f>_xlfn.XLOOKUP(C2630&amp;F2630&amp;I2630&amp;J2630,'[1]2025年已发货'!$F:$F&amp;'[1]2025年已发货'!$C:$C&amp;'[1]2025年已发货'!$G:$G&amp;'[1]2025年已发货'!$H:$H,'[1]2025年已发货'!$E:$E,"未发货")</f>
        <v>7</v>
      </c>
      <c r="I2630" s="33" t="str">
        <f>VLOOKUP(B2630,辅助信息!E:I,3,FALSE)</f>
        <v>(五冶建设成都国际铁路港多式联项目)四川省成都市青白江区桂平大道成都中远海运陆港多式联运有限公司</v>
      </c>
      <c r="J2630" s="33" t="str">
        <f>VLOOKUP(B2630,辅助信息!E:I,4,FALSE)</f>
        <v>黄勇杰</v>
      </c>
      <c r="K2630" s="33">
        <f>VLOOKUP(J2630,辅助信息!H:I,2,FALSE)</f>
        <v>13880580196</v>
      </c>
      <c r="L2630" s="102"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84">
        <v>45875</v>
      </c>
      <c r="O2630" s="55">
        <f ca="1" t="shared" si="161"/>
        <v>0</v>
      </c>
      <c r="P2630" s="55">
        <f ca="1" t="shared" si="162"/>
        <v>82</v>
      </c>
      <c r="Q2630" s="22" t="str">
        <f>VLOOKUP(B2630,辅助信息!E:M,9,FALSE)</f>
        <v>ZTWM-CDGS-XS-2025-0073-五冶天府-成都怡心湖片区及龙泉驿医院等项目</v>
      </c>
      <c r="R2630" s="22" t="str">
        <f>_xlfn._xlws.FILTER(辅助信息!D:D,辅助信息!E:E=B2630)</f>
        <v>五冶建设成都国际铁路港多式联项目</v>
      </c>
    </row>
    <row r="2631" hidden="1" spans="2:18">
      <c r="B2631" s="33" t="s">
        <v>192</v>
      </c>
      <c r="C2631" s="63">
        <v>45875</v>
      </c>
      <c r="D2631" s="33" t="str">
        <f>VLOOKUP(B2631,辅助信息!E:K,7,FALSE)</f>
        <v>JWDDCD2025102100475</v>
      </c>
      <c r="E2631" s="33" t="str">
        <f>VLOOKUP(F2631,辅助信息!A:B,2,FALSE)</f>
        <v>螺纹钢</v>
      </c>
      <c r="F2631" s="33" t="s">
        <v>32</v>
      </c>
      <c r="G2631" s="29">
        <v>7</v>
      </c>
      <c r="H2631" s="127">
        <f>_xlfn.XLOOKUP(C2631&amp;F2631&amp;I2631&amp;J2631,'[1]2025年已发货'!$F:$F&amp;'[1]2025年已发货'!$C:$C&amp;'[1]2025年已发货'!$G:$G&amp;'[1]2025年已发货'!$H:$H,'[1]2025年已发货'!$E:$E,"未发货")</f>
        <v>7</v>
      </c>
      <c r="I2631" s="33" t="str">
        <f>VLOOKUP(B2631,辅助信息!E:I,3,FALSE)</f>
        <v>(五冶建设成都国际铁路港多式联项目)四川省成都市青白江区桂平大道成都中远海运陆港多式联运有限公司</v>
      </c>
      <c r="J2631" s="33" t="str">
        <f>VLOOKUP(B2631,辅助信息!E:I,4,FALSE)</f>
        <v>黄勇杰</v>
      </c>
      <c r="K2631" s="33">
        <f>VLOOKUP(J2631,辅助信息!H:I,2,FALSE)</f>
        <v>13880580196</v>
      </c>
      <c r="L2631" s="102"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84">
        <v>45875</v>
      </c>
      <c r="O2631" s="55">
        <f ca="1" t="shared" si="161"/>
        <v>0</v>
      </c>
      <c r="P2631" s="55">
        <f ca="1" t="shared" si="162"/>
        <v>82</v>
      </c>
      <c r="Q2631" s="22" t="str">
        <f>VLOOKUP(B2631,辅助信息!E:M,9,FALSE)</f>
        <v>ZTWM-CDGS-XS-2025-0073-五冶天府-成都怡心湖片区及龙泉驿医院等项目</v>
      </c>
      <c r="R2631" s="22" t="str">
        <f>_xlfn._xlws.FILTER(辅助信息!D:D,辅助信息!E:E=B2631)</f>
        <v>五冶建设成都国际铁路港多式联项目</v>
      </c>
    </row>
    <row r="2632" hidden="1" spans="2:18">
      <c r="B2632" s="33" t="s">
        <v>192</v>
      </c>
      <c r="C2632" s="63">
        <v>45875</v>
      </c>
      <c r="D2632" s="33" t="str">
        <f>VLOOKUP(B2632,辅助信息!E:K,7,FALSE)</f>
        <v>JWDDCD2025102100475</v>
      </c>
      <c r="E2632" s="33" t="str">
        <f>VLOOKUP(F2632,辅助信息!A:B,2,FALSE)</f>
        <v>螺纹钢</v>
      </c>
      <c r="F2632" s="33" t="s">
        <v>30</v>
      </c>
      <c r="G2632" s="29">
        <v>10</v>
      </c>
      <c r="H2632" s="127">
        <f>_xlfn.XLOOKUP(C2632&amp;F2632&amp;I2632&amp;J2632,'[1]2025年已发货'!$F:$F&amp;'[1]2025年已发货'!$C:$C&amp;'[1]2025年已发货'!$G:$G&amp;'[1]2025年已发货'!$H:$H,'[1]2025年已发货'!$E:$E,"未发货")</f>
        <v>10</v>
      </c>
      <c r="I2632" s="33" t="str">
        <f>VLOOKUP(B2632,辅助信息!E:I,3,FALSE)</f>
        <v>(五冶建设成都国际铁路港多式联项目)四川省成都市青白江区桂平大道成都中远海运陆港多式联运有限公司</v>
      </c>
      <c r="J2632" s="33" t="str">
        <f>VLOOKUP(B2632,辅助信息!E:I,4,FALSE)</f>
        <v>黄勇杰</v>
      </c>
      <c r="K2632" s="33">
        <f>VLOOKUP(J2632,辅助信息!H:I,2,FALSE)</f>
        <v>13880580196</v>
      </c>
      <c r="L2632" s="102"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84">
        <v>45875</v>
      </c>
      <c r="O2632" s="55">
        <f ca="1" t="shared" si="161"/>
        <v>0</v>
      </c>
      <c r="P2632" s="55">
        <f ca="1" t="shared" si="162"/>
        <v>82</v>
      </c>
      <c r="Q2632" s="22" t="str">
        <f>VLOOKUP(B2632,辅助信息!E:M,9,FALSE)</f>
        <v>ZTWM-CDGS-XS-2025-0073-五冶天府-成都怡心湖片区及龙泉驿医院等项目</v>
      </c>
      <c r="R2632" s="22" t="str">
        <f>_xlfn._xlws.FILTER(辅助信息!D:D,辅助信息!E:E=B2632)</f>
        <v>五冶建设成都国际铁路港多式联项目</v>
      </c>
    </row>
    <row r="2633" hidden="1" spans="2:18">
      <c r="B2633" s="33" t="s">
        <v>192</v>
      </c>
      <c r="C2633" s="63">
        <v>45875</v>
      </c>
      <c r="D2633" s="33" t="str">
        <f>VLOOKUP(B2633,辅助信息!E:K,7,FALSE)</f>
        <v>JWDDCD2025102100475</v>
      </c>
      <c r="E2633" s="33" t="str">
        <f>VLOOKUP(F2633,辅助信息!A:B,2,FALSE)</f>
        <v>螺纹钢</v>
      </c>
      <c r="F2633" s="33" t="s">
        <v>28</v>
      </c>
      <c r="G2633" s="29">
        <v>7</v>
      </c>
      <c r="H2633" s="127">
        <f>_xlfn.XLOOKUP(C2633&amp;F2633&amp;I2633&amp;J2633,'[1]2025年已发货'!$F:$F&amp;'[1]2025年已发货'!$C:$C&amp;'[1]2025年已发货'!$G:$G&amp;'[1]2025年已发货'!$H:$H,'[1]2025年已发货'!$E:$E,"未发货")</f>
        <v>7</v>
      </c>
      <c r="I2633" s="33" t="str">
        <f>VLOOKUP(B2633,辅助信息!E:I,3,FALSE)</f>
        <v>(五冶建设成都国际铁路港多式联项目)四川省成都市青白江区桂平大道成都中远海运陆港多式联运有限公司</v>
      </c>
      <c r="J2633" s="33" t="str">
        <f>VLOOKUP(B2633,辅助信息!E:I,4,FALSE)</f>
        <v>黄勇杰</v>
      </c>
      <c r="K2633" s="33">
        <f>VLOOKUP(J2633,辅助信息!H:I,2,FALSE)</f>
        <v>13880580196</v>
      </c>
      <c r="L2633" s="102"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84">
        <v>45875</v>
      </c>
      <c r="O2633" s="55">
        <f ca="1" t="shared" si="161"/>
        <v>0</v>
      </c>
      <c r="P2633" s="55">
        <f ca="1" t="shared" si="162"/>
        <v>82</v>
      </c>
      <c r="Q2633" s="22" t="str">
        <f>VLOOKUP(B2633,辅助信息!E:M,9,FALSE)</f>
        <v>ZTWM-CDGS-XS-2025-0073-五冶天府-成都怡心湖片区及龙泉驿医院等项目</v>
      </c>
      <c r="R2633" s="22" t="str">
        <f>_xlfn._xlws.FILTER(辅助信息!D:D,辅助信息!E:E=B2633)</f>
        <v>五冶建设成都国际铁路港多式联项目</v>
      </c>
    </row>
    <row r="2634" hidden="1" spans="2:18">
      <c r="B2634" s="33" t="s">
        <v>187</v>
      </c>
      <c r="C2634" s="63">
        <v>45875</v>
      </c>
      <c r="D2634" s="33" t="str">
        <f>VLOOKUP(B2634,辅助信息!E:K,7,FALSE)</f>
        <v>JWDDCD2025072900121</v>
      </c>
      <c r="E2634" s="33" t="str">
        <f>VLOOKUP(F2634,辅助信息!A:B,2,FALSE)</f>
        <v>盘螺</v>
      </c>
      <c r="F2634" s="33" t="s">
        <v>41</v>
      </c>
      <c r="G2634" s="29">
        <v>3</v>
      </c>
      <c r="H2634" s="127">
        <f>_xlfn.XLOOKUP(C2634&amp;F2634&amp;I2634&amp;J2634,'[1]2025年已发货'!$F:$F&amp;'[1]2025年已发货'!$C:$C&amp;'[1]2025年已发货'!$G:$G&amp;'[1]2025年已发货'!$H:$H,'[1]2025年已发货'!$E:$E,"未发货")</f>
        <v>2.5</v>
      </c>
      <c r="I2634" s="33" t="str">
        <f>VLOOKUP(B2634,辅助信息!E:I,3,FALSE)</f>
        <v>(乐山市校地共建产教融合基地建设项目一标段)四川省乐山市市中区苏稽镇周山嘴</v>
      </c>
      <c r="J2634" s="33" t="str">
        <f>VLOOKUP(B2634,辅助信息!E:I,4,FALSE)</f>
        <v>范增云</v>
      </c>
      <c r="K2634" s="33">
        <f>VLOOKUP(J2634,辅助信息!H:I,2,FALSE)</f>
        <v>13668153241</v>
      </c>
      <c r="L2634" s="102" t="str">
        <f>VLOOKUP(B2634,辅助信息!E:J,6,FALSE)</f>
        <v>联系实际收货人（范增云13668153241）现场要求炉批号控制2个以下，超2个不给予签收。提前联系到场规格及数量</v>
      </c>
      <c r="M2634" s="84">
        <v>45875</v>
      </c>
      <c r="O2634" s="55">
        <f ca="1" t="shared" si="161"/>
        <v>0</v>
      </c>
      <c r="P2634" s="55">
        <f ca="1" t="shared" si="162"/>
        <v>82</v>
      </c>
      <c r="Q2634" s="22" t="str">
        <f>VLOOKUP(B2634,辅助信息!E:M,9,FALSE)</f>
        <v>ZTWM-CDGS-XS-2025-0125-四川机司-乐山市校地共建产教融合基地配套设施项目施工一标段钢筋采购合同</v>
      </c>
      <c r="R2634" s="22" t="str">
        <f>_xlfn._xlws.FILTER(辅助信息!D:D,辅助信息!E:E=B2634)</f>
        <v>乐山市校地共建产教融合基地建设项目一标段</v>
      </c>
    </row>
    <row r="2635" hidden="1" spans="2:18">
      <c r="B2635" s="33" t="s">
        <v>187</v>
      </c>
      <c r="C2635" s="63">
        <v>45875</v>
      </c>
      <c r="D2635" s="33" t="str">
        <f>VLOOKUP(B2635,辅助信息!E:K,7,FALSE)</f>
        <v>JWDDCD2025072900121</v>
      </c>
      <c r="E2635" s="33" t="str">
        <f>VLOOKUP(F2635,辅助信息!A:B,2,FALSE)</f>
        <v>螺纹钢</v>
      </c>
      <c r="F2635" s="33" t="s">
        <v>27</v>
      </c>
      <c r="G2635" s="29">
        <v>9</v>
      </c>
      <c r="H2635" s="127">
        <f>_xlfn.XLOOKUP(C2635&amp;F2635&amp;I2635&amp;J2635,'[1]2025年已发货'!$F:$F&amp;'[1]2025年已发货'!$C:$C&amp;'[1]2025年已发货'!$G:$G&amp;'[1]2025年已发货'!$H:$H,'[1]2025年已发货'!$E:$E,"未发货")</f>
        <v>10</v>
      </c>
      <c r="I2635" s="33" t="str">
        <f>VLOOKUP(B2635,辅助信息!E:I,3,FALSE)</f>
        <v>(乐山市校地共建产教融合基地建设项目一标段)四川省乐山市市中区苏稽镇周山嘴</v>
      </c>
      <c r="J2635" s="33" t="str">
        <f>VLOOKUP(B2635,辅助信息!E:I,4,FALSE)</f>
        <v>范增云</v>
      </c>
      <c r="K2635" s="33">
        <f>VLOOKUP(J2635,辅助信息!H:I,2,FALSE)</f>
        <v>13668153241</v>
      </c>
      <c r="L2635" s="102" t="str">
        <f>VLOOKUP(B2635,辅助信息!E:J,6,FALSE)</f>
        <v>联系实际收货人（范增云13668153241）现场要求炉批号控制2个以下，超2个不给予签收。提前联系到场规格及数量</v>
      </c>
      <c r="M2635" s="84">
        <v>45875</v>
      </c>
      <c r="O2635" s="55">
        <f ca="1" t="shared" si="161"/>
        <v>0</v>
      </c>
      <c r="P2635" s="55">
        <f ca="1" t="shared" si="162"/>
        <v>82</v>
      </c>
      <c r="Q2635" s="22" t="str">
        <f>VLOOKUP(B2635,辅助信息!E:M,9,FALSE)</f>
        <v>ZTWM-CDGS-XS-2025-0125-四川机司-乐山市校地共建产教融合基地配套设施项目施工一标段钢筋采购合同</v>
      </c>
      <c r="R2635" s="22" t="str">
        <f>_xlfn._xlws.FILTER(辅助信息!D:D,辅助信息!E:E=B2635)</f>
        <v>乐山市校地共建产教融合基地建设项目一标段</v>
      </c>
    </row>
    <row r="2636" hidden="1" spans="2:18">
      <c r="B2636" s="33" t="s">
        <v>187</v>
      </c>
      <c r="C2636" s="63">
        <v>45875</v>
      </c>
      <c r="D2636" s="33" t="str">
        <f>VLOOKUP(B2636,辅助信息!E:K,7,FALSE)</f>
        <v>JWDDCD2025072900121</v>
      </c>
      <c r="E2636" s="33" t="str">
        <f>VLOOKUP(F2636,辅助信息!A:B,2,FALSE)</f>
        <v>螺纹钢</v>
      </c>
      <c r="F2636" s="33" t="s">
        <v>19</v>
      </c>
      <c r="G2636" s="29">
        <v>6</v>
      </c>
      <c r="H2636" s="127">
        <f>_xlfn.XLOOKUP(C2636&amp;F2636&amp;I2636&amp;J2636,'[1]2025年已发货'!$F:$F&amp;'[1]2025年已发货'!$C:$C&amp;'[1]2025年已发货'!$G:$G&amp;'[1]2025年已发货'!$H:$H,'[1]2025年已发货'!$E:$E,"未发货")</f>
        <v>5</v>
      </c>
      <c r="I2636" s="33" t="str">
        <f>VLOOKUP(B2636,辅助信息!E:I,3,FALSE)</f>
        <v>(乐山市校地共建产教融合基地建设项目一标段)四川省乐山市市中区苏稽镇周山嘴</v>
      </c>
      <c r="J2636" s="33" t="str">
        <f>VLOOKUP(B2636,辅助信息!E:I,4,FALSE)</f>
        <v>范增云</v>
      </c>
      <c r="K2636" s="33">
        <f>VLOOKUP(J2636,辅助信息!H:I,2,FALSE)</f>
        <v>13668153241</v>
      </c>
      <c r="L2636" s="102" t="str">
        <f>VLOOKUP(B2636,辅助信息!E:J,6,FALSE)</f>
        <v>联系实际收货人（范增云13668153241）现场要求炉批号控制2个以下，超2个不给予签收。提前联系到场规格及数量</v>
      </c>
      <c r="M2636" s="84">
        <v>45875</v>
      </c>
      <c r="O2636" s="55">
        <f ca="1" t="shared" si="161"/>
        <v>0</v>
      </c>
      <c r="P2636" s="55">
        <f ca="1" t="shared" si="162"/>
        <v>82</v>
      </c>
      <c r="Q2636" s="22" t="str">
        <f>VLOOKUP(B2636,辅助信息!E:M,9,FALSE)</f>
        <v>ZTWM-CDGS-XS-2025-0125-四川机司-乐山市校地共建产教融合基地配套设施项目施工一标段钢筋采购合同</v>
      </c>
      <c r="R2636" s="22" t="str">
        <f>_xlfn._xlws.FILTER(辅助信息!D:D,辅助信息!E:E=B2636)</f>
        <v>乐山市校地共建产教融合基地建设项目一标段</v>
      </c>
    </row>
    <row r="2637" hidden="1" spans="2:18">
      <c r="B2637" s="33" t="s">
        <v>187</v>
      </c>
      <c r="C2637" s="63">
        <v>45875</v>
      </c>
      <c r="D2637" s="33" t="str">
        <f>VLOOKUP(B2637,辅助信息!E:K,7,FALSE)</f>
        <v>JWDDCD2025072900121</v>
      </c>
      <c r="E2637" s="33" t="str">
        <f>VLOOKUP(F2637,辅助信息!A:B,2,FALSE)</f>
        <v>螺纹钢</v>
      </c>
      <c r="F2637" s="33" t="s">
        <v>30</v>
      </c>
      <c r="G2637" s="29">
        <v>3</v>
      </c>
      <c r="H2637" s="127">
        <f>_xlfn.XLOOKUP(C2637&amp;F2637&amp;I2637&amp;J2637,'[1]2025年已发货'!$F:$F&amp;'[1]2025年已发货'!$C:$C&amp;'[1]2025年已发货'!$G:$G&amp;'[1]2025年已发货'!$H:$H,'[1]2025年已发货'!$E:$E,"未发货")</f>
        <v>3</v>
      </c>
      <c r="I2637" s="33" t="str">
        <f>VLOOKUP(B2637,辅助信息!E:I,3,FALSE)</f>
        <v>(乐山市校地共建产教融合基地建设项目一标段)四川省乐山市市中区苏稽镇周山嘴</v>
      </c>
      <c r="J2637" s="33" t="str">
        <f>VLOOKUP(B2637,辅助信息!E:I,4,FALSE)</f>
        <v>范增云</v>
      </c>
      <c r="K2637" s="33">
        <f>VLOOKUP(J2637,辅助信息!H:I,2,FALSE)</f>
        <v>13668153241</v>
      </c>
      <c r="L2637" s="102" t="str">
        <f>VLOOKUP(B2637,辅助信息!E:J,6,FALSE)</f>
        <v>联系实际收货人（范增云13668153241）现场要求炉批号控制2个以下，超2个不给予签收。提前联系到场规格及数量</v>
      </c>
      <c r="M2637" s="84">
        <v>45875</v>
      </c>
      <c r="O2637" s="55">
        <f ca="1" t="shared" si="161"/>
        <v>0</v>
      </c>
      <c r="P2637" s="55">
        <f ca="1" t="shared" si="162"/>
        <v>82</v>
      </c>
      <c r="Q2637" s="22" t="str">
        <f>VLOOKUP(B2637,辅助信息!E:M,9,FALSE)</f>
        <v>ZTWM-CDGS-XS-2025-0125-四川机司-乐山市校地共建产教融合基地配套设施项目施工一标段钢筋采购合同</v>
      </c>
      <c r="R2637" s="22" t="str">
        <f>_xlfn._xlws.FILTER(辅助信息!D:D,辅助信息!E:E=B2637)</f>
        <v>乐山市校地共建产教融合基地建设项目一标段</v>
      </c>
    </row>
    <row r="2638" hidden="1" spans="2:18">
      <c r="B2638" s="33" t="s">
        <v>187</v>
      </c>
      <c r="C2638" s="63">
        <v>45875</v>
      </c>
      <c r="D2638" s="33" t="str">
        <f>VLOOKUP(B2638,辅助信息!E:K,7,FALSE)</f>
        <v>JWDDCD2025072900121</v>
      </c>
      <c r="E2638" s="33" t="str">
        <f>VLOOKUP(F2638,辅助信息!A:B,2,FALSE)</f>
        <v>螺纹钢</v>
      </c>
      <c r="F2638" s="33" t="s">
        <v>33</v>
      </c>
      <c r="G2638" s="29">
        <v>6</v>
      </c>
      <c r="H2638" s="127">
        <f>_xlfn.XLOOKUP(C2638&amp;F2638&amp;I2638&amp;J2638,'[1]2025年已发货'!$F:$F&amp;'[1]2025年已发货'!$C:$C&amp;'[1]2025年已发货'!$G:$G&amp;'[1]2025年已发货'!$H:$H,'[1]2025年已发货'!$E:$E,"未发货")</f>
        <v>5</v>
      </c>
      <c r="I2638" s="33" t="str">
        <f>VLOOKUP(B2638,辅助信息!E:I,3,FALSE)</f>
        <v>(乐山市校地共建产教融合基地建设项目一标段)四川省乐山市市中区苏稽镇周山嘴</v>
      </c>
      <c r="J2638" s="33" t="str">
        <f>VLOOKUP(B2638,辅助信息!E:I,4,FALSE)</f>
        <v>范增云</v>
      </c>
      <c r="K2638" s="33">
        <f>VLOOKUP(J2638,辅助信息!H:I,2,FALSE)</f>
        <v>13668153241</v>
      </c>
      <c r="L2638" s="102" t="str">
        <f>VLOOKUP(B2638,辅助信息!E:J,6,FALSE)</f>
        <v>联系实际收货人（范增云13668153241）现场要求炉批号控制2个以下，超2个不给予签收。提前联系到场规格及数量</v>
      </c>
      <c r="M2638" s="84">
        <v>45875</v>
      </c>
      <c r="O2638" s="55">
        <f ca="1" t="shared" si="161"/>
        <v>0</v>
      </c>
      <c r="P2638" s="55">
        <f ca="1" t="shared" si="162"/>
        <v>82</v>
      </c>
      <c r="Q2638" s="22" t="str">
        <f>VLOOKUP(B2638,辅助信息!E:M,9,FALSE)</f>
        <v>ZTWM-CDGS-XS-2025-0125-四川机司-乐山市校地共建产教融合基地配套设施项目施工一标段钢筋采购合同</v>
      </c>
      <c r="R2638" s="22" t="str">
        <f>_xlfn._xlws.FILTER(辅助信息!D:D,辅助信息!E:E=B2638)</f>
        <v>乐山市校地共建产教融合基地建设项目一标段</v>
      </c>
    </row>
    <row r="2639" hidden="1" spans="2:18">
      <c r="B2639" s="33" t="s">
        <v>187</v>
      </c>
      <c r="C2639" s="63">
        <v>45875</v>
      </c>
      <c r="D2639" s="33" t="str">
        <f>VLOOKUP(B2639,辅助信息!E:K,7,FALSE)</f>
        <v>JWDDCD2025072900121</v>
      </c>
      <c r="E2639" s="33" t="str">
        <f>VLOOKUP(F2639,辅助信息!A:B,2,FALSE)</f>
        <v>螺纹钢</v>
      </c>
      <c r="F2639" s="33" t="s">
        <v>28</v>
      </c>
      <c r="G2639" s="29">
        <v>6</v>
      </c>
      <c r="H2639" s="127">
        <f>_xlfn.XLOOKUP(C2639&amp;F2639&amp;I2639&amp;J2639,'[1]2025年已发货'!$F:$F&amp;'[1]2025年已发货'!$C:$C&amp;'[1]2025年已发货'!$G:$G&amp;'[1]2025年已发货'!$H:$H,'[1]2025年已发货'!$E:$E,"未发货")</f>
        <v>6</v>
      </c>
      <c r="I2639" s="33" t="str">
        <f>VLOOKUP(B2639,辅助信息!E:I,3,FALSE)</f>
        <v>(乐山市校地共建产教融合基地建设项目一标段)四川省乐山市市中区苏稽镇周山嘴</v>
      </c>
      <c r="J2639" s="33" t="str">
        <f>VLOOKUP(B2639,辅助信息!E:I,4,FALSE)</f>
        <v>范增云</v>
      </c>
      <c r="K2639" s="33">
        <f>VLOOKUP(J2639,辅助信息!H:I,2,FALSE)</f>
        <v>13668153241</v>
      </c>
      <c r="L2639" s="102" t="str">
        <f>VLOOKUP(B2639,辅助信息!E:J,6,FALSE)</f>
        <v>联系实际收货人（范增云13668153241）现场要求炉批号控制2个以下，超2个不给予签收。提前联系到场规格及数量</v>
      </c>
      <c r="M2639" s="84">
        <v>45875</v>
      </c>
      <c r="O2639" s="55">
        <f ca="1" t="shared" si="161"/>
        <v>0</v>
      </c>
      <c r="P2639" s="55">
        <f ca="1" t="shared" si="162"/>
        <v>82</v>
      </c>
      <c r="Q2639" s="22" t="str">
        <f>VLOOKUP(B2639,辅助信息!E:M,9,FALSE)</f>
        <v>ZTWM-CDGS-XS-2025-0125-四川机司-乐山市校地共建产教融合基地配套设施项目施工一标段钢筋采购合同</v>
      </c>
      <c r="R2639" s="22" t="str">
        <f>_xlfn._xlws.FILTER(辅助信息!D:D,辅助信息!E:E=B2639)</f>
        <v>乐山市校地共建产教融合基地建设项目一标段</v>
      </c>
    </row>
    <row r="2640" hidden="1" spans="2:18">
      <c r="B2640" s="33" t="s">
        <v>187</v>
      </c>
      <c r="C2640" s="63">
        <v>45875</v>
      </c>
      <c r="D2640" s="33" t="str">
        <f>VLOOKUP(B2640,辅助信息!E:K,7,FALSE)</f>
        <v>JWDDCD2025072900121</v>
      </c>
      <c r="E2640" s="33" t="str">
        <f>VLOOKUP(F2640,辅助信息!A:B,2,FALSE)</f>
        <v>螺纹钢</v>
      </c>
      <c r="F2640" s="33" t="s">
        <v>18</v>
      </c>
      <c r="G2640" s="29">
        <v>54</v>
      </c>
      <c r="H2640" s="127">
        <f>_xlfn.XLOOKUP(C2640&amp;F2640&amp;I2640&amp;J2640,'[1]2025年已发货'!$F:$F&amp;'[1]2025年已发货'!$C:$C&amp;'[1]2025年已发货'!$G:$G&amp;'[1]2025年已发货'!$H:$H,'[1]2025年已发货'!$E:$E,"未发货")</f>
        <v>60</v>
      </c>
      <c r="I2640" s="33" t="str">
        <f>VLOOKUP(B2640,辅助信息!E:I,3,FALSE)</f>
        <v>(乐山市校地共建产教融合基地建设项目一标段)四川省乐山市市中区苏稽镇周山嘴</v>
      </c>
      <c r="J2640" s="33" t="str">
        <f>VLOOKUP(B2640,辅助信息!E:I,4,FALSE)</f>
        <v>范增云</v>
      </c>
      <c r="K2640" s="33">
        <f>VLOOKUP(J2640,辅助信息!H:I,2,FALSE)</f>
        <v>13668153241</v>
      </c>
      <c r="L2640" s="102" t="str">
        <f>VLOOKUP(B2640,辅助信息!E:J,6,FALSE)</f>
        <v>联系实际收货人（范增云13668153241）现场要求炉批号控制2个以下，超2个不给予签收。提前联系到场规格及数量</v>
      </c>
      <c r="M2640" s="84">
        <v>45875</v>
      </c>
      <c r="O2640" s="55">
        <f ca="1" t="shared" si="161"/>
        <v>0</v>
      </c>
      <c r="P2640" s="55">
        <f ca="1" t="shared" si="162"/>
        <v>82</v>
      </c>
      <c r="Q2640" s="22" t="str">
        <f>VLOOKUP(B2640,辅助信息!E:M,9,FALSE)</f>
        <v>ZTWM-CDGS-XS-2025-0125-四川机司-乐山市校地共建产教融合基地配套设施项目施工一标段钢筋采购合同</v>
      </c>
      <c r="R2640" s="22" t="str">
        <f>_xlfn._xlws.FILTER(辅助信息!D:D,辅助信息!E:E=B2640)</f>
        <v>乐山市校地共建产教融合基地建设项目一标段</v>
      </c>
    </row>
    <row r="2641" hidden="1" spans="2:18">
      <c r="B2641" s="33" t="s">
        <v>187</v>
      </c>
      <c r="C2641" s="63">
        <v>45875</v>
      </c>
      <c r="D2641" s="33" t="str">
        <f>VLOOKUP(B2641,辅助信息!E:K,7,FALSE)</f>
        <v>JWDDCD2025072900121</v>
      </c>
      <c r="E2641" s="33" t="str">
        <f>VLOOKUP(F2641,辅助信息!A:B,2,FALSE)</f>
        <v>螺纹钢</v>
      </c>
      <c r="F2641" s="33" t="s">
        <v>142</v>
      </c>
      <c r="G2641" s="29">
        <v>3</v>
      </c>
      <c r="H2641" s="127">
        <f>_xlfn.XLOOKUP(C2641&amp;F2641&amp;I2641&amp;J2641,'[1]2025年已发货'!$F:$F&amp;'[1]2025年已发货'!$C:$C&amp;'[1]2025年已发货'!$G:$G&amp;'[1]2025年已发货'!$H:$H,'[1]2025年已发货'!$E:$E,"未发货")</f>
        <v>2.5</v>
      </c>
      <c r="I2641" s="33" t="str">
        <f>VLOOKUP(B2641,辅助信息!E:I,3,FALSE)</f>
        <v>(乐山市校地共建产教融合基地建设项目一标段)四川省乐山市市中区苏稽镇周山嘴</v>
      </c>
      <c r="J2641" s="33" t="str">
        <f>VLOOKUP(B2641,辅助信息!E:I,4,FALSE)</f>
        <v>范增云</v>
      </c>
      <c r="K2641" s="33">
        <f>VLOOKUP(J2641,辅助信息!H:I,2,FALSE)</f>
        <v>13668153241</v>
      </c>
      <c r="L2641" s="102" t="str">
        <f>VLOOKUP(B2641,辅助信息!E:J,6,FALSE)</f>
        <v>联系实际收货人（范增云13668153241）现场要求炉批号控制2个以下，超2个不给予签收。提前联系到场规格及数量</v>
      </c>
      <c r="M2641" s="84">
        <v>45875</v>
      </c>
      <c r="O2641" s="55">
        <f ca="1" t="shared" si="161"/>
        <v>0</v>
      </c>
      <c r="P2641" s="55">
        <f ca="1" t="shared" si="162"/>
        <v>82</v>
      </c>
      <c r="Q2641" s="22" t="str">
        <f>VLOOKUP(B2641,辅助信息!E:M,9,FALSE)</f>
        <v>ZTWM-CDGS-XS-2025-0125-四川机司-乐山市校地共建产教融合基地配套设施项目施工一标段钢筋采购合同</v>
      </c>
      <c r="R2641" s="22" t="str">
        <f>_xlfn._xlws.FILTER(辅助信息!D:D,辅助信息!E:E=B2641)</f>
        <v>乐山市校地共建产教融合基地建设项目一标段</v>
      </c>
    </row>
    <row r="2642" hidden="1" spans="2:18">
      <c r="B2642" s="33" t="s">
        <v>187</v>
      </c>
      <c r="C2642" s="63">
        <v>45875</v>
      </c>
      <c r="D2642" s="33" t="str">
        <f>VLOOKUP(B2642,辅助信息!E:K,7,FALSE)</f>
        <v>JWDDCD2025072900121</v>
      </c>
      <c r="E2642" s="33" t="str">
        <f>VLOOKUP(F2642,辅助信息!A:B,2,FALSE)</f>
        <v>螺纹钢</v>
      </c>
      <c r="F2642" s="33" t="s">
        <v>200</v>
      </c>
      <c r="G2642" s="29">
        <v>3</v>
      </c>
      <c r="H2642" s="127">
        <f>_xlfn.XLOOKUP(C2642&amp;F2642&amp;I2642&amp;J2642,'[1]2025年已发货'!$F:$F&amp;'[1]2025年已发货'!$C:$C&amp;'[1]2025年已发货'!$G:$G&amp;'[1]2025年已发货'!$H:$H,'[1]2025年已发货'!$E:$E,"未发货")</f>
        <v>2.5</v>
      </c>
      <c r="I2642" s="33" t="str">
        <f>VLOOKUP(B2642,辅助信息!E:I,3,FALSE)</f>
        <v>(乐山市校地共建产教融合基地建设项目一标段)四川省乐山市市中区苏稽镇周山嘴</v>
      </c>
      <c r="J2642" s="33" t="str">
        <f>VLOOKUP(B2642,辅助信息!E:I,4,FALSE)</f>
        <v>范增云</v>
      </c>
      <c r="K2642" s="33">
        <f>VLOOKUP(J2642,辅助信息!H:I,2,FALSE)</f>
        <v>13668153241</v>
      </c>
      <c r="L2642" s="102" t="str">
        <f>VLOOKUP(B2642,辅助信息!E:J,6,FALSE)</f>
        <v>联系实际收货人（范增云13668153241）现场要求炉批号控制2个以下，超2个不给予签收。提前联系到场规格及数量</v>
      </c>
      <c r="M2642" s="84">
        <v>45875</v>
      </c>
      <c r="O2642" s="55">
        <f ca="1" t="shared" si="161"/>
        <v>0</v>
      </c>
      <c r="P2642" s="55">
        <f ca="1" t="shared" si="162"/>
        <v>82</v>
      </c>
      <c r="Q2642" s="22" t="str">
        <f>VLOOKUP(B2642,辅助信息!E:M,9,FALSE)</f>
        <v>ZTWM-CDGS-XS-2025-0125-四川机司-乐山市校地共建产教融合基地配套设施项目施工一标段钢筋采购合同</v>
      </c>
      <c r="R2642" s="22" t="str">
        <f>_xlfn._xlws.FILTER(辅助信息!D:D,辅助信息!E:E=B2642)</f>
        <v>乐山市校地共建产教融合基地建设项目一标段</v>
      </c>
    </row>
    <row r="2643" hidden="1" spans="2:18">
      <c r="B2643" s="33" t="s">
        <v>187</v>
      </c>
      <c r="C2643" s="63">
        <v>45875</v>
      </c>
      <c r="D2643" s="33" t="str">
        <f>VLOOKUP(B2643,辅助信息!E:K,7,FALSE)</f>
        <v>JWDDCD2025072900121</v>
      </c>
      <c r="E2643" s="33" t="str">
        <f>VLOOKUP(F2643,辅助信息!A:B,2,FALSE)</f>
        <v>螺纹钢</v>
      </c>
      <c r="F2643" s="33" t="s">
        <v>201</v>
      </c>
      <c r="G2643" s="29">
        <v>6</v>
      </c>
      <c r="H2643" s="127">
        <f>_xlfn.XLOOKUP(C2643&amp;F2643&amp;I2643&amp;J2643,'[1]2025年已发货'!$F:$F&amp;'[1]2025年已发货'!$C:$C&amp;'[1]2025年已发货'!$G:$G&amp;'[1]2025年已发货'!$H:$H,'[1]2025年已发货'!$E:$E,"未发货")</f>
        <v>5</v>
      </c>
      <c r="I2643" s="33" t="str">
        <f>VLOOKUP(B2643,辅助信息!E:I,3,FALSE)</f>
        <v>(乐山市校地共建产教融合基地建设项目一标段)四川省乐山市市中区苏稽镇周山嘴</v>
      </c>
      <c r="J2643" s="33" t="str">
        <f>VLOOKUP(B2643,辅助信息!E:I,4,FALSE)</f>
        <v>范增云</v>
      </c>
      <c r="K2643" s="33">
        <f>VLOOKUP(J2643,辅助信息!H:I,2,FALSE)</f>
        <v>13668153241</v>
      </c>
      <c r="L2643" s="102" t="str">
        <f>VLOOKUP(B2643,辅助信息!E:J,6,FALSE)</f>
        <v>联系实际收货人（范增云13668153241）现场要求炉批号控制2个以下，超2个不给予签收。提前联系到场规格及数量</v>
      </c>
      <c r="M2643" s="84">
        <v>45875</v>
      </c>
      <c r="O2643" s="55">
        <f ca="1" t="shared" si="161"/>
        <v>0</v>
      </c>
      <c r="P2643" s="55">
        <f ca="1" t="shared" si="162"/>
        <v>82</v>
      </c>
      <c r="Q2643" s="22" t="str">
        <f>VLOOKUP(B2643,辅助信息!E:M,9,FALSE)</f>
        <v>ZTWM-CDGS-XS-2025-0125-四川机司-乐山市校地共建产教融合基地配套设施项目施工一标段钢筋采购合同</v>
      </c>
      <c r="R2643" s="22" t="str">
        <f>_xlfn._xlws.FILTER(辅助信息!D:D,辅助信息!E:E=B2643)</f>
        <v>乐山市校地共建产教融合基地建设项目一标段</v>
      </c>
    </row>
    <row r="2644" hidden="1" spans="2:18">
      <c r="B2644" s="113" t="s">
        <v>194</v>
      </c>
      <c r="C2644" s="63">
        <v>45876</v>
      </c>
      <c r="D2644" s="113" t="str">
        <f>VLOOKUP(B2644,辅助信息!E:K,7,FALSE)</f>
        <v>JWDD2025071500089</v>
      </c>
      <c r="E2644" s="113" t="str">
        <f>VLOOKUP(F2644,辅助信息!A:B,2,FALSE)</f>
        <v>盘螺</v>
      </c>
      <c r="F2644" s="113" t="s">
        <v>40</v>
      </c>
      <c r="G2644" s="114">
        <v>10</v>
      </c>
      <c r="H2644" s="127" t="str">
        <f>_xlfn.XLOOKUP(C2644&amp;F2644&amp;I2644&amp;J2644,'[1]2025年已发货'!$F:$F&amp;'[1]2025年已发货'!$C:$C&amp;'[1]2025年已发货'!$G:$G&amp;'[1]2025年已发货'!$H:$H,'[1]2025年已发货'!$E:$E,"未发货")</f>
        <v>未发货</v>
      </c>
      <c r="I2644" s="113" t="str">
        <f>VLOOKUP(B2644,辅助信息!E:I,3,FALSE)</f>
        <v>(宜宾兴港三江新区长江工业园保障性租赁住房建设项目-土建)四川省宜宾市翠屏区永善路南段宜宾市三江新区长江工业园区</v>
      </c>
      <c r="J2644" s="113" t="str">
        <f>VLOOKUP(B2644,辅助信息!E:I,4,FALSE)</f>
        <v>赵元虎</v>
      </c>
      <c r="K2644" s="113">
        <f>VLOOKUP(J2644,辅助信息!H:I,2,FALSE)</f>
        <v>13684167136</v>
      </c>
      <c r="L2644" s="115" t="str">
        <f>VLOOKUP(B2644,辅助信息!E:J,6,FALSE)</f>
        <v>现场要求调度统一联系指定收货人，不单独发司机位置。锈货不收，装货前联系收货人核实到场规格,没提前告知进场规格现场不给予接收</v>
      </c>
      <c r="M2644" s="84">
        <v>45875</v>
      </c>
      <c r="O2644" s="55">
        <f ca="1" t="shared" si="161"/>
        <v>0</v>
      </c>
      <c r="P2644" s="55">
        <f ca="1" t="shared" si="162"/>
        <v>82</v>
      </c>
      <c r="Q2644" s="22" t="str">
        <f>VLOOKUP(B2644,辅助信息!E:M,9,FALSE)</f>
        <v>ZTWM-CDYXGS-XS-2025-0014-宜宾兴港建材-三江新区长江工业园片区保障性租赁住房建设项目</v>
      </c>
      <c r="R2644" s="22" t="str">
        <f>_xlfn._xlws.FILTER(辅助信息!D:D,辅助信息!E:E=B2644)</f>
        <v>宜宾兴港三江新区长江工业园建设项目</v>
      </c>
    </row>
    <row r="2645" hidden="1" spans="2:18">
      <c r="B2645" s="113" t="s">
        <v>194</v>
      </c>
      <c r="C2645" s="63">
        <v>45876</v>
      </c>
      <c r="D2645" s="113" t="str">
        <f>VLOOKUP(B2645,辅助信息!E:K,7,FALSE)</f>
        <v>JWDD2025071500089</v>
      </c>
      <c r="E2645" s="113" t="str">
        <f>VLOOKUP(F2645,辅助信息!A:B,2,FALSE)</f>
        <v>盘螺</v>
      </c>
      <c r="F2645" s="113" t="s">
        <v>41</v>
      </c>
      <c r="G2645" s="114">
        <v>15</v>
      </c>
      <c r="H2645" s="127" t="str">
        <f>_xlfn.XLOOKUP(C2645&amp;F2645&amp;I2645&amp;J2645,'[1]2025年已发货'!$F:$F&amp;'[1]2025年已发货'!$C:$C&amp;'[1]2025年已发货'!$G:$G&amp;'[1]2025年已发货'!$H:$H,'[1]2025年已发货'!$E:$E,"未发货")</f>
        <v>未发货</v>
      </c>
      <c r="I2645" s="113" t="str">
        <f>VLOOKUP(B2645,辅助信息!E:I,3,FALSE)</f>
        <v>(宜宾兴港三江新区长江工业园保障性租赁住房建设项目-土建)四川省宜宾市翠屏区永善路南段宜宾市三江新区长江工业园区</v>
      </c>
      <c r="J2645" s="113" t="str">
        <f>VLOOKUP(B2645,辅助信息!E:I,4,FALSE)</f>
        <v>赵元虎</v>
      </c>
      <c r="K2645" s="113">
        <f>VLOOKUP(J2645,辅助信息!H:I,2,FALSE)</f>
        <v>13684167136</v>
      </c>
      <c r="L2645" s="115" t="str">
        <f>VLOOKUP(B2645,辅助信息!E:J,6,FALSE)</f>
        <v>现场要求调度统一联系指定收货人，不单独发司机位置。锈货不收，装货前联系收货人核实到场规格,没提前告知进场规格现场不给予接收</v>
      </c>
      <c r="M2645" s="84">
        <v>45875</v>
      </c>
      <c r="O2645" s="55">
        <f ca="1" t="shared" si="161"/>
        <v>0</v>
      </c>
      <c r="P2645" s="55">
        <f ca="1" t="shared" si="162"/>
        <v>82</v>
      </c>
      <c r="Q2645" s="22" t="str">
        <f>VLOOKUP(B2645,辅助信息!E:M,9,FALSE)</f>
        <v>ZTWM-CDYXGS-XS-2025-0014-宜宾兴港建材-三江新区长江工业园片区保障性租赁住房建设项目</v>
      </c>
      <c r="R2645" s="22" t="str">
        <f>_xlfn._xlws.FILTER(辅助信息!D:D,辅助信息!E:E=B2645)</f>
        <v>宜宾兴港三江新区长江工业园建设项目</v>
      </c>
    </row>
    <row r="2646" hidden="1" spans="2:18">
      <c r="B2646" s="113" t="s">
        <v>194</v>
      </c>
      <c r="C2646" s="63">
        <v>45876</v>
      </c>
      <c r="D2646" s="113" t="str">
        <f>VLOOKUP(B2646,辅助信息!E:K,7,FALSE)</f>
        <v>JWDD2025071500089</v>
      </c>
      <c r="E2646" s="113" t="str">
        <f>VLOOKUP(F2646,辅助信息!A:B,2,FALSE)</f>
        <v>螺纹钢</v>
      </c>
      <c r="F2646" s="113" t="s">
        <v>18</v>
      </c>
      <c r="G2646" s="114">
        <v>10</v>
      </c>
      <c r="H2646" s="127" t="str">
        <f>_xlfn.XLOOKUP(C2646&amp;F2646&amp;I2646&amp;J2646,'[1]2025年已发货'!$F:$F&amp;'[1]2025年已发货'!$C:$C&amp;'[1]2025年已发货'!$G:$G&amp;'[1]2025年已发货'!$H:$H,'[1]2025年已发货'!$E:$E,"未发货")</f>
        <v>未发货</v>
      </c>
      <c r="I2646" s="113" t="str">
        <f>VLOOKUP(B2646,辅助信息!E:I,3,FALSE)</f>
        <v>(宜宾兴港三江新区长江工业园保障性租赁住房建设项目-土建)四川省宜宾市翠屏区永善路南段宜宾市三江新区长江工业园区</v>
      </c>
      <c r="J2646" s="113" t="str">
        <f>VLOOKUP(B2646,辅助信息!E:I,4,FALSE)</f>
        <v>赵元虎</v>
      </c>
      <c r="K2646" s="113">
        <f>VLOOKUP(J2646,辅助信息!H:I,2,FALSE)</f>
        <v>13684167136</v>
      </c>
      <c r="L2646" s="115" t="str">
        <f>VLOOKUP(B2646,辅助信息!E:J,6,FALSE)</f>
        <v>现场要求调度统一联系指定收货人，不单独发司机位置。锈货不收，装货前联系收货人核实到场规格,没提前告知进场规格现场不给予接收</v>
      </c>
      <c r="M2646" s="84">
        <v>45875</v>
      </c>
      <c r="O2646" s="55">
        <f ca="1" t="shared" si="161"/>
        <v>0</v>
      </c>
      <c r="P2646" s="55">
        <f ca="1" t="shared" si="162"/>
        <v>82</v>
      </c>
      <c r="Q2646" s="22" t="str">
        <f>VLOOKUP(B2646,辅助信息!E:M,9,FALSE)</f>
        <v>ZTWM-CDYXGS-XS-2025-0014-宜宾兴港建材-三江新区长江工业园片区保障性租赁住房建设项目</v>
      </c>
      <c r="R2646" s="22" t="str">
        <f>_xlfn._xlws.FILTER(辅助信息!D:D,辅助信息!E:E=B2646)</f>
        <v>宜宾兴港三江新区长江工业园建设项目</v>
      </c>
    </row>
    <row r="2647" hidden="1" spans="2:18">
      <c r="B2647" s="33" t="s">
        <v>186</v>
      </c>
      <c r="C2647" s="63">
        <v>45877</v>
      </c>
      <c r="D2647" s="33" t="str">
        <f>VLOOKUP(B2647,辅助信息!E:K,7,FALSE)</f>
        <v>JWDDCD2025072900123</v>
      </c>
      <c r="E2647" s="33" t="str">
        <f>VLOOKUP(F2647,辅助信息!A:B,2,FALSE)</f>
        <v>盘螺</v>
      </c>
      <c r="F2647" s="33" t="s">
        <v>40</v>
      </c>
      <c r="G2647" s="132">
        <v>22.5</v>
      </c>
      <c r="H2647" s="127">
        <f>_xlfn.XLOOKUP(C2647&amp;F2647&amp;I2647&amp;J2647,'[1]2025年已发货'!$F:$F&amp;'[1]2025年已发货'!$C:$C&amp;'[1]2025年已发货'!$G:$G&amp;'[1]2025年已发货'!$H:$H,'[1]2025年已发货'!$E:$E,"未发货")</f>
        <v>22.5</v>
      </c>
      <c r="I2647" s="33" t="str">
        <f>VLOOKUP(B2647,辅助信息!E:I,3,FALSE)</f>
        <v>(乐山市校地共建产教融合基地建设项目二标段)四川省乐山市市中区苏稽镇</v>
      </c>
      <c r="J2647" s="33" t="str">
        <f>VLOOKUP(B2647,辅助信息!E:I,4,FALSE)</f>
        <v>彭江涛</v>
      </c>
      <c r="K2647" s="33">
        <f>VLOOKUP(J2647,辅助信息!H:I,2,FALSE)</f>
        <v>13990276572</v>
      </c>
      <c r="L2647" s="102" t="str">
        <f>VLOOKUP(B2647,辅助信息!E:J,6,FALSE)</f>
        <v>联系实际收货人（彭江涛13990276572）现场要求炉批号控制2个以下，超2个不给予签收。提前联系到场规格及数量</v>
      </c>
      <c r="O2647" s="55" t="str">
        <f ca="1" t="shared" si="161"/>
        <v/>
      </c>
      <c r="P2647" s="55" t="str">
        <f ca="1" t="shared" si="162"/>
        <v/>
      </c>
      <c r="Q2647" s="22" t="str">
        <f>VLOOKUP(B2647,辅助信息!E:M,9,FALSE)</f>
        <v>ZTWM-CDGS-XS-2025-0126-四川机司-乐山市校地共建产教融合基地配套设施项目施工二标段钢筋采购合同</v>
      </c>
      <c r="R2647" s="22" t="str">
        <f>_xlfn._xlws.FILTER(辅助信息!D:D,辅助信息!E:E=B2647)</f>
        <v>乐山市校地共建产教融合基地建设项目二标段</v>
      </c>
    </row>
    <row r="2648" hidden="1" spans="2:18">
      <c r="B2648" s="33" t="s">
        <v>186</v>
      </c>
      <c r="C2648" s="63">
        <v>45877</v>
      </c>
      <c r="D2648" s="33" t="str">
        <f>VLOOKUP(B2648,辅助信息!E:K,7,FALSE)</f>
        <v>JWDDCD2025072900123</v>
      </c>
      <c r="E2648" s="33" t="str">
        <f>VLOOKUP(F2648,辅助信息!A:B,2,FALSE)</f>
        <v>盘螺</v>
      </c>
      <c r="F2648" s="33" t="s">
        <v>41</v>
      </c>
      <c r="G2648" s="132">
        <v>29</v>
      </c>
      <c r="H2648" s="127">
        <f>_xlfn.XLOOKUP(C2648&amp;F2648&amp;I2648&amp;J2648,'[1]2025年已发货'!$F:$F&amp;'[1]2025年已发货'!$C:$C&amp;'[1]2025年已发货'!$G:$G&amp;'[1]2025年已发货'!$H:$H,'[1]2025年已发货'!$E:$E,"未发货")</f>
        <v>29</v>
      </c>
      <c r="I2648" s="33" t="str">
        <f>VLOOKUP(B2648,辅助信息!E:I,3,FALSE)</f>
        <v>(乐山市校地共建产教融合基地建设项目二标段)四川省乐山市市中区苏稽镇</v>
      </c>
      <c r="J2648" s="33" t="str">
        <f>VLOOKUP(B2648,辅助信息!E:I,4,FALSE)</f>
        <v>彭江涛</v>
      </c>
      <c r="K2648" s="33">
        <f>VLOOKUP(J2648,辅助信息!H:I,2,FALSE)</f>
        <v>13990276572</v>
      </c>
      <c r="L2648" s="102" t="str">
        <f>VLOOKUP(B2648,辅助信息!E:J,6,FALSE)</f>
        <v>联系实际收货人（彭江涛13990276572）现场要求炉批号控制2个以下，超2个不给予签收。提前联系到场规格及数量</v>
      </c>
      <c r="O2648" s="55" t="str">
        <f ca="1" t="shared" si="161"/>
        <v/>
      </c>
      <c r="P2648" s="55" t="str">
        <f ca="1" t="shared" si="162"/>
        <v/>
      </c>
      <c r="Q2648" s="22" t="str">
        <f>VLOOKUP(B2648,辅助信息!E:M,9,FALSE)</f>
        <v>ZTWM-CDGS-XS-2025-0126-四川机司-乐山市校地共建产教融合基地配套设施项目施工二标段钢筋采购合同</v>
      </c>
      <c r="R2648" s="22" t="str">
        <f>_xlfn._xlws.FILTER(辅助信息!D:D,辅助信息!E:E=B2648)</f>
        <v>乐山市校地共建产教融合基地建设项目二标段</v>
      </c>
    </row>
    <row r="2649" hidden="1" spans="2:18">
      <c r="B2649" s="33" t="s">
        <v>186</v>
      </c>
      <c r="C2649" s="63">
        <v>45877</v>
      </c>
      <c r="D2649" s="33" t="str">
        <f>VLOOKUP(B2649,辅助信息!E:K,7,FALSE)</f>
        <v>JWDDCD2025072900123</v>
      </c>
      <c r="E2649" s="33" t="str">
        <f>VLOOKUP(F2649,辅助信息!A:B,2,FALSE)</f>
        <v>盘螺</v>
      </c>
      <c r="F2649" s="33" t="s">
        <v>26</v>
      </c>
      <c r="G2649" s="132">
        <v>10.6</v>
      </c>
      <c r="H2649" s="127">
        <f>_xlfn.XLOOKUP(C2649&amp;F2649&amp;I2649&amp;J2649,'[1]2025年已发货'!$F:$F&amp;'[1]2025年已发货'!$C:$C&amp;'[1]2025年已发货'!$G:$G&amp;'[1]2025年已发货'!$H:$H,'[1]2025年已发货'!$E:$E,"未发货")</f>
        <v>10.6</v>
      </c>
      <c r="I2649" s="33" t="str">
        <f>VLOOKUP(B2649,辅助信息!E:I,3,FALSE)</f>
        <v>(乐山市校地共建产教融合基地建设项目二标段)四川省乐山市市中区苏稽镇</v>
      </c>
      <c r="J2649" s="33" t="str">
        <f>VLOOKUP(B2649,辅助信息!E:I,4,FALSE)</f>
        <v>彭江涛</v>
      </c>
      <c r="K2649" s="33">
        <f>VLOOKUP(J2649,辅助信息!H:I,2,FALSE)</f>
        <v>13990276572</v>
      </c>
      <c r="L2649" s="102" t="str">
        <f>VLOOKUP(B2649,辅助信息!E:J,6,FALSE)</f>
        <v>联系实际收货人（彭江涛13990276572）现场要求炉批号控制2个以下，超2个不给予签收。提前联系到场规格及数量</v>
      </c>
      <c r="O2649" s="55" t="str">
        <f ca="1" t="shared" si="161"/>
        <v/>
      </c>
      <c r="P2649" s="55" t="str">
        <f ca="1" t="shared" si="162"/>
        <v/>
      </c>
      <c r="Q2649" s="22" t="str">
        <f>VLOOKUP(B2649,辅助信息!E:M,9,FALSE)</f>
        <v>ZTWM-CDGS-XS-2025-0126-四川机司-乐山市校地共建产教融合基地配套设施项目施工二标段钢筋采购合同</v>
      </c>
      <c r="R2649" s="22" t="str">
        <f>_xlfn._xlws.FILTER(辅助信息!D:D,辅助信息!E:E=B2649)</f>
        <v>乐山市校地共建产教融合基地建设项目二标段</v>
      </c>
    </row>
    <row r="2650" hidden="1" spans="2:18">
      <c r="B2650" s="33" t="s">
        <v>186</v>
      </c>
      <c r="C2650" s="63">
        <v>45877</v>
      </c>
      <c r="D2650" s="33" t="str">
        <f>VLOOKUP(B2650,辅助信息!E:K,7,FALSE)</f>
        <v>JWDDCD2025072900123</v>
      </c>
      <c r="E2650" s="33" t="str">
        <f>VLOOKUP(F2650,辅助信息!A:B,2,FALSE)</f>
        <v>螺纹钢</v>
      </c>
      <c r="F2650" s="33" t="s">
        <v>111</v>
      </c>
      <c r="G2650" s="132">
        <v>10</v>
      </c>
      <c r="H2650" s="127">
        <f>_xlfn.XLOOKUP(C2650&amp;F2650&amp;I2650&amp;J2650,'[1]2025年已发货'!$F:$F&amp;'[1]2025年已发货'!$C:$C&amp;'[1]2025年已发货'!$G:$G&amp;'[1]2025年已发货'!$H:$H,'[1]2025年已发货'!$E:$E,"未发货")</f>
        <v>10</v>
      </c>
      <c r="I2650" s="33" t="str">
        <f>VLOOKUP(B2650,辅助信息!E:I,3,FALSE)</f>
        <v>(乐山市校地共建产教融合基地建设项目二标段)四川省乐山市市中区苏稽镇</v>
      </c>
      <c r="J2650" s="33" t="str">
        <f>VLOOKUP(B2650,辅助信息!E:I,4,FALSE)</f>
        <v>彭江涛</v>
      </c>
      <c r="K2650" s="33">
        <f>VLOOKUP(J2650,辅助信息!H:I,2,FALSE)</f>
        <v>13990276572</v>
      </c>
      <c r="L2650" s="102" t="str">
        <f>VLOOKUP(B2650,辅助信息!E:J,6,FALSE)</f>
        <v>联系实际收货人（彭江涛13990276572）现场要求炉批号控制2个以下，超2个不给予签收。提前联系到场规格及数量</v>
      </c>
      <c r="O2650" s="55" t="str">
        <f ca="1" t="shared" si="161"/>
        <v/>
      </c>
      <c r="P2650" s="55" t="str">
        <f ca="1" t="shared" si="162"/>
        <v/>
      </c>
      <c r="Q2650" s="22" t="str">
        <f>VLOOKUP(B2650,辅助信息!E:M,9,FALSE)</f>
        <v>ZTWM-CDGS-XS-2025-0126-四川机司-乐山市校地共建产教融合基地配套设施项目施工二标段钢筋采购合同</v>
      </c>
      <c r="R2650" s="22" t="str">
        <f>_xlfn._xlws.FILTER(辅助信息!D:D,辅助信息!E:E=B2650)</f>
        <v>乐山市校地共建产教融合基地建设项目二标段</v>
      </c>
    </row>
    <row r="2651" hidden="1" spans="2:18">
      <c r="B2651" s="33" t="s">
        <v>186</v>
      </c>
      <c r="C2651" s="63">
        <v>45877</v>
      </c>
      <c r="D2651" s="33" t="str">
        <f>VLOOKUP(B2651,辅助信息!E:K,7,FALSE)</f>
        <v>JWDDCD2025072900123</v>
      </c>
      <c r="E2651" s="33" t="str">
        <f>VLOOKUP(F2651,辅助信息!A:B,2,FALSE)</f>
        <v>螺纹钢</v>
      </c>
      <c r="F2651" s="33" t="s">
        <v>76</v>
      </c>
      <c r="G2651" s="132">
        <v>6.5</v>
      </c>
      <c r="H2651" s="127">
        <f>_xlfn.XLOOKUP(C2651&amp;F2651&amp;I2651&amp;J2651,'[1]2025年已发货'!$F:$F&amp;'[1]2025年已发货'!$C:$C&amp;'[1]2025年已发货'!$G:$G&amp;'[1]2025年已发货'!$H:$H,'[1]2025年已发货'!$E:$E,"未发货")</f>
        <v>6.5</v>
      </c>
      <c r="I2651" s="33" t="str">
        <f>VLOOKUP(B2651,辅助信息!E:I,3,FALSE)</f>
        <v>(乐山市校地共建产教融合基地建设项目二标段)四川省乐山市市中区苏稽镇</v>
      </c>
      <c r="J2651" s="33" t="str">
        <f>VLOOKUP(B2651,辅助信息!E:I,4,FALSE)</f>
        <v>彭江涛</v>
      </c>
      <c r="K2651" s="33">
        <f>VLOOKUP(J2651,辅助信息!H:I,2,FALSE)</f>
        <v>13990276572</v>
      </c>
      <c r="L2651" s="102" t="str">
        <f>VLOOKUP(B2651,辅助信息!E:J,6,FALSE)</f>
        <v>联系实际收货人（彭江涛13990276572）现场要求炉批号控制2个以下，超2个不给予签收。提前联系到场规格及数量</v>
      </c>
      <c r="O2651" s="55" t="str">
        <f ca="1" t="shared" si="161"/>
        <v/>
      </c>
      <c r="P2651" s="55" t="str">
        <f ca="1" t="shared" si="162"/>
        <v/>
      </c>
      <c r="Q2651" s="22" t="str">
        <f>VLOOKUP(B2651,辅助信息!E:M,9,FALSE)</f>
        <v>ZTWM-CDGS-XS-2025-0126-四川机司-乐山市校地共建产教融合基地配套设施项目施工二标段钢筋采购合同</v>
      </c>
      <c r="R2651" s="22" t="str">
        <f>_xlfn._xlws.FILTER(辅助信息!D:D,辅助信息!E:E=B2651)</f>
        <v>乐山市校地共建产教融合基地建设项目二标段</v>
      </c>
    </row>
    <row r="2652" hidden="1" spans="2:18">
      <c r="B2652" s="33" t="s">
        <v>186</v>
      </c>
      <c r="C2652" s="63">
        <v>45877</v>
      </c>
      <c r="D2652" s="33" t="str">
        <f>VLOOKUP(B2652,辅助信息!E:K,7,FALSE)</f>
        <v>JWDDCD2025072900123</v>
      </c>
      <c r="E2652" s="33" t="str">
        <f>VLOOKUP(F2652,辅助信息!A:B,2,FALSE)</f>
        <v>螺纹钢</v>
      </c>
      <c r="F2652" s="33" t="s">
        <v>19</v>
      </c>
      <c r="G2652" s="132">
        <v>3</v>
      </c>
      <c r="H2652" s="127">
        <f>_xlfn.XLOOKUP(C2652&amp;F2652&amp;I2652&amp;J2652,'[1]2025年已发货'!$F:$F&amp;'[1]2025年已发货'!$C:$C&amp;'[1]2025年已发货'!$G:$G&amp;'[1]2025年已发货'!$H:$H,'[1]2025年已发货'!$E:$E,"未发货")</f>
        <v>3</v>
      </c>
      <c r="I2652" s="33" t="str">
        <f>VLOOKUP(B2652,辅助信息!E:I,3,FALSE)</f>
        <v>(乐山市校地共建产教融合基地建设项目二标段)四川省乐山市市中区苏稽镇</v>
      </c>
      <c r="J2652" s="33" t="str">
        <f>VLOOKUP(B2652,辅助信息!E:I,4,FALSE)</f>
        <v>彭江涛</v>
      </c>
      <c r="K2652" s="33">
        <f>VLOOKUP(J2652,辅助信息!H:I,2,FALSE)</f>
        <v>13990276572</v>
      </c>
      <c r="L2652" s="102" t="str">
        <f>VLOOKUP(B2652,辅助信息!E:J,6,FALSE)</f>
        <v>联系实际收货人（彭江涛13990276572）现场要求炉批号控制2个以下，超2个不给予签收。提前联系到场规格及数量</v>
      </c>
      <c r="O2652" s="55" t="str">
        <f ca="1" t="shared" si="161"/>
        <v/>
      </c>
      <c r="P2652" s="55" t="str">
        <f ca="1" t="shared" si="162"/>
        <v/>
      </c>
      <c r="Q2652" s="22" t="str">
        <f>VLOOKUP(B2652,辅助信息!E:M,9,FALSE)</f>
        <v>ZTWM-CDGS-XS-2025-0126-四川机司-乐山市校地共建产教融合基地配套设施项目施工二标段钢筋采购合同</v>
      </c>
      <c r="R2652" s="22" t="str">
        <f>_xlfn._xlws.FILTER(辅助信息!D:D,辅助信息!E:E=B2652)</f>
        <v>乐山市校地共建产教融合基地建设项目二标段</v>
      </c>
    </row>
    <row r="2653" hidden="1" spans="2:18">
      <c r="B2653" s="33" t="s">
        <v>186</v>
      </c>
      <c r="C2653" s="63">
        <v>45877</v>
      </c>
      <c r="D2653" s="33" t="str">
        <f>VLOOKUP(B2653,辅助信息!E:K,7,FALSE)</f>
        <v>JWDDCD2025072900123</v>
      </c>
      <c r="E2653" s="33" t="str">
        <f>VLOOKUP(F2653,辅助信息!A:B,2,FALSE)</f>
        <v>螺纹钢</v>
      </c>
      <c r="F2653" s="33" t="s">
        <v>130</v>
      </c>
      <c r="G2653" s="132">
        <v>3</v>
      </c>
      <c r="H2653" s="127">
        <f>_xlfn.XLOOKUP(C2653&amp;F2653&amp;I2653&amp;J2653,'[1]2025年已发货'!$F:$F&amp;'[1]2025年已发货'!$C:$C&amp;'[1]2025年已发货'!$G:$G&amp;'[1]2025年已发货'!$H:$H,'[1]2025年已发货'!$E:$E,"未发货")</f>
        <v>3</v>
      </c>
      <c r="I2653" s="33" t="str">
        <f>VLOOKUP(B2653,辅助信息!E:I,3,FALSE)</f>
        <v>(乐山市校地共建产教融合基地建设项目二标段)四川省乐山市市中区苏稽镇</v>
      </c>
      <c r="J2653" s="33" t="str">
        <f>VLOOKUP(B2653,辅助信息!E:I,4,FALSE)</f>
        <v>彭江涛</v>
      </c>
      <c r="K2653" s="33">
        <f>VLOOKUP(J2653,辅助信息!H:I,2,FALSE)</f>
        <v>13990276572</v>
      </c>
      <c r="L2653" s="102" t="str">
        <f>VLOOKUP(B2653,辅助信息!E:J,6,FALSE)</f>
        <v>联系实际收货人（彭江涛13990276572）现场要求炉批号控制2个以下，超2个不给予签收。提前联系到场规格及数量</v>
      </c>
      <c r="O2653" s="55" t="str">
        <f ca="1" t="shared" ref="O2653:O2716" si="163">IF(OR(M2653="",N2653&lt;&gt;""),"",MAX(M2653-TODAY(),0))</f>
        <v/>
      </c>
      <c r="P2653" s="55" t="str">
        <f ca="1" t="shared" ref="P2653:P2716" si="164">IF(M2653="","",IF(N2653&lt;&gt;"",MAX(N2653-M2653,0),IF(TODAY()&gt;M2653,TODAY()-M2653,0)))</f>
        <v/>
      </c>
      <c r="Q2653" s="22" t="str">
        <f>VLOOKUP(B2653,辅助信息!E:M,9,FALSE)</f>
        <v>ZTWM-CDGS-XS-2025-0126-四川机司-乐山市校地共建产教融合基地配套设施项目施工二标段钢筋采购合同</v>
      </c>
      <c r="R2653" s="22" t="str">
        <f>_xlfn._xlws.FILTER(辅助信息!D:D,辅助信息!E:E=B2653)</f>
        <v>乐山市校地共建产教融合基地建设项目二标段</v>
      </c>
    </row>
    <row r="2654" hidden="1" spans="2:18">
      <c r="B2654" s="33" t="s">
        <v>186</v>
      </c>
      <c r="C2654" s="63">
        <v>45877</v>
      </c>
      <c r="D2654" s="33" t="str">
        <f>VLOOKUP(B2654,辅助信息!E:K,7,FALSE)</f>
        <v>JWDDCD2025072900123</v>
      </c>
      <c r="E2654" s="33" t="str">
        <f>VLOOKUP(F2654,辅助信息!A:B,2,FALSE)</f>
        <v>螺纹钢</v>
      </c>
      <c r="F2654" s="33" t="s">
        <v>133</v>
      </c>
      <c r="G2654" s="132">
        <v>37</v>
      </c>
      <c r="H2654" s="127">
        <f>_xlfn.XLOOKUP(C2654&amp;F2654&amp;I2654&amp;J2654,'[1]2025年已发货'!$F:$F&amp;'[1]2025年已发货'!$C:$C&amp;'[1]2025年已发货'!$G:$G&amp;'[1]2025年已发货'!$H:$H,'[1]2025年已发货'!$E:$E,"未发货")</f>
        <v>37</v>
      </c>
      <c r="I2654" s="33" t="str">
        <f>VLOOKUP(B2654,辅助信息!E:I,3,FALSE)</f>
        <v>(乐山市校地共建产教融合基地建设项目二标段)四川省乐山市市中区苏稽镇</v>
      </c>
      <c r="J2654" s="33" t="str">
        <f>VLOOKUP(B2654,辅助信息!E:I,4,FALSE)</f>
        <v>彭江涛</v>
      </c>
      <c r="K2654" s="33">
        <f>VLOOKUP(J2654,辅助信息!H:I,2,FALSE)</f>
        <v>13990276572</v>
      </c>
      <c r="L2654" s="102" t="str">
        <f>VLOOKUP(B2654,辅助信息!E:J,6,FALSE)</f>
        <v>联系实际收货人（彭江涛13990276572）现场要求炉批号控制2个以下，超2个不给予签收。提前联系到场规格及数量</v>
      </c>
      <c r="O2654" s="55" t="str">
        <f ca="1" t="shared" si="163"/>
        <v/>
      </c>
      <c r="P2654" s="55" t="str">
        <f ca="1" t="shared" si="164"/>
        <v/>
      </c>
      <c r="Q2654" s="22" t="str">
        <f>VLOOKUP(B2654,辅助信息!E:M,9,FALSE)</f>
        <v>ZTWM-CDGS-XS-2025-0126-四川机司-乐山市校地共建产教融合基地配套设施项目施工二标段钢筋采购合同</v>
      </c>
      <c r="R2654" s="22" t="str">
        <f>_xlfn._xlws.FILTER(辅助信息!D:D,辅助信息!E:E=B2654)</f>
        <v>乐山市校地共建产教融合基地建设项目二标段</v>
      </c>
    </row>
    <row r="2655" hidden="1" spans="2:18">
      <c r="B2655" s="33" t="s">
        <v>186</v>
      </c>
      <c r="C2655" s="63">
        <v>45877</v>
      </c>
      <c r="D2655" s="33" t="str">
        <f>VLOOKUP(B2655,辅助信息!E:K,7,FALSE)</f>
        <v>JWDDCD2025072900123</v>
      </c>
      <c r="E2655" s="33" t="str">
        <f>VLOOKUP(F2655,辅助信息!A:B,2,FALSE)</f>
        <v>螺纹钢</v>
      </c>
      <c r="F2655" s="33" t="s">
        <v>91</v>
      </c>
      <c r="G2655" s="132">
        <v>37</v>
      </c>
      <c r="H2655" s="127">
        <f>_xlfn.XLOOKUP(C2655&amp;F2655&amp;I2655&amp;J2655,'[1]2025年已发货'!$F:$F&amp;'[1]2025年已发货'!$C:$C&amp;'[1]2025年已发货'!$G:$G&amp;'[1]2025年已发货'!$H:$H,'[1]2025年已发货'!$E:$E,"未发货")</f>
        <v>37</v>
      </c>
      <c r="I2655" s="33" t="str">
        <f>VLOOKUP(B2655,辅助信息!E:I,3,FALSE)</f>
        <v>(乐山市校地共建产教融合基地建设项目二标段)四川省乐山市市中区苏稽镇</v>
      </c>
      <c r="J2655" s="33" t="str">
        <f>VLOOKUP(B2655,辅助信息!E:I,4,FALSE)</f>
        <v>彭江涛</v>
      </c>
      <c r="K2655" s="33">
        <f>VLOOKUP(J2655,辅助信息!H:I,2,FALSE)</f>
        <v>13990276572</v>
      </c>
      <c r="L2655" s="102" t="str">
        <f>VLOOKUP(B2655,辅助信息!E:J,6,FALSE)</f>
        <v>联系实际收货人（彭江涛13990276572）现场要求炉批号控制2个以下，超2个不给予签收。提前联系到场规格及数量</v>
      </c>
      <c r="O2655" s="55" t="str">
        <f ca="1" t="shared" si="163"/>
        <v/>
      </c>
      <c r="P2655" s="55" t="str">
        <f ca="1" t="shared" si="164"/>
        <v/>
      </c>
      <c r="Q2655" s="22" t="str">
        <f>VLOOKUP(B2655,辅助信息!E:M,9,FALSE)</f>
        <v>ZTWM-CDGS-XS-2025-0126-四川机司-乐山市校地共建产教融合基地配套设施项目施工二标段钢筋采购合同</v>
      </c>
      <c r="R2655" s="22" t="str">
        <f>_xlfn._xlws.FILTER(辅助信息!D:D,辅助信息!E:E=B2655)</f>
        <v>乐山市校地共建产教融合基地建设项目二标段</v>
      </c>
    </row>
    <row r="2656" hidden="1" spans="2:18">
      <c r="B2656" s="33" t="s">
        <v>186</v>
      </c>
      <c r="C2656" s="63">
        <v>45877</v>
      </c>
      <c r="D2656" s="33" t="str">
        <f>VLOOKUP(B2656,辅助信息!E:K,7,FALSE)</f>
        <v>JWDDCD2025072900123</v>
      </c>
      <c r="E2656" s="33" t="str">
        <f>VLOOKUP(F2656,辅助信息!A:B,2,FALSE)</f>
        <v>螺纹钢</v>
      </c>
      <c r="F2656" s="33" t="s">
        <v>205</v>
      </c>
      <c r="G2656" s="132">
        <v>6.5</v>
      </c>
      <c r="H2656" s="127">
        <f>_xlfn.XLOOKUP(C2656&amp;F2656&amp;I2656&amp;J2656,'[1]2025年已发货'!$F:$F&amp;'[1]2025年已发货'!$C:$C&amp;'[1]2025年已发货'!$G:$G&amp;'[1]2025年已发货'!$H:$H,'[1]2025年已发货'!$E:$E,"未发货")</f>
        <v>6.5</v>
      </c>
      <c r="I2656" s="33" t="str">
        <f>VLOOKUP(B2656,辅助信息!E:I,3,FALSE)</f>
        <v>(乐山市校地共建产教融合基地建设项目二标段)四川省乐山市市中区苏稽镇</v>
      </c>
      <c r="J2656" s="33" t="str">
        <f>VLOOKUP(B2656,辅助信息!E:I,4,FALSE)</f>
        <v>彭江涛</v>
      </c>
      <c r="K2656" s="33">
        <f>VLOOKUP(J2656,辅助信息!H:I,2,FALSE)</f>
        <v>13990276572</v>
      </c>
      <c r="L2656" s="102" t="str">
        <f>VLOOKUP(B2656,辅助信息!E:J,6,FALSE)</f>
        <v>联系实际收货人（彭江涛13990276572）现场要求炉批号控制2个以下，超2个不给予签收。提前联系到场规格及数量</v>
      </c>
      <c r="O2656" s="55" t="str">
        <f ca="1" t="shared" si="163"/>
        <v/>
      </c>
      <c r="P2656" s="55" t="str">
        <f ca="1" t="shared" si="164"/>
        <v/>
      </c>
      <c r="Q2656" s="22" t="str">
        <f>VLOOKUP(B2656,辅助信息!E:M,9,FALSE)</f>
        <v>ZTWM-CDGS-XS-2025-0126-四川机司-乐山市校地共建产教融合基地配套设施项目施工二标段钢筋采购合同</v>
      </c>
      <c r="R2656" s="22" t="str">
        <f>_xlfn._xlws.FILTER(辅助信息!D:D,辅助信息!E:E=B2656)</f>
        <v>乐山市校地共建产教融合基地建设项目二标段</v>
      </c>
    </row>
    <row r="2657" hidden="1" spans="2:18">
      <c r="B2657" s="33" t="s">
        <v>186</v>
      </c>
      <c r="C2657" s="63">
        <v>45877</v>
      </c>
      <c r="D2657" s="33" t="str">
        <f>VLOOKUP(B2657,辅助信息!E:K,7,FALSE)</f>
        <v>JWDDCD2025072900123</v>
      </c>
      <c r="E2657" s="33" t="str">
        <f>VLOOKUP(F2657,辅助信息!A:B,2,FALSE)</f>
        <v>螺纹钢</v>
      </c>
      <c r="F2657" s="33" t="s">
        <v>140</v>
      </c>
      <c r="G2657" s="132">
        <v>22.6</v>
      </c>
      <c r="H2657" s="127">
        <f>_xlfn.XLOOKUP(C2657&amp;F2657&amp;I2657&amp;J2657,'[1]2025年已发货'!$F:$F&amp;'[1]2025年已发货'!$C:$C&amp;'[1]2025年已发货'!$G:$G&amp;'[1]2025年已发货'!$H:$H,'[1]2025年已发货'!$E:$E,"未发货")</f>
        <v>22.6</v>
      </c>
      <c r="I2657" s="33" t="str">
        <f>VLOOKUP(B2657,辅助信息!E:I,3,FALSE)</f>
        <v>(乐山市校地共建产教融合基地建设项目二标段)四川省乐山市市中区苏稽镇</v>
      </c>
      <c r="J2657" s="33" t="str">
        <f>VLOOKUP(B2657,辅助信息!E:I,4,FALSE)</f>
        <v>彭江涛</v>
      </c>
      <c r="K2657" s="33">
        <f>VLOOKUP(J2657,辅助信息!H:I,2,FALSE)</f>
        <v>13990276572</v>
      </c>
      <c r="L2657" s="102" t="str">
        <f>VLOOKUP(B2657,辅助信息!E:J,6,FALSE)</f>
        <v>联系实际收货人（彭江涛13990276572）现场要求炉批号控制2个以下，超2个不给予签收。提前联系到场规格及数量</v>
      </c>
      <c r="O2657" s="55" t="str">
        <f ca="1" t="shared" si="163"/>
        <v/>
      </c>
      <c r="P2657" s="55" t="str">
        <f ca="1" t="shared" si="164"/>
        <v/>
      </c>
      <c r="Q2657" s="22" t="str">
        <f>VLOOKUP(B2657,辅助信息!E:M,9,FALSE)</f>
        <v>ZTWM-CDGS-XS-2025-0126-四川机司-乐山市校地共建产教融合基地配套设施项目施工二标段钢筋采购合同</v>
      </c>
      <c r="R2657" s="22" t="str">
        <f>_xlfn._xlws.FILTER(辅助信息!D:D,辅助信息!E:E=B2657)</f>
        <v>乐山市校地共建产教融合基地建设项目二标段</v>
      </c>
    </row>
    <row r="2658" hidden="1" spans="2:18">
      <c r="B2658" s="33" t="s">
        <v>186</v>
      </c>
      <c r="C2658" s="63">
        <v>45877</v>
      </c>
      <c r="D2658" s="33" t="str">
        <f>VLOOKUP(B2658,辅助信息!E:K,7,FALSE)</f>
        <v>JWDDCD2025072900123</v>
      </c>
      <c r="E2658" s="33" t="str">
        <f>VLOOKUP(F2658,辅助信息!A:B,2,FALSE)</f>
        <v>螺纹钢</v>
      </c>
      <c r="F2658" s="33" t="s">
        <v>197</v>
      </c>
      <c r="G2658" s="132">
        <v>3</v>
      </c>
      <c r="H2658" s="127">
        <f>_xlfn.XLOOKUP(C2658&amp;F2658&amp;I2658&amp;J2658,'[1]2025年已发货'!$F:$F&amp;'[1]2025年已发货'!$C:$C&amp;'[1]2025年已发货'!$G:$G&amp;'[1]2025年已发货'!$H:$H,'[1]2025年已发货'!$E:$E,"未发货")</f>
        <v>3</v>
      </c>
      <c r="I2658" s="33" t="str">
        <f>VLOOKUP(B2658,辅助信息!E:I,3,FALSE)</f>
        <v>(乐山市校地共建产教融合基地建设项目二标段)四川省乐山市市中区苏稽镇</v>
      </c>
      <c r="J2658" s="33" t="str">
        <f>VLOOKUP(B2658,辅助信息!E:I,4,FALSE)</f>
        <v>彭江涛</v>
      </c>
      <c r="K2658" s="33">
        <f>VLOOKUP(J2658,辅助信息!H:I,2,FALSE)</f>
        <v>13990276572</v>
      </c>
      <c r="L2658" s="102" t="str">
        <f>VLOOKUP(B2658,辅助信息!E:J,6,FALSE)</f>
        <v>联系实际收货人（彭江涛13990276572）现场要求炉批号控制2个以下，超2个不给予签收。提前联系到场规格及数量</v>
      </c>
      <c r="O2658" s="55" t="str">
        <f ca="1" t="shared" si="163"/>
        <v/>
      </c>
      <c r="P2658" s="55" t="str">
        <f ca="1" t="shared" si="164"/>
        <v/>
      </c>
      <c r="Q2658" s="22" t="str">
        <f>VLOOKUP(B2658,辅助信息!E:M,9,FALSE)</f>
        <v>ZTWM-CDGS-XS-2025-0126-四川机司-乐山市校地共建产教融合基地配套设施项目施工二标段钢筋采购合同</v>
      </c>
      <c r="R2658" s="22" t="str">
        <f>_xlfn._xlws.FILTER(辅助信息!D:D,辅助信息!E:E=B2658)</f>
        <v>乐山市校地共建产教融合基地建设项目二标段</v>
      </c>
    </row>
    <row r="2659" hidden="1" spans="2:18">
      <c r="B2659" s="33" t="s">
        <v>186</v>
      </c>
      <c r="C2659" s="63">
        <v>45877</v>
      </c>
      <c r="D2659" s="33" t="str">
        <f>VLOOKUP(B2659,辅助信息!E:K,7,FALSE)</f>
        <v>JWDDCD2025072900123</v>
      </c>
      <c r="E2659" s="33" t="str">
        <f>VLOOKUP(F2659,辅助信息!A:B,2,FALSE)</f>
        <v>螺纹钢</v>
      </c>
      <c r="F2659" s="33" t="s">
        <v>198</v>
      </c>
      <c r="G2659" s="132">
        <v>12.7</v>
      </c>
      <c r="H2659" s="127">
        <f>_xlfn.XLOOKUP(C2659&amp;F2659&amp;I2659&amp;J2659,'[1]2025年已发货'!$F:$F&amp;'[1]2025年已发货'!$C:$C&amp;'[1]2025年已发货'!$G:$G&amp;'[1]2025年已发货'!$H:$H,'[1]2025年已发货'!$E:$E,"未发货")</f>
        <v>12.7</v>
      </c>
      <c r="I2659" s="33" t="str">
        <f>VLOOKUP(B2659,辅助信息!E:I,3,FALSE)</f>
        <v>(乐山市校地共建产教融合基地建设项目二标段)四川省乐山市市中区苏稽镇</v>
      </c>
      <c r="J2659" s="33" t="str">
        <f>VLOOKUP(B2659,辅助信息!E:I,4,FALSE)</f>
        <v>彭江涛</v>
      </c>
      <c r="K2659" s="33">
        <f>VLOOKUP(J2659,辅助信息!H:I,2,FALSE)</f>
        <v>13990276572</v>
      </c>
      <c r="L2659" s="102" t="str">
        <f>VLOOKUP(B2659,辅助信息!E:J,6,FALSE)</f>
        <v>联系实际收货人（彭江涛13990276572）现场要求炉批号控制2个以下，超2个不给予签收。提前联系到场规格及数量</v>
      </c>
      <c r="O2659" s="55" t="str">
        <f ca="1" t="shared" si="163"/>
        <v/>
      </c>
      <c r="P2659" s="55" t="str">
        <f ca="1" t="shared" si="164"/>
        <v/>
      </c>
      <c r="Q2659" s="22" t="str">
        <f>VLOOKUP(B2659,辅助信息!E:M,9,FALSE)</f>
        <v>ZTWM-CDGS-XS-2025-0126-四川机司-乐山市校地共建产教融合基地配套设施项目施工二标段钢筋采购合同</v>
      </c>
      <c r="R2659" s="22" t="str">
        <f>_xlfn._xlws.FILTER(辅助信息!D:D,辅助信息!E:E=B2659)</f>
        <v>乐山市校地共建产教融合基地建设项目二标段</v>
      </c>
    </row>
    <row r="2660" hidden="1" spans="2:18">
      <c r="B2660" s="33" t="s">
        <v>186</v>
      </c>
      <c r="C2660" s="63">
        <v>45877</v>
      </c>
      <c r="D2660" s="33" t="str">
        <f>VLOOKUP(B2660,辅助信息!E:K,7,FALSE)</f>
        <v>JWDDCD2025072900123</v>
      </c>
      <c r="E2660" s="33" t="str">
        <f>VLOOKUP(F2660,辅助信息!A:B,2,FALSE)</f>
        <v>螺纹钢</v>
      </c>
      <c r="F2660" s="33" t="s">
        <v>58</v>
      </c>
      <c r="G2660" s="132">
        <v>3</v>
      </c>
      <c r="H2660" s="127">
        <f>_xlfn.XLOOKUP(C2660&amp;F2660&amp;I2660&amp;J2660,'[1]2025年已发货'!$F:$F&amp;'[1]2025年已发货'!$C:$C&amp;'[1]2025年已发货'!$G:$G&amp;'[1]2025年已发货'!$H:$H,'[1]2025年已发货'!$E:$E,"未发货")</f>
        <v>3</v>
      </c>
      <c r="I2660" s="33" t="str">
        <f>VLOOKUP(B2660,辅助信息!E:I,3,FALSE)</f>
        <v>(乐山市校地共建产教融合基地建设项目二标段)四川省乐山市市中区苏稽镇</v>
      </c>
      <c r="J2660" s="33" t="str">
        <f>VLOOKUP(B2660,辅助信息!E:I,4,FALSE)</f>
        <v>彭江涛</v>
      </c>
      <c r="K2660" s="33">
        <f>VLOOKUP(J2660,辅助信息!H:I,2,FALSE)</f>
        <v>13990276572</v>
      </c>
      <c r="L2660" s="102" t="str">
        <f>VLOOKUP(B2660,辅助信息!E:J,6,FALSE)</f>
        <v>联系实际收货人（彭江涛13990276572）现场要求炉批号控制2个以下，超2个不给予签收。提前联系到场规格及数量</v>
      </c>
      <c r="O2660" s="55" t="str">
        <f ca="1" t="shared" si="163"/>
        <v/>
      </c>
      <c r="P2660" s="55" t="str">
        <f ca="1" t="shared" si="164"/>
        <v/>
      </c>
      <c r="Q2660" s="22" t="str">
        <f>VLOOKUP(B2660,辅助信息!E:M,9,FALSE)</f>
        <v>ZTWM-CDGS-XS-2025-0126-四川机司-乐山市校地共建产教融合基地配套设施项目施工二标段钢筋采购合同</v>
      </c>
      <c r="R2660" s="22" t="str">
        <f>_xlfn._xlws.FILTER(辅助信息!D:D,辅助信息!E:E=B2660)</f>
        <v>乐山市校地共建产教融合基地建设项目二标段</v>
      </c>
    </row>
    <row r="2661" hidden="1" spans="2:18">
      <c r="B2661" s="33" t="s">
        <v>186</v>
      </c>
      <c r="C2661" s="63">
        <v>45877</v>
      </c>
      <c r="D2661" s="33" t="str">
        <f>VLOOKUP(B2661,辅助信息!E:K,7,FALSE)</f>
        <v>JWDDCD2025072900123</v>
      </c>
      <c r="E2661" s="33" t="str">
        <f>VLOOKUP(F2661,辅助信息!A:B,2,FALSE)</f>
        <v>螺纹钢</v>
      </c>
      <c r="F2661" s="33" t="s">
        <v>199</v>
      </c>
      <c r="G2661" s="132">
        <v>26.6</v>
      </c>
      <c r="H2661" s="127">
        <f>_xlfn.XLOOKUP(C2661&amp;F2661&amp;I2661&amp;J2661,'[1]2025年已发货'!$F:$F&amp;'[1]2025年已发货'!$C:$C&amp;'[1]2025年已发货'!$G:$G&amp;'[1]2025年已发货'!$H:$H,'[1]2025年已发货'!$E:$E,"未发货")</f>
        <v>26.6</v>
      </c>
      <c r="I2661" s="33" t="str">
        <f>VLOOKUP(B2661,辅助信息!E:I,3,FALSE)</f>
        <v>(乐山市校地共建产教融合基地建设项目二标段)四川省乐山市市中区苏稽镇</v>
      </c>
      <c r="J2661" s="33" t="str">
        <f>VLOOKUP(B2661,辅助信息!E:I,4,FALSE)</f>
        <v>彭江涛</v>
      </c>
      <c r="K2661" s="33">
        <f>VLOOKUP(J2661,辅助信息!H:I,2,FALSE)</f>
        <v>13990276572</v>
      </c>
      <c r="L2661" s="102" t="str">
        <f>VLOOKUP(B2661,辅助信息!E:J,6,FALSE)</f>
        <v>联系实际收货人（彭江涛13990276572）现场要求炉批号控制2个以下，超2个不给予签收。提前联系到场规格及数量</v>
      </c>
      <c r="O2661" s="55" t="str">
        <f ca="1" t="shared" si="163"/>
        <v/>
      </c>
      <c r="P2661" s="55" t="str">
        <f ca="1" t="shared" si="164"/>
        <v/>
      </c>
      <c r="Q2661" s="22" t="str">
        <f>VLOOKUP(B2661,辅助信息!E:M,9,FALSE)</f>
        <v>ZTWM-CDGS-XS-2025-0126-四川机司-乐山市校地共建产教融合基地配套设施项目施工二标段钢筋采购合同</v>
      </c>
      <c r="R2661" s="22" t="str">
        <f>_xlfn._xlws.FILTER(辅助信息!D:D,辅助信息!E:E=B2661)</f>
        <v>乐山市校地共建产教融合基地建设项目二标段</v>
      </c>
    </row>
    <row r="2662" hidden="1" spans="2:18">
      <c r="B2662" s="33" t="s">
        <v>186</v>
      </c>
      <c r="C2662" s="63">
        <v>45877</v>
      </c>
      <c r="D2662" s="33" t="str">
        <f>VLOOKUP(B2662,辅助信息!E:K,7,FALSE)</f>
        <v>JWDDCD2025072900123</v>
      </c>
      <c r="E2662" s="33" t="str">
        <f>VLOOKUP(F2662,辅助信息!A:B,2,FALSE)</f>
        <v>螺纹钢</v>
      </c>
      <c r="F2662" s="33" t="s">
        <v>46</v>
      </c>
      <c r="G2662" s="132">
        <v>3</v>
      </c>
      <c r="H2662" s="127">
        <f>_xlfn.XLOOKUP(C2662&amp;F2662&amp;I2662&amp;J2662,'[1]2025年已发货'!$F:$F&amp;'[1]2025年已发货'!$C:$C&amp;'[1]2025年已发货'!$G:$G&amp;'[1]2025年已发货'!$H:$H,'[1]2025年已发货'!$E:$E,"未发货")</f>
        <v>3</v>
      </c>
      <c r="I2662" s="33" t="str">
        <f>VLOOKUP(B2662,辅助信息!E:I,3,FALSE)</f>
        <v>(乐山市校地共建产教融合基地建设项目二标段)四川省乐山市市中区苏稽镇</v>
      </c>
      <c r="J2662" s="33" t="str">
        <f>VLOOKUP(B2662,辅助信息!E:I,4,FALSE)</f>
        <v>彭江涛</v>
      </c>
      <c r="K2662" s="33">
        <f>VLOOKUP(J2662,辅助信息!H:I,2,FALSE)</f>
        <v>13990276572</v>
      </c>
      <c r="L2662" s="102" t="str">
        <f>VLOOKUP(B2662,辅助信息!E:J,6,FALSE)</f>
        <v>联系实际收货人（彭江涛13990276572）现场要求炉批号控制2个以下，超2个不给予签收。提前联系到场规格及数量</v>
      </c>
      <c r="O2662" s="55" t="str">
        <f ca="1" t="shared" si="163"/>
        <v/>
      </c>
      <c r="P2662" s="55" t="str">
        <f ca="1" t="shared" si="164"/>
        <v/>
      </c>
      <c r="Q2662" s="22" t="str">
        <f>VLOOKUP(B2662,辅助信息!E:M,9,FALSE)</f>
        <v>ZTWM-CDGS-XS-2025-0126-四川机司-乐山市校地共建产教融合基地配套设施项目施工二标段钢筋采购合同</v>
      </c>
      <c r="R2662" s="22" t="str">
        <f>_xlfn._xlws.FILTER(辅助信息!D:D,辅助信息!E:E=B2662)</f>
        <v>乐山市校地共建产教融合基地建设项目二标段</v>
      </c>
    </row>
    <row r="2663" hidden="1" spans="2:18">
      <c r="B2663" s="33" t="s">
        <v>186</v>
      </c>
      <c r="C2663" s="63">
        <v>45877</v>
      </c>
      <c r="D2663" s="33" t="str">
        <f>VLOOKUP(B2663,辅助信息!E:K,7,FALSE)</f>
        <v>JWDDCD2025072900123</v>
      </c>
      <c r="E2663" s="33" t="str">
        <f>VLOOKUP(F2663,辅助信息!A:B,2,FALSE)</f>
        <v>螺纹钢</v>
      </c>
      <c r="F2663" s="33" t="s">
        <v>141</v>
      </c>
      <c r="G2663" s="132">
        <v>30</v>
      </c>
      <c r="H2663" s="127">
        <f>_xlfn.XLOOKUP(C2663&amp;F2663&amp;I2663&amp;J2663,'[1]2025年已发货'!$F:$F&amp;'[1]2025年已发货'!$C:$C&amp;'[1]2025年已发货'!$G:$G&amp;'[1]2025年已发货'!$H:$H,'[1]2025年已发货'!$E:$E,"未发货")</f>
        <v>30</v>
      </c>
      <c r="I2663" s="33" t="str">
        <f>VLOOKUP(B2663,辅助信息!E:I,3,FALSE)</f>
        <v>(乐山市校地共建产教融合基地建设项目二标段)四川省乐山市市中区苏稽镇</v>
      </c>
      <c r="J2663" s="33" t="str">
        <f>VLOOKUP(B2663,辅助信息!E:I,4,FALSE)</f>
        <v>彭江涛</v>
      </c>
      <c r="K2663" s="33">
        <f>VLOOKUP(J2663,辅助信息!H:I,2,FALSE)</f>
        <v>13990276572</v>
      </c>
      <c r="L2663" s="102" t="str">
        <f>VLOOKUP(B2663,辅助信息!E:J,6,FALSE)</f>
        <v>联系实际收货人（彭江涛13990276572）现场要求炉批号控制2个以下，超2个不给予签收。提前联系到场规格及数量</v>
      </c>
      <c r="O2663" s="55" t="str">
        <f ca="1" t="shared" si="163"/>
        <v/>
      </c>
      <c r="P2663" s="55" t="str">
        <f ca="1" t="shared" si="164"/>
        <v/>
      </c>
      <c r="Q2663" s="22" t="str">
        <f>VLOOKUP(B2663,辅助信息!E:M,9,FALSE)</f>
        <v>ZTWM-CDGS-XS-2025-0126-四川机司-乐山市校地共建产教融合基地配套设施项目施工二标段钢筋采购合同</v>
      </c>
      <c r="R2663" s="22" t="str">
        <f>_xlfn._xlws.FILTER(辅助信息!D:D,辅助信息!E:E=B2663)</f>
        <v>乐山市校地共建产教融合基地建设项目二标段</v>
      </c>
    </row>
    <row r="2664" hidden="1" spans="2:18">
      <c r="B2664" s="33" t="s">
        <v>186</v>
      </c>
      <c r="C2664" s="63">
        <v>45877</v>
      </c>
      <c r="D2664" s="33" t="str">
        <f>VLOOKUP(B2664,辅助信息!E:K,7,FALSE)</f>
        <v>JWDDCD2025072900123</v>
      </c>
      <c r="E2664" s="33" t="str">
        <f>VLOOKUP(F2664,辅助信息!A:B,2,FALSE)</f>
        <v>螺纹钢</v>
      </c>
      <c r="F2664" s="33" t="s">
        <v>22</v>
      </c>
      <c r="G2664" s="132">
        <v>4</v>
      </c>
      <c r="H2664" s="127">
        <f>_xlfn.XLOOKUP(C2664&amp;F2664&amp;I2664&amp;J2664,'[1]2025年已发货'!$F:$F&amp;'[1]2025年已发货'!$C:$C&amp;'[1]2025年已发货'!$G:$G&amp;'[1]2025年已发货'!$H:$H,'[1]2025年已发货'!$E:$E,"未发货")</f>
        <v>4</v>
      </c>
      <c r="I2664" s="33" t="str">
        <f>VLOOKUP(B2664,辅助信息!E:I,3,FALSE)</f>
        <v>(乐山市校地共建产教融合基地建设项目二标段)四川省乐山市市中区苏稽镇</v>
      </c>
      <c r="J2664" s="33" t="str">
        <f>VLOOKUP(B2664,辅助信息!E:I,4,FALSE)</f>
        <v>彭江涛</v>
      </c>
      <c r="K2664" s="33">
        <f>VLOOKUP(J2664,辅助信息!H:I,2,FALSE)</f>
        <v>13990276572</v>
      </c>
      <c r="L2664" s="102" t="str">
        <f>VLOOKUP(B2664,辅助信息!E:J,6,FALSE)</f>
        <v>联系实际收货人（彭江涛13990276572）现场要求炉批号控制2个以下，超2个不给予签收。提前联系到场规格及数量</v>
      </c>
      <c r="O2664" s="55" t="str">
        <f ca="1" t="shared" si="163"/>
        <v/>
      </c>
      <c r="P2664" s="55" t="str">
        <f ca="1" t="shared" si="164"/>
        <v/>
      </c>
      <c r="Q2664" s="22" t="str">
        <f>VLOOKUP(B2664,辅助信息!E:M,9,FALSE)</f>
        <v>ZTWM-CDGS-XS-2025-0126-四川机司-乐山市校地共建产教融合基地配套设施项目施工二标段钢筋采购合同</v>
      </c>
      <c r="R2664" s="22" t="str">
        <f>_xlfn._xlws.FILTER(辅助信息!D:D,辅助信息!E:E=B2664)</f>
        <v>乐山市校地共建产教融合基地建设项目二标段</v>
      </c>
    </row>
    <row r="2665" hidden="1" spans="2:18">
      <c r="B2665" s="33" t="s">
        <v>186</v>
      </c>
      <c r="C2665" s="63">
        <v>45877</v>
      </c>
      <c r="D2665" s="33" t="str">
        <f>VLOOKUP(B2665,辅助信息!E:K,7,FALSE)</f>
        <v>JWDDCD2025072900123</v>
      </c>
      <c r="E2665" s="33" t="str">
        <f>VLOOKUP(F2665,辅助信息!A:B,2,FALSE)</f>
        <v>螺纹钢</v>
      </c>
      <c r="F2665" s="33" t="s">
        <v>142</v>
      </c>
      <c r="G2665" s="132">
        <v>136</v>
      </c>
      <c r="H2665" s="127">
        <f>_xlfn.XLOOKUP(C2665&amp;F2665&amp;I2665&amp;J2665,'[1]2025年已发货'!$F:$F&amp;'[1]2025年已发货'!$C:$C&amp;'[1]2025年已发货'!$G:$G&amp;'[1]2025年已发货'!$H:$H,'[1]2025年已发货'!$E:$E,"未发货")</f>
        <v>136</v>
      </c>
      <c r="I2665" s="33" t="str">
        <f>VLOOKUP(B2665,辅助信息!E:I,3,FALSE)</f>
        <v>(乐山市校地共建产教融合基地建设项目二标段)四川省乐山市市中区苏稽镇</v>
      </c>
      <c r="J2665" s="33" t="str">
        <f>VLOOKUP(B2665,辅助信息!E:I,4,FALSE)</f>
        <v>彭江涛</v>
      </c>
      <c r="K2665" s="33">
        <f>VLOOKUP(J2665,辅助信息!H:I,2,FALSE)</f>
        <v>13990276572</v>
      </c>
      <c r="L2665" s="102" t="str">
        <f>VLOOKUP(B2665,辅助信息!E:J,6,FALSE)</f>
        <v>联系实际收货人（彭江涛13990276572）现场要求炉批号控制2个以下，超2个不给予签收。提前联系到场规格及数量</v>
      </c>
      <c r="O2665" s="55" t="str">
        <f ca="1" t="shared" si="163"/>
        <v/>
      </c>
      <c r="P2665" s="55" t="str">
        <f ca="1" t="shared" si="164"/>
        <v/>
      </c>
      <c r="Q2665" s="22" t="str">
        <f>VLOOKUP(B2665,辅助信息!E:M,9,FALSE)</f>
        <v>ZTWM-CDGS-XS-2025-0126-四川机司-乐山市校地共建产教融合基地配套设施项目施工二标段钢筋采购合同</v>
      </c>
      <c r="R2665" s="22" t="str">
        <f>_xlfn._xlws.FILTER(辅助信息!D:D,辅助信息!E:E=B2665)</f>
        <v>乐山市校地共建产教融合基地建设项目二标段</v>
      </c>
    </row>
    <row r="2666" hidden="1" spans="2:18">
      <c r="B2666" s="33" t="s">
        <v>186</v>
      </c>
      <c r="C2666" s="63">
        <v>45877</v>
      </c>
      <c r="D2666" s="33" t="str">
        <f>VLOOKUP(B2666,辅助信息!E:K,7,FALSE)</f>
        <v>JWDDCD2025072900123</v>
      </c>
      <c r="E2666" s="33" t="str">
        <f>VLOOKUP(F2666,辅助信息!A:B,2,FALSE)</f>
        <v>螺纹钢</v>
      </c>
      <c r="F2666" s="33" t="s">
        <v>181</v>
      </c>
      <c r="G2666" s="132">
        <v>5</v>
      </c>
      <c r="H2666" s="127">
        <f>_xlfn.XLOOKUP(C2666&amp;F2666&amp;I2666&amp;J2666,'[1]2025年已发货'!$F:$F&amp;'[1]2025年已发货'!$C:$C&amp;'[1]2025年已发货'!$G:$G&amp;'[1]2025年已发货'!$H:$H,'[1]2025年已发货'!$E:$E,"未发货")</f>
        <v>5</v>
      </c>
      <c r="I2666" s="33" t="str">
        <f>VLOOKUP(B2666,辅助信息!E:I,3,FALSE)</f>
        <v>(乐山市校地共建产教融合基地建设项目二标段)四川省乐山市市中区苏稽镇</v>
      </c>
      <c r="J2666" s="33" t="str">
        <f>VLOOKUP(B2666,辅助信息!E:I,4,FALSE)</f>
        <v>彭江涛</v>
      </c>
      <c r="K2666" s="33">
        <f>VLOOKUP(J2666,辅助信息!H:I,2,FALSE)</f>
        <v>13990276572</v>
      </c>
      <c r="L2666" s="102" t="str">
        <f>VLOOKUP(B2666,辅助信息!E:J,6,FALSE)</f>
        <v>联系实际收货人（彭江涛13990276572）现场要求炉批号控制2个以下，超2个不给予签收。提前联系到场规格及数量</v>
      </c>
      <c r="O2666" s="55" t="str">
        <f ca="1" t="shared" si="163"/>
        <v/>
      </c>
      <c r="P2666" s="55" t="str">
        <f ca="1" t="shared" si="164"/>
        <v/>
      </c>
      <c r="Q2666" s="22" t="str">
        <f>VLOOKUP(B2666,辅助信息!E:M,9,FALSE)</f>
        <v>ZTWM-CDGS-XS-2025-0126-四川机司-乐山市校地共建产教融合基地配套设施项目施工二标段钢筋采购合同</v>
      </c>
      <c r="R2666" s="22" t="str">
        <f>_xlfn._xlws.FILTER(辅助信息!D:D,辅助信息!E:E=B2666)</f>
        <v>乐山市校地共建产教融合基地建设项目二标段</v>
      </c>
    </row>
    <row r="2667" hidden="1" spans="2:18">
      <c r="B2667" s="33" t="s">
        <v>186</v>
      </c>
      <c r="C2667" s="63">
        <v>45877</v>
      </c>
      <c r="D2667" s="33" t="str">
        <f>VLOOKUP(B2667,辅助信息!E:K,7,FALSE)</f>
        <v>JWDDCD2025072900123</v>
      </c>
      <c r="E2667" s="33" t="str">
        <f>VLOOKUP(F2667,辅助信息!A:B,2,FALSE)</f>
        <v>螺纹钢</v>
      </c>
      <c r="F2667" s="33" t="s">
        <v>200</v>
      </c>
      <c r="G2667" s="132">
        <v>8</v>
      </c>
      <c r="H2667" s="127">
        <f>_xlfn.XLOOKUP(C2667&amp;F2667&amp;I2667&amp;J2667,'[1]2025年已发货'!$F:$F&amp;'[1]2025年已发货'!$C:$C&amp;'[1]2025年已发货'!$G:$G&amp;'[1]2025年已发货'!$H:$H,'[1]2025年已发货'!$E:$E,"未发货")</f>
        <v>8</v>
      </c>
      <c r="I2667" s="33" t="str">
        <f>VLOOKUP(B2667,辅助信息!E:I,3,FALSE)</f>
        <v>(乐山市校地共建产教融合基地建设项目二标段)四川省乐山市市中区苏稽镇</v>
      </c>
      <c r="J2667" s="33" t="str">
        <f>VLOOKUP(B2667,辅助信息!E:I,4,FALSE)</f>
        <v>彭江涛</v>
      </c>
      <c r="K2667" s="33">
        <f>VLOOKUP(J2667,辅助信息!H:I,2,FALSE)</f>
        <v>13990276572</v>
      </c>
      <c r="L2667" s="102" t="str">
        <f>VLOOKUP(B2667,辅助信息!E:J,6,FALSE)</f>
        <v>联系实际收货人（彭江涛13990276572）现场要求炉批号控制2个以下，超2个不给予签收。提前联系到场规格及数量</v>
      </c>
      <c r="O2667" s="55" t="str">
        <f ca="1" t="shared" si="163"/>
        <v/>
      </c>
      <c r="P2667" s="55" t="str">
        <f ca="1" t="shared" si="164"/>
        <v/>
      </c>
      <c r="Q2667" s="22" t="str">
        <f>VLOOKUP(B2667,辅助信息!E:M,9,FALSE)</f>
        <v>ZTWM-CDGS-XS-2025-0126-四川机司-乐山市校地共建产教融合基地配套设施项目施工二标段钢筋采购合同</v>
      </c>
      <c r="R2667" s="22" t="str">
        <f>_xlfn._xlws.FILTER(辅助信息!D:D,辅助信息!E:E=B2667)</f>
        <v>乐山市校地共建产教融合基地建设项目二标段</v>
      </c>
    </row>
    <row r="2668" hidden="1" spans="2:18">
      <c r="B2668" s="33" t="s">
        <v>186</v>
      </c>
      <c r="C2668" s="63">
        <v>45877</v>
      </c>
      <c r="D2668" s="33" t="str">
        <f>VLOOKUP(B2668,辅助信息!E:K,7,FALSE)</f>
        <v>JWDDCD2025072900123</v>
      </c>
      <c r="E2668" s="33" t="str">
        <f>VLOOKUP(F2668,辅助信息!A:B,2,FALSE)</f>
        <v>螺纹钢</v>
      </c>
      <c r="F2668" s="33" t="s">
        <v>182</v>
      </c>
      <c r="G2668" s="132">
        <v>14</v>
      </c>
      <c r="H2668" s="127">
        <f>_xlfn.XLOOKUP(C2668&amp;F2668&amp;I2668&amp;J2668,'[1]2025年已发货'!$F:$F&amp;'[1]2025年已发货'!$C:$C&amp;'[1]2025年已发货'!$G:$G&amp;'[1]2025年已发货'!$H:$H,'[1]2025年已发货'!$E:$E,"未发货")</f>
        <v>14</v>
      </c>
      <c r="I2668" s="33" t="str">
        <f>VLOOKUP(B2668,辅助信息!E:I,3,FALSE)</f>
        <v>(乐山市校地共建产教融合基地建设项目二标段)四川省乐山市市中区苏稽镇</v>
      </c>
      <c r="J2668" s="33" t="str">
        <f>VLOOKUP(B2668,辅助信息!E:I,4,FALSE)</f>
        <v>彭江涛</v>
      </c>
      <c r="K2668" s="33">
        <f>VLOOKUP(J2668,辅助信息!H:I,2,FALSE)</f>
        <v>13990276572</v>
      </c>
      <c r="L2668" s="102" t="str">
        <f>VLOOKUP(B2668,辅助信息!E:J,6,FALSE)</f>
        <v>联系实际收货人（彭江涛13990276572）现场要求炉批号控制2个以下，超2个不给予签收。提前联系到场规格及数量</v>
      </c>
      <c r="O2668" s="55" t="str">
        <f ca="1" t="shared" si="163"/>
        <v/>
      </c>
      <c r="P2668" s="55" t="str">
        <f ca="1" t="shared" si="164"/>
        <v/>
      </c>
      <c r="Q2668" s="22" t="str">
        <f>VLOOKUP(B2668,辅助信息!E:M,9,FALSE)</f>
        <v>ZTWM-CDGS-XS-2025-0126-四川机司-乐山市校地共建产教融合基地配套设施项目施工二标段钢筋采购合同</v>
      </c>
      <c r="R2668" s="22" t="str">
        <f>_xlfn._xlws.FILTER(辅助信息!D:D,辅助信息!E:E=B2668)</f>
        <v>乐山市校地共建产教融合基地建设项目二标段</v>
      </c>
    </row>
    <row r="2669" hidden="1" spans="2:18">
      <c r="B2669" s="33" t="s">
        <v>186</v>
      </c>
      <c r="C2669" s="63">
        <v>45877</v>
      </c>
      <c r="D2669" s="33" t="str">
        <f>VLOOKUP(B2669,辅助信息!E:K,7,FALSE)</f>
        <v>JWDDCD2025072900123</v>
      </c>
      <c r="E2669" s="33" t="str">
        <f>VLOOKUP(F2669,辅助信息!A:B,2,FALSE)</f>
        <v>螺纹钢</v>
      </c>
      <c r="F2669" s="33" t="s">
        <v>201</v>
      </c>
      <c r="G2669" s="132">
        <v>28</v>
      </c>
      <c r="H2669" s="127">
        <f>_xlfn.XLOOKUP(C2669&amp;F2669&amp;I2669&amp;J2669,'[1]2025年已发货'!$F:$F&amp;'[1]2025年已发货'!$C:$C&amp;'[1]2025年已发货'!$G:$G&amp;'[1]2025年已发货'!$H:$H,'[1]2025年已发货'!$E:$E,"未发货")</f>
        <v>28</v>
      </c>
      <c r="I2669" s="33" t="str">
        <f>VLOOKUP(B2669,辅助信息!E:I,3,FALSE)</f>
        <v>(乐山市校地共建产教融合基地建设项目二标段)四川省乐山市市中区苏稽镇</v>
      </c>
      <c r="J2669" s="33" t="str">
        <f>VLOOKUP(B2669,辅助信息!E:I,4,FALSE)</f>
        <v>彭江涛</v>
      </c>
      <c r="K2669" s="33">
        <f>VLOOKUP(J2669,辅助信息!H:I,2,FALSE)</f>
        <v>13990276572</v>
      </c>
      <c r="L2669" s="102" t="str">
        <f>VLOOKUP(B2669,辅助信息!E:J,6,FALSE)</f>
        <v>联系实际收货人（彭江涛13990276572）现场要求炉批号控制2个以下，超2个不给予签收。提前联系到场规格及数量</v>
      </c>
      <c r="O2669" s="55" t="str">
        <f ca="1" t="shared" si="163"/>
        <v/>
      </c>
      <c r="P2669" s="55" t="str">
        <f ca="1" t="shared" si="164"/>
        <v/>
      </c>
      <c r="Q2669" s="22" t="str">
        <f>VLOOKUP(B2669,辅助信息!E:M,9,FALSE)</f>
        <v>ZTWM-CDGS-XS-2025-0126-四川机司-乐山市校地共建产教融合基地配套设施项目施工二标段钢筋采购合同</v>
      </c>
      <c r="R2669" s="22" t="str">
        <f>_xlfn._xlws.FILTER(辅助信息!D:D,辅助信息!E:E=B2669)</f>
        <v>乐山市校地共建产教融合基地建设项目二标段</v>
      </c>
    </row>
    <row r="2670" hidden="1" spans="2:18">
      <c r="B2670" s="33" t="s">
        <v>167</v>
      </c>
      <c r="C2670" s="63">
        <v>45878</v>
      </c>
      <c r="D2670" s="33" t="str">
        <f>VLOOKUP(B2670,辅助信息!E:K,7,FALSE)</f>
        <v>JWDDCD2025102100473</v>
      </c>
      <c r="E2670" s="33" t="str">
        <f>VLOOKUP(F2670,辅助信息!A:B,2,FALSE)</f>
        <v>盘螺</v>
      </c>
      <c r="F2670" s="33" t="s">
        <v>49</v>
      </c>
      <c r="G2670" s="29">
        <v>5</v>
      </c>
      <c r="H2670" s="127">
        <f>_xlfn.XLOOKUP(C2670&amp;F2670&amp;I2670&amp;J2670,'[1]2025年已发货'!$F:$F&amp;'[1]2025年已发货'!$C:$C&amp;'[1]2025年已发货'!$G:$G&amp;'[1]2025年已发货'!$H:$H,'[1]2025年已发货'!$E:$E,"未发货")</f>
        <v>5</v>
      </c>
      <c r="I2670" s="33" t="str">
        <f>VLOOKUP(B2670,辅助信息!E:I,3,FALSE)</f>
        <v>(五冶建设扩建艺体中学二期工程)四川省成都市双流区光荣路成都艺体中学南200米</v>
      </c>
      <c r="J2670" s="33" t="str">
        <f>VLOOKUP(B2670,辅助信息!E:I,4,FALSE)</f>
        <v>谢序强</v>
      </c>
      <c r="K2670" s="33">
        <f>VLOOKUP(J2670,辅助信息!H:I,2,FALSE)</f>
        <v>13458588232</v>
      </c>
      <c r="L2670" s="102"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84">
        <v>45879</v>
      </c>
      <c r="O2670" s="55">
        <f ca="1" t="shared" si="163"/>
        <v>0</v>
      </c>
      <c r="P2670" s="55">
        <f ca="1" t="shared" si="164"/>
        <v>78</v>
      </c>
      <c r="Q2670" s="22" t="str">
        <f>VLOOKUP(B2670,辅助信息!E:M,9,FALSE)</f>
        <v>ZTWM-CDGS-XS-2025-0073-五冶天府-成都怡心湖片区及龙泉驿医院等项目</v>
      </c>
      <c r="R2670" s="22" t="str">
        <f>_xlfn._xlws.FILTER(辅助信息!D:D,辅助信息!E:E=B2670)</f>
        <v>五冶建设扩建艺体中学二期工程</v>
      </c>
    </row>
    <row r="2671" hidden="1" spans="2:18">
      <c r="B2671" s="33" t="s">
        <v>167</v>
      </c>
      <c r="C2671" s="63">
        <v>45878</v>
      </c>
      <c r="D2671" s="33" t="str">
        <f>VLOOKUP(B2671,辅助信息!E:K,7,FALSE)</f>
        <v>JWDDCD2025102100473</v>
      </c>
      <c r="E2671" s="33" t="str">
        <f>VLOOKUP(F2671,辅助信息!A:B,2,FALSE)</f>
        <v>盘螺</v>
      </c>
      <c r="F2671" s="33" t="s">
        <v>40</v>
      </c>
      <c r="G2671" s="29">
        <v>10</v>
      </c>
      <c r="H2671" s="127">
        <f>_xlfn.XLOOKUP(C2671&amp;F2671&amp;I2671&amp;J2671,'[1]2025年已发货'!$F:$F&amp;'[1]2025年已发货'!$C:$C&amp;'[1]2025年已发货'!$G:$G&amp;'[1]2025年已发货'!$H:$H,'[1]2025年已发货'!$E:$E,"未发货")</f>
        <v>10</v>
      </c>
      <c r="I2671" s="33" t="str">
        <f>VLOOKUP(B2671,辅助信息!E:I,3,FALSE)</f>
        <v>(五冶建设扩建艺体中学二期工程)四川省成都市双流区光荣路成都艺体中学南200米</v>
      </c>
      <c r="J2671" s="33" t="str">
        <f>VLOOKUP(B2671,辅助信息!E:I,4,FALSE)</f>
        <v>谢序强</v>
      </c>
      <c r="K2671" s="33">
        <f>VLOOKUP(J2671,辅助信息!H:I,2,FALSE)</f>
        <v>13458588232</v>
      </c>
      <c r="L2671" s="102"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84">
        <v>45879</v>
      </c>
      <c r="O2671" s="55">
        <f ca="1" t="shared" si="163"/>
        <v>0</v>
      </c>
      <c r="P2671" s="55">
        <f ca="1" t="shared" si="164"/>
        <v>78</v>
      </c>
      <c r="Q2671" s="22" t="str">
        <f>VLOOKUP(B2671,辅助信息!E:M,9,FALSE)</f>
        <v>ZTWM-CDGS-XS-2025-0073-五冶天府-成都怡心湖片区及龙泉驿医院等项目</v>
      </c>
      <c r="R2671" s="22" t="str">
        <f>_xlfn._xlws.FILTER(辅助信息!D:D,辅助信息!E:E=B2671)</f>
        <v>五冶建设扩建艺体中学二期工程</v>
      </c>
    </row>
    <row r="2672" hidden="1" spans="2:18">
      <c r="B2672" s="33" t="s">
        <v>167</v>
      </c>
      <c r="C2672" s="63">
        <v>45878</v>
      </c>
      <c r="D2672" s="33" t="str">
        <f>VLOOKUP(B2672,辅助信息!E:K,7,FALSE)</f>
        <v>JWDDCD2025102100473</v>
      </c>
      <c r="E2672" s="33" t="str">
        <f>VLOOKUP(F2672,辅助信息!A:B,2,FALSE)</f>
        <v>盘螺</v>
      </c>
      <c r="F2672" s="33" t="s">
        <v>41</v>
      </c>
      <c r="G2672" s="29">
        <v>30</v>
      </c>
      <c r="H2672" s="127">
        <f>_xlfn.XLOOKUP(C2672&amp;F2672&amp;I2672&amp;J2672,'[1]2025年已发货'!$F:$F&amp;'[1]2025年已发货'!$C:$C&amp;'[1]2025年已发货'!$G:$G&amp;'[1]2025年已发货'!$H:$H,'[1]2025年已发货'!$E:$E,"未发货")</f>
        <v>30</v>
      </c>
      <c r="I2672" s="33" t="str">
        <f>VLOOKUP(B2672,辅助信息!E:I,3,FALSE)</f>
        <v>(五冶建设扩建艺体中学二期工程)四川省成都市双流区光荣路成都艺体中学南200米</v>
      </c>
      <c r="J2672" s="33" t="str">
        <f>VLOOKUP(B2672,辅助信息!E:I,4,FALSE)</f>
        <v>谢序强</v>
      </c>
      <c r="K2672" s="33">
        <f>VLOOKUP(J2672,辅助信息!H:I,2,FALSE)</f>
        <v>13458588232</v>
      </c>
      <c r="L2672" s="102"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84">
        <v>45879</v>
      </c>
      <c r="O2672" s="55">
        <f ca="1" t="shared" si="163"/>
        <v>0</v>
      </c>
      <c r="P2672" s="55">
        <f ca="1" t="shared" si="164"/>
        <v>78</v>
      </c>
      <c r="Q2672" s="22" t="str">
        <f>VLOOKUP(B2672,辅助信息!E:M,9,FALSE)</f>
        <v>ZTWM-CDGS-XS-2025-0073-五冶天府-成都怡心湖片区及龙泉驿医院等项目</v>
      </c>
      <c r="R2672" s="22" t="str">
        <f>_xlfn._xlws.FILTER(辅助信息!D:D,辅助信息!E:E=B2672)</f>
        <v>五冶建设扩建艺体中学二期工程</v>
      </c>
    </row>
    <row r="2673" hidden="1" spans="2:18">
      <c r="B2673" s="33" t="s">
        <v>167</v>
      </c>
      <c r="C2673" s="63">
        <v>45878</v>
      </c>
      <c r="D2673" s="33" t="str">
        <f>VLOOKUP(B2673,辅助信息!E:K,7,FALSE)</f>
        <v>JWDDCD2025102100473</v>
      </c>
      <c r="E2673" s="33" t="str">
        <f>VLOOKUP(F2673,辅助信息!A:B,2,FALSE)</f>
        <v>螺纹钢</v>
      </c>
      <c r="F2673" s="33" t="s">
        <v>27</v>
      </c>
      <c r="G2673" s="29">
        <v>50</v>
      </c>
      <c r="H2673" s="127">
        <f>_xlfn.XLOOKUP(C2673&amp;F2673&amp;I2673&amp;J2673,'[1]2025年已发货'!$F:$F&amp;'[1]2025年已发货'!$C:$C&amp;'[1]2025年已发货'!$G:$G&amp;'[1]2025年已发货'!$H:$H,'[1]2025年已发货'!$E:$E,"未发货")</f>
        <v>50</v>
      </c>
      <c r="I2673" s="33" t="str">
        <f>VLOOKUP(B2673,辅助信息!E:I,3,FALSE)</f>
        <v>(五冶建设扩建艺体中学二期工程)四川省成都市双流区光荣路成都艺体中学南200米</v>
      </c>
      <c r="J2673" s="33" t="str">
        <f>VLOOKUP(B2673,辅助信息!E:I,4,FALSE)</f>
        <v>谢序强</v>
      </c>
      <c r="K2673" s="33">
        <f>VLOOKUP(J2673,辅助信息!H:I,2,FALSE)</f>
        <v>13458588232</v>
      </c>
      <c r="L2673" s="102"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84">
        <v>45879</v>
      </c>
      <c r="O2673" s="55">
        <f ca="1" t="shared" si="163"/>
        <v>0</v>
      </c>
      <c r="P2673" s="55">
        <f ca="1" t="shared" si="164"/>
        <v>78</v>
      </c>
      <c r="Q2673" s="22" t="str">
        <f>VLOOKUP(B2673,辅助信息!E:M,9,FALSE)</f>
        <v>ZTWM-CDGS-XS-2025-0073-五冶天府-成都怡心湖片区及龙泉驿医院等项目</v>
      </c>
      <c r="R2673" s="22" t="str">
        <f>_xlfn._xlws.FILTER(辅助信息!D:D,辅助信息!E:E=B2673)</f>
        <v>五冶建设扩建艺体中学二期工程</v>
      </c>
    </row>
    <row r="2674" hidden="1" spans="2:18">
      <c r="B2674" s="33" t="s">
        <v>167</v>
      </c>
      <c r="C2674" s="63">
        <v>45878</v>
      </c>
      <c r="D2674" s="33" t="str">
        <f>VLOOKUP(B2674,辅助信息!E:K,7,FALSE)</f>
        <v>JWDDCD2025102100473</v>
      </c>
      <c r="E2674" s="33" t="str">
        <f>VLOOKUP(F2674,辅助信息!A:B,2,FALSE)</f>
        <v>螺纹钢</v>
      </c>
      <c r="F2674" s="33" t="s">
        <v>19</v>
      </c>
      <c r="G2674" s="29">
        <v>40</v>
      </c>
      <c r="H2674" s="127">
        <f>_xlfn.XLOOKUP(C2674&amp;F2674&amp;I2674&amp;J2674,'[1]2025年已发货'!$F:$F&amp;'[1]2025年已发货'!$C:$C&amp;'[1]2025年已发货'!$G:$G&amp;'[1]2025年已发货'!$H:$H,'[1]2025年已发货'!$E:$E,"未发货")</f>
        <v>40</v>
      </c>
      <c r="I2674" s="33" t="str">
        <f>VLOOKUP(B2674,辅助信息!E:I,3,FALSE)</f>
        <v>(五冶建设扩建艺体中学二期工程)四川省成都市双流区光荣路成都艺体中学南200米</v>
      </c>
      <c r="J2674" s="33" t="str">
        <f>VLOOKUP(B2674,辅助信息!E:I,4,FALSE)</f>
        <v>谢序强</v>
      </c>
      <c r="K2674" s="33">
        <f>VLOOKUP(J2674,辅助信息!H:I,2,FALSE)</f>
        <v>13458588232</v>
      </c>
      <c r="L2674" s="102"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84">
        <v>45879</v>
      </c>
      <c r="O2674" s="55">
        <f ca="1" t="shared" si="163"/>
        <v>0</v>
      </c>
      <c r="P2674" s="55">
        <f ca="1" t="shared" si="164"/>
        <v>78</v>
      </c>
      <c r="Q2674" s="22" t="str">
        <f>VLOOKUP(B2674,辅助信息!E:M,9,FALSE)</f>
        <v>ZTWM-CDGS-XS-2025-0073-五冶天府-成都怡心湖片区及龙泉驿医院等项目</v>
      </c>
      <c r="R2674" s="22" t="str">
        <f>_xlfn._xlws.FILTER(辅助信息!D:D,辅助信息!E:E=B2674)</f>
        <v>五冶建设扩建艺体中学二期工程</v>
      </c>
    </row>
    <row r="2675" hidden="1" spans="2:18">
      <c r="B2675" s="33" t="s">
        <v>167</v>
      </c>
      <c r="C2675" s="63">
        <v>45878</v>
      </c>
      <c r="D2675" s="33" t="str">
        <f>VLOOKUP(B2675,辅助信息!E:K,7,FALSE)</f>
        <v>JWDDCD2025102100473</v>
      </c>
      <c r="E2675" s="33" t="str">
        <f>VLOOKUP(F2675,辅助信息!A:B,2,FALSE)</f>
        <v>螺纹钢</v>
      </c>
      <c r="F2675" s="33" t="s">
        <v>32</v>
      </c>
      <c r="G2675" s="29">
        <v>23</v>
      </c>
      <c r="H2675" s="127">
        <f>_xlfn.XLOOKUP(C2675&amp;F2675&amp;I2675&amp;J2675,'[1]2025年已发货'!$F:$F&amp;'[1]2025年已发货'!$C:$C&amp;'[1]2025年已发货'!$G:$G&amp;'[1]2025年已发货'!$H:$H,'[1]2025年已发货'!$E:$E,"未发货")</f>
        <v>23</v>
      </c>
      <c r="I2675" s="33" t="str">
        <f>VLOOKUP(B2675,辅助信息!E:I,3,FALSE)</f>
        <v>(五冶建设扩建艺体中学二期工程)四川省成都市双流区光荣路成都艺体中学南200米</v>
      </c>
      <c r="J2675" s="33" t="str">
        <f>VLOOKUP(B2675,辅助信息!E:I,4,FALSE)</f>
        <v>谢序强</v>
      </c>
      <c r="K2675" s="33">
        <f>VLOOKUP(J2675,辅助信息!H:I,2,FALSE)</f>
        <v>13458588232</v>
      </c>
      <c r="L2675" s="102"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84">
        <v>45879</v>
      </c>
      <c r="O2675" s="55">
        <f ca="1" t="shared" si="163"/>
        <v>0</v>
      </c>
      <c r="P2675" s="55">
        <f ca="1" t="shared" si="164"/>
        <v>78</v>
      </c>
      <c r="Q2675" s="22" t="str">
        <f>VLOOKUP(B2675,辅助信息!E:M,9,FALSE)</f>
        <v>ZTWM-CDGS-XS-2025-0073-五冶天府-成都怡心湖片区及龙泉驿医院等项目</v>
      </c>
      <c r="R2675" s="22" t="str">
        <f>_xlfn._xlws.FILTER(辅助信息!D:D,辅助信息!E:E=B2675)</f>
        <v>五冶建设扩建艺体中学二期工程</v>
      </c>
    </row>
    <row r="2676" hidden="1" spans="2:18">
      <c r="B2676" s="33" t="s">
        <v>167</v>
      </c>
      <c r="C2676" s="63">
        <v>45878</v>
      </c>
      <c r="D2676" s="33" t="str">
        <f>VLOOKUP(B2676,辅助信息!E:K,7,FALSE)</f>
        <v>JWDDCD2025102100473</v>
      </c>
      <c r="E2676" s="33" t="str">
        <f>VLOOKUP(F2676,辅助信息!A:B,2,FALSE)</f>
        <v>螺纹钢</v>
      </c>
      <c r="F2676" s="33" t="s">
        <v>33</v>
      </c>
      <c r="G2676" s="29">
        <v>5</v>
      </c>
      <c r="H2676" s="127">
        <f>_xlfn.XLOOKUP(C2676&amp;F2676&amp;I2676&amp;J2676,'[1]2025年已发货'!$F:$F&amp;'[1]2025年已发货'!$C:$C&amp;'[1]2025年已发货'!$G:$G&amp;'[1]2025年已发货'!$H:$H,'[1]2025年已发货'!$E:$E,"未发货")</f>
        <v>5</v>
      </c>
      <c r="I2676" s="33" t="str">
        <f>VLOOKUP(B2676,辅助信息!E:I,3,FALSE)</f>
        <v>(五冶建设扩建艺体中学二期工程)四川省成都市双流区光荣路成都艺体中学南200米</v>
      </c>
      <c r="J2676" s="33" t="str">
        <f>VLOOKUP(B2676,辅助信息!E:I,4,FALSE)</f>
        <v>谢序强</v>
      </c>
      <c r="K2676" s="33">
        <f>VLOOKUP(J2676,辅助信息!H:I,2,FALSE)</f>
        <v>13458588232</v>
      </c>
      <c r="L2676" s="102"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84">
        <v>45879</v>
      </c>
      <c r="O2676" s="55">
        <f ca="1" t="shared" si="163"/>
        <v>0</v>
      </c>
      <c r="P2676" s="55">
        <f ca="1" t="shared" si="164"/>
        <v>78</v>
      </c>
      <c r="Q2676" s="22" t="str">
        <f>VLOOKUP(B2676,辅助信息!E:M,9,FALSE)</f>
        <v>ZTWM-CDGS-XS-2025-0073-五冶天府-成都怡心湖片区及龙泉驿医院等项目</v>
      </c>
      <c r="R2676" s="22" t="str">
        <f>_xlfn._xlws.FILTER(辅助信息!D:D,辅助信息!E:E=B2676)</f>
        <v>五冶建设扩建艺体中学二期工程</v>
      </c>
    </row>
    <row r="2677" hidden="1" spans="2:18">
      <c r="B2677" s="33" t="s">
        <v>167</v>
      </c>
      <c r="C2677" s="63">
        <v>45878</v>
      </c>
      <c r="D2677" s="33" t="str">
        <f>VLOOKUP(B2677,辅助信息!E:K,7,FALSE)</f>
        <v>JWDDCD2025102100473</v>
      </c>
      <c r="E2677" s="33" t="str">
        <f>VLOOKUP(F2677,辅助信息!A:B,2,FALSE)</f>
        <v>螺纹钢</v>
      </c>
      <c r="F2677" s="33" t="s">
        <v>28</v>
      </c>
      <c r="G2677" s="29">
        <v>7.5</v>
      </c>
      <c r="H2677" s="127">
        <f>_xlfn.XLOOKUP(C2677&amp;F2677&amp;I2677&amp;J2677,'[1]2025年已发货'!$F:$F&amp;'[1]2025年已发货'!$C:$C&amp;'[1]2025年已发货'!$G:$G&amp;'[1]2025年已发货'!$H:$H,'[1]2025年已发货'!$E:$E,"未发货")</f>
        <v>7.5</v>
      </c>
      <c r="I2677" s="33" t="str">
        <f>VLOOKUP(B2677,辅助信息!E:I,3,FALSE)</f>
        <v>(五冶建设扩建艺体中学二期工程)四川省成都市双流区光荣路成都艺体中学南200米</v>
      </c>
      <c r="J2677" s="33" t="str">
        <f>VLOOKUP(B2677,辅助信息!E:I,4,FALSE)</f>
        <v>谢序强</v>
      </c>
      <c r="K2677" s="33">
        <f>VLOOKUP(J2677,辅助信息!H:I,2,FALSE)</f>
        <v>13458588232</v>
      </c>
      <c r="L2677" s="102"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84">
        <v>45879</v>
      </c>
      <c r="O2677" s="55">
        <f ca="1" t="shared" si="163"/>
        <v>0</v>
      </c>
      <c r="P2677" s="55">
        <f ca="1" t="shared" si="164"/>
        <v>78</v>
      </c>
      <c r="Q2677" s="22" t="str">
        <f>VLOOKUP(B2677,辅助信息!E:M,9,FALSE)</f>
        <v>ZTWM-CDGS-XS-2025-0073-五冶天府-成都怡心湖片区及龙泉驿医院等项目</v>
      </c>
      <c r="R2677" s="22" t="str">
        <f>_xlfn._xlws.FILTER(辅助信息!D:D,辅助信息!E:E=B2677)</f>
        <v>五冶建设扩建艺体中学二期工程</v>
      </c>
    </row>
    <row r="2678" hidden="1" spans="2:18">
      <c r="B2678" s="33" t="s">
        <v>167</v>
      </c>
      <c r="C2678" s="63">
        <v>45878</v>
      </c>
      <c r="D2678" s="33" t="str">
        <f>VLOOKUP(B2678,辅助信息!E:K,7,FALSE)</f>
        <v>JWDDCD2025102100473</v>
      </c>
      <c r="E2678" s="33" t="str">
        <f>VLOOKUP(F2678,辅助信息!A:B,2,FALSE)</f>
        <v>螺纹钢</v>
      </c>
      <c r="F2678" s="33" t="s">
        <v>18</v>
      </c>
      <c r="G2678" s="29">
        <v>20</v>
      </c>
      <c r="H2678" s="127">
        <f>_xlfn.XLOOKUP(C2678&amp;F2678&amp;I2678&amp;J2678,'[1]2025年已发货'!$F:$F&amp;'[1]2025年已发货'!$C:$C&amp;'[1]2025年已发货'!$G:$G&amp;'[1]2025年已发货'!$H:$H,'[1]2025年已发货'!$E:$E,"未发货")</f>
        <v>20</v>
      </c>
      <c r="I2678" s="33" t="str">
        <f>VLOOKUP(B2678,辅助信息!E:I,3,FALSE)</f>
        <v>(五冶建设扩建艺体中学二期工程)四川省成都市双流区光荣路成都艺体中学南200米</v>
      </c>
      <c r="J2678" s="33" t="str">
        <f>VLOOKUP(B2678,辅助信息!E:I,4,FALSE)</f>
        <v>谢序强</v>
      </c>
      <c r="K2678" s="33">
        <f>VLOOKUP(J2678,辅助信息!H:I,2,FALSE)</f>
        <v>13458588232</v>
      </c>
      <c r="L2678" s="102"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84">
        <v>45879</v>
      </c>
      <c r="O2678" s="55">
        <f ca="1" t="shared" si="163"/>
        <v>0</v>
      </c>
      <c r="P2678" s="55">
        <f ca="1" t="shared" si="164"/>
        <v>78</v>
      </c>
      <c r="Q2678" s="22" t="str">
        <f>VLOOKUP(B2678,辅助信息!E:M,9,FALSE)</f>
        <v>ZTWM-CDGS-XS-2025-0073-五冶天府-成都怡心湖片区及龙泉驿医院等项目</v>
      </c>
      <c r="R2678" s="22" t="str">
        <f>_xlfn._xlws.FILTER(辅助信息!D:D,辅助信息!E:E=B2678)</f>
        <v>五冶建设扩建艺体中学二期工程</v>
      </c>
    </row>
    <row r="2679" hidden="1" spans="2:18">
      <c r="B2679" s="33" t="s">
        <v>167</v>
      </c>
      <c r="C2679" s="63">
        <v>45878</v>
      </c>
      <c r="D2679" s="33" t="str">
        <f>VLOOKUP(B2679,辅助信息!E:K,7,FALSE)</f>
        <v>JWDDCD2025102100473</v>
      </c>
      <c r="E2679" s="33" t="str">
        <f>VLOOKUP(F2679,辅助信息!A:B,2,FALSE)</f>
        <v>螺纹钢</v>
      </c>
      <c r="F2679" s="33" t="s">
        <v>66</v>
      </c>
      <c r="G2679" s="29">
        <v>5</v>
      </c>
      <c r="H2679" s="127">
        <f>_xlfn.XLOOKUP(C2679&amp;F2679&amp;I2679&amp;J2679,'[1]2025年已发货'!$F:$F&amp;'[1]2025年已发货'!$C:$C&amp;'[1]2025年已发货'!$G:$G&amp;'[1]2025年已发货'!$H:$H,'[1]2025年已发货'!$E:$E,"未发货")</f>
        <v>5</v>
      </c>
      <c r="I2679" s="33" t="str">
        <f>VLOOKUP(B2679,辅助信息!E:I,3,FALSE)</f>
        <v>(五冶建设扩建艺体中学二期工程)四川省成都市双流区光荣路成都艺体中学南200米</v>
      </c>
      <c r="J2679" s="33" t="str">
        <f>VLOOKUP(B2679,辅助信息!E:I,4,FALSE)</f>
        <v>谢序强</v>
      </c>
      <c r="K2679" s="33">
        <f>VLOOKUP(J2679,辅助信息!H:I,2,FALSE)</f>
        <v>13458588232</v>
      </c>
      <c r="L2679" s="102"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84">
        <v>45879</v>
      </c>
      <c r="O2679" s="55">
        <f ca="1" t="shared" si="163"/>
        <v>0</v>
      </c>
      <c r="P2679" s="55">
        <f ca="1" t="shared" si="164"/>
        <v>78</v>
      </c>
      <c r="Q2679" s="22" t="str">
        <f>VLOOKUP(B2679,辅助信息!E:M,9,FALSE)</f>
        <v>ZTWM-CDGS-XS-2025-0073-五冶天府-成都怡心湖片区及龙泉驿医院等项目</v>
      </c>
      <c r="R2679" s="22" t="str">
        <f>_xlfn._xlws.FILTER(辅助信息!D:D,辅助信息!E:E=B2679)</f>
        <v>五冶建设扩建艺体中学二期工程</v>
      </c>
    </row>
    <row r="2680" hidden="1" spans="2:18">
      <c r="B2680" s="33" t="s">
        <v>167</v>
      </c>
      <c r="C2680" s="63">
        <v>45878</v>
      </c>
      <c r="D2680" s="33" t="str">
        <f>VLOOKUP(B2680,辅助信息!E:K,7,FALSE)</f>
        <v>JWDDCD2025102100473</v>
      </c>
      <c r="E2680" s="33" t="str">
        <f>VLOOKUP(F2680,辅助信息!A:B,2,FALSE)</f>
        <v>螺纹钢</v>
      </c>
      <c r="F2680" s="33" t="s">
        <v>82</v>
      </c>
      <c r="G2680" s="29">
        <v>5</v>
      </c>
      <c r="H2680" s="127">
        <f>_xlfn.XLOOKUP(C2680&amp;F2680&amp;I2680&amp;J2680,'[1]2025年已发货'!$F:$F&amp;'[1]2025年已发货'!$C:$C&amp;'[1]2025年已发货'!$G:$G&amp;'[1]2025年已发货'!$H:$H,'[1]2025年已发货'!$E:$E,"未发货")</f>
        <v>5</v>
      </c>
      <c r="I2680" s="33" t="str">
        <f>VLOOKUP(B2680,辅助信息!E:I,3,FALSE)</f>
        <v>(五冶建设扩建艺体中学二期工程)四川省成都市双流区光荣路成都艺体中学南200米</v>
      </c>
      <c r="J2680" s="33" t="str">
        <f>VLOOKUP(B2680,辅助信息!E:I,4,FALSE)</f>
        <v>谢序强</v>
      </c>
      <c r="K2680" s="33">
        <f>VLOOKUP(J2680,辅助信息!H:I,2,FALSE)</f>
        <v>13458588232</v>
      </c>
      <c r="L2680" s="102"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84">
        <v>45879</v>
      </c>
      <c r="O2680" s="55">
        <f ca="1" t="shared" si="163"/>
        <v>0</v>
      </c>
      <c r="P2680" s="55">
        <f ca="1" t="shared" si="164"/>
        <v>78</v>
      </c>
      <c r="Q2680" s="22" t="str">
        <f>VLOOKUP(B2680,辅助信息!E:M,9,FALSE)</f>
        <v>ZTWM-CDGS-XS-2025-0073-五冶天府-成都怡心湖片区及龙泉驿医院等项目</v>
      </c>
      <c r="R2680" s="22" t="str">
        <f>_xlfn._xlws.FILTER(辅助信息!D:D,辅助信息!E:E=B2680)</f>
        <v>五冶建设扩建艺体中学二期工程</v>
      </c>
    </row>
    <row r="2681" hidden="1" spans="2:18">
      <c r="B2681" s="33" t="s">
        <v>167</v>
      </c>
      <c r="C2681" s="63">
        <v>45878</v>
      </c>
      <c r="D2681" s="33" t="str">
        <f>VLOOKUP(B2681,辅助信息!E:K,7,FALSE)</f>
        <v>JWDDCD2025102100473</v>
      </c>
      <c r="E2681" s="33" t="str">
        <f>VLOOKUP(F2681,辅助信息!A:B,2,FALSE)</f>
        <v>螺纹钢</v>
      </c>
      <c r="F2681" s="33" t="s">
        <v>58</v>
      </c>
      <c r="G2681" s="29">
        <v>5</v>
      </c>
      <c r="H2681" s="127">
        <f>_xlfn.XLOOKUP(C2681&amp;F2681&amp;I2681&amp;J2681,'[1]2025年已发货'!$F:$F&amp;'[1]2025年已发货'!$C:$C&amp;'[1]2025年已发货'!$G:$G&amp;'[1]2025年已发货'!$H:$H,'[1]2025年已发货'!$E:$E,"未发货")</f>
        <v>5</v>
      </c>
      <c r="I2681" s="33" t="str">
        <f>VLOOKUP(B2681,辅助信息!E:I,3,FALSE)</f>
        <v>(五冶建设扩建艺体中学二期工程)四川省成都市双流区光荣路成都艺体中学南200米</v>
      </c>
      <c r="J2681" s="33" t="str">
        <f>VLOOKUP(B2681,辅助信息!E:I,4,FALSE)</f>
        <v>谢序强</v>
      </c>
      <c r="K2681" s="33">
        <f>VLOOKUP(J2681,辅助信息!H:I,2,FALSE)</f>
        <v>13458588232</v>
      </c>
      <c r="L2681" s="102"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84">
        <v>45879</v>
      </c>
      <c r="O2681" s="55">
        <f ca="1" t="shared" si="163"/>
        <v>0</v>
      </c>
      <c r="P2681" s="55">
        <f ca="1" t="shared" si="164"/>
        <v>78</v>
      </c>
      <c r="Q2681" s="22" t="str">
        <f>VLOOKUP(B2681,辅助信息!E:M,9,FALSE)</f>
        <v>ZTWM-CDGS-XS-2025-0073-五冶天府-成都怡心湖片区及龙泉驿医院等项目</v>
      </c>
      <c r="R2681" s="22" t="str">
        <f>_xlfn._xlws.FILTER(辅助信息!D:D,辅助信息!E:E=B2681)</f>
        <v>五冶建设扩建艺体中学二期工程</v>
      </c>
    </row>
    <row r="2682" hidden="1" spans="2:18">
      <c r="B2682" s="33" t="s">
        <v>167</v>
      </c>
      <c r="C2682" s="63">
        <v>45878</v>
      </c>
      <c r="D2682" s="33" t="str">
        <f>VLOOKUP(B2682,辅助信息!E:K,7,FALSE)</f>
        <v>JWDDCD2025102100473</v>
      </c>
      <c r="E2682" s="33" t="str">
        <f>VLOOKUP(F2682,辅助信息!A:B,2,FALSE)</f>
        <v>螺纹钢</v>
      </c>
      <c r="F2682" s="33" t="s">
        <v>22</v>
      </c>
      <c r="G2682" s="29">
        <v>15</v>
      </c>
      <c r="H2682" s="127">
        <f>_xlfn.XLOOKUP(C2682&amp;F2682&amp;I2682&amp;J2682,'[1]2025年已发货'!$F:$F&amp;'[1]2025年已发货'!$C:$C&amp;'[1]2025年已发货'!$G:$G&amp;'[1]2025年已发货'!$H:$H,'[1]2025年已发货'!$E:$E,"未发货")</f>
        <v>15</v>
      </c>
      <c r="I2682" s="33" t="str">
        <f>VLOOKUP(B2682,辅助信息!E:I,3,FALSE)</f>
        <v>(五冶建设扩建艺体中学二期工程)四川省成都市双流区光荣路成都艺体中学南200米</v>
      </c>
      <c r="J2682" s="33" t="str">
        <f>VLOOKUP(B2682,辅助信息!E:I,4,FALSE)</f>
        <v>谢序强</v>
      </c>
      <c r="K2682" s="33">
        <f>VLOOKUP(J2682,辅助信息!H:I,2,FALSE)</f>
        <v>13458588232</v>
      </c>
      <c r="L2682" s="102"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84">
        <v>45879</v>
      </c>
      <c r="O2682" s="55">
        <f ca="1" t="shared" si="163"/>
        <v>0</v>
      </c>
      <c r="P2682" s="55">
        <f ca="1" t="shared" si="164"/>
        <v>78</v>
      </c>
      <c r="Q2682" s="22" t="str">
        <f>VLOOKUP(B2682,辅助信息!E:M,9,FALSE)</f>
        <v>ZTWM-CDGS-XS-2025-0073-五冶天府-成都怡心湖片区及龙泉驿医院等项目</v>
      </c>
      <c r="R2682" s="22" t="str">
        <f>_xlfn._xlws.FILTER(辅助信息!D:D,辅助信息!E:E=B2682)</f>
        <v>五冶建设扩建艺体中学二期工程</v>
      </c>
    </row>
    <row r="2683" hidden="1" spans="2:18">
      <c r="B2683" s="33" t="s">
        <v>167</v>
      </c>
      <c r="C2683" s="63">
        <v>45878</v>
      </c>
      <c r="D2683" s="33" t="str">
        <f>VLOOKUP(B2683,辅助信息!E:K,7,FALSE)</f>
        <v>JWDDCD2025102100473</v>
      </c>
      <c r="E2683" s="33" t="str">
        <f>VLOOKUP(F2683,辅助信息!A:B,2,FALSE)</f>
        <v>螺纹钢</v>
      </c>
      <c r="F2683" s="33" t="s">
        <v>181</v>
      </c>
      <c r="G2683" s="29">
        <v>15</v>
      </c>
      <c r="H2683" s="127">
        <f>_xlfn.XLOOKUP(C2683&amp;F2683&amp;I2683&amp;J2683,'[1]2025年已发货'!$F:$F&amp;'[1]2025年已发货'!$C:$C&amp;'[1]2025年已发货'!$G:$G&amp;'[1]2025年已发货'!$H:$H,'[1]2025年已发货'!$E:$E,"未发货")</f>
        <v>15</v>
      </c>
      <c r="I2683" s="33" t="str">
        <f>VLOOKUP(B2683,辅助信息!E:I,3,FALSE)</f>
        <v>(五冶建设扩建艺体中学二期工程)四川省成都市双流区光荣路成都艺体中学南200米</v>
      </c>
      <c r="J2683" s="33" t="str">
        <f>VLOOKUP(B2683,辅助信息!E:I,4,FALSE)</f>
        <v>谢序强</v>
      </c>
      <c r="K2683" s="33">
        <f>VLOOKUP(J2683,辅助信息!H:I,2,FALSE)</f>
        <v>13458588232</v>
      </c>
      <c r="L2683" s="102"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84">
        <v>45879</v>
      </c>
      <c r="O2683" s="55">
        <f ca="1" t="shared" si="163"/>
        <v>0</v>
      </c>
      <c r="P2683" s="55">
        <f ca="1" t="shared" si="164"/>
        <v>78</v>
      </c>
      <c r="Q2683" s="22" t="str">
        <f>VLOOKUP(B2683,辅助信息!E:M,9,FALSE)</f>
        <v>ZTWM-CDGS-XS-2025-0073-五冶天府-成都怡心湖片区及龙泉驿医院等项目</v>
      </c>
      <c r="R2683" s="22" t="str">
        <f>_xlfn._xlws.FILTER(辅助信息!D:D,辅助信息!E:E=B2683)</f>
        <v>五冶建设扩建艺体中学二期工程</v>
      </c>
    </row>
    <row r="2684" hidden="1" spans="2:18">
      <c r="B2684" s="33" t="s">
        <v>167</v>
      </c>
      <c r="C2684" s="63">
        <v>45878</v>
      </c>
      <c r="D2684" s="33" t="str">
        <f>VLOOKUP(B2684,辅助信息!E:K,7,FALSE)</f>
        <v>JWDDCD2025102100473</v>
      </c>
      <c r="E2684" s="33" t="str">
        <f>VLOOKUP(F2684,辅助信息!A:B,2,FALSE)</f>
        <v>螺纹钢</v>
      </c>
      <c r="F2684" s="33" t="s">
        <v>182</v>
      </c>
      <c r="G2684" s="29">
        <v>5</v>
      </c>
      <c r="H2684" s="127">
        <f>_xlfn.XLOOKUP(C2684&amp;F2684&amp;I2684&amp;J2684,'[1]2025年已发货'!$F:$F&amp;'[1]2025年已发货'!$C:$C&amp;'[1]2025年已发货'!$G:$G&amp;'[1]2025年已发货'!$H:$H,'[1]2025年已发货'!$E:$E,"未发货")</f>
        <v>5</v>
      </c>
      <c r="I2684" s="33" t="str">
        <f>VLOOKUP(B2684,辅助信息!E:I,3,FALSE)</f>
        <v>(五冶建设扩建艺体中学二期工程)四川省成都市双流区光荣路成都艺体中学南200米</v>
      </c>
      <c r="J2684" s="33" t="str">
        <f>VLOOKUP(B2684,辅助信息!E:I,4,FALSE)</f>
        <v>谢序强</v>
      </c>
      <c r="K2684" s="33">
        <f>VLOOKUP(J2684,辅助信息!H:I,2,FALSE)</f>
        <v>13458588232</v>
      </c>
      <c r="L2684" s="102"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84">
        <v>45879</v>
      </c>
      <c r="O2684" s="55">
        <f ca="1" t="shared" si="163"/>
        <v>0</v>
      </c>
      <c r="P2684" s="55">
        <f ca="1" t="shared" si="164"/>
        <v>78</v>
      </c>
      <c r="Q2684" s="22" t="str">
        <f>VLOOKUP(B2684,辅助信息!E:M,9,FALSE)</f>
        <v>ZTWM-CDGS-XS-2025-0073-五冶天府-成都怡心湖片区及龙泉驿医院等项目</v>
      </c>
      <c r="R2684" s="22" t="str">
        <f>_xlfn._xlws.FILTER(辅助信息!D:D,辅助信息!E:E=B2684)</f>
        <v>五冶建设扩建艺体中学二期工程</v>
      </c>
    </row>
    <row r="2685" hidden="1" spans="2:18">
      <c r="B2685" s="33" t="s">
        <v>81</v>
      </c>
      <c r="C2685" s="63">
        <v>45878</v>
      </c>
      <c r="D2685" s="33" t="str">
        <f>VLOOKUP(B2685,辅助信息!E:K,7,FALSE)</f>
        <v>JWDDCD2025060900080</v>
      </c>
      <c r="E2685" s="33" t="str">
        <f>VLOOKUP(F2685,辅助信息!A:B,2,FALSE)</f>
        <v>盘螺</v>
      </c>
      <c r="F2685" s="33" t="s">
        <v>49</v>
      </c>
      <c r="G2685" s="29">
        <v>5</v>
      </c>
      <c r="H2685" s="127">
        <f>_xlfn.XLOOKUP(C2685&amp;F2685&amp;I2685&amp;J2685,'[1]2025年已发货'!$F:$F&amp;'[1]2025年已发货'!$C:$C&amp;'[1]2025年已发货'!$G:$G&amp;'[1]2025年已发货'!$H:$H,'[1]2025年已发货'!$E:$E,"未发货")</f>
        <v>5</v>
      </c>
      <c r="I2685" s="33" t="str">
        <f>VLOOKUP(B2685,辅助信息!E:I,3,FALSE)</f>
        <v>（华西简阳西城嘉苑）四川省成都市简阳市简城街道高屋村</v>
      </c>
      <c r="J2685" s="33" t="str">
        <f>VLOOKUP(B2685,辅助信息!E:I,4,FALSE)</f>
        <v>张瀚镭</v>
      </c>
      <c r="K2685" s="33">
        <f>VLOOKUP(J2685,辅助信息!H:I,2,FALSE)</f>
        <v>15884666220</v>
      </c>
      <c r="L2685" s="102" t="str">
        <f>VLOOKUP(B2685,辅助信息!E:J,6,FALSE)</f>
        <v>现场禁止使用氢能源挂车！优先威钢发货,我方卸车,新老国标钢厂不加价可直发，因陕钢多次出现磅差，项目拒绝使用</v>
      </c>
      <c r="M2685" s="84">
        <v>45879</v>
      </c>
      <c r="O2685" s="55">
        <f ca="1" t="shared" si="163"/>
        <v>0</v>
      </c>
      <c r="P2685" s="55">
        <f ca="1" t="shared" si="164"/>
        <v>78</v>
      </c>
      <c r="Q2685" s="22" t="str">
        <f>VLOOKUP(B2685,辅助信息!E:M,9,FALSE)</f>
        <v>ZTWM-CDGS-XS-2024-0030-华西集采-简州大道</v>
      </c>
      <c r="R2685" s="22" t="str">
        <f>_xlfn._xlws.FILTER(辅助信息!D:D,辅助信息!E:E=B2685)</f>
        <v>华西简阳西城嘉苑</v>
      </c>
    </row>
    <row r="2686" hidden="1" spans="2:18">
      <c r="B2686" s="33" t="s">
        <v>81</v>
      </c>
      <c r="C2686" s="63">
        <v>45878</v>
      </c>
      <c r="D2686" s="33" t="str">
        <f>VLOOKUP(B2686,辅助信息!E:K,7,FALSE)</f>
        <v>JWDDCD2025060900080</v>
      </c>
      <c r="E2686" s="33" t="str">
        <f>VLOOKUP(F2686,辅助信息!A:B,2,FALSE)</f>
        <v>盘螺</v>
      </c>
      <c r="F2686" s="33" t="s">
        <v>40</v>
      </c>
      <c r="G2686" s="29">
        <v>35</v>
      </c>
      <c r="H2686" s="127">
        <f>_xlfn.XLOOKUP(C2686&amp;F2686&amp;I2686&amp;J2686,'[1]2025年已发货'!$F:$F&amp;'[1]2025年已发货'!$C:$C&amp;'[1]2025年已发货'!$G:$G&amp;'[1]2025年已发货'!$H:$H,'[1]2025年已发货'!$E:$E,"未发货")</f>
        <v>35</v>
      </c>
      <c r="I2686" s="33" t="str">
        <f>VLOOKUP(B2686,辅助信息!E:I,3,FALSE)</f>
        <v>（华西简阳西城嘉苑）四川省成都市简阳市简城街道高屋村</v>
      </c>
      <c r="J2686" s="33" t="str">
        <f>VLOOKUP(B2686,辅助信息!E:I,4,FALSE)</f>
        <v>张瀚镭</v>
      </c>
      <c r="K2686" s="33">
        <f>VLOOKUP(J2686,辅助信息!H:I,2,FALSE)</f>
        <v>15884666220</v>
      </c>
      <c r="L2686" s="102" t="str">
        <f>VLOOKUP(B2686,辅助信息!E:J,6,FALSE)</f>
        <v>现场禁止使用氢能源挂车！优先威钢发货,我方卸车,新老国标钢厂不加价可直发，因陕钢多次出现磅差，项目拒绝使用</v>
      </c>
      <c r="M2686" s="84">
        <v>45879</v>
      </c>
      <c r="O2686" s="55">
        <f ca="1" t="shared" si="163"/>
        <v>0</v>
      </c>
      <c r="P2686" s="55">
        <f ca="1" t="shared" si="164"/>
        <v>78</v>
      </c>
      <c r="Q2686" s="22" t="str">
        <f>VLOOKUP(B2686,辅助信息!E:M,9,FALSE)</f>
        <v>ZTWM-CDGS-XS-2024-0030-华西集采-简州大道</v>
      </c>
      <c r="R2686" s="22" t="str">
        <f>_xlfn._xlws.FILTER(辅助信息!D:D,辅助信息!E:E=B2686)</f>
        <v>华西简阳西城嘉苑</v>
      </c>
    </row>
    <row r="2687" hidden="1" spans="2:18">
      <c r="B2687" s="33" t="s">
        <v>81</v>
      </c>
      <c r="C2687" s="63">
        <v>45878</v>
      </c>
      <c r="D2687" s="33" t="str">
        <f>VLOOKUP(B2687,辅助信息!E:K,7,FALSE)</f>
        <v>JWDDCD2025060900080</v>
      </c>
      <c r="E2687" s="33" t="str">
        <f>VLOOKUP(F2687,辅助信息!A:B,2,FALSE)</f>
        <v>盘螺</v>
      </c>
      <c r="F2687" s="33" t="s">
        <v>41</v>
      </c>
      <c r="G2687" s="29">
        <v>17</v>
      </c>
      <c r="H2687" s="127">
        <f>_xlfn.XLOOKUP(C2687&amp;F2687&amp;I2687&amp;J2687,'[1]2025年已发货'!$F:$F&amp;'[1]2025年已发货'!$C:$C&amp;'[1]2025年已发货'!$G:$G&amp;'[1]2025年已发货'!$H:$H,'[1]2025年已发货'!$E:$E,"未发货")</f>
        <v>17</v>
      </c>
      <c r="I2687" s="33" t="str">
        <f>VLOOKUP(B2687,辅助信息!E:I,3,FALSE)</f>
        <v>（华西简阳西城嘉苑）四川省成都市简阳市简城街道高屋村</v>
      </c>
      <c r="J2687" s="33" t="str">
        <f>VLOOKUP(B2687,辅助信息!E:I,4,FALSE)</f>
        <v>张瀚镭</v>
      </c>
      <c r="K2687" s="33">
        <f>VLOOKUP(J2687,辅助信息!H:I,2,FALSE)</f>
        <v>15884666220</v>
      </c>
      <c r="L2687" s="102" t="str">
        <f>VLOOKUP(B2687,辅助信息!E:J,6,FALSE)</f>
        <v>现场禁止使用氢能源挂车！优先威钢发货,我方卸车,新老国标钢厂不加价可直发，因陕钢多次出现磅差，项目拒绝使用</v>
      </c>
      <c r="M2687" s="84">
        <v>45879</v>
      </c>
      <c r="O2687" s="55">
        <f ca="1" t="shared" si="163"/>
        <v>0</v>
      </c>
      <c r="P2687" s="55">
        <f ca="1" t="shared" si="164"/>
        <v>78</v>
      </c>
      <c r="Q2687" s="22" t="str">
        <f>VLOOKUP(B2687,辅助信息!E:M,9,FALSE)</f>
        <v>ZTWM-CDGS-XS-2024-0030-华西集采-简州大道</v>
      </c>
      <c r="R2687" s="22" t="str">
        <f>_xlfn._xlws.FILTER(辅助信息!D:D,辅助信息!E:E=B2687)</f>
        <v>华西简阳西城嘉苑</v>
      </c>
    </row>
    <row r="2688" hidden="1" spans="2:18">
      <c r="B2688" s="33" t="s">
        <v>81</v>
      </c>
      <c r="C2688" s="63">
        <v>45878</v>
      </c>
      <c r="D2688" s="33" t="str">
        <f>VLOOKUP(B2688,辅助信息!E:K,7,FALSE)</f>
        <v>JWDDCD2025060900080</v>
      </c>
      <c r="E2688" s="33" t="str">
        <f>VLOOKUP(F2688,辅助信息!A:B,2,FALSE)</f>
        <v>盘螺</v>
      </c>
      <c r="F2688" s="33" t="s">
        <v>26</v>
      </c>
      <c r="G2688" s="29">
        <v>12.5</v>
      </c>
      <c r="H2688" s="127">
        <f>_xlfn.XLOOKUP(C2688&amp;F2688&amp;I2688&amp;J2688,'[1]2025年已发货'!$F:$F&amp;'[1]2025年已发货'!$C:$C&amp;'[1]2025年已发货'!$G:$G&amp;'[1]2025年已发货'!$H:$H,'[1]2025年已发货'!$E:$E,"未发货")</f>
        <v>12.5</v>
      </c>
      <c r="I2688" s="33" t="str">
        <f>VLOOKUP(B2688,辅助信息!E:I,3,FALSE)</f>
        <v>（华西简阳西城嘉苑）四川省成都市简阳市简城街道高屋村</v>
      </c>
      <c r="J2688" s="33" t="str">
        <f>VLOOKUP(B2688,辅助信息!E:I,4,FALSE)</f>
        <v>张瀚镭</v>
      </c>
      <c r="K2688" s="33">
        <f>VLOOKUP(J2688,辅助信息!H:I,2,FALSE)</f>
        <v>15884666220</v>
      </c>
      <c r="L2688" s="102" t="str">
        <f>VLOOKUP(B2688,辅助信息!E:J,6,FALSE)</f>
        <v>现场禁止使用氢能源挂车！优先威钢发货,我方卸车,新老国标钢厂不加价可直发，因陕钢多次出现磅差，项目拒绝使用</v>
      </c>
      <c r="M2688" s="84">
        <v>45879</v>
      </c>
      <c r="O2688" s="55">
        <f ca="1" t="shared" si="163"/>
        <v>0</v>
      </c>
      <c r="P2688" s="55">
        <f ca="1" t="shared" si="164"/>
        <v>78</v>
      </c>
      <c r="Q2688" s="22" t="str">
        <f>VLOOKUP(B2688,辅助信息!E:M,9,FALSE)</f>
        <v>ZTWM-CDGS-XS-2024-0030-华西集采-简州大道</v>
      </c>
      <c r="R2688" s="22" t="str">
        <f>_xlfn._xlws.FILTER(辅助信息!D:D,辅助信息!E:E=B2688)</f>
        <v>华西简阳西城嘉苑</v>
      </c>
    </row>
    <row r="2689" hidden="1" spans="2:18">
      <c r="B2689" s="33" t="s">
        <v>81</v>
      </c>
      <c r="C2689" s="63">
        <v>45878</v>
      </c>
      <c r="D2689" s="33" t="str">
        <f>VLOOKUP(B2689,辅助信息!E:K,7,FALSE)</f>
        <v>JWDDCD2025060900080</v>
      </c>
      <c r="E2689" s="33" t="str">
        <f>VLOOKUP(F2689,辅助信息!A:B,2,FALSE)</f>
        <v>螺纹钢</v>
      </c>
      <c r="F2689" s="33" t="s">
        <v>19</v>
      </c>
      <c r="G2689" s="29">
        <v>7.5</v>
      </c>
      <c r="H2689" s="127">
        <f>_xlfn.XLOOKUP(C2689&amp;F2689&amp;I2689&amp;J2689,'[1]2025年已发货'!$F:$F&amp;'[1]2025年已发货'!$C:$C&amp;'[1]2025年已发货'!$G:$G&amp;'[1]2025年已发货'!$H:$H,'[1]2025年已发货'!$E:$E,"未发货")</f>
        <v>7.5</v>
      </c>
      <c r="I2689" s="33" t="str">
        <f>VLOOKUP(B2689,辅助信息!E:I,3,FALSE)</f>
        <v>（华西简阳西城嘉苑）四川省成都市简阳市简城街道高屋村</v>
      </c>
      <c r="J2689" s="33" t="str">
        <f>VLOOKUP(B2689,辅助信息!E:I,4,FALSE)</f>
        <v>张瀚镭</v>
      </c>
      <c r="K2689" s="33">
        <f>VLOOKUP(J2689,辅助信息!H:I,2,FALSE)</f>
        <v>15884666220</v>
      </c>
      <c r="L2689" s="102" t="str">
        <f>VLOOKUP(B2689,辅助信息!E:J,6,FALSE)</f>
        <v>现场禁止使用氢能源挂车！优先威钢发货,我方卸车,新老国标钢厂不加价可直发，因陕钢多次出现磅差，项目拒绝使用</v>
      </c>
      <c r="M2689" s="84">
        <v>45879</v>
      </c>
      <c r="O2689" s="55">
        <f ca="1" t="shared" si="163"/>
        <v>0</v>
      </c>
      <c r="P2689" s="55">
        <f ca="1" t="shared" si="164"/>
        <v>78</v>
      </c>
      <c r="Q2689" s="22" t="str">
        <f>VLOOKUP(B2689,辅助信息!E:M,9,FALSE)</f>
        <v>ZTWM-CDGS-XS-2024-0030-华西集采-简州大道</v>
      </c>
      <c r="R2689" s="22" t="str">
        <f>_xlfn._xlws.FILTER(辅助信息!D:D,辅助信息!E:E=B2689)</f>
        <v>华西简阳西城嘉苑</v>
      </c>
    </row>
    <row r="2690" hidden="1" spans="2:18">
      <c r="B2690" s="33" t="s">
        <v>81</v>
      </c>
      <c r="C2690" s="63">
        <v>45878</v>
      </c>
      <c r="D2690" s="33" t="str">
        <f>VLOOKUP(B2690,辅助信息!E:K,7,FALSE)</f>
        <v>JWDDCD2025060900080</v>
      </c>
      <c r="E2690" s="33" t="str">
        <f>VLOOKUP(F2690,辅助信息!A:B,2,FALSE)</f>
        <v>螺纹钢</v>
      </c>
      <c r="F2690" s="33" t="s">
        <v>32</v>
      </c>
      <c r="G2690" s="29">
        <v>11.5</v>
      </c>
      <c r="H2690" s="127">
        <f>_xlfn.XLOOKUP(C2690&amp;F2690&amp;I2690&amp;J2690,'[1]2025年已发货'!$F:$F&amp;'[1]2025年已发货'!$C:$C&amp;'[1]2025年已发货'!$G:$G&amp;'[1]2025年已发货'!$H:$H,'[1]2025年已发货'!$E:$E,"未发货")</f>
        <v>11.5</v>
      </c>
      <c r="I2690" s="33" t="str">
        <f>VLOOKUP(B2690,辅助信息!E:I,3,FALSE)</f>
        <v>（华西简阳西城嘉苑）四川省成都市简阳市简城街道高屋村</v>
      </c>
      <c r="J2690" s="33" t="str">
        <f>VLOOKUP(B2690,辅助信息!E:I,4,FALSE)</f>
        <v>张瀚镭</v>
      </c>
      <c r="K2690" s="33">
        <f>VLOOKUP(J2690,辅助信息!H:I,2,FALSE)</f>
        <v>15884666220</v>
      </c>
      <c r="L2690" s="102" t="str">
        <f>VLOOKUP(B2690,辅助信息!E:J,6,FALSE)</f>
        <v>现场禁止使用氢能源挂车！优先威钢发货,我方卸车,新老国标钢厂不加价可直发，因陕钢多次出现磅差，项目拒绝使用</v>
      </c>
      <c r="M2690" s="84">
        <v>45879</v>
      </c>
      <c r="O2690" s="55">
        <f ca="1" t="shared" si="163"/>
        <v>0</v>
      </c>
      <c r="P2690" s="55">
        <f ca="1" t="shared" si="164"/>
        <v>78</v>
      </c>
      <c r="Q2690" s="22" t="str">
        <f>VLOOKUP(B2690,辅助信息!E:M,9,FALSE)</f>
        <v>ZTWM-CDGS-XS-2024-0030-华西集采-简州大道</v>
      </c>
      <c r="R2690" s="22" t="str">
        <f>_xlfn._xlws.FILTER(辅助信息!D:D,辅助信息!E:E=B2690)</f>
        <v>华西简阳西城嘉苑</v>
      </c>
    </row>
    <row r="2691" hidden="1" spans="2:18">
      <c r="B2691" s="33" t="s">
        <v>81</v>
      </c>
      <c r="C2691" s="63">
        <v>45878</v>
      </c>
      <c r="D2691" s="33" t="str">
        <f>VLOOKUP(B2691,辅助信息!E:K,7,FALSE)</f>
        <v>JWDDCD2025060900080</v>
      </c>
      <c r="E2691" s="33" t="str">
        <f>VLOOKUP(F2691,辅助信息!A:B,2,FALSE)</f>
        <v>螺纹钢</v>
      </c>
      <c r="F2691" s="33" t="s">
        <v>30</v>
      </c>
      <c r="G2691" s="29">
        <v>9</v>
      </c>
      <c r="H2691" s="127">
        <f>_xlfn.XLOOKUP(C2691&amp;F2691&amp;I2691&amp;J2691,'[1]2025年已发货'!$F:$F&amp;'[1]2025年已发货'!$C:$C&amp;'[1]2025年已发货'!$G:$G&amp;'[1]2025年已发货'!$H:$H,'[1]2025年已发货'!$E:$E,"未发货")</f>
        <v>9</v>
      </c>
      <c r="I2691" s="33" t="str">
        <f>VLOOKUP(B2691,辅助信息!E:I,3,FALSE)</f>
        <v>（华西简阳西城嘉苑）四川省成都市简阳市简城街道高屋村</v>
      </c>
      <c r="J2691" s="33" t="str">
        <f>VLOOKUP(B2691,辅助信息!E:I,4,FALSE)</f>
        <v>张瀚镭</v>
      </c>
      <c r="K2691" s="33">
        <f>VLOOKUP(J2691,辅助信息!H:I,2,FALSE)</f>
        <v>15884666220</v>
      </c>
      <c r="L2691" s="102" t="str">
        <f>VLOOKUP(B2691,辅助信息!E:J,6,FALSE)</f>
        <v>现场禁止使用氢能源挂车！优先威钢发货,我方卸车,新老国标钢厂不加价可直发，因陕钢多次出现磅差，项目拒绝使用</v>
      </c>
      <c r="M2691" s="84">
        <v>45879</v>
      </c>
      <c r="O2691" s="55">
        <f ca="1" t="shared" si="163"/>
        <v>0</v>
      </c>
      <c r="P2691" s="55">
        <f ca="1" t="shared" si="164"/>
        <v>78</v>
      </c>
      <c r="Q2691" s="22" t="str">
        <f>VLOOKUP(B2691,辅助信息!E:M,9,FALSE)</f>
        <v>ZTWM-CDGS-XS-2024-0030-华西集采-简州大道</v>
      </c>
      <c r="R2691" s="22" t="str">
        <f>_xlfn._xlws.FILTER(辅助信息!D:D,辅助信息!E:E=B2691)</f>
        <v>华西简阳西城嘉苑</v>
      </c>
    </row>
    <row r="2692" hidden="1" spans="2:18">
      <c r="B2692" s="33" t="s">
        <v>81</v>
      </c>
      <c r="C2692" s="63">
        <v>45878</v>
      </c>
      <c r="D2692" s="33" t="str">
        <f>VLOOKUP(B2692,辅助信息!E:K,7,FALSE)</f>
        <v>JWDDCD2025060900080</v>
      </c>
      <c r="E2692" s="33" t="str">
        <f>VLOOKUP(F2692,辅助信息!A:B,2,FALSE)</f>
        <v>螺纹钢</v>
      </c>
      <c r="F2692" s="33" t="s">
        <v>33</v>
      </c>
      <c r="G2692" s="29">
        <v>7.5</v>
      </c>
      <c r="H2692" s="127">
        <f>_xlfn.XLOOKUP(C2692&amp;F2692&amp;I2692&amp;J2692,'[1]2025年已发货'!$F:$F&amp;'[1]2025年已发货'!$C:$C&amp;'[1]2025年已发货'!$G:$G&amp;'[1]2025年已发货'!$H:$H,'[1]2025年已发货'!$E:$E,"未发货")</f>
        <v>7.5</v>
      </c>
      <c r="I2692" s="33" t="str">
        <f>VLOOKUP(B2692,辅助信息!E:I,3,FALSE)</f>
        <v>（华西简阳西城嘉苑）四川省成都市简阳市简城街道高屋村</v>
      </c>
      <c r="J2692" s="33" t="str">
        <f>VLOOKUP(B2692,辅助信息!E:I,4,FALSE)</f>
        <v>张瀚镭</v>
      </c>
      <c r="K2692" s="33">
        <f>VLOOKUP(J2692,辅助信息!H:I,2,FALSE)</f>
        <v>15884666220</v>
      </c>
      <c r="L2692" s="102" t="str">
        <f>VLOOKUP(B2692,辅助信息!E:J,6,FALSE)</f>
        <v>现场禁止使用氢能源挂车！优先威钢发货,我方卸车,新老国标钢厂不加价可直发，因陕钢多次出现磅差，项目拒绝使用</v>
      </c>
      <c r="M2692" s="84">
        <v>45879</v>
      </c>
      <c r="O2692" s="55">
        <f ca="1" t="shared" si="163"/>
        <v>0</v>
      </c>
      <c r="P2692" s="55">
        <f ca="1" t="shared" si="164"/>
        <v>78</v>
      </c>
      <c r="Q2692" s="22" t="str">
        <f>VLOOKUP(B2692,辅助信息!E:M,9,FALSE)</f>
        <v>ZTWM-CDGS-XS-2024-0030-华西集采-简州大道</v>
      </c>
      <c r="R2692" s="22" t="str">
        <f>_xlfn._xlws.FILTER(辅助信息!D:D,辅助信息!E:E=B2692)</f>
        <v>华西简阳西城嘉苑</v>
      </c>
    </row>
    <row r="2693" hidden="1" spans="2:18">
      <c r="B2693" s="33" t="s">
        <v>194</v>
      </c>
      <c r="C2693" s="63">
        <v>45878</v>
      </c>
      <c r="D2693" s="33" t="str">
        <f>VLOOKUP(B2693,辅助信息!E:K,7,FALSE)</f>
        <v>JWDD2025071500089</v>
      </c>
      <c r="E2693" s="33" t="str">
        <f>VLOOKUP(F2693,辅助信息!A:B,2,FALSE)</f>
        <v>盘螺</v>
      </c>
      <c r="F2693" s="33" t="s">
        <v>40</v>
      </c>
      <c r="G2693" s="29">
        <v>10</v>
      </c>
      <c r="H2693" s="127" t="str">
        <f>_xlfn.XLOOKUP(C2693&amp;F2693&amp;I2693&amp;J2693,'[1]2025年已发货'!$F:$F&amp;'[1]2025年已发货'!$C:$C&amp;'[1]2025年已发货'!$G:$G&amp;'[1]2025年已发货'!$H:$H,'[1]2025年已发货'!$E:$E,"未发货")</f>
        <v>未发货</v>
      </c>
      <c r="I2693" s="33" t="str">
        <f>VLOOKUP(B2693,辅助信息!E:I,3,FALSE)</f>
        <v>(宜宾兴港三江新区长江工业园保障性租赁住房建设项目-土建)四川省宜宾市翠屏区永善路南段宜宾市三江新区长江工业园区</v>
      </c>
      <c r="J2693" s="33" t="str">
        <f>VLOOKUP(B2693,辅助信息!E:I,4,FALSE)</f>
        <v>赵元虎</v>
      </c>
      <c r="K2693" s="33">
        <f>VLOOKUP(J2693,辅助信息!H:I,2,FALSE)</f>
        <v>13684167136</v>
      </c>
      <c r="L2693" s="102" t="str">
        <f>VLOOKUP(B2693,辅助信息!E:J,6,FALSE)</f>
        <v>现场要求调度统一联系指定收货人，不单独发司机位置。锈货不收，装货前联系收货人核实到场规格,没提前告知进场规格现场不给予接收</v>
      </c>
      <c r="M2693" s="84">
        <v>45879</v>
      </c>
      <c r="O2693" s="55">
        <f ca="1" t="shared" si="163"/>
        <v>0</v>
      </c>
      <c r="P2693" s="55">
        <f ca="1" t="shared" si="164"/>
        <v>78</v>
      </c>
      <c r="Q2693" s="22" t="str">
        <f>VLOOKUP(B2693,辅助信息!E:M,9,FALSE)</f>
        <v>ZTWM-CDYXGS-XS-2025-0014-宜宾兴港建材-三江新区长江工业园片区保障性租赁住房建设项目</v>
      </c>
      <c r="R2693" s="22" t="str">
        <f>_xlfn._xlws.FILTER(辅助信息!D:D,辅助信息!E:E=B2693)</f>
        <v>宜宾兴港三江新区长江工业园建设项目</v>
      </c>
    </row>
    <row r="2694" hidden="1" spans="2:18">
      <c r="B2694" s="33" t="s">
        <v>194</v>
      </c>
      <c r="C2694" s="63">
        <v>45878</v>
      </c>
      <c r="D2694" s="33" t="str">
        <f>VLOOKUP(B2694,辅助信息!E:K,7,FALSE)</f>
        <v>JWDD2025071500089</v>
      </c>
      <c r="E2694" s="33" t="str">
        <f>VLOOKUP(F2694,辅助信息!A:B,2,FALSE)</f>
        <v>盘螺</v>
      </c>
      <c r="F2694" s="33" t="s">
        <v>41</v>
      </c>
      <c r="G2694" s="29">
        <v>30</v>
      </c>
      <c r="H2694" s="127" t="str">
        <f>_xlfn.XLOOKUP(C2694&amp;F2694&amp;I2694&amp;J2694,'[1]2025年已发货'!$F:$F&amp;'[1]2025年已发货'!$C:$C&amp;'[1]2025年已发货'!$G:$G&amp;'[1]2025年已发货'!$H:$H,'[1]2025年已发货'!$E:$E,"未发货")</f>
        <v>未发货</v>
      </c>
      <c r="I2694" s="33" t="str">
        <f>VLOOKUP(B2694,辅助信息!E:I,3,FALSE)</f>
        <v>(宜宾兴港三江新区长江工业园保障性租赁住房建设项目-土建)四川省宜宾市翠屏区永善路南段宜宾市三江新区长江工业园区</v>
      </c>
      <c r="J2694" s="33" t="str">
        <f>VLOOKUP(B2694,辅助信息!E:I,4,FALSE)</f>
        <v>赵元虎</v>
      </c>
      <c r="K2694" s="33">
        <f>VLOOKUP(J2694,辅助信息!H:I,2,FALSE)</f>
        <v>13684167136</v>
      </c>
      <c r="L2694" s="102" t="str">
        <f>VLOOKUP(B2694,辅助信息!E:J,6,FALSE)</f>
        <v>现场要求调度统一联系指定收货人，不单独发司机位置。锈货不收，装货前联系收货人核实到场规格,没提前告知进场规格现场不给予接收</v>
      </c>
      <c r="M2694" s="84">
        <v>45879</v>
      </c>
      <c r="O2694" s="55">
        <f ca="1" t="shared" si="163"/>
        <v>0</v>
      </c>
      <c r="P2694" s="55">
        <f ca="1" t="shared" si="164"/>
        <v>78</v>
      </c>
      <c r="Q2694" s="22" t="str">
        <f>VLOOKUP(B2694,辅助信息!E:M,9,FALSE)</f>
        <v>ZTWM-CDYXGS-XS-2025-0014-宜宾兴港建材-三江新区长江工业园片区保障性租赁住房建设项目</v>
      </c>
      <c r="R2694" s="22" t="str">
        <f>_xlfn._xlws.FILTER(辅助信息!D:D,辅助信息!E:E=B2694)</f>
        <v>宜宾兴港三江新区长江工业园建设项目</v>
      </c>
    </row>
    <row r="2695" hidden="1" spans="2:18">
      <c r="B2695" s="33" t="s">
        <v>194</v>
      </c>
      <c r="C2695" s="63">
        <v>45878</v>
      </c>
      <c r="D2695" s="33" t="str">
        <f>VLOOKUP(B2695,辅助信息!E:K,7,FALSE)</f>
        <v>JWDD2025071500089</v>
      </c>
      <c r="E2695" s="33" t="str">
        <f>VLOOKUP(F2695,辅助信息!A:B,2,FALSE)</f>
        <v>盘螺</v>
      </c>
      <c r="F2695" s="33" t="s">
        <v>26</v>
      </c>
      <c r="G2695" s="29">
        <v>30</v>
      </c>
      <c r="H2695" s="127" t="str">
        <f>_xlfn.XLOOKUP(C2695&amp;F2695&amp;I2695&amp;J2695,'[1]2025年已发货'!$F:$F&amp;'[1]2025年已发货'!$C:$C&amp;'[1]2025年已发货'!$G:$G&amp;'[1]2025年已发货'!$H:$H,'[1]2025年已发货'!$E:$E,"未发货")</f>
        <v>未发货</v>
      </c>
      <c r="I2695" s="33" t="str">
        <f>VLOOKUP(B2695,辅助信息!E:I,3,FALSE)</f>
        <v>(宜宾兴港三江新区长江工业园保障性租赁住房建设项目-土建)四川省宜宾市翠屏区永善路南段宜宾市三江新区长江工业园区</v>
      </c>
      <c r="J2695" s="33" t="str">
        <f>VLOOKUP(B2695,辅助信息!E:I,4,FALSE)</f>
        <v>赵元虎</v>
      </c>
      <c r="K2695" s="33">
        <f>VLOOKUP(J2695,辅助信息!H:I,2,FALSE)</f>
        <v>13684167136</v>
      </c>
      <c r="L2695" s="102" t="str">
        <f>VLOOKUP(B2695,辅助信息!E:J,6,FALSE)</f>
        <v>现场要求调度统一联系指定收货人，不单独发司机位置。锈货不收，装货前联系收货人核实到场规格,没提前告知进场规格现场不给予接收</v>
      </c>
      <c r="M2695" s="84">
        <v>45879</v>
      </c>
      <c r="O2695" s="55">
        <f ca="1" t="shared" si="163"/>
        <v>0</v>
      </c>
      <c r="P2695" s="55">
        <f ca="1" t="shared" si="164"/>
        <v>78</v>
      </c>
      <c r="Q2695" s="22" t="str">
        <f>VLOOKUP(B2695,辅助信息!E:M,9,FALSE)</f>
        <v>ZTWM-CDYXGS-XS-2025-0014-宜宾兴港建材-三江新区长江工业园片区保障性租赁住房建设项目</v>
      </c>
      <c r="R2695" s="22" t="str">
        <f>_xlfn._xlws.FILTER(辅助信息!D:D,辅助信息!E:E=B2695)</f>
        <v>宜宾兴港三江新区长江工业园建设项目</v>
      </c>
    </row>
    <row r="2696" hidden="1" spans="2:18">
      <c r="B2696" s="33" t="s">
        <v>194</v>
      </c>
      <c r="C2696" s="63">
        <v>45878</v>
      </c>
      <c r="D2696" s="33" t="str">
        <f>VLOOKUP(B2696,辅助信息!E:K,7,FALSE)</f>
        <v>JWDD2025071500089</v>
      </c>
      <c r="E2696" s="33" t="str">
        <f>VLOOKUP(F2696,辅助信息!A:B,2,FALSE)</f>
        <v>螺纹钢</v>
      </c>
      <c r="F2696" s="33" t="s">
        <v>27</v>
      </c>
      <c r="G2696" s="29">
        <v>30</v>
      </c>
      <c r="H2696" s="127">
        <f>_xlfn.XLOOKUP(C2696&amp;F2696&amp;I2696&amp;J2696,'[1]2025年已发货'!$F:$F&amp;'[1]2025年已发货'!$C:$C&amp;'[1]2025年已发货'!$G:$G&amp;'[1]2025年已发货'!$H:$H,'[1]2025年已发货'!$E:$E,"未发货")</f>
        <v>30</v>
      </c>
      <c r="I2696" s="33" t="str">
        <f>VLOOKUP(B2696,辅助信息!E:I,3,FALSE)</f>
        <v>(宜宾兴港三江新区长江工业园保障性租赁住房建设项目-土建)四川省宜宾市翠屏区永善路南段宜宾市三江新区长江工业园区</v>
      </c>
      <c r="J2696" s="33" t="str">
        <f>VLOOKUP(B2696,辅助信息!E:I,4,FALSE)</f>
        <v>赵元虎</v>
      </c>
      <c r="K2696" s="33">
        <f>VLOOKUP(J2696,辅助信息!H:I,2,FALSE)</f>
        <v>13684167136</v>
      </c>
      <c r="L2696" s="102" t="str">
        <f>VLOOKUP(B2696,辅助信息!E:J,6,FALSE)</f>
        <v>现场要求调度统一联系指定收货人，不单独发司机位置。锈货不收，装货前联系收货人核实到场规格,没提前告知进场规格现场不给予接收</v>
      </c>
      <c r="M2696" s="84">
        <v>45879</v>
      </c>
      <c r="O2696" s="55">
        <f ca="1" t="shared" si="163"/>
        <v>0</v>
      </c>
      <c r="P2696" s="55">
        <f ca="1" t="shared" si="164"/>
        <v>78</v>
      </c>
      <c r="Q2696" s="22" t="str">
        <f>VLOOKUP(B2696,辅助信息!E:M,9,FALSE)</f>
        <v>ZTWM-CDYXGS-XS-2025-0014-宜宾兴港建材-三江新区长江工业园片区保障性租赁住房建设项目</v>
      </c>
      <c r="R2696" s="22" t="str">
        <f>_xlfn._xlws.FILTER(辅助信息!D:D,辅助信息!E:E=B2696)</f>
        <v>宜宾兴港三江新区长江工业园建设项目</v>
      </c>
    </row>
    <row r="2697" hidden="1" spans="2:18">
      <c r="B2697" s="33" t="s">
        <v>194</v>
      </c>
      <c r="C2697" s="63">
        <v>45878</v>
      </c>
      <c r="D2697" s="33" t="str">
        <f>VLOOKUP(B2697,辅助信息!E:K,7,FALSE)</f>
        <v>JWDD2025071500089</v>
      </c>
      <c r="E2697" s="33" t="str">
        <f>VLOOKUP(F2697,辅助信息!A:B,2,FALSE)</f>
        <v>螺纹钢</v>
      </c>
      <c r="F2697" s="33" t="s">
        <v>30</v>
      </c>
      <c r="G2697" s="29">
        <v>30</v>
      </c>
      <c r="H2697" s="127">
        <f>_xlfn.XLOOKUP(C2697&amp;F2697&amp;I2697&amp;J2697,'[1]2025年已发货'!$F:$F&amp;'[1]2025年已发货'!$C:$C&amp;'[1]2025年已发货'!$G:$G&amp;'[1]2025年已发货'!$H:$H,'[1]2025年已发货'!$E:$E,"未发货")</f>
        <v>30</v>
      </c>
      <c r="I2697" s="33" t="str">
        <f>VLOOKUP(B2697,辅助信息!E:I,3,FALSE)</f>
        <v>(宜宾兴港三江新区长江工业园保障性租赁住房建设项目-土建)四川省宜宾市翠屏区永善路南段宜宾市三江新区长江工业园区</v>
      </c>
      <c r="J2697" s="33" t="str">
        <f>VLOOKUP(B2697,辅助信息!E:I,4,FALSE)</f>
        <v>赵元虎</v>
      </c>
      <c r="K2697" s="33">
        <f>VLOOKUP(J2697,辅助信息!H:I,2,FALSE)</f>
        <v>13684167136</v>
      </c>
      <c r="L2697" s="102" t="str">
        <f>VLOOKUP(B2697,辅助信息!E:J,6,FALSE)</f>
        <v>现场要求调度统一联系指定收货人，不单独发司机位置。锈货不收，装货前联系收货人核实到场规格,没提前告知进场规格现场不给予接收</v>
      </c>
      <c r="M2697" s="84">
        <v>45879</v>
      </c>
      <c r="O2697" s="55">
        <f ca="1" t="shared" si="163"/>
        <v>0</v>
      </c>
      <c r="P2697" s="55">
        <f ca="1" t="shared" si="164"/>
        <v>78</v>
      </c>
      <c r="Q2697" s="22" t="str">
        <f>VLOOKUP(B2697,辅助信息!E:M,9,FALSE)</f>
        <v>ZTWM-CDYXGS-XS-2025-0014-宜宾兴港建材-三江新区长江工业园片区保障性租赁住房建设项目</v>
      </c>
      <c r="R2697" s="22" t="str">
        <f>_xlfn._xlws.FILTER(辅助信息!D:D,辅助信息!E:E=B2697)</f>
        <v>宜宾兴港三江新区长江工业园建设项目</v>
      </c>
    </row>
    <row r="2698" hidden="1" spans="2:18">
      <c r="B2698" s="33" t="s">
        <v>194</v>
      </c>
      <c r="C2698" s="63">
        <v>45878</v>
      </c>
      <c r="D2698" s="33" t="str">
        <f>VLOOKUP(B2698,辅助信息!E:K,7,FALSE)</f>
        <v>JWDD2025071500089</v>
      </c>
      <c r="E2698" s="33" t="str">
        <f>VLOOKUP(F2698,辅助信息!A:B,2,FALSE)</f>
        <v>螺纹钢</v>
      </c>
      <c r="F2698" s="33" t="s">
        <v>33</v>
      </c>
      <c r="G2698" s="29">
        <v>30</v>
      </c>
      <c r="H2698" s="127">
        <f>_xlfn.XLOOKUP(C2698&amp;F2698&amp;I2698&amp;J2698,'[1]2025年已发货'!$F:$F&amp;'[1]2025年已发货'!$C:$C&amp;'[1]2025年已发货'!$G:$G&amp;'[1]2025年已发货'!$H:$H,'[1]2025年已发货'!$E:$E,"未发货")</f>
        <v>30</v>
      </c>
      <c r="I2698" s="33" t="str">
        <f>VLOOKUP(B2698,辅助信息!E:I,3,FALSE)</f>
        <v>(宜宾兴港三江新区长江工业园保障性租赁住房建设项目-土建)四川省宜宾市翠屏区永善路南段宜宾市三江新区长江工业园区</v>
      </c>
      <c r="J2698" s="33" t="str">
        <f>VLOOKUP(B2698,辅助信息!E:I,4,FALSE)</f>
        <v>赵元虎</v>
      </c>
      <c r="K2698" s="33">
        <f>VLOOKUP(J2698,辅助信息!H:I,2,FALSE)</f>
        <v>13684167136</v>
      </c>
      <c r="L2698" s="102" t="str">
        <f>VLOOKUP(B2698,辅助信息!E:J,6,FALSE)</f>
        <v>现场要求调度统一联系指定收货人，不单独发司机位置。锈货不收，装货前联系收货人核实到场规格,没提前告知进场规格现场不给予接收</v>
      </c>
      <c r="M2698" s="84">
        <v>45879</v>
      </c>
      <c r="O2698" s="55">
        <f ca="1" t="shared" si="163"/>
        <v>0</v>
      </c>
      <c r="P2698" s="55">
        <f ca="1" t="shared" si="164"/>
        <v>78</v>
      </c>
      <c r="Q2698" s="22" t="str">
        <f>VLOOKUP(B2698,辅助信息!E:M,9,FALSE)</f>
        <v>ZTWM-CDYXGS-XS-2025-0014-宜宾兴港建材-三江新区长江工业园片区保障性租赁住房建设项目</v>
      </c>
      <c r="R2698" s="22" t="str">
        <f>_xlfn._xlws.FILTER(辅助信息!D:D,辅助信息!E:E=B2698)</f>
        <v>宜宾兴港三江新区长江工业园建设项目</v>
      </c>
    </row>
    <row r="2699" hidden="1" spans="2:18">
      <c r="B2699" s="33" t="s">
        <v>194</v>
      </c>
      <c r="C2699" s="63">
        <v>45878</v>
      </c>
      <c r="D2699" s="33" t="str">
        <f>VLOOKUP(B2699,辅助信息!E:K,7,FALSE)</f>
        <v>JWDD2025071500089</v>
      </c>
      <c r="E2699" s="33" t="str">
        <f>VLOOKUP(F2699,辅助信息!A:B,2,FALSE)</f>
        <v>螺纹钢</v>
      </c>
      <c r="F2699" s="33" t="s">
        <v>18</v>
      </c>
      <c r="G2699" s="29">
        <v>30</v>
      </c>
      <c r="H2699" s="127">
        <f>_xlfn.XLOOKUP(C2699&amp;F2699&amp;I2699&amp;J2699,'[1]2025年已发货'!$F:$F&amp;'[1]2025年已发货'!$C:$C&amp;'[1]2025年已发货'!$G:$G&amp;'[1]2025年已发货'!$H:$H,'[1]2025年已发货'!$E:$E,"未发货")</f>
        <v>30</v>
      </c>
      <c r="I2699" s="33" t="str">
        <f>VLOOKUP(B2699,辅助信息!E:I,3,FALSE)</f>
        <v>(宜宾兴港三江新区长江工业园保障性租赁住房建设项目-土建)四川省宜宾市翠屏区永善路南段宜宾市三江新区长江工业园区</v>
      </c>
      <c r="J2699" s="33" t="str">
        <f>VLOOKUP(B2699,辅助信息!E:I,4,FALSE)</f>
        <v>赵元虎</v>
      </c>
      <c r="K2699" s="33">
        <f>VLOOKUP(J2699,辅助信息!H:I,2,FALSE)</f>
        <v>13684167136</v>
      </c>
      <c r="L2699" s="102" t="str">
        <f>VLOOKUP(B2699,辅助信息!E:J,6,FALSE)</f>
        <v>现场要求调度统一联系指定收货人，不单独发司机位置。锈货不收，装货前联系收货人核实到场规格,没提前告知进场规格现场不给予接收</v>
      </c>
      <c r="M2699" s="84">
        <v>45879</v>
      </c>
      <c r="O2699" s="55">
        <f ca="1" t="shared" si="163"/>
        <v>0</v>
      </c>
      <c r="P2699" s="55">
        <f ca="1" t="shared" si="164"/>
        <v>78</v>
      </c>
      <c r="Q2699" s="22" t="str">
        <f>VLOOKUP(B2699,辅助信息!E:M,9,FALSE)</f>
        <v>ZTWM-CDYXGS-XS-2025-0014-宜宾兴港建材-三江新区长江工业园片区保障性租赁住房建设项目</v>
      </c>
      <c r="R2699" s="22" t="str">
        <f>_xlfn._xlws.FILTER(辅助信息!D:D,辅助信息!E:E=B2699)</f>
        <v>宜宾兴港三江新区长江工业园建设项目</v>
      </c>
    </row>
    <row r="2700" hidden="1" spans="2:18">
      <c r="B2700" s="33" t="s">
        <v>194</v>
      </c>
      <c r="C2700" s="63">
        <v>45878</v>
      </c>
      <c r="D2700" s="33" t="str">
        <f>VLOOKUP(B2700,辅助信息!E:K,7,FALSE)</f>
        <v>JWDD2025071500089</v>
      </c>
      <c r="E2700" s="33" t="str">
        <f>VLOOKUP(F2700,辅助信息!A:B,2,FALSE)</f>
        <v>螺纹钢</v>
      </c>
      <c r="F2700" s="33" t="s">
        <v>66</v>
      </c>
      <c r="G2700" s="29">
        <v>2.7</v>
      </c>
      <c r="H2700" s="127">
        <f>_xlfn.XLOOKUP(C2700&amp;F2700&amp;I2700&amp;J2700,'[1]2025年已发货'!$F:$F&amp;'[1]2025年已发货'!$C:$C&amp;'[1]2025年已发货'!$G:$G&amp;'[1]2025年已发货'!$H:$H,'[1]2025年已发货'!$E:$E,"未发货")</f>
        <v>2.7</v>
      </c>
      <c r="I2700" s="33" t="str">
        <f>VLOOKUP(B2700,辅助信息!E:I,3,FALSE)</f>
        <v>(宜宾兴港三江新区长江工业园保障性租赁住房建设项目-土建)四川省宜宾市翠屏区永善路南段宜宾市三江新区长江工业园区</v>
      </c>
      <c r="J2700" s="33" t="str">
        <f>VLOOKUP(B2700,辅助信息!E:I,4,FALSE)</f>
        <v>赵元虎</v>
      </c>
      <c r="K2700" s="33">
        <f>VLOOKUP(J2700,辅助信息!H:I,2,FALSE)</f>
        <v>13684167136</v>
      </c>
      <c r="L2700" s="102" t="str">
        <f>VLOOKUP(B2700,辅助信息!E:J,6,FALSE)</f>
        <v>现场要求调度统一联系指定收货人，不单独发司机位置。锈货不收，装货前联系收货人核实到场规格,没提前告知进场规格现场不给予接收</v>
      </c>
      <c r="M2700" s="84">
        <v>45879</v>
      </c>
      <c r="O2700" s="55">
        <f ca="1" t="shared" si="163"/>
        <v>0</v>
      </c>
      <c r="P2700" s="55">
        <f ca="1" t="shared" si="164"/>
        <v>78</v>
      </c>
      <c r="Q2700" s="22" t="str">
        <f>VLOOKUP(B2700,辅助信息!E:M,9,FALSE)</f>
        <v>ZTWM-CDYXGS-XS-2025-0014-宜宾兴港建材-三江新区长江工业园片区保障性租赁住房建设项目</v>
      </c>
      <c r="R2700" s="22" t="str">
        <f>_xlfn._xlws.FILTER(辅助信息!D:D,辅助信息!E:E=B2700)</f>
        <v>宜宾兴港三江新区长江工业园建设项目</v>
      </c>
    </row>
    <row r="2701" hidden="1" spans="2:18">
      <c r="B2701" s="33" t="s">
        <v>194</v>
      </c>
      <c r="C2701" s="63">
        <v>45878</v>
      </c>
      <c r="D2701" s="33" t="str">
        <f>VLOOKUP(B2701,辅助信息!E:K,7,FALSE)</f>
        <v>JWDD2025071500089</v>
      </c>
      <c r="E2701" s="33" t="str">
        <f>VLOOKUP(F2701,辅助信息!A:B,2,FALSE)</f>
        <v>螺纹钢</v>
      </c>
      <c r="F2701" s="33" t="s">
        <v>45</v>
      </c>
      <c r="G2701" s="29">
        <v>2.7</v>
      </c>
      <c r="H2701" s="127">
        <f>_xlfn.XLOOKUP(C2701&amp;F2701&amp;I2701&amp;J2701,'[1]2025年已发货'!$F:$F&amp;'[1]2025年已发货'!$C:$C&amp;'[1]2025年已发货'!$G:$G&amp;'[1]2025年已发货'!$H:$H,'[1]2025年已发货'!$E:$E,"未发货")</f>
        <v>2.7</v>
      </c>
      <c r="I2701" s="33" t="str">
        <f>VLOOKUP(B2701,辅助信息!E:I,3,FALSE)</f>
        <v>(宜宾兴港三江新区长江工业园保障性租赁住房建设项目-土建)四川省宜宾市翠屏区永善路南段宜宾市三江新区长江工业园区</v>
      </c>
      <c r="J2701" s="33" t="str">
        <f>VLOOKUP(B2701,辅助信息!E:I,4,FALSE)</f>
        <v>赵元虎</v>
      </c>
      <c r="K2701" s="33">
        <f>VLOOKUP(J2701,辅助信息!H:I,2,FALSE)</f>
        <v>13684167136</v>
      </c>
      <c r="L2701" s="102" t="str">
        <f>VLOOKUP(B2701,辅助信息!E:J,6,FALSE)</f>
        <v>现场要求调度统一联系指定收货人，不单独发司机位置。锈货不收，装货前联系收货人核实到场规格,没提前告知进场规格现场不给予接收</v>
      </c>
      <c r="M2701" s="84">
        <v>45879</v>
      </c>
      <c r="O2701" s="55">
        <f ca="1" t="shared" si="163"/>
        <v>0</v>
      </c>
      <c r="P2701" s="55">
        <f ca="1" t="shared" si="164"/>
        <v>78</v>
      </c>
      <c r="Q2701" s="22" t="str">
        <f>VLOOKUP(B2701,辅助信息!E:M,9,FALSE)</f>
        <v>ZTWM-CDYXGS-XS-2025-0014-宜宾兴港建材-三江新区长江工业园片区保障性租赁住房建设项目</v>
      </c>
      <c r="R2701" s="22" t="str">
        <f>_xlfn._xlws.FILTER(辅助信息!D:D,辅助信息!E:E=B2701)</f>
        <v>宜宾兴港三江新区长江工业园建设项目</v>
      </c>
    </row>
    <row r="2702" hidden="1" spans="2:18">
      <c r="B2702" s="33" t="s">
        <v>194</v>
      </c>
      <c r="C2702" s="63">
        <v>45878</v>
      </c>
      <c r="D2702" s="33" t="str">
        <f>VLOOKUP(B2702,辅助信息!E:K,7,FALSE)</f>
        <v>JWDD2025071500089</v>
      </c>
      <c r="E2702" s="33" t="str">
        <f>VLOOKUP(F2702,辅助信息!A:B,2,FALSE)</f>
        <v>螺纹钢</v>
      </c>
      <c r="F2702" s="33" t="s">
        <v>21</v>
      </c>
      <c r="G2702" s="29">
        <v>2.7</v>
      </c>
      <c r="H2702" s="127">
        <f>_xlfn.XLOOKUP(C2702&amp;F2702&amp;I2702&amp;J2702,'[1]2025年已发货'!$F:$F&amp;'[1]2025年已发货'!$C:$C&amp;'[1]2025年已发货'!$G:$G&amp;'[1]2025年已发货'!$H:$H,'[1]2025年已发货'!$E:$E,"未发货")</f>
        <v>2.7</v>
      </c>
      <c r="I2702" s="33" t="str">
        <f>VLOOKUP(B2702,辅助信息!E:I,3,FALSE)</f>
        <v>(宜宾兴港三江新区长江工业园保障性租赁住房建设项目-土建)四川省宜宾市翠屏区永善路南段宜宾市三江新区长江工业园区</v>
      </c>
      <c r="J2702" s="33" t="str">
        <f>VLOOKUP(B2702,辅助信息!E:I,4,FALSE)</f>
        <v>赵元虎</v>
      </c>
      <c r="K2702" s="33">
        <f>VLOOKUP(J2702,辅助信息!H:I,2,FALSE)</f>
        <v>13684167136</v>
      </c>
      <c r="L2702" s="102" t="str">
        <f>VLOOKUP(B2702,辅助信息!E:J,6,FALSE)</f>
        <v>现场要求调度统一联系指定收货人，不单独发司机位置。锈货不收，装货前联系收货人核实到场规格,没提前告知进场规格现场不给予接收</v>
      </c>
      <c r="M2702" s="84">
        <v>45879</v>
      </c>
      <c r="O2702" s="55">
        <f ca="1" t="shared" si="163"/>
        <v>0</v>
      </c>
      <c r="P2702" s="55">
        <f ca="1" t="shared" si="164"/>
        <v>78</v>
      </c>
      <c r="Q2702" s="22" t="str">
        <f>VLOOKUP(B2702,辅助信息!E:M,9,FALSE)</f>
        <v>ZTWM-CDYXGS-XS-2025-0014-宜宾兴港建材-三江新区长江工业园片区保障性租赁住房建设项目</v>
      </c>
      <c r="R2702" s="22" t="str">
        <f>_xlfn._xlws.FILTER(辅助信息!D:D,辅助信息!E:E=B2702)</f>
        <v>宜宾兴港三江新区长江工业园建设项目</v>
      </c>
    </row>
    <row r="2703" hidden="1" spans="2:18">
      <c r="B2703" s="33" t="s">
        <v>194</v>
      </c>
      <c r="C2703" s="63">
        <v>45878</v>
      </c>
      <c r="D2703" s="33" t="str">
        <f>VLOOKUP(B2703,辅助信息!E:K,7,FALSE)</f>
        <v>JWDD2025071500089</v>
      </c>
      <c r="E2703" s="33" t="str">
        <f>VLOOKUP(F2703,辅助信息!A:B,2,FALSE)</f>
        <v>螺纹钢</v>
      </c>
      <c r="F2703" s="33" t="s">
        <v>58</v>
      </c>
      <c r="G2703" s="29">
        <v>2.7</v>
      </c>
      <c r="H2703" s="127">
        <f>_xlfn.XLOOKUP(C2703&amp;F2703&amp;I2703&amp;J2703,'[1]2025年已发货'!$F:$F&amp;'[1]2025年已发货'!$C:$C&amp;'[1]2025年已发货'!$G:$G&amp;'[1]2025年已发货'!$H:$H,'[1]2025年已发货'!$E:$E,"未发货")</f>
        <v>2.7</v>
      </c>
      <c r="I2703" s="33" t="str">
        <f>VLOOKUP(B2703,辅助信息!E:I,3,FALSE)</f>
        <v>(宜宾兴港三江新区长江工业园保障性租赁住房建设项目-土建)四川省宜宾市翠屏区永善路南段宜宾市三江新区长江工业园区</v>
      </c>
      <c r="J2703" s="33" t="str">
        <f>VLOOKUP(B2703,辅助信息!E:I,4,FALSE)</f>
        <v>赵元虎</v>
      </c>
      <c r="K2703" s="33">
        <f>VLOOKUP(J2703,辅助信息!H:I,2,FALSE)</f>
        <v>13684167136</v>
      </c>
      <c r="L2703" s="102" t="str">
        <f>VLOOKUP(B2703,辅助信息!E:J,6,FALSE)</f>
        <v>现场要求调度统一联系指定收货人，不单独发司机位置。锈货不收，装货前联系收货人核实到场规格,没提前告知进场规格现场不给予接收</v>
      </c>
      <c r="M2703" s="84">
        <v>45879</v>
      </c>
      <c r="O2703" s="55">
        <f ca="1" t="shared" si="163"/>
        <v>0</v>
      </c>
      <c r="P2703" s="55">
        <f ca="1" t="shared" si="164"/>
        <v>78</v>
      </c>
      <c r="Q2703" s="22" t="str">
        <f>VLOOKUP(B2703,辅助信息!E:M,9,FALSE)</f>
        <v>ZTWM-CDYXGS-XS-2025-0014-宜宾兴港建材-三江新区长江工业园片区保障性租赁住房建设项目</v>
      </c>
      <c r="R2703" s="22" t="str">
        <f>_xlfn._xlws.FILTER(辅助信息!D:D,辅助信息!E:E=B2703)</f>
        <v>宜宾兴港三江新区长江工业园建设项目</v>
      </c>
    </row>
    <row r="2704" hidden="1" spans="2:18">
      <c r="B2704" s="33" t="s">
        <v>194</v>
      </c>
      <c r="C2704" s="63">
        <v>45878</v>
      </c>
      <c r="D2704" s="33" t="str">
        <f>VLOOKUP(B2704,辅助信息!E:K,7,FALSE)</f>
        <v>JWDD2025071500089</v>
      </c>
      <c r="E2704" s="33" t="str">
        <f>VLOOKUP(F2704,辅助信息!A:B,2,FALSE)</f>
        <v>螺纹钢</v>
      </c>
      <c r="F2704" s="33" t="s">
        <v>46</v>
      </c>
      <c r="G2704" s="29">
        <v>2.7</v>
      </c>
      <c r="H2704" s="127">
        <f>_xlfn.XLOOKUP(C2704&amp;F2704&amp;I2704&amp;J2704,'[1]2025年已发货'!$F:$F&amp;'[1]2025年已发货'!$C:$C&amp;'[1]2025年已发货'!$G:$G&amp;'[1]2025年已发货'!$H:$H,'[1]2025年已发货'!$E:$E,"未发货")</f>
        <v>2.7</v>
      </c>
      <c r="I2704" s="33" t="str">
        <f>VLOOKUP(B2704,辅助信息!E:I,3,FALSE)</f>
        <v>(宜宾兴港三江新区长江工业园保障性租赁住房建设项目-土建)四川省宜宾市翠屏区永善路南段宜宾市三江新区长江工业园区</v>
      </c>
      <c r="J2704" s="33" t="str">
        <f>VLOOKUP(B2704,辅助信息!E:I,4,FALSE)</f>
        <v>赵元虎</v>
      </c>
      <c r="K2704" s="33">
        <f>VLOOKUP(J2704,辅助信息!H:I,2,FALSE)</f>
        <v>13684167136</v>
      </c>
      <c r="L2704" s="102" t="str">
        <f>VLOOKUP(B2704,辅助信息!E:J,6,FALSE)</f>
        <v>现场要求调度统一联系指定收货人，不单独发司机位置。锈货不收，装货前联系收货人核实到场规格,没提前告知进场规格现场不给予接收</v>
      </c>
      <c r="M2704" s="84">
        <v>45879</v>
      </c>
      <c r="O2704" s="55">
        <f ca="1" t="shared" si="163"/>
        <v>0</v>
      </c>
      <c r="P2704" s="55">
        <f ca="1" t="shared" si="164"/>
        <v>78</v>
      </c>
      <c r="Q2704" s="22" t="str">
        <f>VLOOKUP(B2704,辅助信息!E:M,9,FALSE)</f>
        <v>ZTWM-CDYXGS-XS-2025-0014-宜宾兴港建材-三江新区长江工业园片区保障性租赁住房建设项目</v>
      </c>
      <c r="R2704" s="22" t="str">
        <f>_xlfn._xlws.FILTER(辅助信息!D:D,辅助信息!E:E=B2704)</f>
        <v>宜宾兴港三江新区长江工业园建设项目</v>
      </c>
    </row>
    <row r="2705" hidden="1" spans="2:18">
      <c r="B2705" s="33" t="s">
        <v>194</v>
      </c>
      <c r="C2705" s="63">
        <v>45878</v>
      </c>
      <c r="D2705" s="33" t="str">
        <f>VLOOKUP(B2705,辅助信息!E:K,7,FALSE)</f>
        <v>JWDD2025071500089</v>
      </c>
      <c r="E2705" s="33" t="str">
        <f>VLOOKUP(F2705,辅助信息!A:B,2,FALSE)</f>
        <v>螺纹钢</v>
      </c>
      <c r="F2705" s="33" t="s">
        <v>22</v>
      </c>
      <c r="G2705" s="29">
        <v>50</v>
      </c>
      <c r="H2705" s="127">
        <f>_xlfn.XLOOKUP(C2705&amp;F2705&amp;I2705&amp;J2705,'[1]2025年已发货'!$F:$F&amp;'[1]2025年已发货'!$C:$C&amp;'[1]2025年已发货'!$G:$G&amp;'[1]2025年已发货'!$H:$H,'[1]2025年已发货'!$E:$E,"未发货")</f>
        <v>42</v>
      </c>
      <c r="I2705" s="33" t="str">
        <f>VLOOKUP(B2705,辅助信息!E:I,3,FALSE)</f>
        <v>(宜宾兴港三江新区长江工业园保障性租赁住房建设项目-土建)四川省宜宾市翠屏区永善路南段宜宾市三江新区长江工业园区</v>
      </c>
      <c r="J2705" s="33" t="str">
        <f>VLOOKUP(B2705,辅助信息!E:I,4,FALSE)</f>
        <v>赵元虎</v>
      </c>
      <c r="K2705" s="33">
        <f>VLOOKUP(J2705,辅助信息!H:I,2,FALSE)</f>
        <v>13684167136</v>
      </c>
      <c r="L2705" s="102" t="str">
        <f>VLOOKUP(B2705,辅助信息!E:J,6,FALSE)</f>
        <v>现场要求调度统一联系指定收货人，不单独发司机位置。锈货不收，装货前联系收货人核实到场规格,没提前告知进场规格现场不给予接收</v>
      </c>
      <c r="M2705" s="84">
        <v>45879</v>
      </c>
      <c r="O2705" s="55">
        <f ca="1" t="shared" si="163"/>
        <v>0</v>
      </c>
      <c r="P2705" s="55">
        <f ca="1" t="shared" si="164"/>
        <v>78</v>
      </c>
      <c r="Q2705" s="22" t="str">
        <f>VLOOKUP(B2705,辅助信息!E:M,9,FALSE)</f>
        <v>ZTWM-CDYXGS-XS-2025-0014-宜宾兴港建材-三江新区长江工业园片区保障性租赁住房建设项目</v>
      </c>
      <c r="R2705" s="22" t="str">
        <f>_xlfn._xlws.FILTER(辅助信息!D:D,辅助信息!E:E=B2705)</f>
        <v>宜宾兴港三江新区长江工业园建设项目</v>
      </c>
    </row>
    <row r="2706" hidden="1" spans="2:18">
      <c r="B2706" s="33" t="s">
        <v>106</v>
      </c>
      <c r="C2706" s="63">
        <v>45880</v>
      </c>
      <c r="D2706" s="33" t="str">
        <f>VLOOKUP(B2706,辅助信息!E:K,7,FALSE)</f>
        <v>JWDDCD2024101600133</v>
      </c>
      <c r="E2706" s="33" t="str">
        <f>VLOOKUP(F2706,辅助信息!A:B,2,FALSE)</f>
        <v>盘螺</v>
      </c>
      <c r="F2706" s="33" t="s">
        <v>49</v>
      </c>
      <c r="G2706" s="29">
        <v>10</v>
      </c>
      <c r="H2706" s="127">
        <f>_xlfn.XLOOKUP(C2706&amp;F2706&amp;I2706&amp;J2706,'[1]2025年已发货'!$F:$F&amp;'[1]2025年已发货'!$C:$C&amp;'[1]2025年已发货'!$G:$G&amp;'[1]2025年已发货'!$H:$H,'[1]2025年已发货'!$E:$E,"未发货")</f>
        <v>10</v>
      </c>
      <c r="I2706" s="33" t="str">
        <f>VLOOKUP(B2706,辅助信息!E:I,3,FALSE)</f>
        <v>（五冶钢构宜宾高县月江镇建设项目）  四川省宜宾市高县月江镇刚记超市斜对面(还阳组团沪碳二期项目)</v>
      </c>
      <c r="J2706" s="33" t="str">
        <f>VLOOKUP(B2706,辅助信息!E:I,4,FALSE)</f>
        <v>张朝亮</v>
      </c>
      <c r="K2706" s="33">
        <f>VLOOKUP(J2706,辅助信息!H:I,2,FALSE)</f>
        <v>15228205853</v>
      </c>
      <c r="L2706" s="102" t="str">
        <f>VLOOKUP(B2706,辅助信息!E:J,6,FALSE)</f>
        <v>提前联系到场规格</v>
      </c>
      <c r="O2706" s="55" t="str">
        <f ca="1" t="shared" si="163"/>
        <v/>
      </c>
      <c r="P2706" s="55" t="str">
        <f ca="1" t="shared" si="164"/>
        <v/>
      </c>
      <c r="Q2706" s="22" t="str">
        <f>VLOOKUP(B2706,辅助信息!E:M,9,FALSE)</f>
        <v>ZTWM-CDGS-XS-2024-0169-中冶西部钢构-宜宾市南溪区幸福路东路,高县月江镇建设项目</v>
      </c>
      <c r="R2706" s="22" t="str">
        <f>_xlfn._xlws.FILTER(辅助信息!D:D,辅助信息!E:E=B2706)</f>
        <v>五冶钢构-宜宾市南溪区高县月江镇建设项目</v>
      </c>
    </row>
    <row r="2707" hidden="1" spans="2:18">
      <c r="B2707" s="33" t="s">
        <v>106</v>
      </c>
      <c r="C2707" s="63">
        <v>45880</v>
      </c>
      <c r="D2707" s="33" t="str">
        <f>VLOOKUP(B2707,辅助信息!E:K,7,FALSE)</f>
        <v>JWDDCD2024101600133</v>
      </c>
      <c r="E2707" s="33" t="str">
        <f>VLOOKUP(F2707,辅助信息!A:B,2,FALSE)</f>
        <v>螺纹钢</v>
      </c>
      <c r="F2707" s="33" t="s">
        <v>30</v>
      </c>
      <c r="G2707" s="29">
        <v>6</v>
      </c>
      <c r="H2707" s="127">
        <f>_xlfn.XLOOKUP(C2707&amp;F2707&amp;I2707&amp;J2707,'[1]2025年已发货'!$F:$F&amp;'[1]2025年已发货'!$C:$C&amp;'[1]2025年已发货'!$G:$G&amp;'[1]2025年已发货'!$H:$H,'[1]2025年已发货'!$E:$E,"未发货")</f>
        <v>6</v>
      </c>
      <c r="I2707" s="33" t="str">
        <f>VLOOKUP(B2707,辅助信息!E:I,3,FALSE)</f>
        <v>（五冶钢构宜宾高县月江镇建设项目）  四川省宜宾市高县月江镇刚记超市斜对面(还阳组团沪碳二期项目)</v>
      </c>
      <c r="J2707" s="33" t="str">
        <f>VLOOKUP(B2707,辅助信息!E:I,4,FALSE)</f>
        <v>张朝亮</v>
      </c>
      <c r="K2707" s="33">
        <f>VLOOKUP(J2707,辅助信息!H:I,2,FALSE)</f>
        <v>15228205853</v>
      </c>
      <c r="L2707" s="102" t="str">
        <f>VLOOKUP(B2707,辅助信息!E:J,6,FALSE)</f>
        <v>提前联系到场规格</v>
      </c>
      <c r="O2707" s="55" t="str">
        <f ca="1" t="shared" si="163"/>
        <v/>
      </c>
      <c r="P2707" s="55" t="str">
        <f ca="1" t="shared" si="164"/>
        <v/>
      </c>
      <c r="Q2707" s="22" t="str">
        <f>VLOOKUP(B2707,辅助信息!E:M,9,FALSE)</f>
        <v>ZTWM-CDGS-XS-2024-0169-中冶西部钢构-宜宾市南溪区幸福路东路,高县月江镇建设项目</v>
      </c>
      <c r="R2707" s="22" t="str">
        <f>_xlfn._xlws.FILTER(辅助信息!D:D,辅助信息!E:E=B2707)</f>
        <v>五冶钢构-宜宾市南溪区高县月江镇建设项目</v>
      </c>
    </row>
    <row r="2708" hidden="1" spans="2:18">
      <c r="B2708" s="33" t="s">
        <v>106</v>
      </c>
      <c r="C2708" s="63">
        <v>45880</v>
      </c>
      <c r="D2708" s="33" t="str">
        <f>VLOOKUP(B2708,辅助信息!E:K,7,FALSE)</f>
        <v>JWDDCD2024101600133</v>
      </c>
      <c r="E2708" s="33" t="str">
        <f>VLOOKUP(F2708,辅助信息!A:B,2,FALSE)</f>
        <v>螺纹钢</v>
      </c>
      <c r="F2708" s="33" t="s">
        <v>33</v>
      </c>
      <c r="G2708" s="29">
        <v>9</v>
      </c>
      <c r="H2708" s="127">
        <f>_xlfn.XLOOKUP(C2708&amp;F2708&amp;I2708&amp;J2708,'[1]2025年已发货'!$F:$F&amp;'[1]2025年已发货'!$C:$C&amp;'[1]2025年已发货'!$G:$G&amp;'[1]2025年已发货'!$H:$H,'[1]2025年已发货'!$E:$E,"未发货")</f>
        <v>9</v>
      </c>
      <c r="I2708" s="33" t="str">
        <f>VLOOKUP(B2708,辅助信息!E:I,3,FALSE)</f>
        <v>（五冶钢构宜宾高县月江镇建设项目）  四川省宜宾市高县月江镇刚记超市斜对面(还阳组团沪碳二期项目)</v>
      </c>
      <c r="J2708" s="33" t="str">
        <f>VLOOKUP(B2708,辅助信息!E:I,4,FALSE)</f>
        <v>张朝亮</v>
      </c>
      <c r="K2708" s="33">
        <f>VLOOKUP(J2708,辅助信息!H:I,2,FALSE)</f>
        <v>15228205853</v>
      </c>
      <c r="L2708" s="102" t="str">
        <f>VLOOKUP(B2708,辅助信息!E:J,6,FALSE)</f>
        <v>提前联系到场规格</v>
      </c>
      <c r="O2708" s="55" t="str">
        <f ca="1" t="shared" si="163"/>
        <v/>
      </c>
      <c r="P2708" s="55" t="str">
        <f ca="1" t="shared" si="164"/>
        <v/>
      </c>
      <c r="Q2708" s="22" t="str">
        <f>VLOOKUP(B2708,辅助信息!E:M,9,FALSE)</f>
        <v>ZTWM-CDGS-XS-2024-0169-中冶西部钢构-宜宾市南溪区幸福路东路,高县月江镇建设项目</v>
      </c>
      <c r="R2708" s="22" t="str">
        <f>_xlfn._xlws.FILTER(辅助信息!D:D,辅助信息!E:E=B2708)</f>
        <v>五冶钢构-宜宾市南溪区高县月江镇建设项目</v>
      </c>
    </row>
    <row r="2709" hidden="1" spans="2:18">
      <c r="B2709" s="33" t="s">
        <v>106</v>
      </c>
      <c r="C2709" s="63">
        <v>45880</v>
      </c>
      <c r="D2709" s="33" t="str">
        <f>VLOOKUP(B2709,辅助信息!E:K,7,FALSE)</f>
        <v>JWDDCD2024101600133</v>
      </c>
      <c r="E2709" s="33" t="str">
        <f>VLOOKUP(F2709,辅助信息!A:B,2,FALSE)</f>
        <v>螺纹钢</v>
      </c>
      <c r="F2709" s="33" t="s">
        <v>28</v>
      </c>
      <c r="G2709" s="29">
        <v>9</v>
      </c>
      <c r="H2709" s="127">
        <f>_xlfn.XLOOKUP(C2709&amp;F2709&amp;I2709&amp;J2709,'[1]2025年已发货'!$F:$F&amp;'[1]2025年已发货'!$C:$C&amp;'[1]2025年已发货'!$G:$G&amp;'[1]2025年已发货'!$H:$H,'[1]2025年已发货'!$E:$E,"未发货")</f>
        <v>9</v>
      </c>
      <c r="I2709" s="33" t="str">
        <f>VLOOKUP(B2709,辅助信息!E:I,3,FALSE)</f>
        <v>（五冶钢构宜宾高县月江镇建设项目）  四川省宜宾市高县月江镇刚记超市斜对面(还阳组团沪碳二期项目)</v>
      </c>
      <c r="J2709" s="33" t="str">
        <f>VLOOKUP(B2709,辅助信息!E:I,4,FALSE)</f>
        <v>张朝亮</v>
      </c>
      <c r="K2709" s="33">
        <f>VLOOKUP(J2709,辅助信息!H:I,2,FALSE)</f>
        <v>15228205853</v>
      </c>
      <c r="L2709" s="102" t="str">
        <f>VLOOKUP(B2709,辅助信息!E:J,6,FALSE)</f>
        <v>提前联系到场规格</v>
      </c>
      <c r="O2709" s="55" t="str">
        <f ca="1" t="shared" si="163"/>
        <v/>
      </c>
      <c r="P2709" s="55" t="str">
        <f ca="1" t="shared" si="164"/>
        <v/>
      </c>
      <c r="Q2709" s="22" t="str">
        <f>VLOOKUP(B2709,辅助信息!E:M,9,FALSE)</f>
        <v>ZTWM-CDGS-XS-2024-0169-中冶西部钢构-宜宾市南溪区幸福路东路,高县月江镇建设项目</v>
      </c>
      <c r="R2709" s="22" t="str">
        <f>_xlfn._xlws.FILTER(辅助信息!D:D,辅助信息!E:E=B2709)</f>
        <v>五冶钢构-宜宾市南溪区高县月江镇建设项目</v>
      </c>
    </row>
    <row r="2710" hidden="1" spans="2:18">
      <c r="B2710" s="33" t="s">
        <v>68</v>
      </c>
      <c r="C2710" s="63">
        <v>45880</v>
      </c>
      <c r="D2710" s="33" t="str">
        <f>VLOOKUP(B2710,辅助信息!E:K,7,FALSE)</f>
        <v>JWDDCD2025052800131</v>
      </c>
      <c r="E2710" s="33" t="str">
        <f>VLOOKUP(F2710,辅助信息!A:B,2,FALSE)</f>
        <v>螺纹钢</v>
      </c>
      <c r="F2710" s="33" t="s">
        <v>65</v>
      </c>
      <c r="G2710" s="29">
        <v>60</v>
      </c>
      <c r="H2710" s="127">
        <f>_xlfn.XLOOKUP(C2710&amp;F2710&amp;I2710&amp;J2710,'[1]2025年已发货'!$F:$F&amp;'[1]2025年已发货'!$C:$C&amp;'[1]2025年已发货'!$G:$G&amp;'[1]2025年已发货'!$H:$H,'[1]2025年已发货'!$E:$E,"未发货")</f>
        <v>60</v>
      </c>
      <c r="I2710" s="33" t="str">
        <f>VLOOKUP(B2710,辅助信息!E:I,3,FALSE)</f>
        <v>（商投建工达州中医药科技园-2工区-景观桥）达州市通川区达州中医药职业学院犀牛大道北段</v>
      </c>
      <c r="J2710" s="33" t="str">
        <f>VLOOKUP(B2710,辅助信息!E:I,4,FALSE)</f>
        <v>李波</v>
      </c>
      <c r="K2710" s="33">
        <f>VLOOKUP(J2710,辅助信息!H:I,2,FALSE)</f>
        <v>18381899787</v>
      </c>
      <c r="L2710" s="102" t="str">
        <f>VLOOKUP(B2710,辅助信息!E:J,6,FALSE)</f>
        <v>控制炉批号！多了现场不收！,优先安排达钢,提前联系到场规格及数量</v>
      </c>
      <c r="O2710" s="55" t="str">
        <f ca="1" t="shared" si="163"/>
        <v/>
      </c>
      <c r="P2710" s="55" t="str">
        <f ca="1" t="shared" si="164"/>
        <v/>
      </c>
      <c r="Q2710" s="22" t="str">
        <f>VLOOKUP(B2710,辅助信息!E:M,9,FALSE)</f>
        <v>ZTWM-CDGS-XS-2024-0134-商投建工达州中医药科技成果示范园项目</v>
      </c>
      <c r="R2710" s="22" t="str">
        <f>_xlfn._xlws.FILTER(辅助信息!D:D,辅助信息!E:E=B2710)</f>
        <v>商投建工达州中医药科技园</v>
      </c>
    </row>
    <row r="2711" hidden="1" spans="2:18">
      <c r="B2711" s="33" t="s">
        <v>147</v>
      </c>
      <c r="C2711" s="63">
        <v>45880</v>
      </c>
      <c r="D2711" s="33" t="str">
        <f>VLOOKUP(B2711,辅助信息!E:K,7,FALSE)</f>
        <v>JWDDCD2025052800131</v>
      </c>
      <c r="E2711" s="33" t="str">
        <f>VLOOKUP(F2711,辅助信息!A:B,2,FALSE)</f>
        <v>螺纹钢</v>
      </c>
      <c r="F2711" s="33" t="s">
        <v>27</v>
      </c>
      <c r="G2711" s="29">
        <v>9</v>
      </c>
      <c r="H2711" s="127">
        <f>_xlfn.XLOOKUP(C2711&amp;F2711&amp;I2711&amp;J2711,'[1]2025年已发货'!$F:$F&amp;'[1]2025年已发货'!$C:$C&amp;'[1]2025年已发货'!$G:$G&amp;'[1]2025年已发货'!$H:$H,'[1]2025年已发货'!$E:$E,"未发货")</f>
        <v>7.5</v>
      </c>
      <c r="I2711" s="33" t="str">
        <f>VLOOKUP(B2711,辅助信息!E:I,3,FALSE)</f>
        <v>（商投建工达州中医药科技园-4工区-11号楼）达州市通川区达州中医药职业学院犀牛大道北段</v>
      </c>
      <c r="J2711" s="33" t="str">
        <f>VLOOKUP(B2711,辅助信息!E:I,4,FALSE)</f>
        <v>张扬</v>
      </c>
      <c r="K2711" s="33">
        <f>VLOOKUP(J2711,辅助信息!H:I,2,FALSE)</f>
        <v>18381904567</v>
      </c>
      <c r="L2711" s="102" t="str">
        <f>VLOOKUP(B2711,辅助信息!E:J,6,FALSE)</f>
        <v>控制炉批号！多了现场不收！,优先安排达钢,提前联系到场规格及数量</v>
      </c>
      <c r="O2711" s="55" t="str">
        <f ca="1" t="shared" si="163"/>
        <v/>
      </c>
      <c r="P2711" s="55" t="str">
        <f ca="1" t="shared" si="164"/>
        <v/>
      </c>
      <c r="Q2711" s="22" t="str">
        <f>VLOOKUP(B2711,辅助信息!E:M,9,FALSE)</f>
        <v>ZTWM-CDGS-XS-2024-0134-商投建工达州中医药科技成果示范园项目</v>
      </c>
      <c r="R2711" s="22" t="str">
        <f>_xlfn._xlws.FILTER(辅助信息!D:D,辅助信息!E:E=B2711)</f>
        <v>商投建工达州中医药科技园</v>
      </c>
    </row>
    <row r="2712" hidden="1" spans="2:18">
      <c r="B2712" s="33" t="s">
        <v>147</v>
      </c>
      <c r="C2712" s="63">
        <v>45880</v>
      </c>
      <c r="D2712" s="33" t="str">
        <f>VLOOKUP(B2712,辅助信息!E:K,7,FALSE)</f>
        <v>JWDDCD2025052800131</v>
      </c>
      <c r="E2712" s="33" t="str">
        <f>VLOOKUP(F2712,辅助信息!A:B,2,FALSE)</f>
        <v>螺纹钢</v>
      </c>
      <c r="F2712" s="33" t="s">
        <v>45</v>
      </c>
      <c r="G2712" s="29">
        <v>3</v>
      </c>
      <c r="H2712" s="127">
        <f>_xlfn.XLOOKUP(C2712&amp;F2712&amp;I2712&amp;J2712,'[1]2025年已发货'!$F:$F&amp;'[1]2025年已发货'!$C:$C&amp;'[1]2025年已发货'!$G:$G&amp;'[1]2025年已发货'!$H:$H,'[1]2025年已发货'!$E:$E,"未发货")</f>
        <v>2.5</v>
      </c>
      <c r="I2712" s="33" t="str">
        <f>VLOOKUP(B2712,辅助信息!E:I,3,FALSE)</f>
        <v>（商投建工达州中医药科技园-4工区-11号楼）达州市通川区达州中医药职业学院犀牛大道北段</v>
      </c>
      <c r="J2712" s="33" t="str">
        <f>VLOOKUP(B2712,辅助信息!E:I,4,FALSE)</f>
        <v>张扬</v>
      </c>
      <c r="K2712" s="33">
        <f>VLOOKUP(J2712,辅助信息!H:I,2,FALSE)</f>
        <v>18381904567</v>
      </c>
      <c r="L2712" s="102" t="str">
        <f>VLOOKUP(B2712,辅助信息!E:J,6,FALSE)</f>
        <v>控制炉批号！多了现场不收！,优先安排达钢,提前联系到场规格及数量</v>
      </c>
      <c r="O2712" s="55" t="str">
        <f ca="1" t="shared" si="163"/>
        <v/>
      </c>
      <c r="P2712" s="55" t="str">
        <f ca="1" t="shared" si="164"/>
        <v/>
      </c>
      <c r="Q2712" s="22" t="str">
        <f>VLOOKUP(B2712,辅助信息!E:M,9,FALSE)</f>
        <v>ZTWM-CDGS-XS-2024-0134-商投建工达州中医药科技成果示范园项目</v>
      </c>
      <c r="R2712" s="22" t="str">
        <f>_xlfn._xlws.FILTER(辅助信息!D:D,辅助信息!E:E=B2712)</f>
        <v>商投建工达州中医药科技园</v>
      </c>
    </row>
    <row r="2713" hidden="1" spans="2:18">
      <c r="B2713" s="33" t="s">
        <v>147</v>
      </c>
      <c r="C2713" s="63">
        <v>45880</v>
      </c>
      <c r="D2713" s="33" t="str">
        <f>VLOOKUP(B2713,辅助信息!E:K,7,FALSE)</f>
        <v>JWDDCD2025052800131</v>
      </c>
      <c r="E2713" s="33" t="str">
        <f>VLOOKUP(F2713,辅助信息!A:B,2,FALSE)</f>
        <v>螺纹钢</v>
      </c>
      <c r="F2713" s="33" t="s">
        <v>21</v>
      </c>
      <c r="G2713" s="29">
        <v>6</v>
      </c>
      <c r="H2713" s="127">
        <f>_xlfn.XLOOKUP(C2713&amp;F2713&amp;I2713&amp;J2713,'[1]2025年已发货'!$F:$F&amp;'[1]2025年已发货'!$C:$C&amp;'[1]2025年已发货'!$G:$G&amp;'[1]2025年已发货'!$H:$H,'[1]2025年已发货'!$E:$E,"未发货")</f>
        <v>5</v>
      </c>
      <c r="I2713" s="33" t="str">
        <f>VLOOKUP(B2713,辅助信息!E:I,3,FALSE)</f>
        <v>（商投建工达州中医药科技园-4工区-11号楼）达州市通川区达州中医药职业学院犀牛大道北段</v>
      </c>
      <c r="J2713" s="33" t="str">
        <f>VLOOKUP(B2713,辅助信息!E:I,4,FALSE)</f>
        <v>张扬</v>
      </c>
      <c r="K2713" s="33">
        <f>VLOOKUP(J2713,辅助信息!H:I,2,FALSE)</f>
        <v>18381904567</v>
      </c>
      <c r="L2713" s="102" t="str">
        <f>VLOOKUP(B2713,辅助信息!E:J,6,FALSE)</f>
        <v>控制炉批号！多了现场不收！,优先安排达钢,提前联系到场规格及数量</v>
      </c>
      <c r="O2713" s="55" t="str">
        <f ca="1" t="shared" si="163"/>
        <v/>
      </c>
      <c r="P2713" s="55" t="str">
        <f ca="1" t="shared" si="164"/>
        <v/>
      </c>
      <c r="Q2713" s="22" t="str">
        <f>VLOOKUP(B2713,辅助信息!E:M,9,FALSE)</f>
        <v>ZTWM-CDGS-XS-2024-0134-商投建工达州中医药科技成果示范园项目</v>
      </c>
      <c r="R2713" s="22" t="str">
        <f>_xlfn._xlws.FILTER(辅助信息!D:D,辅助信息!E:E=B2713)</f>
        <v>商投建工达州中医药科技园</v>
      </c>
    </row>
    <row r="2714" hidden="1" spans="2:18">
      <c r="B2714" s="33" t="s">
        <v>147</v>
      </c>
      <c r="C2714" s="63">
        <v>45880</v>
      </c>
      <c r="D2714" s="33" t="str">
        <f>VLOOKUP(B2714,辅助信息!E:K,7,FALSE)</f>
        <v>JWDDCD2025052800131</v>
      </c>
      <c r="E2714" s="33" t="str">
        <f>VLOOKUP(F2714,辅助信息!A:B,2,FALSE)</f>
        <v>螺纹钢</v>
      </c>
      <c r="F2714" s="33" t="s">
        <v>58</v>
      </c>
      <c r="G2714" s="29">
        <v>6</v>
      </c>
      <c r="H2714" s="127">
        <f>_xlfn.XLOOKUP(C2714&amp;F2714&amp;I2714&amp;J2714,'[1]2025年已发货'!$F:$F&amp;'[1]2025年已发货'!$C:$C&amp;'[1]2025年已发货'!$G:$G&amp;'[1]2025年已发货'!$H:$H,'[1]2025年已发货'!$E:$E,"未发货")</f>
        <v>5</v>
      </c>
      <c r="I2714" s="33" t="str">
        <f>VLOOKUP(B2714,辅助信息!E:I,3,FALSE)</f>
        <v>（商投建工达州中医药科技园-4工区-11号楼）达州市通川区达州中医药职业学院犀牛大道北段</v>
      </c>
      <c r="J2714" s="33" t="str">
        <f>VLOOKUP(B2714,辅助信息!E:I,4,FALSE)</f>
        <v>张扬</v>
      </c>
      <c r="K2714" s="33">
        <f>VLOOKUP(J2714,辅助信息!H:I,2,FALSE)</f>
        <v>18381904567</v>
      </c>
      <c r="L2714" s="102" t="str">
        <f>VLOOKUP(B2714,辅助信息!E:J,6,FALSE)</f>
        <v>控制炉批号！多了现场不收！,优先安排达钢,提前联系到场规格及数量</v>
      </c>
      <c r="O2714" s="55" t="str">
        <f ca="1" t="shared" si="163"/>
        <v/>
      </c>
      <c r="P2714" s="55" t="str">
        <f ca="1" t="shared" si="164"/>
        <v/>
      </c>
      <c r="Q2714" s="22" t="str">
        <f>VLOOKUP(B2714,辅助信息!E:M,9,FALSE)</f>
        <v>ZTWM-CDGS-XS-2024-0134-商投建工达州中医药科技成果示范园项目</v>
      </c>
      <c r="R2714" s="22" t="str">
        <f>_xlfn._xlws.FILTER(辅助信息!D:D,辅助信息!E:E=B2714)</f>
        <v>商投建工达州中医药科技园</v>
      </c>
    </row>
    <row r="2715" hidden="1" spans="2:18">
      <c r="B2715" s="33" t="s">
        <v>147</v>
      </c>
      <c r="C2715" s="63">
        <v>45880</v>
      </c>
      <c r="D2715" s="33" t="str">
        <f>VLOOKUP(B2715,辅助信息!E:K,7,FALSE)</f>
        <v>JWDDCD2025052800131</v>
      </c>
      <c r="E2715" s="33" t="str">
        <f>VLOOKUP(F2715,辅助信息!A:B,2,FALSE)</f>
        <v>螺纹钢</v>
      </c>
      <c r="F2715" s="33" t="s">
        <v>46</v>
      </c>
      <c r="G2715" s="29">
        <v>3</v>
      </c>
      <c r="H2715" s="127">
        <f>_xlfn.XLOOKUP(C2715&amp;F2715&amp;I2715&amp;J2715,'[1]2025年已发货'!$F:$F&amp;'[1]2025年已发货'!$C:$C&amp;'[1]2025年已发货'!$G:$G&amp;'[1]2025年已发货'!$H:$H,'[1]2025年已发货'!$E:$E,"未发货")</f>
        <v>2.5</v>
      </c>
      <c r="I2715" s="33" t="str">
        <f>VLOOKUP(B2715,辅助信息!E:I,3,FALSE)</f>
        <v>（商投建工达州中医药科技园-4工区-11号楼）达州市通川区达州中医药职业学院犀牛大道北段</v>
      </c>
      <c r="J2715" s="33" t="str">
        <f>VLOOKUP(B2715,辅助信息!E:I,4,FALSE)</f>
        <v>张扬</v>
      </c>
      <c r="K2715" s="33">
        <f>VLOOKUP(J2715,辅助信息!H:I,2,FALSE)</f>
        <v>18381904567</v>
      </c>
      <c r="L2715" s="102" t="str">
        <f>VLOOKUP(B2715,辅助信息!E:J,6,FALSE)</f>
        <v>控制炉批号！多了现场不收！,优先安排达钢,提前联系到场规格及数量</v>
      </c>
      <c r="O2715" s="55" t="str">
        <f ca="1" t="shared" si="163"/>
        <v/>
      </c>
      <c r="P2715" s="55" t="str">
        <f ca="1" t="shared" si="164"/>
        <v/>
      </c>
      <c r="Q2715" s="22" t="str">
        <f>VLOOKUP(B2715,辅助信息!E:M,9,FALSE)</f>
        <v>ZTWM-CDGS-XS-2024-0134-商投建工达州中医药科技成果示范园项目</v>
      </c>
      <c r="R2715" s="22" t="str">
        <f>_xlfn._xlws.FILTER(辅助信息!D:D,辅助信息!E:E=B2715)</f>
        <v>商投建工达州中医药科技园</v>
      </c>
    </row>
    <row r="2716" hidden="1" spans="2:18">
      <c r="B2716" s="33" t="s">
        <v>147</v>
      </c>
      <c r="C2716" s="63">
        <v>45880</v>
      </c>
      <c r="D2716" s="33" t="str">
        <f>VLOOKUP(B2716,辅助信息!E:K,7,FALSE)</f>
        <v>JWDDCD2025052800131</v>
      </c>
      <c r="E2716" s="33" t="str">
        <f>VLOOKUP(F2716,辅助信息!A:B,2,FALSE)</f>
        <v>螺纹钢</v>
      </c>
      <c r="F2716" s="33" t="s">
        <v>22</v>
      </c>
      <c r="G2716" s="29">
        <v>21</v>
      </c>
      <c r="H2716" s="127">
        <f>_xlfn.XLOOKUP(C2716&amp;F2716&amp;I2716&amp;J2716,'[1]2025年已发货'!$F:$F&amp;'[1]2025年已发货'!$C:$C&amp;'[1]2025年已发货'!$G:$G&amp;'[1]2025年已发货'!$H:$H,'[1]2025年已发货'!$E:$E,"未发货")</f>
        <v>12.5</v>
      </c>
      <c r="I2716" s="33" t="str">
        <f>VLOOKUP(B2716,辅助信息!E:I,3,FALSE)</f>
        <v>（商投建工达州中医药科技园-4工区-11号楼）达州市通川区达州中医药职业学院犀牛大道北段</v>
      </c>
      <c r="J2716" s="33" t="str">
        <f>VLOOKUP(B2716,辅助信息!E:I,4,FALSE)</f>
        <v>张扬</v>
      </c>
      <c r="K2716" s="33">
        <f>VLOOKUP(J2716,辅助信息!H:I,2,FALSE)</f>
        <v>18381904567</v>
      </c>
      <c r="L2716" s="102" t="str">
        <f>VLOOKUP(B2716,辅助信息!E:J,6,FALSE)</f>
        <v>控制炉批号！多了现场不收！,优先安排达钢,提前联系到场规格及数量</v>
      </c>
      <c r="O2716" s="55" t="str">
        <f ca="1" t="shared" si="163"/>
        <v/>
      </c>
      <c r="P2716" s="55" t="str">
        <f ca="1" t="shared" si="164"/>
        <v/>
      </c>
      <c r="Q2716" s="22" t="str">
        <f>VLOOKUP(B2716,辅助信息!E:M,9,FALSE)</f>
        <v>ZTWM-CDGS-XS-2024-0134-商投建工达州中医药科技成果示范园项目</v>
      </c>
      <c r="R2716" s="22" t="str">
        <f>_xlfn._xlws.FILTER(辅助信息!D:D,辅助信息!E:E=B2716)</f>
        <v>商投建工达州中医药科技园</v>
      </c>
    </row>
    <row r="2717" hidden="1" spans="2:18">
      <c r="B2717" s="33" t="s">
        <v>186</v>
      </c>
      <c r="C2717" s="63">
        <v>45880</v>
      </c>
      <c r="D2717" s="33" t="str">
        <f>VLOOKUP(B2717,辅助信息!E:K,7,FALSE)</f>
        <v>JWDDCD2025072900123</v>
      </c>
      <c r="E2717" s="33" t="str">
        <f>VLOOKUP(F2717,辅助信息!A:B,2,FALSE)</f>
        <v>螺纹钢</v>
      </c>
      <c r="F2717" s="33" t="s">
        <v>91</v>
      </c>
      <c r="G2717" s="29">
        <v>40</v>
      </c>
      <c r="H2717" s="127">
        <f>_xlfn.XLOOKUP(C2717&amp;F2717&amp;I2717&amp;J2717,'[1]2025年已发货'!$F:$F&amp;'[1]2025年已发货'!$C:$C&amp;'[1]2025年已发货'!$G:$G&amp;'[1]2025年已发货'!$H:$H,'[1]2025年已发货'!$E:$E,"未发货")</f>
        <v>35</v>
      </c>
      <c r="I2717" s="33" t="str">
        <f>VLOOKUP(B2717,辅助信息!E:I,3,FALSE)</f>
        <v>(乐山市校地共建产教融合基地建设项目二标段)四川省乐山市市中区苏稽镇</v>
      </c>
      <c r="J2717" s="33" t="str">
        <f>VLOOKUP(B2717,辅助信息!E:I,4,FALSE)</f>
        <v>彭江涛</v>
      </c>
      <c r="K2717" s="33">
        <f>VLOOKUP(J2717,辅助信息!H:I,2,FALSE)</f>
        <v>13990276572</v>
      </c>
      <c r="L2717" s="102" t="str">
        <f>VLOOKUP(B2717,辅助信息!E:J,6,FALSE)</f>
        <v>联系实际收货人（彭江涛13990276572）现场要求炉批号控制2个以下，超2个不给予签收。提前联系到场规格及数量</v>
      </c>
      <c r="O2717" s="55" t="str">
        <f ca="1" t="shared" ref="O2717:O2780" si="165">IF(OR(M2717="",N2717&lt;&gt;""),"",MAX(M2717-TODAY(),0))</f>
        <v/>
      </c>
      <c r="P2717" s="55" t="str">
        <f ca="1" t="shared" ref="P2717:P2780" si="166">IF(M2717="","",IF(N2717&lt;&gt;"",MAX(N2717-M2717,0),IF(TODAY()&gt;M2717,TODAY()-M2717,0)))</f>
        <v/>
      </c>
      <c r="Q2717" s="22" t="str">
        <f>VLOOKUP(B2717,辅助信息!E:M,9,FALSE)</f>
        <v>ZTWM-CDGS-XS-2025-0126-四川机司-乐山市校地共建产教融合基地配套设施项目施工二标段钢筋采购合同</v>
      </c>
      <c r="R2717" s="22" t="str">
        <f>_xlfn._xlws.FILTER(辅助信息!D:D,辅助信息!E:E=B2717)</f>
        <v>乐山市校地共建产教融合基地建设项目二标段</v>
      </c>
    </row>
    <row r="2718" hidden="1" spans="2:18">
      <c r="B2718" s="33" t="s">
        <v>56</v>
      </c>
      <c r="C2718" s="63">
        <v>45881</v>
      </c>
      <c r="D2718" s="33" t="str">
        <f>VLOOKUP(B2718,辅助信息!E:K,7,FALSE)</f>
        <v>JWDDCD2025052800131</v>
      </c>
      <c r="E2718" s="33" t="str">
        <f>VLOOKUP(F2718,辅助信息!A:B,2,FALSE)</f>
        <v>盘螺</v>
      </c>
      <c r="F2718" s="33" t="s">
        <v>49</v>
      </c>
      <c r="G2718" s="29">
        <v>3</v>
      </c>
      <c r="H2718" s="127">
        <f>_xlfn.XLOOKUP(C2718&amp;F2718&amp;I2718&amp;J2718,'[1]2025年已发货'!$F:$F&amp;'[1]2025年已发货'!$C:$C&amp;'[1]2025年已发货'!$G:$G&amp;'[1]2025年已发货'!$H:$H,'[1]2025年已发货'!$E:$E,"未发货")</f>
        <v>3</v>
      </c>
      <c r="I2718" s="33" t="str">
        <f>VLOOKUP(B2718,辅助信息!E:I,3,FALSE)</f>
        <v>（商投建工达州中医药科技园-4工区-7号楼）达州市通川区达州中医药职业学院犀牛大道北段</v>
      </c>
      <c r="J2718" s="33" t="str">
        <f>VLOOKUP(B2718,辅助信息!E:I,4,FALSE)</f>
        <v>张扬</v>
      </c>
      <c r="K2718" s="33">
        <f>VLOOKUP(J2718,辅助信息!H:I,2,FALSE)</f>
        <v>18381904567</v>
      </c>
      <c r="L2718" s="102" t="str">
        <f>VLOOKUP(B2718,辅助信息!E:J,6,FALSE)</f>
        <v>控制炉批号！多了现场不收！,优先安排达钢,提前联系到场规格及数量</v>
      </c>
      <c r="O2718" s="55" t="str">
        <f ca="1" t="shared" si="165"/>
        <v/>
      </c>
      <c r="P2718" s="55" t="str">
        <f ca="1" t="shared" si="166"/>
        <v/>
      </c>
      <c r="Q2718" s="22" t="str">
        <f>VLOOKUP(B2718,辅助信息!E:M,9,FALSE)</f>
        <v>ZTWM-CDGS-XS-2024-0134-商投建工达州中医药科技成果示范园项目</v>
      </c>
      <c r="R2718" s="22" t="str">
        <f>_xlfn._xlws.FILTER(辅助信息!D:D,辅助信息!E:E=B2718)</f>
        <v>商投建工达州中医药科技园</v>
      </c>
    </row>
    <row r="2719" hidden="1" spans="2:18">
      <c r="B2719" s="33" t="s">
        <v>56</v>
      </c>
      <c r="C2719" s="63">
        <v>45881</v>
      </c>
      <c r="D2719" s="33" t="str">
        <f>VLOOKUP(B2719,辅助信息!E:K,7,FALSE)</f>
        <v>JWDDCD2025052800131</v>
      </c>
      <c r="E2719" s="33" t="str">
        <f>VLOOKUP(F2719,辅助信息!A:B,2,FALSE)</f>
        <v>盘螺</v>
      </c>
      <c r="F2719" s="33" t="s">
        <v>40</v>
      </c>
      <c r="G2719" s="29">
        <v>36</v>
      </c>
      <c r="H2719" s="127">
        <f>_xlfn.XLOOKUP(C2719&amp;F2719&amp;I2719&amp;J2719,'[1]2025年已发货'!$F:$F&amp;'[1]2025年已发货'!$C:$C&amp;'[1]2025年已发货'!$G:$G&amp;'[1]2025年已发货'!$H:$H,'[1]2025年已发货'!$E:$E,"未发货")</f>
        <v>42</v>
      </c>
      <c r="I2719" s="33" t="str">
        <f>VLOOKUP(B2719,辅助信息!E:I,3,FALSE)</f>
        <v>（商投建工达州中医药科技园-4工区-7号楼）达州市通川区达州中医药职业学院犀牛大道北段</v>
      </c>
      <c r="J2719" s="33" t="str">
        <f>VLOOKUP(B2719,辅助信息!E:I,4,FALSE)</f>
        <v>张扬</v>
      </c>
      <c r="K2719" s="33">
        <f>VLOOKUP(J2719,辅助信息!H:I,2,FALSE)</f>
        <v>18381904567</v>
      </c>
      <c r="L2719" s="102" t="str">
        <f>VLOOKUP(B2719,辅助信息!E:J,6,FALSE)</f>
        <v>控制炉批号！多了现场不收！,优先安排达钢,提前联系到场规格及数量</v>
      </c>
      <c r="O2719" s="55" t="str">
        <f ca="1" t="shared" si="165"/>
        <v/>
      </c>
      <c r="P2719" s="55" t="str">
        <f ca="1" t="shared" si="166"/>
        <v/>
      </c>
      <c r="Q2719" s="22" t="str">
        <f>VLOOKUP(B2719,辅助信息!E:M,9,FALSE)</f>
        <v>ZTWM-CDGS-XS-2024-0134-商投建工达州中医药科技成果示范园项目</v>
      </c>
      <c r="R2719" s="22" t="str">
        <f>_xlfn._xlws.FILTER(辅助信息!D:D,辅助信息!E:E=B2719)</f>
        <v>商投建工达州中医药科技园</v>
      </c>
    </row>
    <row r="2720" hidden="1" spans="2:18">
      <c r="B2720" s="33" t="s">
        <v>180</v>
      </c>
      <c r="C2720" s="63">
        <v>45882</v>
      </c>
      <c r="D2720" s="33" t="str">
        <f>VLOOKUP(B2720,辅助信息!E:K,7,FALSE)</f>
        <v>JWDDCD2025052800131</v>
      </c>
      <c r="E2720" s="33" t="str">
        <f>VLOOKUP(F2720,辅助信息!A:B,2,FALSE)</f>
        <v>盘螺</v>
      </c>
      <c r="F2720" s="33" t="s">
        <v>40</v>
      </c>
      <c r="G2720" s="29">
        <v>33</v>
      </c>
      <c r="H2720" s="127">
        <f>_xlfn.XLOOKUP(C2720&amp;F2720&amp;I2720&amp;J2720,'[1]2025年已发货'!$F:$F&amp;'[1]2025年已发货'!$C:$C&amp;'[1]2025年已发货'!$G:$G&amp;'[1]2025年已发货'!$H:$H,'[1]2025年已发货'!$E:$E,"未发货")</f>
        <v>27</v>
      </c>
      <c r="I2720" s="33" t="str">
        <f>VLOOKUP(B2720,辅助信息!E:I,3,FALSE)</f>
        <v>（商投建工达州中医药科技园-4工区-8号楼）达州市通川区达州中医药职业学院犀牛大道北段</v>
      </c>
      <c r="J2720" s="33" t="str">
        <f>VLOOKUP(B2720,辅助信息!E:I,4,FALSE)</f>
        <v>张扬</v>
      </c>
      <c r="K2720" s="33">
        <f>VLOOKUP(J2720,辅助信息!H:I,2,FALSE)</f>
        <v>18381904567</v>
      </c>
      <c r="L2720" s="102" t="str">
        <f>VLOOKUP(B2720,辅助信息!E:J,6,FALSE)</f>
        <v>控制炉批号！多了现场不收！,优先安排达钢,提前联系到场规格及数量</v>
      </c>
      <c r="O2720" s="55" t="str">
        <f ca="1" t="shared" si="165"/>
        <v/>
      </c>
      <c r="P2720" s="55" t="str">
        <f ca="1" t="shared" si="166"/>
        <v/>
      </c>
      <c r="Q2720" s="22" t="str">
        <f>VLOOKUP(B2720,辅助信息!E:M,9,FALSE)</f>
        <v>ZTWM-CDGS-XS-2024-0134-商投建工达州中医药科技成果示范园项目</v>
      </c>
      <c r="R2720" s="22" t="str">
        <f>_xlfn._xlws.FILTER(辅助信息!D:D,辅助信息!E:E=B2720)</f>
        <v>商投建工达州中医药科技园</v>
      </c>
    </row>
    <row r="2721" hidden="1" spans="2:18">
      <c r="B2721" s="33" t="s">
        <v>180</v>
      </c>
      <c r="C2721" s="63">
        <v>45882</v>
      </c>
      <c r="D2721" s="33" t="str">
        <f>VLOOKUP(B2721,辅助信息!E:K,7,FALSE)</f>
        <v>JWDDCD2025052800131</v>
      </c>
      <c r="E2721" s="33" t="str">
        <f>VLOOKUP(F2721,辅助信息!A:B,2,FALSE)</f>
        <v>盘螺</v>
      </c>
      <c r="F2721" s="33" t="s">
        <v>41</v>
      </c>
      <c r="G2721" s="29">
        <v>12</v>
      </c>
      <c r="H2721" s="127">
        <f>_xlfn.XLOOKUP(C2721&amp;F2721&amp;I2721&amp;J2721,'[1]2025年已发货'!$F:$F&amp;'[1]2025年已发货'!$C:$C&amp;'[1]2025年已发货'!$G:$G&amp;'[1]2025年已发货'!$H:$H,'[1]2025年已发货'!$E:$E,"未发货")</f>
        <v>12</v>
      </c>
      <c r="I2721" s="33" t="str">
        <f>VLOOKUP(B2721,辅助信息!E:I,3,FALSE)</f>
        <v>（商投建工达州中医药科技园-4工区-8号楼）达州市通川区达州中医药职业学院犀牛大道北段</v>
      </c>
      <c r="J2721" s="33" t="str">
        <f>VLOOKUP(B2721,辅助信息!E:I,4,FALSE)</f>
        <v>张扬</v>
      </c>
      <c r="K2721" s="33">
        <f>VLOOKUP(J2721,辅助信息!H:I,2,FALSE)</f>
        <v>18381904567</v>
      </c>
      <c r="L2721" s="102" t="str">
        <f>VLOOKUP(B2721,辅助信息!E:J,6,FALSE)</f>
        <v>控制炉批号！多了现场不收！,优先安排达钢,提前联系到场规格及数量</v>
      </c>
      <c r="O2721" s="55" t="str">
        <f ca="1" t="shared" si="165"/>
        <v/>
      </c>
      <c r="P2721" s="55" t="str">
        <f ca="1" t="shared" si="166"/>
        <v/>
      </c>
      <c r="Q2721" s="22" t="str">
        <f>VLOOKUP(B2721,辅助信息!E:M,9,FALSE)</f>
        <v>ZTWM-CDGS-XS-2024-0134-商投建工达州中医药科技成果示范园项目</v>
      </c>
      <c r="R2721" s="22" t="str">
        <f>_xlfn._xlws.FILTER(辅助信息!D:D,辅助信息!E:E=B2721)</f>
        <v>商投建工达州中医药科技园</v>
      </c>
    </row>
    <row r="2722" hidden="1" spans="2:18">
      <c r="B2722" s="33" t="s">
        <v>160</v>
      </c>
      <c r="C2722" s="63">
        <v>45881</v>
      </c>
      <c r="D2722" s="33" t="str">
        <f>VLOOKUP(B2722,辅助信息!E:K,7,FALSE)</f>
        <v>JWDDCD2025071500024</v>
      </c>
      <c r="E2722" s="33" t="str">
        <f>VLOOKUP(F2722,辅助信息!A:B,2,FALSE)</f>
        <v>螺纹钢</v>
      </c>
      <c r="F2722" s="33" t="s">
        <v>32</v>
      </c>
      <c r="G2722" s="29">
        <v>27</v>
      </c>
      <c r="H2722" s="127">
        <f>_xlfn.XLOOKUP(C2722&amp;F2722&amp;I2722&amp;J2722,'[1]2025年已发货'!$F:$F&amp;'[1]2025年已发货'!$C:$C&amp;'[1]2025年已发货'!$G:$G&amp;'[1]2025年已发货'!$H:$H,'[1]2025年已发货'!$E:$E,"未发货")</f>
        <v>27</v>
      </c>
      <c r="I2722" s="33" t="str">
        <f>VLOOKUP(B2722,辅助信息!E:I,3,FALSE)</f>
        <v>(中铁三局集团西渝高铁康渝段站房四标工程)重庆市九龙坡区华祥支路与华祥路交叉口重庆建工重庆西站TOD项目部</v>
      </c>
      <c r="J2722" s="33" t="str">
        <f>VLOOKUP(B2722,辅助信息!E:I,4,FALSE)</f>
        <v>卢庆江</v>
      </c>
      <c r="K2722" s="33">
        <f>VLOOKUP(J2722,辅助信息!H:I,2,FALSE)</f>
        <v>18883488177</v>
      </c>
      <c r="L2722" s="102" t="str">
        <f>VLOOKUP(B2722,辅助信息!E:J,6,FALSE)</f>
        <v>炉批号尽可能不要多</v>
      </c>
      <c r="O2722" s="55" t="str">
        <f ca="1" t="shared" si="165"/>
        <v/>
      </c>
      <c r="P2722" s="55" t="str">
        <f ca="1" t="shared" si="166"/>
        <v/>
      </c>
      <c r="Q2722" s="22" t="str">
        <f>VLOOKUP(B2722,辅助信息!E:M,9,FALSE)</f>
        <v>ZTWM-CDGS-XS-2025-0029-中铁三局集团有限公司-西渝高铁康渝段站房四标项目</v>
      </c>
      <c r="R2722" s="22" t="str">
        <f>_xlfn._xlws.FILTER(辅助信息!D:D,辅助信息!E:E=B2722)</f>
        <v>中铁三局集团西渝高铁康渝段站房四标工程</v>
      </c>
    </row>
    <row r="2723" hidden="1" spans="2:18">
      <c r="B2723" s="33" t="s">
        <v>160</v>
      </c>
      <c r="C2723" s="63">
        <v>45881</v>
      </c>
      <c r="D2723" s="33" t="str">
        <f>VLOOKUP(B2723,辅助信息!E:K,7,FALSE)</f>
        <v>JWDDCD2025071500024</v>
      </c>
      <c r="E2723" s="33" t="str">
        <f>VLOOKUP(F2723,辅助信息!A:B,2,FALSE)</f>
        <v>螺纹钢</v>
      </c>
      <c r="F2723" s="33" t="s">
        <v>30</v>
      </c>
      <c r="G2723" s="29">
        <v>9</v>
      </c>
      <c r="H2723" s="127" t="str">
        <f>_xlfn.XLOOKUP(C2723&amp;F2723&amp;I2723&amp;J2723,'[1]2025年已发货'!$F:$F&amp;'[1]2025年已发货'!$C:$C&amp;'[1]2025年已发货'!$G:$G&amp;'[1]2025年已发货'!$H:$H,'[1]2025年已发货'!$E:$E,"未发货")</f>
        <v>未发货</v>
      </c>
      <c r="I2723" s="33" t="str">
        <f>VLOOKUP(B2723,辅助信息!E:I,3,FALSE)</f>
        <v>(中铁三局集团西渝高铁康渝段站房四标工程)重庆市九龙坡区华祥支路与华祥路交叉口重庆建工重庆西站TOD项目部</v>
      </c>
      <c r="J2723" s="33" t="str">
        <f>VLOOKUP(B2723,辅助信息!E:I,4,FALSE)</f>
        <v>卢庆江</v>
      </c>
      <c r="K2723" s="33">
        <f>VLOOKUP(J2723,辅助信息!H:I,2,FALSE)</f>
        <v>18883488177</v>
      </c>
      <c r="L2723" s="102" t="str">
        <f>VLOOKUP(B2723,辅助信息!E:J,6,FALSE)</f>
        <v>炉批号尽可能不要多</v>
      </c>
      <c r="O2723" s="55" t="str">
        <f ca="1" t="shared" si="165"/>
        <v/>
      </c>
      <c r="P2723" s="55" t="str">
        <f ca="1" t="shared" si="166"/>
        <v/>
      </c>
      <c r="Q2723" s="22" t="str">
        <f>VLOOKUP(B2723,辅助信息!E:M,9,FALSE)</f>
        <v>ZTWM-CDGS-XS-2025-0029-中铁三局集团有限公司-西渝高铁康渝段站房四标项目</v>
      </c>
      <c r="R2723" s="22" t="str">
        <f>_xlfn._xlws.FILTER(辅助信息!D:D,辅助信息!E:E=B2723)</f>
        <v>中铁三局集团西渝高铁康渝段站房四标工程</v>
      </c>
    </row>
    <row r="2724" hidden="1" spans="2:18">
      <c r="B2724" s="33" t="s">
        <v>47</v>
      </c>
      <c r="C2724" s="63">
        <v>45882</v>
      </c>
      <c r="D2724" s="33" t="str">
        <f>VLOOKUP(B2724,辅助信息!E:K,7,FALSE)</f>
        <v>JWDDCD2025052800131</v>
      </c>
      <c r="E2724" s="33" t="str">
        <f>VLOOKUP(F2724,辅助信息!A:B,2,FALSE)</f>
        <v>盘螺</v>
      </c>
      <c r="F2724" s="33" t="s">
        <v>40</v>
      </c>
      <c r="G2724" s="29">
        <v>25</v>
      </c>
      <c r="H2724" s="127">
        <f>_xlfn.XLOOKUP(C2724&amp;F2724&amp;I2724&amp;J2724,'[1]2025年已发货'!$F:$F&amp;'[1]2025年已发货'!$C:$C&amp;'[1]2025年已发货'!$G:$G&amp;'[1]2025年已发货'!$H:$H,'[1]2025年已发货'!$E:$E,"未发货")</f>
        <v>25</v>
      </c>
      <c r="I2724" s="33" t="str">
        <f>VLOOKUP(B2724,辅助信息!E:I,3,FALSE)</f>
        <v>（商投建工达州中医药科技园-1工区）达州市通川区达州中医药职业学院犀牛大道北段</v>
      </c>
      <c r="J2724" s="33" t="str">
        <f>VLOOKUP(B2724,辅助信息!E:I,4,FALSE)</f>
        <v>程黄刚</v>
      </c>
      <c r="K2724" s="33">
        <f>VLOOKUP(J2724,辅助信息!H:I,2,FALSE)</f>
        <v>15108211617</v>
      </c>
      <c r="L2724" s="102" t="str">
        <f>VLOOKUP(B2724,辅助信息!E:J,6,FALSE)</f>
        <v>控制炉批号！多了现场不收！,优先安排达钢,提前联系到场规格及数量</v>
      </c>
      <c r="O2724" s="55" t="str">
        <f ca="1" t="shared" si="165"/>
        <v/>
      </c>
      <c r="P2724" s="55" t="str">
        <f ca="1" t="shared" si="166"/>
        <v/>
      </c>
      <c r="Q2724" s="22" t="str">
        <f>VLOOKUP(B2724,辅助信息!E:M,9,FALSE)</f>
        <v>ZTWM-CDGS-XS-2024-0134-商投建工达州中医药科技成果示范园项目</v>
      </c>
      <c r="R2724" s="22" t="str">
        <f>_xlfn._xlws.FILTER(辅助信息!D:D,辅助信息!E:E=B2724)</f>
        <v>商投建工达州中医药科技园</v>
      </c>
    </row>
    <row r="2725" hidden="1" spans="2:18">
      <c r="B2725" s="33" t="s">
        <v>47</v>
      </c>
      <c r="C2725" s="63">
        <v>45882</v>
      </c>
      <c r="D2725" s="33" t="str">
        <f>VLOOKUP(B2725,辅助信息!E:K,7,FALSE)</f>
        <v>JWDDCD2025052800131</v>
      </c>
      <c r="E2725" s="33" t="str">
        <f>VLOOKUP(F2725,辅助信息!A:B,2,FALSE)</f>
        <v>螺纹钢</v>
      </c>
      <c r="F2725" s="33" t="s">
        <v>19</v>
      </c>
      <c r="G2725" s="29">
        <v>6</v>
      </c>
      <c r="H2725" s="127">
        <f>_xlfn.XLOOKUP(C2725&amp;F2725&amp;I2725&amp;J2725,'[1]2025年已发货'!$F:$F&amp;'[1]2025年已发货'!$C:$C&amp;'[1]2025年已发货'!$G:$G&amp;'[1]2025年已发货'!$H:$H,'[1]2025年已发货'!$E:$E,"未发货")</f>
        <v>6</v>
      </c>
      <c r="I2725" s="33" t="str">
        <f>VLOOKUP(B2725,辅助信息!E:I,3,FALSE)</f>
        <v>（商投建工达州中医药科技园-1工区）达州市通川区达州中医药职业学院犀牛大道北段</v>
      </c>
      <c r="J2725" s="33" t="str">
        <f>VLOOKUP(B2725,辅助信息!E:I,4,FALSE)</f>
        <v>程黄刚</v>
      </c>
      <c r="K2725" s="33">
        <f>VLOOKUP(J2725,辅助信息!H:I,2,FALSE)</f>
        <v>15108211617</v>
      </c>
      <c r="L2725" s="102" t="str">
        <f>VLOOKUP(B2725,辅助信息!E:J,6,FALSE)</f>
        <v>控制炉批号！多了现场不收！,优先安排达钢,提前联系到场规格及数量</v>
      </c>
      <c r="O2725" s="55" t="str">
        <f ca="1" t="shared" si="165"/>
        <v/>
      </c>
      <c r="P2725" s="55" t="str">
        <f ca="1" t="shared" si="166"/>
        <v/>
      </c>
      <c r="Q2725" s="22" t="str">
        <f>VLOOKUP(B2725,辅助信息!E:M,9,FALSE)</f>
        <v>ZTWM-CDGS-XS-2024-0134-商投建工达州中医药科技成果示范园项目</v>
      </c>
      <c r="R2725" s="22" t="str">
        <f>_xlfn._xlws.FILTER(辅助信息!D:D,辅助信息!E:E=B2725)</f>
        <v>商投建工达州中医药科技园</v>
      </c>
    </row>
    <row r="2726" hidden="1" spans="2:18">
      <c r="B2726" s="33" t="s">
        <v>47</v>
      </c>
      <c r="C2726" s="63">
        <v>45882</v>
      </c>
      <c r="D2726" s="33" t="str">
        <f>VLOOKUP(B2726,辅助信息!E:K,7,FALSE)</f>
        <v>JWDDCD2025052800131</v>
      </c>
      <c r="E2726" s="33" t="str">
        <f>VLOOKUP(F2726,辅助信息!A:B,2,FALSE)</f>
        <v>螺纹钢</v>
      </c>
      <c r="F2726" s="33" t="s">
        <v>66</v>
      </c>
      <c r="G2726" s="29">
        <v>3</v>
      </c>
      <c r="H2726" s="127">
        <f>_xlfn.XLOOKUP(C2726&amp;F2726&amp;I2726&amp;J2726,'[1]2025年已发货'!$F:$F&amp;'[1]2025年已发货'!$C:$C&amp;'[1]2025年已发货'!$G:$G&amp;'[1]2025年已发货'!$H:$H,'[1]2025年已发货'!$E:$E,"未发货")</f>
        <v>3</v>
      </c>
      <c r="I2726" s="33" t="str">
        <f>VLOOKUP(B2726,辅助信息!E:I,3,FALSE)</f>
        <v>（商投建工达州中医药科技园-1工区）达州市通川区达州中医药职业学院犀牛大道北段</v>
      </c>
      <c r="J2726" s="33" t="str">
        <f>VLOOKUP(B2726,辅助信息!E:I,4,FALSE)</f>
        <v>程黄刚</v>
      </c>
      <c r="K2726" s="33">
        <f>VLOOKUP(J2726,辅助信息!H:I,2,FALSE)</f>
        <v>15108211617</v>
      </c>
      <c r="L2726" s="102" t="str">
        <f>VLOOKUP(B2726,辅助信息!E:J,6,FALSE)</f>
        <v>控制炉批号！多了现场不收！,优先安排达钢,提前联系到场规格及数量</v>
      </c>
      <c r="O2726" s="55" t="str">
        <f ca="1" t="shared" si="165"/>
        <v/>
      </c>
      <c r="P2726" s="55" t="str">
        <f ca="1" t="shared" si="166"/>
        <v/>
      </c>
      <c r="Q2726" s="22" t="str">
        <f>VLOOKUP(B2726,辅助信息!E:M,9,FALSE)</f>
        <v>ZTWM-CDGS-XS-2024-0134-商投建工达州中医药科技成果示范园项目</v>
      </c>
      <c r="R2726" s="22" t="str">
        <f>_xlfn._xlws.FILTER(辅助信息!D:D,辅助信息!E:E=B2726)</f>
        <v>商投建工达州中医药科技园</v>
      </c>
    </row>
    <row r="2727" hidden="1" spans="2:18">
      <c r="B2727" s="33" t="s">
        <v>47</v>
      </c>
      <c r="C2727" s="63">
        <v>45882</v>
      </c>
      <c r="D2727" s="33" t="str">
        <f>VLOOKUP(B2727,辅助信息!E:K,7,FALSE)</f>
        <v>JWDDCD2025052800131</v>
      </c>
      <c r="E2727" s="33" t="str">
        <f>VLOOKUP(F2727,辅助信息!A:B,2,FALSE)</f>
        <v>螺纹钢</v>
      </c>
      <c r="F2727" s="33" t="s">
        <v>45</v>
      </c>
      <c r="G2727" s="29">
        <v>3</v>
      </c>
      <c r="H2727" s="127">
        <f>_xlfn.XLOOKUP(C2727&amp;F2727&amp;I2727&amp;J2727,'[1]2025年已发货'!$F:$F&amp;'[1]2025年已发货'!$C:$C&amp;'[1]2025年已发货'!$G:$G&amp;'[1]2025年已发货'!$H:$H,'[1]2025年已发货'!$E:$E,"未发货")</f>
        <v>3</v>
      </c>
      <c r="I2727" s="33" t="str">
        <f>VLOOKUP(B2727,辅助信息!E:I,3,FALSE)</f>
        <v>（商投建工达州中医药科技园-1工区）达州市通川区达州中医药职业学院犀牛大道北段</v>
      </c>
      <c r="J2727" s="33" t="str">
        <f>VLOOKUP(B2727,辅助信息!E:I,4,FALSE)</f>
        <v>程黄刚</v>
      </c>
      <c r="K2727" s="33">
        <f>VLOOKUP(J2727,辅助信息!H:I,2,FALSE)</f>
        <v>15108211617</v>
      </c>
      <c r="L2727" s="102" t="str">
        <f>VLOOKUP(B2727,辅助信息!E:J,6,FALSE)</f>
        <v>控制炉批号！多了现场不收！,优先安排达钢,提前联系到场规格及数量</v>
      </c>
      <c r="O2727" s="55" t="str">
        <f ca="1" t="shared" si="165"/>
        <v/>
      </c>
      <c r="P2727" s="55" t="str">
        <f ca="1" t="shared" si="166"/>
        <v/>
      </c>
      <c r="Q2727" s="22" t="str">
        <f>VLOOKUP(B2727,辅助信息!E:M,9,FALSE)</f>
        <v>ZTWM-CDGS-XS-2024-0134-商投建工达州中医药科技成果示范园项目</v>
      </c>
      <c r="R2727" s="22" t="str">
        <f>_xlfn._xlws.FILTER(辅助信息!D:D,辅助信息!E:E=B2727)</f>
        <v>商投建工达州中医药科技园</v>
      </c>
    </row>
    <row r="2728" hidden="1" spans="2:18">
      <c r="B2728" s="33" t="s">
        <v>47</v>
      </c>
      <c r="C2728" s="63">
        <v>45882</v>
      </c>
      <c r="D2728" s="33" t="str">
        <f>VLOOKUP(B2728,辅助信息!E:K,7,FALSE)</f>
        <v>JWDDCD2025052800131</v>
      </c>
      <c r="E2728" s="33" t="str">
        <f>VLOOKUP(F2728,辅助信息!A:B,2,FALSE)</f>
        <v>螺纹钢</v>
      </c>
      <c r="F2728" s="33" t="s">
        <v>21</v>
      </c>
      <c r="G2728" s="29">
        <v>21</v>
      </c>
      <c r="H2728" s="127">
        <f>_xlfn.XLOOKUP(C2728&amp;F2728&amp;I2728&amp;J2728,'[1]2025年已发货'!$F:$F&amp;'[1]2025年已发货'!$C:$C&amp;'[1]2025年已发货'!$G:$G&amp;'[1]2025年已发货'!$H:$H,'[1]2025年已发货'!$E:$E,"未发货")</f>
        <v>21</v>
      </c>
      <c r="I2728" s="33" t="str">
        <f>VLOOKUP(B2728,辅助信息!E:I,3,FALSE)</f>
        <v>（商投建工达州中医药科技园-1工区）达州市通川区达州中医药职业学院犀牛大道北段</v>
      </c>
      <c r="J2728" s="33" t="str">
        <f>VLOOKUP(B2728,辅助信息!E:I,4,FALSE)</f>
        <v>程黄刚</v>
      </c>
      <c r="K2728" s="33">
        <f>VLOOKUP(J2728,辅助信息!H:I,2,FALSE)</f>
        <v>15108211617</v>
      </c>
      <c r="L2728" s="102" t="str">
        <f>VLOOKUP(B2728,辅助信息!E:J,6,FALSE)</f>
        <v>控制炉批号！多了现场不收！,优先安排达钢,提前联系到场规格及数量</v>
      </c>
      <c r="O2728" s="55" t="str">
        <f ca="1" t="shared" si="165"/>
        <v/>
      </c>
      <c r="P2728" s="55" t="str">
        <f ca="1" t="shared" si="166"/>
        <v/>
      </c>
      <c r="Q2728" s="22" t="str">
        <f>VLOOKUP(B2728,辅助信息!E:M,9,FALSE)</f>
        <v>ZTWM-CDGS-XS-2024-0134-商投建工达州中医药科技成果示范园项目</v>
      </c>
      <c r="R2728" s="22" t="str">
        <f>_xlfn._xlws.FILTER(辅助信息!D:D,辅助信息!E:E=B2728)</f>
        <v>商投建工达州中医药科技园</v>
      </c>
    </row>
    <row r="2729" hidden="1" spans="2:18">
      <c r="B2729" s="33" t="s">
        <v>47</v>
      </c>
      <c r="C2729" s="63">
        <v>45882</v>
      </c>
      <c r="D2729" s="33" t="str">
        <f>VLOOKUP(B2729,辅助信息!E:K,7,FALSE)</f>
        <v>JWDDCD2025052800131</v>
      </c>
      <c r="E2729" s="33" t="str">
        <f>VLOOKUP(F2729,辅助信息!A:B,2,FALSE)</f>
        <v>螺纹钢</v>
      </c>
      <c r="F2729" s="33" t="s">
        <v>58</v>
      </c>
      <c r="G2729" s="29">
        <v>15</v>
      </c>
      <c r="H2729" s="127">
        <f>_xlfn.XLOOKUP(C2729&amp;F2729&amp;I2729&amp;J2729,'[1]2025年已发货'!$F:$F&amp;'[1]2025年已发货'!$C:$C&amp;'[1]2025年已发货'!$G:$G&amp;'[1]2025年已发货'!$H:$H,'[1]2025年已发货'!$E:$E,"未发货")</f>
        <v>15</v>
      </c>
      <c r="I2729" s="33" t="str">
        <f>VLOOKUP(B2729,辅助信息!E:I,3,FALSE)</f>
        <v>（商投建工达州中医药科技园-1工区）达州市通川区达州中医药职业学院犀牛大道北段</v>
      </c>
      <c r="J2729" s="33" t="str">
        <f>VLOOKUP(B2729,辅助信息!E:I,4,FALSE)</f>
        <v>程黄刚</v>
      </c>
      <c r="K2729" s="33">
        <f>VLOOKUP(J2729,辅助信息!H:I,2,FALSE)</f>
        <v>15108211617</v>
      </c>
      <c r="L2729" s="102" t="str">
        <f>VLOOKUP(B2729,辅助信息!E:J,6,FALSE)</f>
        <v>控制炉批号！多了现场不收！,优先安排达钢,提前联系到场规格及数量</v>
      </c>
      <c r="O2729" s="55" t="str">
        <f ca="1" t="shared" si="165"/>
        <v/>
      </c>
      <c r="P2729" s="55" t="str">
        <f ca="1" t="shared" si="166"/>
        <v/>
      </c>
      <c r="Q2729" s="22" t="str">
        <f>VLOOKUP(B2729,辅助信息!E:M,9,FALSE)</f>
        <v>ZTWM-CDGS-XS-2024-0134-商投建工达州中医药科技成果示范园项目</v>
      </c>
      <c r="R2729" s="22" t="str">
        <f>_xlfn._xlws.FILTER(辅助信息!D:D,辅助信息!E:E=B2729)</f>
        <v>商投建工达州中医药科技园</v>
      </c>
    </row>
    <row r="2730" hidden="1" spans="2:18">
      <c r="B2730" s="33" t="s">
        <v>47</v>
      </c>
      <c r="C2730" s="63">
        <v>45882</v>
      </c>
      <c r="D2730" s="33" t="str">
        <f>VLOOKUP(B2730,辅助信息!E:K,7,FALSE)</f>
        <v>JWDDCD2025052800131</v>
      </c>
      <c r="E2730" s="33" t="str">
        <f>VLOOKUP(F2730,辅助信息!A:B,2,FALSE)</f>
        <v>螺纹钢</v>
      </c>
      <c r="F2730" s="33" t="s">
        <v>46</v>
      </c>
      <c r="G2730" s="29">
        <v>3</v>
      </c>
      <c r="H2730" s="127">
        <f>_xlfn.XLOOKUP(C2730&amp;F2730&amp;I2730&amp;J2730,'[1]2025年已发货'!$F:$F&amp;'[1]2025年已发货'!$C:$C&amp;'[1]2025年已发货'!$G:$G&amp;'[1]2025年已发货'!$H:$H,'[1]2025年已发货'!$E:$E,"未发货")</f>
        <v>3</v>
      </c>
      <c r="I2730" s="33" t="str">
        <f>VLOOKUP(B2730,辅助信息!E:I,3,FALSE)</f>
        <v>（商投建工达州中医药科技园-1工区）达州市通川区达州中医药职业学院犀牛大道北段</v>
      </c>
      <c r="J2730" s="33" t="str">
        <f>VLOOKUP(B2730,辅助信息!E:I,4,FALSE)</f>
        <v>程黄刚</v>
      </c>
      <c r="K2730" s="33">
        <f>VLOOKUP(J2730,辅助信息!H:I,2,FALSE)</f>
        <v>15108211617</v>
      </c>
      <c r="L2730" s="102" t="str">
        <f>VLOOKUP(B2730,辅助信息!E:J,6,FALSE)</f>
        <v>控制炉批号！多了现场不收！,优先安排达钢,提前联系到场规格及数量</v>
      </c>
      <c r="O2730" s="55" t="str">
        <f ca="1" t="shared" si="165"/>
        <v/>
      </c>
      <c r="P2730" s="55" t="str">
        <f ca="1" t="shared" si="166"/>
        <v/>
      </c>
      <c r="Q2730" s="22" t="str">
        <f>VLOOKUP(B2730,辅助信息!E:M,9,FALSE)</f>
        <v>ZTWM-CDGS-XS-2024-0134-商投建工达州中医药科技成果示范园项目</v>
      </c>
      <c r="R2730" s="22" t="str">
        <f>_xlfn._xlws.FILTER(辅助信息!D:D,辅助信息!E:E=B2730)</f>
        <v>商投建工达州中医药科技园</v>
      </c>
    </row>
    <row r="2731" hidden="1" spans="2:18">
      <c r="B2731" s="33" t="s">
        <v>47</v>
      </c>
      <c r="C2731" s="63">
        <v>45882</v>
      </c>
      <c r="D2731" s="33" t="str">
        <f>VLOOKUP(B2731,辅助信息!E:K,7,FALSE)</f>
        <v>JWDDCD2025052800131</v>
      </c>
      <c r="E2731" s="33" t="str">
        <f>VLOOKUP(F2731,辅助信息!A:B,2,FALSE)</f>
        <v>螺纹钢</v>
      </c>
      <c r="F2731" s="33" t="s">
        <v>22</v>
      </c>
      <c r="G2731" s="29">
        <v>3</v>
      </c>
      <c r="H2731" s="127">
        <f>_xlfn.XLOOKUP(C2731&amp;F2731&amp;I2731&amp;J2731,'[1]2025年已发货'!$F:$F&amp;'[1]2025年已发货'!$C:$C&amp;'[1]2025年已发货'!$G:$G&amp;'[1]2025年已发货'!$H:$H,'[1]2025年已发货'!$E:$E,"未发货")</f>
        <v>3</v>
      </c>
      <c r="I2731" s="33" t="str">
        <f>VLOOKUP(B2731,辅助信息!E:I,3,FALSE)</f>
        <v>（商投建工达州中医药科技园-1工区）达州市通川区达州中医药职业学院犀牛大道北段</v>
      </c>
      <c r="J2731" s="33" t="str">
        <f>VLOOKUP(B2731,辅助信息!E:I,4,FALSE)</f>
        <v>程黄刚</v>
      </c>
      <c r="K2731" s="33">
        <f>VLOOKUP(J2731,辅助信息!H:I,2,FALSE)</f>
        <v>15108211617</v>
      </c>
      <c r="L2731" s="102" t="str">
        <f>VLOOKUP(B2731,辅助信息!E:J,6,FALSE)</f>
        <v>控制炉批号！多了现场不收！,优先安排达钢,提前联系到场规格及数量</v>
      </c>
      <c r="O2731" s="55" t="str">
        <f ca="1" t="shared" si="165"/>
        <v/>
      </c>
      <c r="P2731" s="55" t="str">
        <f ca="1" t="shared" si="166"/>
        <v/>
      </c>
      <c r="Q2731" s="22" t="str">
        <f>VLOOKUP(B2731,辅助信息!E:M,9,FALSE)</f>
        <v>ZTWM-CDGS-XS-2024-0134-商投建工达州中医药科技成果示范园项目</v>
      </c>
      <c r="R2731" s="22" t="str">
        <f>_xlfn._xlws.FILTER(辅助信息!D:D,辅助信息!E:E=B2731)</f>
        <v>商投建工达州中医药科技园</v>
      </c>
    </row>
    <row r="2732" hidden="1" spans="2:18">
      <c r="B2732" s="33" t="s">
        <v>186</v>
      </c>
      <c r="C2732" s="63">
        <v>45882</v>
      </c>
      <c r="D2732" s="33" t="str">
        <f>VLOOKUP(B2732,辅助信息!E:K,7,FALSE)</f>
        <v>JWDDCD2025072900123</v>
      </c>
      <c r="E2732" s="33" t="str">
        <f>VLOOKUP(F2732,辅助信息!A:B,2,FALSE)</f>
        <v>盘螺</v>
      </c>
      <c r="F2732" s="33" t="s">
        <v>40</v>
      </c>
      <c r="G2732" s="29">
        <v>2</v>
      </c>
      <c r="H2732" s="127">
        <f>_xlfn.XLOOKUP(C2732&amp;F2732&amp;I2732&amp;J2732,'[1]2025年已发货'!$F:$F&amp;'[1]2025年已发货'!$C:$C&amp;'[1]2025年已发货'!$G:$G&amp;'[1]2025年已发货'!$H:$H,'[1]2025年已发货'!$E:$E,"未发货")</f>
        <v>2</v>
      </c>
      <c r="I2732" s="33" t="str">
        <f>VLOOKUP(B2732,辅助信息!E:I,3,FALSE)</f>
        <v>(乐山市校地共建产教融合基地建设项目二标段)四川省乐山市市中区苏稽镇</v>
      </c>
      <c r="J2732" s="33" t="str">
        <f>VLOOKUP(B2732,辅助信息!E:I,4,FALSE)</f>
        <v>彭江涛</v>
      </c>
      <c r="K2732" s="33">
        <f>VLOOKUP(J2732,辅助信息!H:I,2,FALSE)</f>
        <v>13990276572</v>
      </c>
      <c r="L2732" s="102" t="str">
        <f>VLOOKUP(B2732,辅助信息!E:J,6,FALSE)</f>
        <v>联系实际收货人（彭江涛13990276572）现场要求炉批号控制2个以下，超2个不给予签收。提前联系到场规格及数量</v>
      </c>
      <c r="O2732" s="55" t="str">
        <f ca="1" t="shared" si="165"/>
        <v/>
      </c>
      <c r="P2732" s="55" t="str">
        <f ca="1" t="shared" si="166"/>
        <v/>
      </c>
      <c r="Q2732" s="22" t="str">
        <f>VLOOKUP(B2732,辅助信息!E:M,9,FALSE)</f>
        <v>ZTWM-CDGS-XS-2025-0126-四川机司-乐山市校地共建产教融合基地配套设施项目施工二标段钢筋采购合同</v>
      </c>
      <c r="R2732" s="22" t="str">
        <f>_xlfn._xlws.FILTER(辅助信息!D:D,辅助信息!E:E=B2732)</f>
        <v>乐山市校地共建产教融合基地建设项目二标段</v>
      </c>
    </row>
    <row r="2733" hidden="1" spans="2:18">
      <c r="B2733" s="33" t="s">
        <v>186</v>
      </c>
      <c r="C2733" s="63">
        <v>45882</v>
      </c>
      <c r="D2733" s="33" t="str">
        <f>VLOOKUP(B2733,辅助信息!E:K,7,FALSE)</f>
        <v>JWDDCD2025072900123</v>
      </c>
      <c r="E2733" s="33" t="str">
        <f>VLOOKUP(F2733,辅助信息!A:B,2,FALSE)</f>
        <v>盘螺</v>
      </c>
      <c r="F2733" s="33" t="s">
        <v>41</v>
      </c>
      <c r="G2733" s="29">
        <v>6</v>
      </c>
      <c r="H2733" s="127">
        <f>_xlfn.XLOOKUP(C2733&amp;F2733&amp;I2733&amp;J2733,'[1]2025年已发货'!$F:$F&amp;'[1]2025年已发货'!$C:$C&amp;'[1]2025年已发货'!$G:$G&amp;'[1]2025年已发货'!$H:$H,'[1]2025年已发货'!$E:$E,"未发货")</f>
        <v>6</v>
      </c>
      <c r="I2733" s="33" t="str">
        <f>VLOOKUP(B2733,辅助信息!E:I,3,FALSE)</f>
        <v>(乐山市校地共建产教融合基地建设项目二标段)四川省乐山市市中区苏稽镇</v>
      </c>
      <c r="J2733" s="33" t="str">
        <f>VLOOKUP(B2733,辅助信息!E:I,4,FALSE)</f>
        <v>彭江涛</v>
      </c>
      <c r="K2733" s="33">
        <f>VLOOKUP(J2733,辅助信息!H:I,2,FALSE)</f>
        <v>13990276572</v>
      </c>
      <c r="L2733" s="102" t="str">
        <f>VLOOKUP(B2733,辅助信息!E:J,6,FALSE)</f>
        <v>联系实际收货人（彭江涛13990276572）现场要求炉批号控制2个以下，超2个不给予签收。提前联系到场规格及数量</v>
      </c>
      <c r="O2733" s="55" t="str">
        <f ca="1" t="shared" si="165"/>
        <v/>
      </c>
      <c r="P2733" s="55" t="str">
        <f ca="1" t="shared" si="166"/>
        <v/>
      </c>
      <c r="Q2733" s="22" t="str">
        <f>VLOOKUP(B2733,辅助信息!E:M,9,FALSE)</f>
        <v>ZTWM-CDGS-XS-2025-0126-四川机司-乐山市校地共建产教融合基地配套设施项目施工二标段钢筋采购合同</v>
      </c>
      <c r="R2733" s="22" t="str">
        <f>_xlfn._xlws.FILTER(辅助信息!D:D,辅助信息!E:E=B2733)</f>
        <v>乐山市校地共建产教融合基地建设项目二标段</v>
      </c>
    </row>
    <row r="2734" hidden="1" spans="2:18">
      <c r="B2734" s="33" t="s">
        <v>186</v>
      </c>
      <c r="C2734" s="63">
        <v>45882</v>
      </c>
      <c r="D2734" s="33" t="str">
        <f>VLOOKUP(B2734,辅助信息!E:K,7,FALSE)</f>
        <v>JWDDCD2025072900123</v>
      </c>
      <c r="E2734" s="33" t="str">
        <f>VLOOKUP(F2734,辅助信息!A:B,2,FALSE)</f>
        <v>盘螺</v>
      </c>
      <c r="F2734" s="33" t="s">
        <v>26</v>
      </c>
      <c r="G2734" s="29">
        <v>31</v>
      </c>
      <c r="H2734" s="127">
        <f>_xlfn.XLOOKUP(C2734&amp;F2734&amp;I2734&amp;J2734,'[1]2025年已发货'!$F:$F&amp;'[1]2025年已发货'!$C:$C&amp;'[1]2025年已发货'!$G:$G&amp;'[1]2025年已发货'!$H:$H,'[1]2025年已发货'!$E:$E,"未发货")</f>
        <v>31</v>
      </c>
      <c r="I2734" s="33" t="str">
        <f>VLOOKUP(B2734,辅助信息!E:I,3,FALSE)</f>
        <v>(乐山市校地共建产教融合基地建设项目二标段)四川省乐山市市中区苏稽镇</v>
      </c>
      <c r="J2734" s="33" t="str">
        <f>VLOOKUP(B2734,辅助信息!E:I,4,FALSE)</f>
        <v>彭江涛</v>
      </c>
      <c r="K2734" s="33">
        <f>VLOOKUP(J2734,辅助信息!H:I,2,FALSE)</f>
        <v>13990276572</v>
      </c>
      <c r="L2734" s="102" t="str">
        <f>VLOOKUP(B2734,辅助信息!E:J,6,FALSE)</f>
        <v>联系实际收货人（彭江涛13990276572）现场要求炉批号控制2个以下，超2个不给予签收。提前联系到场规格及数量</v>
      </c>
      <c r="O2734" s="55" t="str">
        <f ca="1" t="shared" si="165"/>
        <v/>
      </c>
      <c r="P2734" s="55" t="str">
        <f ca="1" t="shared" si="166"/>
        <v/>
      </c>
      <c r="Q2734" s="22" t="str">
        <f>VLOOKUP(B2734,辅助信息!E:M,9,FALSE)</f>
        <v>ZTWM-CDGS-XS-2025-0126-四川机司-乐山市校地共建产教融合基地配套设施项目施工二标段钢筋采购合同</v>
      </c>
      <c r="R2734" s="22" t="str">
        <f>_xlfn._xlws.FILTER(辅助信息!D:D,辅助信息!E:E=B2734)</f>
        <v>乐山市校地共建产教融合基地建设项目二标段</v>
      </c>
    </row>
    <row r="2735" hidden="1" spans="2:18">
      <c r="B2735" s="33" t="s">
        <v>186</v>
      </c>
      <c r="C2735" s="63">
        <v>45882</v>
      </c>
      <c r="D2735" s="33" t="str">
        <f>VLOOKUP(B2735,辅助信息!E:K,7,FALSE)</f>
        <v>JWDDCD2025072900123</v>
      </c>
      <c r="E2735" s="33" t="str">
        <f>VLOOKUP(F2735,辅助信息!A:B,2,FALSE)</f>
        <v>螺纹钢</v>
      </c>
      <c r="F2735" s="33" t="s">
        <v>32</v>
      </c>
      <c r="G2735" s="29">
        <v>4</v>
      </c>
      <c r="H2735" s="127">
        <f>_xlfn.XLOOKUP(C2735&amp;F2735&amp;I2735&amp;J2735,'[1]2025年已发货'!$F:$F&amp;'[1]2025年已发货'!$C:$C&amp;'[1]2025年已发货'!$G:$G&amp;'[1]2025年已发货'!$H:$H,'[1]2025年已发货'!$E:$E,"未发货")</f>
        <v>4</v>
      </c>
      <c r="I2735" s="33" t="str">
        <f>VLOOKUP(B2735,辅助信息!E:I,3,FALSE)</f>
        <v>(乐山市校地共建产教融合基地建设项目二标段)四川省乐山市市中区苏稽镇</v>
      </c>
      <c r="J2735" s="33" t="str">
        <f>VLOOKUP(B2735,辅助信息!E:I,4,FALSE)</f>
        <v>彭江涛</v>
      </c>
      <c r="K2735" s="33">
        <f>VLOOKUP(J2735,辅助信息!H:I,2,FALSE)</f>
        <v>13990276572</v>
      </c>
      <c r="L2735" s="102" t="str">
        <f>VLOOKUP(B2735,辅助信息!E:J,6,FALSE)</f>
        <v>联系实际收货人（彭江涛13990276572）现场要求炉批号控制2个以下，超2个不给予签收。提前联系到场规格及数量</v>
      </c>
      <c r="O2735" s="55" t="str">
        <f ca="1" t="shared" si="165"/>
        <v/>
      </c>
      <c r="P2735" s="55" t="str">
        <f ca="1" t="shared" si="166"/>
        <v/>
      </c>
      <c r="Q2735" s="22" t="str">
        <f>VLOOKUP(B2735,辅助信息!E:M,9,FALSE)</f>
        <v>ZTWM-CDGS-XS-2025-0126-四川机司-乐山市校地共建产教融合基地配套设施项目施工二标段钢筋采购合同</v>
      </c>
      <c r="R2735" s="22" t="str">
        <f>_xlfn._xlws.FILTER(辅助信息!D:D,辅助信息!E:E=B2735)</f>
        <v>乐山市校地共建产教融合基地建设项目二标段</v>
      </c>
    </row>
    <row r="2736" hidden="1" spans="2:18">
      <c r="B2736" s="33" t="s">
        <v>186</v>
      </c>
      <c r="C2736" s="63">
        <v>45882</v>
      </c>
      <c r="D2736" s="33" t="str">
        <f>VLOOKUP(B2736,辅助信息!E:K,7,FALSE)</f>
        <v>JWDDCD2025072900123</v>
      </c>
      <c r="E2736" s="33" t="str">
        <f>VLOOKUP(F2736,辅助信息!A:B,2,FALSE)</f>
        <v>螺纹钢</v>
      </c>
      <c r="F2736" s="33" t="s">
        <v>30</v>
      </c>
      <c r="G2736" s="29">
        <v>8</v>
      </c>
      <c r="H2736" s="127">
        <f>_xlfn.XLOOKUP(C2736&amp;F2736&amp;I2736&amp;J2736,'[1]2025年已发货'!$F:$F&amp;'[1]2025年已发货'!$C:$C&amp;'[1]2025年已发货'!$G:$G&amp;'[1]2025年已发货'!$H:$H,'[1]2025年已发货'!$E:$E,"未发货")</f>
        <v>8</v>
      </c>
      <c r="I2736" s="33" t="str">
        <f>VLOOKUP(B2736,辅助信息!E:I,3,FALSE)</f>
        <v>(乐山市校地共建产教融合基地建设项目二标段)四川省乐山市市中区苏稽镇</v>
      </c>
      <c r="J2736" s="33" t="str">
        <f>VLOOKUP(B2736,辅助信息!E:I,4,FALSE)</f>
        <v>彭江涛</v>
      </c>
      <c r="K2736" s="33">
        <f>VLOOKUP(J2736,辅助信息!H:I,2,FALSE)</f>
        <v>13990276572</v>
      </c>
      <c r="L2736" s="102" t="str">
        <f>VLOOKUP(B2736,辅助信息!E:J,6,FALSE)</f>
        <v>联系实际收货人（彭江涛13990276572）现场要求炉批号控制2个以下，超2个不给予签收。提前联系到场规格及数量</v>
      </c>
      <c r="O2736" s="55" t="str">
        <f ca="1" t="shared" si="165"/>
        <v/>
      </c>
      <c r="P2736" s="55" t="str">
        <f ca="1" t="shared" si="166"/>
        <v/>
      </c>
      <c r="Q2736" s="22" t="str">
        <f>VLOOKUP(B2736,辅助信息!E:M,9,FALSE)</f>
        <v>ZTWM-CDGS-XS-2025-0126-四川机司-乐山市校地共建产教融合基地配套设施项目施工二标段钢筋采购合同</v>
      </c>
      <c r="R2736" s="22" t="str">
        <f>_xlfn._xlws.FILTER(辅助信息!D:D,辅助信息!E:E=B2736)</f>
        <v>乐山市校地共建产教融合基地建设项目二标段</v>
      </c>
    </row>
    <row r="2737" hidden="1" spans="2:18">
      <c r="B2737" s="33" t="s">
        <v>186</v>
      </c>
      <c r="C2737" s="63">
        <v>45882</v>
      </c>
      <c r="D2737" s="33" t="str">
        <f>VLOOKUP(B2737,辅助信息!E:K,7,FALSE)</f>
        <v>JWDDCD2025072900123</v>
      </c>
      <c r="E2737" s="33" t="str">
        <f>VLOOKUP(F2737,辅助信息!A:B,2,FALSE)</f>
        <v>螺纹钢</v>
      </c>
      <c r="F2737" s="33" t="s">
        <v>18</v>
      </c>
      <c r="G2737" s="29">
        <v>34</v>
      </c>
      <c r="H2737" s="127">
        <v>34</v>
      </c>
      <c r="I2737" s="33" t="str">
        <f>VLOOKUP(B2737,辅助信息!E:I,3,FALSE)</f>
        <v>(乐山市校地共建产教融合基地建设项目二标段)四川省乐山市市中区苏稽镇</v>
      </c>
      <c r="J2737" s="33" t="str">
        <f>VLOOKUP(B2737,辅助信息!E:I,4,FALSE)</f>
        <v>彭江涛</v>
      </c>
      <c r="K2737" s="33">
        <f>VLOOKUP(J2737,辅助信息!H:I,2,FALSE)</f>
        <v>13990276572</v>
      </c>
      <c r="L2737" s="102" t="str">
        <f>VLOOKUP(B2737,辅助信息!E:J,6,FALSE)</f>
        <v>联系实际收货人（彭江涛13990276572）现场要求炉批号控制2个以下，超2个不给予签收。提前联系到场规格及数量</v>
      </c>
      <c r="O2737" s="55" t="str">
        <f ca="1" t="shared" si="165"/>
        <v/>
      </c>
      <c r="P2737" s="55" t="str">
        <f ca="1" t="shared" si="166"/>
        <v/>
      </c>
      <c r="Q2737" s="22" t="str">
        <f>VLOOKUP(B2737,辅助信息!E:M,9,FALSE)</f>
        <v>ZTWM-CDGS-XS-2025-0126-四川机司-乐山市校地共建产教融合基地配套设施项目施工二标段钢筋采购合同</v>
      </c>
      <c r="R2737" s="22" t="str">
        <f>_xlfn._xlws.FILTER(辅助信息!D:D,辅助信息!E:E=B2737)</f>
        <v>乐山市校地共建产教融合基地建设项目二标段</v>
      </c>
    </row>
    <row r="2738" hidden="1" spans="2:18">
      <c r="B2738" s="33" t="s">
        <v>186</v>
      </c>
      <c r="C2738" s="63">
        <v>45882</v>
      </c>
      <c r="D2738" s="33" t="str">
        <f>VLOOKUP(B2738,辅助信息!E:K,7,FALSE)</f>
        <v>JWDDCD2025072900123</v>
      </c>
      <c r="E2738" s="33" t="str">
        <f>VLOOKUP(F2738,辅助信息!A:B,2,FALSE)</f>
        <v>螺纹钢</v>
      </c>
      <c r="F2738" s="33" t="s">
        <v>21</v>
      </c>
      <c r="G2738" s="29">
        <v>2.5</v>
      </c>
      <c r="H2738" s="127">
        <f>_xlfn.XLOOKUP(C2738&amp;F2738&amp;I2738&amp;J2738,'[1]2025年已发货'!$F:$F&amp;'[1]2025年已发货'!$C:$C&amp;'[1]2025年已发货'!$G:$G&amp;'[1]2025年已发货'!$H:$H,'[1]2025年已发货'!$E:$E,"未发货")</f>
        <v>2.5</v>
      </c>
      <c r="I2738" s="33" t="str">
        <f>VLOOKUP(B2738,辅助信息!E:I,3,FALSE)</f>
        <v>(乐山市校地共建产教融合基地建设项目二标段)四川省乐山市市中区苏稽镇</v>
      </c>
      <c r="J2738" s="33" t="str">
        <f>VLOOKUP(B2738,辅助信息!E:I,4,FALSE)</f>
        <v>彭江涛</v>
      </c>
      <c r="K2738" s="33">
        <f>VLOOKUP(J2738,辅助信息!H:I,2,FALSE)</f>
        <v>13990276572</v>
      </c>
      <c r="L2738" s="102" t="str">
        <f>VLOOKUP(B2738,辅助信息!E:J,6,FALSE)</f>
        <v>联系实际收货人（彭江涛13990276572）现场要求炉批号控制2个以下，超2个不给予签收。提前联系到场规格及数量</v>
      </c>
      <c r="O2738" s="55" t="str">
        <f ca="1" t="shared" si="165"/>
        <v/>
      </c>
      <c r="P2738" s="55" t="str">
        <f ca="1" t="shared" si="166"/>
        <v/>
      </c>
      <c r="Q2738" s="22" t="str">
        <f>VLOOKUP(B2738,辅助信息!E:M,9,FALSE)</f>
        <v>ZTWM-CDGS-XS-2025-0126-四川机司-乐山市校地共建产教融合基地配套设施项目施工二标段钢筋采购合同</v>
      </c>
      <c r="R2738" s="22" t="str">
        <f>_xlfn._xlws.FILTER(辅助信息!D:D,辅助信息!E:E=B2738)</f>
        <v>乐山市校地共建产教融合基地建设项目二标段</v>
      </c>
    </row>
    <row r="2739" hidden="1" spans="2:18">
      <c r="B2739" s="33" t="s">
        <v>186</v>
      </c>
      <c r="C2739" s="63">
        <v>45882</v>
      </c>
      <c r="D2739" s="33" t="str">
        <f>VLOOKUP(B2739,辅助信息!E:K,7,FALSE)</f>
        <v>JWDDCD2025072900123</v>
      </c>
      <c r="E2739" s="33" t="str">
        <f>VLOOKUP(F2739,辅助信息!A:B,2,FALSE)</f>
        <v>螺纹钢</v>
      </c>
      <c r="F2739" s="33" t="s">
        <v>58</v>
      </c>
      <c r="G2739" s="29">
        <v>3.5</v>
      </c>
      <c r="H2739" s="127">
        <f>_xlfn.XLOOKUP(C2739&amp;F2739&amp;I2739&amp;J2739,'[1]2025年已发货'!$F:$F&amp;'[1]2025年已发货'!$C:$C&amp;'[1]2025年已发货'!$G:$G&amp;'[1]2025年已发货'!$H:$H,'[1]2025年已发货'!$E:$E,"未发货")</f>
        <v>3.5</v>
      </c>
      <c r="I2739" s="33" t="str">
        <f>VLOOKUP(B2739,辅助信息!E:I,3,FALSE)</f>
        <v>(乐山市校地共建产教融合基地建设项目二标段)四川省乐山市市中区苏稽镇</v>
      </c>
      <c r="J2739" s="33" t="str">
        <f>VLOOKUP(B2739,辅助信息!E:I,4,FALSE)</f>
        <v>彭江涛</v>
      </c>
      <c r="K2739" s="33">
        <f>VLOOKUP(J2739,辅助信息!H:I,2,FALSE)</f>
        <v>13990276572</v>
      </c>
      <c r="L2739" s="102" t="str">
        <f>VLOOKUP(B2739,辅助信息!E:J,6,FALSE)</f>
        <v>联系实际收货人（彭江涛13990276572）现场要求炉批号控制2个以下，超2个不给予签收。提前联系到场规格及数量</v>
      </c>
      <c r="O2739" s="55" t="str">
        <f ca="1" t="shared" si="165"/>
        <v/>
      </c>
      <c r="P2739" s="55" t="str">
        <f ca="1" t="shared" si="166"/>
        <v/>
      </c>
      <c r="Q2739" s="22" t="str">
        <f>VLOOKUP(B2739,辅助信息!E:M,9,FALSE)</f>
        <v>ZTWM-CDGS-XS-2025-0126-四川机司-乐山市校地共建产教融合基地配套设施项目施工二标段钢筋采购合同</v>
      </c>
      <c r="R2739" s="22" t="str">
        <f>_xlfn._xlws.FILTER(辅助信息!D:D,辅助信息!E:E=B2739)</f>
        <v>乐山市校地共建产教融合基地建设项目二标段</v>
      </c>
    </row>
    <row r="2740" hidden="1" spans="2:18">
      <c r="B2740" s="33" t="s">
        <v>186</v>
      </c>
      <c r="C2740" s="63">
        <v>45882</v>
      </c>
      <c r="D2740" s="33" t="str">
        <f>VLOOKUP(B2740,辅助信息!E:K,7,FALSE)</f>
        <v>JWDDCD2025072900123</v>
      </c>
      <c r="E2740" s="33" t="str">
        <f>VLOOKUP(F2740,辅助信息!A:B,2,FALSE)</f>
        <v>螺纹钢</v>
      </c>
      <c r="F2740" s="33" t="s">
        <v>46</v>
      </c>
      <c r="G2740" s="29">
        <v>2.5</v>
      </c>
      <c r="H2740" s="127">
        <f>_xlfn.XLOOKUP(C2740&amp;F2740&amp;I2740&amp;J2740,'[1]2025年已发货'!$F:$F&amp;'[1]2025年已发货'!$C:$C&amp;'[1]2025年已发货'!$G:$G&amp;'[1]2025年已发货'!$H:$H,'[1]2025年已发货'!$E:$E,"未发货")</f>
        <v>2.5</v>
      </c>
      <c r="I2740" s="33" t="str">
        <f>VLOOKUP(B2740,辅助信息!E:I,3,FALSE)</f>
        <v>(乐山市校地共建产教融合基地建设项目二标段)四川省乐山市市中区苏稽镇</v>
      </c>
      <c r="J2740" s="33" t="str">
        <f>VLOOKUP(B2740,辅助信息!E:I,4,FALSE)</f>
        <v>彭江涛</v>
      </c>
      <c r="K2740" s="33">
        <f>VLOOKUP(J2740,辅助信息!H:I,2,FALSE)</f>
        <v>13990276572</v>
      </c>
      <c r="L2740" s="102" t="str">
        <f>VLOOKUP(B2740,辅助信息!E:J,6,FALSE)</f>
        <v>联系实际收货人（彭江涛13990276572）现场要求炉批号控制2个以下，超2个不给予签收。提前联系到场规格及数量</v>
      </c>
      <c r="O2740" s="55" t="str">
        <f ca="1" t="shared" si="165"/>
        <v/>
      </c>
      <c r="P2740" s="55" t="str">
        <f ca="1" t="shared" si="166"/>
        <v/>
      </c>
      <c r="Q2740" s="22" t="str">
        <f>VLOOKUP(B2740,辅助信息!E:M,9,FALSE)</f>
        <v>ZTWM-CDGS-XS-2025-0126-四川机司-乐山市校地共建产教融合基地配套设施项目施工二标段钢筋采购合同</v>
      </c>
      <c r="R2740" s="22" t="str">
        <f>_xlfn._xlws.FILTER(辅助信息!D:D,辅助信息!E:E=B2740)</f>
        <v>乐山市校地共建产教融合基地建设项目二标段</v>
      </c>
    </row>
    <row r="2741" hidden="1" spans="2:18">
      <c r="B2741" s="33" t="s">
        <v>186</v>
      </c>
      <c r="C2741" s="63">
        <v>45882</v>
      </c>
      <c r="D2741" s="33" t="str">
        <f>VLOOKUP(B2741,辅助信息!E:K,7,FALSE)</f>
        <v>JWDDCD2025072900123</v>
      </c>
      <c r="E2741" s="33" t="str">
        <f>VLOOKUP(F2741,辅助信息!A:B,2,FALSE)</f>
        <v>螺纹钢</v>
      </c>
      <c r="F2741" s="33" t="s">
        <v>22</v>
      </c>
      <c r="G2741" s="29">
        <v>31</v>
      </c>
      <c r="H2741" s="127">
        <f>_xlfn.XLOOKUP(C2741&amp;F2741&amp;I2741&amp;J2741,'[1]2025年已发货'!$F:$F&amp;'[1]2025年已发货'!$C:$C&amp;'[1]2025年已发货'!$G:$G&amp;'[1]2025年已发货'!$H:$H,'[1]2025年已发货'!$E:$E,"未发货")</f>
        <v>31</v>
      </c>
      <c r="I2741" s="33" t="str">
        <f>VLOOKUP(B2741,辅助信息!E:I,3,FALSE)</f>
        <v>(乐山市校地共建产教融合基地建设项目二标段)四川省乐山市市中区苏稽镇</v>
      </c>
      <c r="J2741" s="33" t="str">
        <f>VLOOKUP(B2741,辅助信息!E:I,4,FALSE)</f>
        <v>彭江涛</v>
      </c>
      <c r="K2741" s="33">
        <f>VLOOKUP(J2741,辅助信息!H:I,2,FALSE)</f>
        <v>13990276572</v>
      </c>
      <c r="L2741" s="102" t="str">
        <f>VLOOKUP(B2741,辅助信息!E:J,6,FALSE)</f>
        <v>联系实际收货人（彭江涛13990276572）现场要求炉批号控制2个以下，超2个不给予签收。提前联系到场规格及数量</v>
      </c>
      <c r="O2741" s="55" t="str">
        <f ca="1" t="shared" si="165"/>
        <v/>
      </c>
      <c r="P2741" s="55" t="str">
        <f ca="1" t="shared" si="166"/>
        <v/>
      </c>
      <c r="Q2741" s="22" t="str">
        <f>VLOOKUP(B2741,辅助信息!E:M,9,FALSE)</f>
        <v>ZTWM-CDGS-XS-2025-0126-四川机司-乐山市校地共建产教融合基地配套设施项目施工二标段钢筋采购合同</v>
      </c>
      <c r="R2741" s="22" t="str">
        <f>_xlfn._xlws.FILTER(辅助信息!D:D,辅助信息!E:E=B2741)</f>
        <v>乐山市校地共建产教融合基地建设项目二标段</v>
      </c>
    </row>
    <row r="2742" hidden="1" spans="2:18">
      <c r="B2742" s="33" t="s">
        <v>186</v>
      </c>
      <c r="C2742" s="63">
        <v>45882</v>
      </c>
      <c r="D2742" s="33" t="str">
        <f>VLOOKUP(B2742,辅助信息!E:K,7,FALSE)</f>
        <v>JWDDCD2025072900123</v>
      </c>
      <c r="E2742" s="33" t="str">
        <f>VLOOKUP(F2742,辅助信息!A:B,2,FALSE)</f>
        <v>螺纹钢</v>
      </c>
      <c r="F2742" s="33" t="s">
        <v>91</v>
      </c>
      <c r="G2742" s="29">
        <v>10</v>
      </c>
      <c r="H2742" s="127">
        <f>_xlfn.XLOOKUP(C2742&amp;F2742&amp;I2742&amp;J2742,'[1]2025年已发货'!$F:$F&amp;'[1]2025年已发货'!$C:$C&amp;'[1]2025年已发货'!$G:$G&amp;'[1]2025年已发货'!$H:$H,'[1]2025年已发货'!$E:$E,"未发货")</f>
        <v>10</v>
      </c>
      <c r="I2742" s="33" t="str">
        <f>VLOOKUP(B2742,辅助信息!E:I,3,FALSE)</f>
        <v>(乐山市校地共建产教融合基地建设项目二标段)四川省乐山市市中区苏稽镇</v>
      </c>
      <c r="J2742" s="33" t="str">
        <f>VLOOKUP(B2742,辅助信息!E:I,4,FALSE)</f>
        <v>彭江涛</v>
      </c>
      <c r="K2742" s="33">
        <f>VLOOKUP(J2742,辅助信息!H:I,2,FALSE)</f>
        <v>13990276572</v>
      </c>
      <c r="L2742" s="102" t="str">
        <f>VLOOKUP(B2742,辅助信息!E:J,6,FALSE)</f>
        <v>联系实际收货人（彭江涛13990276572）现场要求炉批号控制2个以下，超2个不给予签收。提前联系到场规格及数量</v>
      </c>
      <c r="O2742" s="55" t="str">
        <f ca="1" t="shared" si="165"/>
        <v/>
      </c>
      <c r="P2742" s="55" t="str">
        <f ca="1" t="shared" si="166"/>
        <v/>
      </c>
      <c r="Q2742" s="22" t="str">
        <f>VLOOKUP(B2742,辅助信息!E:M,9,FALSE)</f>
        <v>ZTWM-CDGS-XS-2025-0126-四川机司-乐山市校地共建产教融合基地配套设施项目施工二标段钢筋采购合同</v>
      </c>
      <c r="R2742" s="22" t="str">
        <f>_xlfn._xlws.FILTER(辅助信息!D:D,辅助信息!E:E=B2742)</f>
        <v>乐山市校地共建产教融合基地建设项目二标段</v>
      </c>
    </row>
    <row r="2743" hidden="1" spans="2:18">
      <c r="B2743" s="33" t="s">
        <v>187</v>
      </c>
      <c r="C2743" s="63">
        <v>45882</v>
      </c>
      <c r="D2743" s="33" t="str">
        <f>VLOOKUP(B2743,辅助信息!E:K,7,FALSE)</f>
        <v>JWDDCD2025072900121</v>
      </c>
      <c r="E2743" s="33" t="str">
        <f>VLOOKUP(F2743,辅助信息!A:B,2,FALSE)</f>
        <v>盘螺</v>
      </c>
      <c r="F2743" s="33" t="s">
        <v>40</v>
      </c>
      <c r="G2743" s="29">
        <v>12</v>
      </c>
      <c r="H2743" s="127">
        <f>_xlfn.XLOOKUP(C2743&amp;F2743&amp;I2743&amp;J2743,'[1]2025年已发货'!$F:$F&amp;'[1]2025年已发货'!$C:$C&amp;'[1]2025年已发货'!$G:$G&amp;'[1]2025年已发货'!$H:$H,'[1]2025年已发货'!$E:$E,"未发货")</f>
        <v>12</v>
      </c>
      <c r="I2743" s="33" t="str">
        <f>VLOOKUP(B2743,辅助信息!E:I,3,FALSE)</f>
        <v>(乐山市校地共建产教融合基地建设项目一标段)四川省乐山市市中区苏稽镇周山嘴</v>
      </c>
      <c r="J2743" s="33" t="str">
        <f>VLOOKUP(B2743,辅助信息!E:I,4,FALSE)</f>
        <v>范增云</v>
      </c>
      <c r="K2743" s="33">
        <f>VLOOKUP(J2743,辅助信息!H:I,2,FALSE)</f>
        <v>13668153241</v>
      </c>
      <c r="L2743" s="102" t="str">
        <f>VLOOKUP(B2743,辅助信息!E:J,6,FALSE)</f>
        <v>联系实际收货人（范增云13668153241）现场要求炉批号控制2个以下，超2个不给予签收。提前联系到场规格及数量</v>
      </c>
      <c r="O2743" s="55" t="str">
        <f ca="1" t="shared" si="165"/>
        <v/>
      </c>
      <c r="P2743" s="55" t="str">
        <f ca="1" t="shared" si="166"/>
        <v/>
      </c>
      <c r="Q2743" s="22" t="str">
        <f>VLOOKUP(B2743,辅助信息!E:M,9,FALSE)</f>
        <v>ZTWM-CDGS-XS-2025-0125-四川机司-乐山市校地共建产教融合基地配套设施项目施工一标段钢筋采购合同</v>
      </c>
      <c r="R2743" s="22" t="str">
        <f>_xlfn._xlws.FILTER(辅助信息!D:D,辅助信息!E:E=B2743)</f>
        <v>乐山市校地共建产教融合基地建设项目一标段</v>
      </c>
    </row>
    <row r="2744" hidden="1" spans="2:18">
      <c r="B2744" s="33" t="s">
        <v>187</v>
      </c>
      <c r="C2744" s="63">
        <v>45882</v>
      </c>
      <c r="D2744" s="33" t="str">
        <f>VLOOKUP(B2744,辅助信息!E:K,7,FALSE)</f>
        <v>JWDDCD2025072900121</v>
      </c>
      <c r="E2744" s="33" t="str">
        <f>VLOOKUP(F2744,辅助信息!A:B,2,FALSE)</f>
        <v>盘螺</v>
      </c>
      <c r="F2744" s="33" t="s">
        <v>41</v>
      </c>
      <c r="G2744" s="29">
        <v>30</v>
      </c>
      <c r="H2744" s="127">
        <f>_xlfn.XLOOKUP(C2744&amp;F2744&amp;I2744&amp;J2744,'[1]2025年已发货'!$F:$F&amp;'[1]2025年已发货'!$C:$C&amp;'[1]2025年已发货'!$G:$G&amp;'[1]2025年已发货'!$H:$H,'[1]2025年已发货'!$E:$E,"未发货")</f>
        <v>30</v>
      </c>
      <c r="I2744" s="33" t="str">
        <f>VLOOKUP(B2744,辅助信息!E:I,3,FALSE)</f>
        <v>(乐山市校地共建产教融合基地建设项目一标段)四川省乐山市市中区苏稽镇周山嘴</v>
      </c>
      <c r="J2744" s="33" t="str">
        <f>VLOOKUP(B2744,辅助信息!E:I,4,FALSE)</f>
        <v>范增云</v>
      </c>
      <c r="K2744" s="33">
        <f>VLOOKUP(J2744,辅助信息!H:I,2,FALSE)</f>
        <v>13668153241</v>
      </c>
      <c r="L2744" s="102" t="str">
        <f>VLOOKUP(B2744,辅助信息!E:J,6,FALSE)</f>
        <v>联系实际收货人（范增云13668153241）现场要求炉批号控制2个以下，超2个不给予签收。提前联系到场规格及数量</v>
      </c>
      <c r="O2744" s="55" t="str">
        <f ca="1" t="shared" si="165"/>
        <v/>
      </c>
      <c r="P2744" s="55" t="str">
        <f ca="1" t="shared" si="166"/>
        <v/>
      </c>
      <c r="Q2744" s="22" t="str">
        <f>VLOOKUP(B2744,辅助信息!E:M,9,FALSE)</f>
        <v>ZTWM-CDGS-XS-2025-0125-四川机司-乐山市校地共建产教融合基地配套设施项目施工一标段钢筋采购合同</v>
      </c>
      <c r="R2744" s="22" t="str">
        <f>_xlfn._xlws.FILTER(辅助信息!D:D,辅助信息!E:E=B2744)</f>
        <v>乐山市校地共建产教融合基地建设项目一标段</v>
      </c>
    </row>
    <row r="2745" hidden="1" spans="2:18">
      <c r="B2745" s="33" t="s">
        <v>187</v>
      </c>
      <c r="C2745" s="63">
        <v>45882</v>
      </c>
      <c r="D2745" s="33" t="str">
        <f>VLOOKUP(B2745,辅助信息!E:K,7,FALSE)</f>
        <v>JWDDCD2025072900121</v>
      </c>
      <c r="E2745" s="33" t="str">
        <f>VLOOKUP(F2745,辅助信息!A:B,2,FALSE)</f>
        <v>螺纹钢</v>
      </c>
      <c r="F2745" s="33" t="s">
        <v>27</v>
      </c>
      <c r="G2745" s="29">
        <v>35</v>
      </c>
      <c r="H2745" s="127">
        <f>_xlfn.XLOOKUP(C2745&amp;F2745&amp;I2745&amp;J2745,'[1]2025年已发货'!$F:$F&amp;'[1]2025年已发货'!$C:$C&amp;'[1]2025年已发货'!$G:$G&amp;'[1]2025年已发货'!$H:$H,'[1]2025年已发货'!$E:$E,"未发货")</f>
        <v>35</v>
      </c>
      <c r="I2745" s="33" t="str">
        <f>VLOOKUP(B2745,辅助信息!E:I,3,FALSE)</f>
        <v>(乐山市校地共建产教融合基地建设项目一标段)四川省乐山市市中区苏稽镇周山嘴</v>
      </c>
      <c r="J2745" s="33" t="str">
        <f>VLOOKUP(B2745,辅助信息!E:I,4,FALSE)</f>
        <v>范增云</v>
      </c>
      <c r="K2745" s="33">
        <f>VLOOKUP(J2745,辅助信息!H:I,2,FALSE)</f>
        <v>13668153241</v>
      </c>
      <c r="L2745" s="102" t="str">
        <f>VLOOKUP(B2745,辅助信息!E:J,6,FALSE)</f>
        <v>联系实际收货人（范增云13668153241）现场要求炉批号控制2个以下，超2个不给予签收。提前联系到场规格及数量</v>
      </c>
      <c r="O2745" s="55" t="str">
        <f ca="1" t="shared" si="165"/>
        <v/>
      </c>
      <c r="P2745" s="55" t="str">
        <f ca="1" t="shared" si="166"/>
        <v/>
      </c>
      <c r="Q2745" s="22" t="str">
        <f>VLOOKUP(B2745,辅助信息!E:M,9,FALSE)</f>
        <v>ZTWM-CDGS-XS-2025-0125-四川机司-乐山市校地共建产教融合基地配套设施项目施工一标段钢筋采购合同</v>
      </c>
      <c r="R2745" s="22" t="str">
        <f>_xlfn._xlws.FILTER(辅助信息!D:D,辅助信息!E:E=B2745)</f>
        <v>乐山市校地共建产教融合基地建设项目一标段</v>
      </c>
    </row>
    <row r="2746" hidden="1" spans="2:18">
      <c r="B2746" s="33" t="s">
        <v>187</v>
      </c>
      <c r="C2746" s="63">
        <v>45882</v>
      </c>
      <c r="D2746" s="33" t="str">
        <f>VLOOKUP(B2746,辅助信息!E:K,7,FALSE)</f>
        <v>JWDDCD2025072900121</v>
      </c>
      <c r="E2746" s="33" t="str">
        <f>VLOOKUP(F2746,辅助信息!A:B,2,FALSE)</f>
        <v>螺纹钢</v>
      </c>
      <c r="F2746" s="33" t="s">
        <v>19</v>
      </c>
      <c r="G2746" s="29">
        <v>14</v>
      </c>
      <c r="H2746" s="127">
        <f>_xlfn.XLOOKUP(C2746&amp;F2746&amp;I2746&amp;J2746,'[1]2025年已发货'!$F:$F&amp;'[1]2025年已发货'!$C:$C&amp;'[1]2025年已发货'!$G:$G&amp;'[1]2025年已发货'!$H:$H,'[1]2025年已发货'!$E:$E,"未发货")</f>
        <v>14</v>
      </c>
      <c r="I2746" s="33" t="str">
        <f>VLOOKUP(B2746,辅助信息!E:I,3,FALSE)</f>
        <v>(乐山市校地共建产教融合基地建设项目一标段)四川省乐山市市中区苏稽镇周山嘴</v>
      </c>
      <c r="J2746" s="33" t="str">
        <f>VLOOKUP(B2746,辅助信息!E:I,4,FALSE)</f>
        <v>范增云</v>
      </c>
      <c r="K2746" s="33">
        <f>VLOOKUP(J2746,辅助信息!H:I,2,FALSE)</f>
        <v>13668153241</v>
      </c>
      <c r="L2746" s="102" t="str">
        <f>VLOOKUP(B2746,辅助信息!E:J,6,FALSE)</f>
        <v>联系实际收货人（范增云13668153241）现场要求炉批号控制2个以下，超2个不给予签收。提前联系到场规格及数量</v>
      </c>
      <c r="O2746" s="55" t="str">
        <f ca="1" t="shared" si="165"/>
        <v/>
      </c>
      <c r="P2746" s="55" t="str">
        <f ca="1" t="shared" si="166"/>
        <v/>
      </c>
      <c r="Q2746" s="22" t="str">
        <f>VLOOKUP(B2746,辅助信息!E:M,9,FALSE)</f>
        <v>ZTWM-CDGS-XS-2025-0125-四川机司-乐山市校地共建产教融合基地配套设施项目施工一标段钢筋采购合同</v>
      </c>
      <c r="R2746" s="22" t="str">
        <f>_xlfn._xlws.FILTER(辅助信息!D:D,辅助信息!E:E=B2746)</f>
        <v>乐山市校地共建产教融合基地建设项目一标段</v>
      </c>
    </row>
    <row r="2747" hidden="1" spans="2:18">
      <c r="B2747" s="33" t="s">
        <v>187</v>
      </c>
      <c r="C2747" s="63">
        <v>45882</v>
      </c>
      <c r="D2747" s="33" t="str">
        <f>VLOOKUP(B2747,辅助信息!E:K,7,FALSE)</f>
        <v>JWDDCD2025072900121</v>
      </c>
      <c r="E2747" s="33" t="str">
        <f>VLOOKUP(F2747,辅助信息!A:B,2,FALSE)</f>
        <v>螺纹钢</v>
      </c>
      <c r="F2747" s="33" t="s">
        <v>32</v>
      </c>
      <c r="G2747" s="29">
        <v>5</v>
      </c>
      <c r="H2747" s="127">
        <f>_xlfn.XLOOKUP(C2747&amp;F2747&amp;I2747&amp;J2747,'[1]2025年已发货'!$F:$F&amp;'[1]2025年已发货'!$C:$C&amp;'[1]2025年已发货'!$G:$G&amp;'[1]2025年已发货'!$H:$H,'[1]2025年已发货'!$E:$E,"未发货")</f>
        <v>5</v>
      </c>
      <c r="I2747" s="33" t="str">
        <f>VLOOKUP(B2747,辅助信息!E:I,3,FALSE)</f>
        <v>(乐山市校地共建产教融合基地建设项目一标段)四川省乐山市市中区苏稽镇周山嘴</v>
      </c>
      <c r="J2747" s="33" t="str">
        <f>VLOOKUP(B2747,辅助信息!E:I,4,FALSE)</f>
        <v>范增云</v>
      </c>
      <c r="K2747" s="33">
        <f>VLOOKUP(J2747,辅助信息!H:I,2,FALSE)</f>
        <v>13668153241</v>
      </c>
      <c r="L2747" s="102" t="str">
        <f>VLOOKUP(B2747,辅助信息!E:J,6,FALSE)</f>
        <v>联系实际收货人（范增云13668153241）现场要求炉批号控制2个以下，超2个不给予签收。提前联系到场规格及数量</v>
      </c>
      <c r="O2747" s="55" t="str">
        <f ca="1" t="shared" si="165"/>
        <v/>
      </c>
      <c r="P2747" s="55" t="str">
        <f ca="1" t="shared" si="166"/>
        <v/>
      </c>
      <c r="Q2747" s="22" t="str">
        <f>VLOOKUP(B2747,辅助信息!E:M,9,FALSE)</f>
        <v>ZTWM-CDGS-XS-2025-0125-四川机司-乐山市校地共建产教融合基地配套设施项目施工一标段钢筋采购合同</v>
      </c>
      <c r="R2747" s="22" t="str">
        <f>_xlfn._xlws.FILTER(辅助信息!D:D,辅助信息!E:E=B2747)</f>
        <v>乐山市校地共建产教融合基地建设项目一标段</v>
      </c>
    </row>
    <row r="2748" hidden="1" spans="2:18">
      <c r="B2748" s="33" t="s">
        <v>187</v>
      </c>
      <c r="C2748" s="63">
        <v>45882</v>
      </c>
      <c r="D2748" s="33" t="str">
        <f>VLOOKUP(B2748,辅助信息!E:K,7,FALSE)</f>
        <v>JWDDCD2025072900121</v>
      </c>
      <c r="E2748" s="33" t="str">
        <f>VLOOKUP(F2748,辅助信息!A:B,2,FALSE)</f>
        <v>螺纹钢</v>
      </c>
      <c r="F2748" s="33" t="s">
        <v>30</v>
      </c>
      <c r="G2748" s="29">
        <v>5</v>
      </c>
      <c r="H2748" s="127">
        <f>_xlfn.XLOOKUP(C2748&amp;F2748&amp;I2748&amp;J2748,'[1]2025年已发货'!$F:$F&amp;'[1]2025年已发货'!$C:$C&amp;'[1]2025年已发货'!$G:$G&amp;'[1]2025年已发货'!$H:$H,'[1]2025年已发货'!$E:$E,"未发货")</f>
        <v>5</v>
      </c>
      <c r="I2748" s="33" t="str">
        <f>VLOOKUP(B2748,辅助信息!E:I,3,FALSE)</f>
        <v>(乐山市校地共建产教融合基地建设项目一标段)四川省乐山市市中区苏稽镇周山嘴</v>
      </c>
      <c r="J2748" s="33" t="str">
        <f>VLOOKUP(B2748,辅助信息!E:I,4,FALSE)</f>
        <v>范增云</v>
      </c>
      <c r="K2748" s="33">
        <f>VLOOKUP(J2748,辅助信息!H:I,2,FALSE)</f>
        <v>13668153241</v>
      </c>
      <c r="L2748" s="102" t="str">
        <f>VLOOKUP(B2748,辅助信息!E:J,6,FALSE)</f>
        <v>联系实际收货人（范增云13668153241）现场要求炉批号控制2个以下，超2个不给予签收。提前联系到场规格及数量</v>
      </c>
      <c r="O2748" s="55" t="str">
        <f ca="1" t="shared" si="165"/>
        <v/>
      </c>
      <c r="P2748" s="55" t="str">
        <f ca="1" t="shared" si="166"/>
        <v/>
      </c>
      <c r="Q2748" s="22" t="str">
        <f>VLOOKUP(B2748,辅助信息!E:M,9,FALSE)</f>
        <v>ZTWM-CDGS-XS-2025-0125-四川机司-乐山市校地共建产教融合基地配套设施项目施工一标段钢筋采购合同</v>
      </c>
      <c r="R2748" s="22" t="str">
        <f>_xlfn._xlws.FILTER(辅助信息!D:D,辅助信息!E:E=B2748)</f>
        <v>乐山市校地共建产教融合基地建设项目一标段</v>
      </c>
    </row>
    <row r="2749" hidden="1" spans="2:18">
      <c r="B2749" s="33" t="s">
        <v>187</v>
      </c>
      <c r="C2749" s="63">
        <v>45882</v>
      </c>
      <c r="D2749" s="33" t="str">
        <f>VLOOKUP(B2749,辅助信息!E:K,7,FALSE)</f>
        <v>JWDDCD2025072900121</v>
      </c>
      <c r="E2749" s="33" t="str">
        <f>VLOOKUP(F2749,辅助信息!A:B,2,FALSE)</f>
        <v>螺纹钢</v>
      </c>
      <c r="F2749" s="33" t="s">
        <v>33</v>
      </c>
      <c r="G2749" s="29">
        <v>5</v>
      </c>
      <c r="H2749" s="127">
        <f>_xlfn.XLOOKUP(C2749&amp;F2749&amp;I2749&amp;J2749,'[1]2025年已发货'!$F:$F&amp;'[1]2025年已发货'!$C:$C&amp;'[1]2025年已发货'!$G:$G&amp;'[1]2025年已发货'!$H:$H,'[1]2025年已发货'!$E:$E,"未发货")</f>
        <v>5</v>
      </c>
      <c r="I2749" s="33" t="str">
        <f>VLOOKUP(B2749,辅助信息!E:I,3,FALSE)</f>
        <v>(乐山市校地共建产教融合基地建设项目一标段)四川省乐山市市中区苏稽镇周山嘴</v>
      </c>
      <c r="J2749" s="33" t="str">
        <f>VLOOKUP(B2749,辅助信息!E:I,4,FALSE)</f>
        <v>范增云</v>
      </c>
      <c r="K2749" s="33">
        <f>VLOOKUP(J2749,辅助信息!H:I,2,FALSE)</f>
        <v>13668153241</v>
      </c>
      <c r="L2749" s="102" t="str">
        <f>VLOOKUP(B2749,辅助信息!E:J,6,FALSE)</f>
        <v>联系实际收货人（范增云13668153241）现场要求炉批号控制2个以下，超2个不给予签收。提前联系到场规格及数量</v>
      </c>
      <c r="O2749" s="55" t="str">
        <f ca="1" t="shared" si="165"/>
        <v/>
      </c>
      <c r="P2749" s="55" t="str">
        <f ca="1" t="shared" si="166"/>
        <v/>
      </c>
      <c r="Q2749" s="22" t="str">
        <f>VLOOKUP(B2749,辅助信息!E:M,9,FALSE)</f>
        <v>ZTWM-CDGS-XS-2025-0125-四川机司-乐山市校地共建产教融合基地配套设施项目施工一标段钢筋采购合同</v>
      </c>
      <c r="R2749" s="22" t="str">
        <f>_xlfn._xlws.FILTER(辅助信息!D:D,辅助信息!E:E=B2749)</f>
        <v>乐山市校地共建产教融合基地建设项目一标段</v>
      </c>
    </row>
    <row r="2750" hidden="1" spans="2:18">
      <c r="B2750" s="33" t="s">
        <v>187</v>
      </c>
      <c r="C2750" s="63">
        <v>45882</v>
      </c>
      <c r="D2750" s="33" t="str">
        <f>VLOOKUP(B2750,辅助信息!E:K,7,FALSE)</f>
        <v>JWDDCD2025072900121</v>
      </c>
      <c r="E2750" s="33" t="str">
        <f>VLOOKUP(F2750,辅助信息!A:B,2,FALSE)</f>
        <v>螺纹钢</v>
      </c>
      <c r="F2750" s="33" t="s">
        <v>28</v>
      </c>
      <c r="G2750" s="29">
        <v>40</v>
      </c>
      <c r="H2750" s="127">
        <f>_xlfn.XLOOKUP(C2750&amp;F2750&amp;I2750&amp;J2750,'[1]2025年已发货'!$F:$F&amp;'[1]2025年已发货'!$C:$C&amp;'[1]2025年已发货'!$G:$G&amp;'[1]2025年已发货'!$H:$H,'[1]2025年已发货'!$E:$E,"未发货")</f>
        <v>40</v>
      </c>
      <c r="I2750" s="33" t="str">
        <f>VLOOKUP(B2750,辅助信息!E:I,3,FALSE)</f>
        <v>(乐山市校地共建产教融合基地建设项目一标段)四川省乐山市市中区苏稽镇周山嘴</v>
      </c>
      <c r="J2750" s="33" t="str">
        <f>VLOOKUP(B2750,辅助信息!E:I,4,FALSE)</f>
        <v>范增云</v>
      </c>
      <c r="K2750" s="33">
        <f>VLOOKUP(J2750,辅助信息!H:I,2,FALSE)</f>
        <v>13668153241</v>
      </c>
      <c r="L2750" s="102" t="str">
        <f>VLOOKUP(B2750,辅助信息!E:J,6,FALSE)</f>
        <v>联系实际收货人（范增云13668153241）现场要求炉批号控制2个以下，超2个不给予签收。提前联系到场规格及数量</v>
      </c>
      <c r="O2750" s="55" t="str">
        <f ca="1" t="shared" si="165"/>
        <v/>
      </c>
      <c r="P2750" s="55" t="str">
        <f ca="1" t="shared" si="166"/>
        <v/>
      </c>
      <c r="Q2750" s="22" t="str">
        <f>VLOOKUP(B2750,辅助信息!E:M,9,FALSE)</f>
        <v>ZTWM-CDGS-XS-2025-0125-四川机司-乐山市校地共建产教融合基地配套设施项目施工一标段钢筋采购合同</v>
      </c>
      <c r="R2750" s="22" t="str">
        <f>_xlfn._xlws.FILTER(辅助信息!D:D,辅助信息!E:E=B2750)</f>
        <v>乐山市校地共建产教融合基地建设项目一标段</v>
      </c>
    </row>
    <row r="2751" hidden="1" spans="2:18">
      <c r="B2751" s="33" t="s">
        <v>187</v>
      </c>
      <c r="C2751" s="63">
        <v>45882</v>
      </c>
      <c r="D2751" s="33" t="str">
        <f>VLOOKUP(B2751,辅助信息!E:K,7,FALSE)</f>
        <v>JWDDCD2025072900121</v>
      </c>
      <c r="E2751" s="33" t="str">
        <f>VLOOKUP(F2751,辅助信息!A:B,2,FALSE)</f>
        <v>螺纹钢</v>
      </c>
      <c r="F2751" s="33" t="s">
        <v>18</v>
      </c>
      <c r="G2751" s="29">
        <v>81</v>
      </c>
      <c r="H2751" s="127">
        <v>74</v>
      </c>
      <c r="I2751" s="33" t="str">
        <f>VLOOKUP(B2751,辅助信息!E:I,3,FALSE)</f>
        <v>(乐山市校地共建产教融合基地建设项目一标段)四川省乐山市市中区苏稽镇周山嘴</v>
      </c>
      <c r="J2751" s="33" t="str">
        <f>VLOOKUP(B2751,辅助信息!E:I,4,FALSE)</f>
        <v>范增云</v>
      </c>
      <c r="K2751" s="33">
        <f>VLOOKUP(J2751,辅助信息!H:I,2,FALSE)</f>
        <v>13668153241</v>
      </c>
      <c r="L2751" s="102" t="str">
        <f>VLOOKUP(B2751,辅助信息!E:J,6,FALSE)</f>
        <v>联系实际收货人（范增云13668153241）现场要求炉批号控制2个以下，超2个不给予签收。提前联系到场规格及数量</v>
      </c>
      <c r="O2751" s="55" t="str">
        <f ca="1" t="shared" si="165"/>
        <v/>
      </c>
      <c r="P2751" s="55" t="str">
        <f ca="1" t="shared" si="166"/>
        <v/>
      </c>
      <c r="Q2751" s="22" t="str">
        <f>VLOOKUP(B2751,辅助信息!E:M,9,FALSE)</f>
        <v>ZTWM-CDGS-XS-2025-0125-四川机司-乐山市校地共建产教融合基地配套设施项目施工一标段钢筋采购合同</v>
      </c>
      <c r="R2751" s="22" t="str">
        <f>_xlfn._xlws.FILTER(辅助信息!D:D,辅助信息!E:E=B2751)</f>
        <v>乐山市校地共建产教融合基地建设项目一标段</v>
      </c>
    </row>
    <row r="2752" hidden="1" spans="2:18">
      <c r="B2752" s="33" t="s">
        <v>187</v>
      </c>
      <c r="C2752" s="63">
        <v>45882</v>
      </c>
      <c r="D2752" s="33" t="str">
        <f>VLOOKUP(B2752,辅助信息!E:K,7,FALSE)</f>
        <v>JWDDCD2025072900121</v>
      </c>
      <c r="E2752" s="33" t="str">
        <f>VLOOKUP(F2752,辅助信息!A:B,2,FALSE)</f>
        <v>螺纹钢</v>
      </c>
      <c r="F2752" s="33" t="s">
        <v>65</v>
      </c>
      <c r="G2752" s="29">
        <v>17</v>
      </c>
      <c r="H2752" s="127">
        <f>_xlfn.XLOOKUP(C2752&amp;F2752&amp;I2752&amp;J2752,'[1]2025年已发货'!$F:$F&amp;'[1]2025年已发货'!$C:$C&amp;'[1]2025年已发货'!$G:$G&amp;'[1]2025年已发货'!$H:$H,'[1]2025年已发货'!$E:$E,"未发货")</f>
        <v>17</v>
      </c>
      <c r="I2752" s="33" t="str">
        <f>VLOOKUP(B2752,辅助信息!E:I,3,FALSE)</f>
        <v>(乐山市校地共建产教融合基地建设项目一标段)四川省乐山市市中区苏稽镇周山嘴</v>
      </c>
      <c r="J2752" s="33" t="str">
        <f>VLOOKUP(B2752,辅助信息!E:I,4,FALSE)</f>
        <v>范增云</v>
      </c>
      <c r="K2752" s="33">
        <f>VLOOKUP(J2752,辅助信息!H:I,2,FALSE)</f>
        <v>13668153241</v>
      </c>
      <c r="L2752" s="102" t="str">
        <f>VLOOKUP(B2752,辅助信息!E:J,6,FALSE)</f>
        <v>联系实际收货人（范增云13668153241）现场要求炉批号控制2个以下，超2个不给予签收。提前联系到场规格及数量</v>
      </c>
      <c r="O2752" s="55" t="str">
        <f ca="1" t="shared" si="165"/>
        <v/>
      </c>
      <c r="P2752" s="55" t="str">
        <f ca="1" t="shared" si="166"/>
        <v/>
      </c>
      <c r="Q2752" s="22" t="str">
        <f>VLOOKUP(B2752,辅助信息!E:M,9,FALSE)</f>
        <v>ZTWM-CDGS-XS-2025-0125-四川机司-乐山市校地共建产教融合基地配套设施项目施工一标段钢筋采购合同</v>
      </c>
      <c r="R2752" s="22" t="str">
        <f>_xlfn._xlws.FILTER(辅助信息!D:D,辅助信息!E:E=B2752)</f>
        <v>乐山市校地共建产教融合基地建设项目一标段</v>
      </c>
    </row>
    <row r="2753" hidden="1" spans="2:18">
      <c r="B2753" s="33" t="s">
        <v>187</v>
      </c>
      <c r="C2753" s="63">
        <v>45882</v>
      </c>
      <c r="D2753" s="33" t="str">
        <f>VLOOKUP(B2753,辅助信息!E:K,7,FALSE)</f>
        <v>JWDDCD2025072900121</v>
      </c>
      <c r="E2753" s="33" t="str">
        <f>VLOOKUP(F2753,辅助信息!A:B,2,FALSE)</f>
        <v>螺纹钢</v>
      </c>
      <c r="F2753" s="33" t="s">
        <v>52</v>
      </c>
      <c r="G2753" s="29">
        <v>5</v>
      </c>
      <c r="H2753" s="127">
        <f>_xlfn.XLOOKUP(C2753&amp;F2753&amp;I2753&amp;J2753,'[1]2025年已发货'!$F:$F&amp;'[1]2025年已发货'!$C:$C&amp;'[1]2025年已发货'!$G:$G&amp;'[1]2025年已发货'!$H:$H,'[1]2025年已发货'!$E:$E,"未发货")</f>
        <v>5</v>
      </c>
      <c r="I2753" s="33" t="str">
        <f>VLOOKUP(B2753,辅助信息!E:I,3,FALSE)</f>
        <v>(乐山市校地共建产教融合基地建设项目一标段)四川省乐山市市中区苏稽镇周山嘴</v>
      </c>
      <c r="J2753" s="33" t="str">
        <f>VLOOKUP(B2753,辅助信息!E:I,4,FALSE)</f>
        <v>范增云</v>
      </c>
      <c r="K2753" s="33">
        <f>VLOOKUP(J2753,辅助信息!H:I,2,FALSE)</f>
        <v>13668153241</v>
      </c>
      <c r="L2753" s="102" t="str">
        <f>VLOOKUP(B2753,辅助信息!E:J,6,FALSE)</f>
        <v>联系实际收货人（范增云13668153241）现场要求炉批号控制2个以下，超2个不给予签收。提前联系到场规格及数量</v>
      </c>
      <c r="O2753" s="55" t="str">
        <f ca="1" t="shared" si="165"/>
        <v/>
      </c>
      <c r="P2753" s="55" t="str">
        <f ca="1" t="shared" si="166"/>
        <v/>
      </c>
      <c r="Q2753" s="22" t="str">
        <f>VLOOKUP(B2753,辅助信息!E:M,9,FALSE)</f>
        <v>ZTWM-CDGS-XS-2025-0125-四川机司-乐山市校地共建产教融合基地配套设施项目施工一标段钢筋采购合同</v>
      </c>
      <c r="R2753" s="22" t="str">
        <f>_xlfn._xlws.FILTER(辅助信息!D:D,辅助信息!E:E=B2753)</f>
        <v>乐山市校地共建产教融合基地建设项目一标段</v>
      </c>
    </row>
    <row r="2754" hidden="1" spans="2:18">
      <c r="B2754" s="33" t="s">
        <v>81</v>
      </c>
      <c r="C2754" s="63">
        <v>45882</v>
      </c>
      <c r="D2754" s="33" t="str">
        <f>VLOOKUP(B2754,辅助信息!E:K,7,FALSE)</f>
        <v>JWDDCD2025060900080</v>
      </c>
      <c r="E2754" s="33" t="str">
        <f>VLOOKUP(F2754,辅助信息!A:B,2,FALSE)</f>
        <v>螺纹钢</v>
      </c>
      <c r="F2754" s="33" t="s">
        <v>32</v>
      </c>
      <c r="G2754" s="29">
        <v>35</v>
      </c>
      <c r="H2754" s="127" t="str">
        <f>_xlfn.XLOOKUP(C2754&amp;F2754&amp;I2754&amp;J2754,'[1]2025年已发货'!$F:$F&amp;'[1]2025年已发货'!$C:$C&amp;'[1]2025年已发货'!$G:$G&amp;'[1]2025年已发货'!$H:$H,'[1]2025年已发货'!$E:$E,"未发货")</f>
        <v>未发货</v>
      </c>
      <c r="I2754" s="33" t="str">
        <f>VLOOKUP(B2754,辅助信息!E:I,3,FALSE)</f>
        <v>（华西简阳西城嘉苑）四川省成都市简阳市简城街道高屋村</v>
      </c>
      <c r="J2754" s="33" t="str">
        <f>VLOOKUP(B2754,辅助信息!E:I,4,FALSE)</f>
        <v>张瀚镭</v>
      </c>
      <c r="K2754" s="33">
        <f>VLOOKUP(J2754,辅助信息!H:I,2,FALSE)</f>
        <v>15884666220</v>
      </c>
      <c r="L2754" s="102" t="str">
        <f>VLOOKUP(B2754,辅助信息!E:J,6,FALSE)</f>
        <v>现场禁止使用氢能源挂车！优先威钢发货,我方卸车,新老国标钢厂不加价可直发，因陕钢多次出现磅差，项目拒绝使用</v>
      </c>
      <c r="O2754" s="55" t="str">
        <f ca="1" t="shared" si="165"/>
        <v/>
      </c>
      <c r="P2754" s="55" t="str">
        <f ca="1" t="shared" si="166"/>
        <v/>
      </c>
      <c r="Q2754" s="22" t="str">
        <f>VLOOKUP(B2754,辅助信息!E:M,9,FALSE)</f>
        <v>ZTWM-CDGS-XS-2024-0030-华西集采-简州大道</v>
      </c>
      <c r="R2754" s="22" t="str">
        <f>_xlfn._xlws.FILTER(辅助信息!D:D,辅助信息!E:E=B2754)</f>
        <v>华西简阳西城嘉苑</v>
      </c>
    </row>
    <row r="2755" hidden="1" spans="2:18">
      <c r="B2755" s="33" t="s">
        <v>92</v>
      </c>
      <c r="C2755" s="63">
        <v>45882</v>
      </c>
      <c r="D2755" s="33" t="str">
        <f>VLOOKUP(B2755,辅助信息!E:K,7,FALSE)</f>
        <v>JWDDCD2025051800046</v>
      </c>
      <c r="E2755" s="33" t="str">
        <f>VLOOKUP(F2755,辅助信息!A:B,2,FALSE)</f>
        <v>盘螺</v>
      </c>
      <c r="F2755" s="33" t="s">
        <v>49</v>
      </c>
      <c r="G2755" s="29">
        <v>6</v>
      </c>
      <c r="H2755" s="127" t="str">
        <f>_xlfn.XLOOKUP(C2755&amp;F2755&amp;I2755&amp;J2755,'[1]2025年已发货'!$F:$F&amp;'[1]2025年已发货'!$C:$C&amp;'[1]2025年已发货'!$G:$G&amp;'[1]2025年已发货'!$H:$H,'[1]2025年已发货'!$E:$E,"未发货")</f>
        <v>未发货</v>
      </c>
      <c r="I2755" s="33" t="str">
        <f>VLOOKUP(B2755,辅助信息!E:I,3,FALSE)</f>
        <v>（华西萌海科创农业生态谷）成都市简阳市白金山水库</v>
      </c>
      <c r="J2755" s="33" t="str">
        <f>VLOOKUP(B2755,辅助信息!E:I,4,FALSE)</f>
        <v>石清国</v>
      </c>
      <c r="K2755" s="33">
        <f>VLOOKUP(J2755,辅助信息!H:I,2,FALSE)</f>
        <v>13458642015</v>
      </c>
      <c r="L2755" s="102" t="str">
        <f>VLOOKUP(B2755,辅助信息!E:J,6,FALSE)</f>
        <v>优先威钢,我方卸车,新老国标钢厂不加价可直发</v>
      </c>
      <c r="O2755" s="55" t="str">
        <f ca="1" t="shared" si="165"/>
        <v/>
      </c>
      <c r="P2755" s="55" t="str">
        <f ca="1" t="shared" si="166"/>
        <v/>
      </c>
      <c r="Q2755" s="22" t="str">
        <f>VLOOKUP(B2755,辅助信息!E:M,9,FALSE)</f>
        <v>ZTWM-CDGS-XS-2024-0092-华西-萌海科创农业生态谷</v>
      </c>
      <c r="R2755" s="22" t="str">
        <f>_xlfn._xlws.FILTER(辅助信息!D:D,辅助信息!E:E=B2755)</f>
        <v>华西萌海-科创农业生态谷</v>
      </c>
    </row>
    <row r="2756" hidden="1" spans="2:18">
      <c r="B2756" s="33" t="s">
        <v>92</v>
      </c>
      <c r="C2756" s="63">
        <v>45882</v>
      </c>
      <c r="D2756" s="33" t="str">
        <f>VLOOKUP(B2756,辅助信息!E:K,7,FALSE)</f>
        <v>JWDDCD2025051800046</v>
      </c>
      <c r="E2756" s="33" t="str">
        <f>VLOOKUP(F2756,辅助信息!A:B,2,FALSE)</f>
        <v>盘螺</v>
      </c>
      <c r="F2756" s="33" t="s">
        <v>40</v>
      </c>
      <c r="G2756" s="29">
        <v>15</v>
      </c>
      <c r="H2756" s="127" t="str">
        <f>_xlfn.XLOOKUP(C2756&amp;F2756&amp;I2756&amp;J2756,'[1]2025年已发货'!$F:$F&amp;'[1]2025年已发货'!$C:$C&amp;'[1]2025年已发货'!$G:$G&amp;'[1]2025年已发货'!$H:$H,'[1]2025年已发货'!$E:$E,"未发货")</f>
        <v>未发货</v>
      </c>
      <c r="I2756" s="33" t="str">
        <f>VLOOKUP(B2756,辅助信息!E:I,3,FALSE)</f>
        <v>（华西萌海科创农业生态谷）成都市简阳市白金山水库</v>
      </c>
      <c r="J2756" s="33" t="str">
        <f>VLOOKUP(B2756,辅助信息!E:I,4,FALSE)</f>
        <v>石清国</v>
      </c>
      <c r="K2756" s="33">
        <f>VLOOKUP(J2756,辅助信息!H:I,2,FALSE)</f>
        <v>13458642015</v>
      </c>
      <c r="L2756" s="102" t="str">
        <f>VLOOKUP(B2756,辅助信息!E:J,6,FALSE)</f>
        <v>优先威钢,我方卸车,新老国标钢厂不加价可直发</v>
      </c>
      <c r="O2756" s="55" t="str">
        <f ca="1" t="shared" si="165"/>
        <v/>
      </c>
      <c r="P2756" s="55" t="str">
        <f ca="1" t="shared" si="166"/>
        <v/>
      </c>
      <c r="Q2756" s="22" t="str">
        <f>VLOOKUP(B2756,辅助信息!E:M,9,FALSE)</f>
        <v>ZTWM-CDGS-XS-2024-0092-华西-萌海科创农业生态谷</v>
      </c>
      <c r="R2756" s="22" t="str">
        <f>_xlfn._xlws.FILTER(辅助信息!D:D,辅助信息!E:E=B2756)</f>
        <v>华西萌海-科创农业生态谷</v>
      </c>
    </row>
    <row r="2757" hidden="1" spans="2:18">
      <c r="B2757" s="33" t="s">
        <v>92</v>
      </c>
      <c r="C2757" s="63">
        <v>45882</v>
      </c>
      <c r="D2757" s="33" t="str">
        <f>VLOOKUP(B2757,辅助信息!E:K,7,FALSE)</f>
        <v>JWDDCD2025051800046</v>
      </c>
      <c r="E2757" s="33" t="str">
        <f>VLOOKUP(F2757,辅助信息!A:B,2,FALSE)</f>
        <v>盘螺</v>
      </c>
      <c r="F2757" s="33" t="s">
        <v>41</v>
      </c>
      <c r="G2757" s="29">
        <v>15</v>
      </c>
      <c r="H2757" s="127" t="str">
        <f>_xlfn.XLOOKUP(C2757&amp;F2757&amp;I2757&amp;J2757,'[1]2025年已发货'!$F:$F&amp;'[1]2025年已发货'!$C:$C&amp;'[1]2025年已发货'!$G:$G&amp;'[1]2025年已发货'!$H:$H,'[1]2025年已发货'!$E:$E,"未发货")</f>
        <v>未发货</v>
      </c>
      <c r="I2757" s="33" t="str">
        <f>VLOOKUP(B2757,辅助信息!E:I,3,FALSE)</f>
        <v>（华西萌海科创农业生态谷）成都市简阳市白金山水库</v>
      </c>
      <c r="J2757" s="33" t="str">
        <f>VLOOKUP(B2757,辅助信息!E:I,4,FALSE)</f>
        <v>石清国</v>
      </c>
      <c r="K2757" s="33">
        <f>VLOOKUP(J2757,辅助信息!H:I,2,FALSE)</f>
        <v>13458642015</v>
      </c>
      <c r="L2757" s="102" t="str">
        <f>VLOOKUP(B2757,辅助信息!E:J,6,FALSE)</f>
        <v>优先威钢,我方卸车,新老国标钢厂不加价可直发</v>
      </c>
      <c r="O2757" s="55" t="str">
        <f ca="1" t="shared" si="165"/>
        <v/>
      </c>
      <c r="P2757" s="55" t="str">
        <f ca="1" t="shared" si="166"/>
        <v/>
      </c>
      <c r="Q2757" s="22" t="str">
        <f>VLOOKUP(B2757,辅助信息!E:M,9,FALSE)</f>
        <v>ZTWM-CDGS-XS-2024-0092-华西-萌海科创农业生态谷</v>
      </c>
      <c r="R2757" s="22" t="str">
        <f>_xlfn._xlws.FILTER(辅助信息!D:D,辅助信息!E:E=B2757)</f>
        <v>华西萌海-科创农业生态谷</v>
      </c>
    </row>
    <row r="2758" hidden="1" spans="2:18">
      <c r="B2758" s="33" t="s">
        <v>81</v>
      </c>
      <c r="C2758" s="63">
        <v>45883</v>
      </c>
      <c r="D2758" s="33" t="str">
        <f>VLOOKUP(B2758,辅助信息!E:K,7,FALSE)</f>
        <v>JWDDCD2025060900080</v>
      </c>
      <c r="E2758" s="33" t="str">
        <f>VLOOKUP(F2758,辅助信息!A:B,2,FALSE)</f>
        <v>螺纹钢</v>
      </c>
      <c r="F2758" s="33" t="s">
        <v>32</v>
      </c>
      <c r="G2758" s="29">
        <v>35</v>
      </c>
      <c r="H2758" s="127">
        <f>_xlfn.XLOOKUP(C2758&amp;F2758&amp;I2758&amp;J2758,'[1]2025年已发货'!$F:$F&amp;'[1]2025年已发货'!$C:$C&amp;'[1]2025年已发货'!$G:$G&amp;'[1]2025年已发货'!$H:$H,'[1]2025年已发货'!$E:$E,"未发货")</f>
        <v>35</v>
      </c>
      <c r="I2758" s="33" t="str">
        <f>VLOOKUP(B2758,辅助信息!E:I,3,FALSE)</f>
        <v>（华西简阳西城嘉苑）四川省成都市简阳市简城街道高屋村</v>
      </c>
      <c r="J2758" s="33" t="str">
        <f>VLOOKUP(B2758,辅助信息!E:I,4,FALSE)</f>
        <v>张瀚镭</v>
      </c>
      <c r="K2758" s="33">
        <f>VLOOKUP(J2758,辅助信息!H:I,2,FALSE)</f>
        <v>15884666220</v>
      </c>
      <c r="L2758" s="102" t="str">
        <f>VLOOKUP(B2758,辅助信息!E:J,6,FALSE)</f>
        <v>现场禁止使用氢能源挂车！优先威钢发货,我方卸车,新老国标钢厂不加价可直发，因陕钢多次出现磅差，项目拒绝使用</v>
      </c>
      <c r="O2758" s="55" t="str">
        <f ca="1" t="shared" si="165"/>
        <v/>
      </c>
      <c r="P2758" s="55" t="str">
        <f ca="1" t="shared" si="166"/>
        <v/>
      </c>
      <c r="Q2758" s="22" t="str">
        <f>VLOOKUP(B2758,辅助信息!E:M,9,FALSE)</f>
        <v>ZTWM-CDGS-XS-2024-0030-华西集采-简州大道</v>
      </c>
      <c r="R2758" s="22" t="str">
        <f>_xlfn._xlws.FILTER(辅助信息!D:D,辅助信息!E:E=B2758)</f>
        <v>华西简阳西城嘉苑</v>
      </c>
    </row>
    <row r="2759" hidden="1" spans="2:18">
      <c r="B2759" s="33" t="s">
        <v>92</v>
      </c>
      <c r="C2759" s="63">
        <v>45883</v>
      </c>
      <c r="D2759" s="33" t="str">
        <f>VLOOKUP(B2759,辅助信息!E:K,7,FALSE)</f>
        <v>JWDDCD2025051800046</v>
      </c>
      <c r="E2759" s="33" t="str">
        <f>VLOOKUP(F2759,辅助信息!A:B,2,FALSE)</f>
        <v>盘螺</v>
      </c>
      <c r="F2759" s="33" t="s">
        <v>49</v>
      </c>
      <c r="G2759" s="29">
        <v>6</v>
      </c>
      <c r="H2759" s="127">
        <f>_xlfn.XLOOKUP(C2759&amp;F2759&amp;I2759&amp;J2759,'[1]2025年已发货'!$F:$F&amp;'[1]2025年已发货'!$C:$C&amp;'[1]2025年已发货'!$G:$G&amp;'[1]2025年已发货'!$H:$H,'[1]2025年已发货'!$E:$E,"未发货")</f>
        <v>6</v>
      </c>
      <c r="I2759" s="33" t="str">
        <f>VLOOKUP(B2759,辅助信息!E:I,3,FALSE)</f>
        <v>（华西萌海科创农业生态谷）成都市简阳市白金山水库</v>
      </c>
      <c r="J2759" s="33" t="str">
        <f>VLOOKUP(B2759,辅助信息!E:I,4,FALSE)</f>
        <v>石清国</v>
      </c>
      <c r="K2759" s="33">
        <f>VLOOKUP(J2759,辅助信息!H:I,2,FALSE)</f>
        <v>13458642015</v>
      </c>
      <c r="L2759" s="102" t="str">
        <f>VLOOKUP(B2759,辅助信息!E:J,6,FALSE)</f>
        <v>优先威钢,我方卸车,新老国标钢厂不加价可直发</v>
      </c>
      <c r="O2759" s="55" t="str">
        <f ca="1" t="shared" si="165"/>
        <v/>
      </c>
      <c r="P2759" s="55" t="str">
        <f ca="1" t="shared" si="166"/>
        <v/>
      </c>
      <c r="Q2759" s="22" t="str">
        <f>VLOOKUP(B2759,辅助信息!E:M,9,FALSE)</f>
        <v>ZTWM-CDGS-XS-2024-0092-华西-萌海科创农业生态谷</v>
      </c>
      <c r="R2759" s="22" t="str">
        <f>_xlfn._xlws.FILTER(辅助信息!D:D,辅助信息!E:E=B2759)</f>
        <v>华西萌海-科创农业生态谷</v>
      </c>
    </row>
    <row r="2760" hidden="1" spans="2:18">
      <c r="B2760" s="33" t="s">
        <v>92</v>
      </c>
      <c r="C2760" s="63">
        <v>45883</v>
      </c>
      <c r="D2760" s="33" t="str">
        <f>VLOOKUP(B2760,辅助信息!E:K,7,FALSE)</f>
        <v>JWDDCD2025051800046</v>
      </c>
      <c r="E2760" s="33" t="str">
        <f>VLOOKUP(F2760,辅助信息!A:B,2,FALSE)</f>
        <v>盘螺</v>
      </c>
      <c r="F2760" s="33" t="s">
        <v>40</v>
      </c>
      <c r="G2760" s="29">
        <v>15</v>
      </c>
      <c r="H2760" s="127">
        <f>_xlfn.XLOOKUP(C2760&amp;F2760&amp;I2760&amp;J2760,'[1]2025年已发货'!$F:$F&amp;'[1]2025年已发货'!$C:$C&amp;'[1]2025年已发货'!$G:$G&amp;'[1]2025年已发货'!$H:$H,'[1]2025年已发货'!$E:$E,"未发货")</f>
        <v>15</v>
      </c>
      <c r="I2760" s="33" t="str">
        <f>VLOOKUP(B2760,辅助信息!E:I,3,FALSE)</f>
        <v>（华西萌海科创农业生态谷）成都市简阳市白金山水库</v>
      </c>
      <c r="J2760" s="33" t="str">
        <f>VLOOKUP(B2760,辅助信息!E:I,4,FALSE)</f>
        <v>石清国</v>
      </c>
      <c r="K2760" s="33">
        <f>VLOOKUP(J2760,辅助信息!H:I,2,FALSE)</f>
        <v>13458642015</v>
      </c>
      <c r="L2760" s="102" t="str">
        <f>VLOOKUP(B2760,辅助信息!E:J,6,FALSE)</f>
        <v>优先威钢,我方卸车,新老国标钢厂不加价可直发</v>
      </c>
      <c r="O2760" s="55" t="str">
        <f ca="1" t="shared" si="165"/>
        <v/>
      </c>
      <c r="P2760" s="55" t="str">
        <f ca="1" t="shared" si="166"/>
        <v/>
      </c>
      <c r="Q2760" s="22" t="str">
        <f>VLOOKUP(B2760,辅助信息!E:M,9,FALSE)</f>
        <v>ZTWM-CDGS-XS-2024-0092-华西-萌海科创农业生态谷</v>
      </c>
      <c r="R2760" s="22" t="str">
        <f>_xlfn._xlws.FILTER(辅助信息!D:D,辅助信息!E:E=B2760)</f>
        <v>华西萌海-科创农业生态谷</v>
      </c>
    </row>
    <row r="2761" hidden="1" spans="2:18">
      <c r="B2761" s="33" t="s">
        <v>92</v>
      </c>
      <c r="C2761" s="63">
        <v>45883</v>
      </c>
      <c r="D2761" s="33" t="str">
        <f>VLOOKUP(B2761,辅助信息!E:K,7,FALSE)</f>
        <v>JWDDCD2025051800046</v>
      </c>
      <c r="E2761" s="33" t="str">
        <f>VLOOKUP(F2761,辅助信息!A:B,2,FALSE)</f>
        <v>盘螺</v>
      </c>
      <c r="F2761" s="33" t="s">
        <v>41</v>
      </c>
      <c r="G2761" s="29">
        <v>15</v>
      </c>
      <c r="H2761" s="127">
        <f>_xlfn.XLOOKUP(C2761&amp;F2761&amp;I2761&amp;J2761,'[1]2025年已发货'!$F:$F&amp;'[1]2025年已发货'!$C:$C&amp;'[1]2025年已发货'!$G:$G&amp;'[1]2025年已发货'!$H:$H,'[1]2025年已发货'!$E:$E,"未发货")</f>
        <v>15</v>
      </c>
      <c r="I2761" s="33" t="str">
        <f>VLOOKUP(B2761,辅助信息!E:I,3,FALSE)</f>
        <v>（华西萌海科创农业生态谷）成都市简阳市白金山水库</v>
      </c>
      <c r="J2761" s="33" t="str">
        <f>VLOOKUP(B2761,辅助信息!E:I,4,FALSE)</f>
        <v>石清国</v>
      </c>
      <c r="K2761" s="33">
        <f>VLOOKUP(J2761,辅助信息!H:I,2,FALSE)</f>
        <v>13458642015</v>
      </c>
      <c r="L2761" s="102" t="str">
        <f>VLOOKUP(B2761,辅助信息!E:J,6,FALSE)</f>
        <v>优先威钢,我方卸车,新老国标钢厂不加价可直发</v>
      </c>
      <c r="O2761" s="55" t="str">
        <f ca="1" t="shared" si="165"/>
        <v/>
      </c>
      <c r="P2761" s="55" t="str">
        <f ca="1" t="shared" si="166"/>
        <v/>
      </c>
      <c r="Q2761" s="22" t="str">
        <f>VLOOKUP(B2761,辅助信息!E:M,9,FALSE)</f>
        <v>ZTWM-CDGS-XS-2024-0092-华西-萌海科创农业生态谷</v>
      </c>
      <c r="R2761" s="22" t="str">
        <f>_xlfn._xlws.FILTER(辅助信息!D:D,辅助信息!E:E=B2761)</f>
        <v>华西萌海-科创农业生态谷</v>
      </c>
    </row>
    <row r="2762" hidden="1" spans="2:18">
      <c r="B2762" s="33" t="s">
        <v>186</v>
      </c>
      <c r="C2762" s="63">
        <v>45883</v>
      </c>
      <c r="D2762" s="33" t="str">
        <f>VLOOKUP(B2762,辅助信息!E:K,7,FALSE)</f>
        <v>JWDDCD2025072900123</v>
      </c>
      <c r="E2762" s="33" t="str">
        <f>VLOOKUP(F2762,辅助信息!A:B,2,FALSE)</f>
        <v>盘螺</v>
      </c>
      <c r="F2762" s="33" t="s">
        <v>26</v>
      </c>
      <c r="G2762" s="29">
        <v>18</v>
      </c>
      <c r="H2762" s="127">
        <f>_xlfn.XLOOKUP(C2762&amp;F2762&amp;I2762&amp;J2762,'[1]2025年已发货'!$F:$F&amp;'[1]2025年已发货'!$C:$C&amp;'[1]2025年已发货'!$G:$G&amp;'[1]2025年已发货'!$H:$H,'[1]2025年已发货'!$E:$E,"未发货")</f>
        <v>18</v>
      </c>
      <c r="I2762" s="33" t="str">
        <f>VLOOKUP(B2762,辅助信息!E:I,3,FALSE)</f>
        <v>(乐山市校地共建产教融合基地建设项目二标段)四川省乐山市市中区苏稽镇</v>
      </c>
      <c r="J2762" s="33" t="str">
        <f>VLOOKUP(B2762,辅助信息!E:I,4,FALSE)</f>
        <v>彭江涛</v>
      </c>
      <c r="K2762" s="33">
        <f>VLOOKUP(J2762,辅助信息!H:I,2,FALSE)</f>
        <v>13990276572</v>
      </c>
      <c r="L2762" s="102" t="str">
        <f>VLOOKUP(B2762,辅助信息!E:J,6,FALSE)</f>
        <v>联系实际收货人（彭江涛13990276572）现场要求炉批号控制2个以下，超2个不给予签收。提前联系到场规格及数量</v>
      </c>
      <c r="O2762" s="55" t="str">
        <f ca="1" t="shared" si="165"/>
        <v/>
      </c>
      <c r="P2762" s="55" t="str">
        <f ca="1" t="shared" si="166"/>
        <v/>
      </c>
      <c r="Q2762" s="22" t="str">
        <f>VLOOKUP(B2762,辅助信息!E:M,9,FALSE)</f>
        <v>ZTWM-CDGS-XS-2025-0126-四川机司-乐山市校地共建产教融合基地配套设施项目施工二标段钢筋采购合同</v>
      </c>
      <c r="R2762" s="22" t="str">
        <f>_xlfn._xlws.FILTER(辅助信息!D:D,辅助信息!E:E=B2762)</f>
        <v>乐山市校地共建产教融合基地建设项目二标段</v>
      </c>
    </row>
    <row r="2763" hidden="1" spans="2:18">
      <c r="B2763" s="33" t="s">
        <v>186</v>
      </c>
      <c r="C2763" s="63">
        <v>45883</v>
      </c>
      <c r="D2763" s="33" t="str">
        <f>VLOOKUP(B2763,辅助信息!E:K,7,FALSE)</f>
        <v>JWDDCD2025072900123</v>
      </c>
      <c r="E2763" s="33" t="str">
        <f>VLOOKUP(F2763,辅助信息!A:B,2,FALSE)</f>
        <v>螺纹钢</v>
      </c>
      <c r="F2763" s="33" t="s">
        <v>76</v>
      </c>
      <c r="G2763" s="29">
        <v>8</v>
      </c>
      <c r="H2763" s="127">
        <f>_xlfn.XLOOKUP(C2763&amp;F2763&amp;I2763&amp;J2763,'[1]2025年已发货'!$F:$F&amp;'[1]2025年已发货'!$C:$C&amp;'[1]2025年已发货'!$G:$G&amp;'[1]2025年已发货'!$H:$H,'[1]2025年已发货'!$E:$E,"未发货")</f>
        <v>8</v>
      </c>
      <c r="I2763" s="33" t="str">
        <f>VLOOKUP(B2763,辅助信息!E:I,3,FALSE)</f>
        <v>(乐山市校地共建产教融合基地建设项目二标段)四川省乐山市市中区苏稽镇</v>
      </c>
      <c r="J2763" s="33" t="str">
        <f>VLOOKUP(B2763,辅助信息!E:I,4,FALSE)</f>
        <v>彭江涛</v>
      </c>
      <c r="K2763" s="33">
        <f>VLOOKUP(J2763,辅助信息!H:I,2,FALSE)</f>
        <v>13990276572</v>
      </c>
      <c r="L2763" s="102" t="str">
        <f>VLOOKUP(B2763,辅助信息!E:J,6,FALSE)</f>
        <v>联系实际收货人（彭江涛13990276572）现场要求炉批号控制2个以下，超2个不给予签收。提前联系到场规格及数量</v>
      </c>
      <c r="O2763" s="55" t="str">
        <f ca="1" t="shared" si="165"/>
        <v/>
      </c>
      <c r="P2763" s="55" t="str">
        <f ca="1" t="shared" si="166"/>
        <v/>
      </c>
      <c r="Q2763" s="22" t="str">
        <f>VLOOKUP(B2763,辅助信息!E:M,9,FALSE)</f>
        <v>ZTWM-CDGS-XS-2025-0126-四川机司-乐山市校地共建产教融合基地配套设施项目施工二标段钢筋采购合同</v>
      </c>
      <c r="R2763" s="22" t="str">
        <f>_xlfn._xlws.FILTER(辅助信息!D:D,辅助信息!E:E=B2763)</f>
        <v>乐山市校地共建产教融合基地建设项目二标段</v>
      </c>
    </row>
    <row r="2764" hidden="1" spans="2:18">
      <c r="B2764" s="33" t="s">
        <v>186</v>
      </c>
      <c r="C2764" s="63">
        <v>45883</v>
      </c>
      <c r="D2764" s="33" t="str">
        <f>VLOOKUP(B2764,辅助信息!E:K,7,FALSE)</f>
        <v>JWDDCD2025072900123</v>
      </c>
      <c r="E2764" s="33" t="str">
        <f>VLOOKUP(F2764,辅助信息!A:B,2,FALSE)</f>
        <v>螺纹钢</v>
      </c>
      <c r="F2764" s="33" t="s">
        <v>91</v>
      </c>
      <c r="G2764" s="29">
        <v>35</v>
      </c>
      <c r="H2764" s="127">
        <f>_xlfn.XLOOKUP(C2764&amp;F2764&amp;I2764&amp;J2764,'[1]2025年已发货'!$F:$F&amp;'[1]2025年已发货'!$C:$C&amp;'[1]2025年已发货'!$G:$G&amp;'[1]2025年已发货'!$H:$H,'[1]2025年已发货'!$E:$E,"未发货")</f>
        <v>35</v>
      </c>
      <c r="I2764" s="33" t="str">
        <f>VLOOKUP(B2764,辅助信息!E:I,3,FALSE)</f>
        <v>(乐山市校地共建产教融合基地建设项目二标段)四川省乐山市市中区苏稽镇</v>
      </c>
      <c r="J2764" s="33" t="str">
        <f>VLOOKUP(B2764,辅助信息!E:I,4,FALSE)</f>
        <v>彭江涛</v>
      </c>
      <c r="K2764" s="33">
        <f>VLOOKUP(J2764,辅助信息!H:I,2,FALSE)</f>
        <v>13990276572</v>
      </c>
      <c r="L2764" s="102" t="str">
        <f>VLOOKUP(B2764,辅助信息!E:J,6,FALSE)</f>
        <v>联系实际收货人（彭江涛13990276572）现场要求炉批号控制2个以下，超2个不给予签收。提前联系到场规格及数量</v>
      </c>
      <c r="O2764" s="55" t="str">
        <f ca="1" t="shared" si="165"/>
        <v/>
      </c>
      <c r="P2764" s="55" t="str">
        <f ca="1" t="shared" si="166"/>
        <v/>
      </c>
      <c r="Q2764" s="22" t="str">
        <f>VLOOKUP(B2764,辅助信息!E:M,9,FALSE)</f>
        <v>ZTWM-CDGS-XS-2025-0126-四川机司-乐山市校地共建产教融合基地配套设施项目施工二标段钢筋采购合同</v>
      </c>
      <c r="R2764" s="22" t="str">
        <f>_xlfn._xlws.FILTER(辅助信息!D:D,辅助信息!E:E=B2764)</f>
        <v>乐山市校地共建产教融合基地建设项目二标段</v>
      </c>
    </row>
    <row r="2765" hidden="1" spans="2:18">
      <c r="B2765" s="33" t="s">
        <v>186</v>
      </c>
      <c r="C2765" s="63">
        <v>45883</v>
      </c>
      <c r="D2765" s="33" t="str">
        <f>VLOOKUP(B2765,辅助信息!E:K,7,FALSE)</f>
        <v>JWDDCD2025072900123</v>
      </c>
      <c r="E2765" s="33" t="str">
        <f>VLOOKUP(F2765,辅助信息!A:B,2,FALSE)</f>
        <v>螺纹钢</v>
      </c>
      <c r="F2765" s="33" t="s">
        <v>205</v>
      </c>
      <c r="G2765" s="29">
        <v>5</v>
      </c>
      <c r="H2765" s="127">
        <f>_xlfn.XLOOKUP(C2765&amp;F2765&amp;I2765&amp;J2765,'[1]2025年已发货'!$F:$F&amp;'[1]2025年已发货'!$C:$C&amp;'[1]2025年已发货'!$G:$G&amp;'[1]2025年已发货'!$H:$H,'[1]2025年已发货'!$E:$E,"未发货")</f>
        <v>5</v>
      </c>
      <c r="I2765" s="33" t="str">
        <f>VLOOKUP(B2765,辅助信息!E:I,3,FALSE)</f>
        <v>(乐山市校地共建产教融合基地建设项目二标段)四川省乐山市市中区苏稽镇</v>
      </c>
      <c r="J2765" s="33" t="str">
        <f>VLOOKUP(B2765,辅助信息!E:I,4,FALSE)</f>
        <v>彭江涛</v>
      </c>
      <c r="K2765" s="33">
        <f>VLOOKUP(J2765,辅助信息!H:I,2,FALSE)</f>
        <v>13990276572</v>
      </c>
      <c r="L2765" s="102" t="str">
        <f>VLOOKUP(B2765,辅助信息!E:J,6,FALSE)</f>
        <v>联系实际收货人（彭江涛13990276572）现场要求炉批号控制2个以下，超2个不给予签收。提前联系到场规格及数量</v>
      </c>
      <c r="O2765" s="55" t="str">
        <f ca="1" t="shared" si="165"/>
        <v/>
      </c>
      <c r="P2765" s="55" t="str">
        <f ca="1" t="shared" si="166"/>
        <v/>
      </c>
      <c r="Q2765" s="22" t="str">
        <f>VLOOKUP(B2765,辅助信息!E:M,9,FALSE)</f>
        <v>ZTWM-CDGS-XS-2025-0126-四川机司-乐山市校地共建产教融合基地配套设施项目施工二标段钢筋采购合同</v>
      </c>
      <c r="R2765" s="22" t="str">
        <f>_xlfn._xlws.FILTER(辅助信息!D:D,辅助信息!E:E=B2765)</f>
        <v>乐山市校地共建产教融合基地建设项目二标段</v>
      </c>
    </row>
    <row r="2766" hidden="1" spans="2:18">
      <c r="B2766" s="33" t="s">
        <v>186</v>
      </c>
      <c r="C2766" s="63">
        <v>45883</v>
      </c>
      <c r="D2766" s="33" t="str">
        <f>VLOOKUP(B2766,辅助信息!E:K,7,FALSE)</f>
        <v>JWDDCD2025072900123</v>
      </c>
      <c r="E2766" s="33" t="str">
        <f>VLOOKUP(F2766,辅助信息!A:B,2,FALSE)</f>
        <v>螺纹钢</v>
      </c>
      <c r="F2766" s="33" t="s">
        <v>141</v>
      </c>
      <c r="G2766" s="29">
        <v>5</v>
      </c>
      <c r="H2766" s="127">
        <f>_xlfn.XLOOKUP(C2766&amp;F2766&amp;I2766&amp;J2766,'[1]2025年已发货'!$F:$F&amp;'[1]2025年已发货'!$C:$C&amp;'[1]2025年已发货'!$G:$G&amp;'[1]2025年已发货'!$H:$H,'[1]2025年已发货'!$E:$E,"未发货")</f>
        <v>5</v>
      </c>
      <c r="I2766" s="33" t="str">
        <f>VLOOKUP(B2766,辅助信息!E:I,3,FALSE)</f>
        <v>(乐山市校地共建产教融合基地建设项目二标段)四川省乐山市市中区苏稽镇</v>
      </c>
      <c r="J2766" s="33" t="str">
        <f>VLOOKUP(B2766,辅助信息!E:I,4,FALSE)</f>
        <v>彭江涛</v>
      </c>
      <c r="K2766" s="33">
        <f>VLOOKUP(J2766,辅助信息!H:I,2,FALSE)</f>
        <v>13990276572</v>
      </c>
      <c r="L2766" s="102" t="str">
        <f>VLOOKUP(B2766,辅助信息!E:J,6,FALSE)</f>
        <v>联系实际收货人（彭江涛13990276572）现场要求炉批号控制2个以下，超2个不给予签收。提前联系到场规格及数量</v>
      </c>
      <c r="O2766" s="55" t="str">
        <f ca="1" t="shared" si="165"/>
        <v/>
      </c>
      <c r="P2766" s="55" t="str">
        <f ca="1" t="shared" si="166"/>
        <v/>
      </c>
      <c r="Q2766" s="22" t="str">
        <f>VLOOKUP(B2766,辅助信息!E:M,9,FALSE)</f>
        <v>ZTWM-CDGS-XS-2025-0126-四川机司-乐山市校地共建产教融合基地配套设施项目施工二标段钢筋采购合同</v>
      </c>
      <c r="R2766" s="22" t="str">
        <f>_xlfn._xlws.FILTER(辅助信息!D:D,辅助信息!E:E=B2766)</f>
        <v>乐山市校地共建产教融合基地建设项目二标段</v>
      </c>
    </row>
    <row r="2767" hidden="1" spans="2:18">
      <c r="B2767" s="33" t="s">
        <v>186</v>
      </c>
      <c r="C2767" s="63">
        <v>45883</v>
      </c>
      <c r="D2767" s="33" t="str">
        <f>VLOOKUP(B2767,辅助信息!E:K,7,FALSE)</f>
        <v>JWDDCD2025072900123</v>
      </c>
      <c r="E2767" s="33" t="str">
        <f>VLOOKUP(F2767,辅助信息!A:B,2,FALSE)</f>
        <v>螺纹钢</v>
      </c>
      <c r="F2767" s="33" t="s">
        <v>142</v>
      </c>
      <c r="G2767" s="29">
        <v>20</v>
      </c>
      <c r="H2767" s="127">
        <f>_xlfn.XLOOKUP(C2767&amp;F2767&amp;I2767&amp;J2767,'[1]2025年已发货'!$F:$F&amp;'[1]2025年已发货'!$C:$C&amp;'[1]2025年已发货'!$G:$G&amp;'[1]2025年已发货'!$H:$H,'[1]2025年已发货'!$E:$E,"未发货")</f>
        <v>20</v>
      </c>
      <c r="I2767" s="33" t="str">
        <f>VLOOKUP(B2767,辅助信息!E:I,3,FALSE)</f>
        <v>(乐山市校地共建产教融合基地建设项目二标段)四川省乐山市市中区苏稽镇</v>
      </c>
      <c r="J2767" s="33" t="str">
        <f>VLOOKUP(B2767,辅助信息!E:I,4,FALSE)</f>
        <v>彭江涛</v>
      </c>
      <c r="K2767" s="33">
        <f>VLOOKUP(J2767,辅助信息!H:I,2,FALSE)</f>
        <v>13990276572</v>
      </c>
      <c r="L2767" s="102" t="str">
        <f>VLOOKUP(B2767,辅助信息!E:J,6,FALSE)</f>
        <v>联系实际收货人（彭江涛13990276572）现场要求炉批号控制2个以下，超2个不给予签收。提前联系到场规格及数量</v>
      </c>
      <c r="O2767" s="55" t="str">
        <f ca="1" t="shared" si="165"/>
        <v/>
      </c>
      <c r="P2767" s="55" t="str">
        <f ca="1" t="shared" si="166"/>
        <v/>
      </c>
      <c r="Q2767" s="22" t="str">
        <f>VLOOKUP(B2767,辅助信息!E:M,9,FALSE)</f>
        <v>ZTWM-CDGS-XS-2025-0126-四川机司-乐山市校地共建产教融合基地配套设施项目施工二标段钢筋采购合同</v>
      </c>
      <c r="R2767" s="22" t="str">
        <f>_xlfn._xlws.FILTER(辅助信息!D:D,辅助信息!E:E=B2767)</f>
        <v>乐山市校地共建产教融合基地建设项目二标段</v>
      </c>
    </row>
    <row r="2768" hidden="1" spans="2:18">
      <c r="B2768" s="33" t="s">
        <v>186</v>
      </c>
      <c r="C2768" s="63">
        <v>45883</v>
      </c>
      <c r="D2768" s="33" t="str">
        <f>VLOOKUP(B2768,辅助信息!E:K,7,FALSE)</f>
        <v>JWDDCD2025072900123</v>
      </c>
      <c r="E2768" s="33" t="str">
        <f>VLOOKUP(F2768,辅助信息!A:B,2,FALSE)</f>
        <v>螺纹钢</v>
      </c>
      <c r="F2768" s="33" t="s">
        <v>201</v>
      </c>
      <c r="G2768" s="29">
        <v>10</v>
      </c>
      <c r="H2768" s="127">
        <f>_xlfn.XLOOKUP(C2768&amp;F2768&amp;I2768&amp;J2768,'[1]2025年已发货'!$F:$F&amp;'[1]2025年已发货'!$C:$C&amp;'[1]2025年已发货'!$G:$G&amp;'[1]2025年已发货'!$H:$H,'[1]2025年已发货'!$E:$E,"未发货")</f>
        <v>10</v>
      </c>
      <c r="I2768" s="33" t="str">
        <f>VLOOKUP(B2768,辅助信息!E:I,3,FALSE)</f>
        <v>(乐山市校地共建产教融合基地建设项目二标段)四川省乐山市市中区苏稽镇</v>
      </c>
      <c r="J2768" s="33" t="str">
        <f>VLOOKUP(B2768,辅助信息!E:I,4,FALSE)</f>
        <v>彭江涛</v>
      </c>
      <c r="K2768" s="33">
        <f>VLOOKUP(J2768,辅助信息!H:I,2,FALSE)</f>
        <v>13990276572</v>
      </c>
      <c r="L2768" s="102" t="str">
        <f>VLOOKUP(B2768,辅助信息!E:J,6,FALSE)</f>
        <v>联系实际收货人（彭江涛13990276572）现场要求炉批号控制2个以下，超2个不给予签收。提前联系到场规格及数量</v>
      </c>
      <c r="O2768" s="55" t="str">
        <f ca="1" t="shared" si="165"/>
        <v/>
      </c>
      <c r="P2768" s="55" t="str">
        <f ca="1" t="shared" si="166"/>
        <v/>
      </c>
      <c r="Q2768" s="22" t="str">
        <f>VLOOKUP(B2768,辅助信息!E:M,9,FALSE)</f>
        <v>ZTWM-CDGS-XS-2025-0126-四川机司-乐山市校地共建产教融合基地配套设施项目施工二标段钢筋采购合同</v>
      </c>
      <c r="R2768" s="22" t="str">
        <f>_xlfn._xlws.FILTER(辅助信息!D:D,辅助信息!E:E=B2768)</f>
        <v>乐山市校地共建产教融合基地建设项目二标段</v>
      </c>
    </row>
    <row r="2769" hidden="1" spans="2:18">
      <c r="B2769" s="33" t="s">
        <v>180</v>
      </c>
      <c r="C2769" s="63">
        <v>45885</v>
      </c>
      <c r="D2769" s="33" t="str">
        <f>VLOOKUP(B2769,辅助信息!E:K,7,FALSE)</f>
        <v>JWDDCD2025052800131</v>
      </c>
      <c r="E2769" s="33" t="str">
        <f>VLOOKUP(F2769,辅助信息!A:B,2,FALSE)</f>
        <v>螺纹钢</v>
      </c>
      <c r="F2769" s="33" t="s">
        <v>27</v>
      </c>
      <c r="G2769" s="29">
        <v>3</v>
      </c>
      <c r="H2769" s="127">
        <f>_xlfn.XLOOKUP(C2769&amp;F2769&amp;I2769&amp;J2769,'[1]2025年已发货'!$F:$F&amp;'[1]2025年已发货'!$C:$C&amp;'[1]2025年已发货'!$G:$G&amp;'[1]2025年已发货'!$H:$H,'[1]2025年已发货'!$E:$E,"未发货")</f>
        <v>3</v>
      </c>
      <c r="I2769" s="33" t="str">
        <f>VLOOKUP(B2769,辅助信息!E:I,3,FALSE)</f>
        <v>（商投建工达州中医药科技园-4工区-8号楼）达州市通川区达州中医药职业学院犀牛大道北段</v>
      </c>
      <c r="J2769" s="33" t="str">
        <f>VLOOKUP(B2769,辅助信息!E:I,4,FALSE)</f>
        <v>张扬</v>
      </c>
      <c r="K2769" s="33">
        <f>VLOOKUP(J2769,辅助信息!H:I,2,FALSE)</f>
        <v>18381904567</v>
      </c>
      <c r="L2769" s="102" t="str">
        <f>VLOOKUP(B2769,辅助信息!E:J,6,FALSE)</f>
        <v>控制炉批号！多了现场不收！,优先安排达钢,提前联系到场规格及数量</v>
      </c>
      <c r="O2769" s="55" t="str">
        <f ca="1" t="shared" si="165"/>
        <v/>
      </c>
      <c r="P2769" s="55" t="str">
        <f ca="1" t="shared" si="166"/>
        <v/>
      </c>
      <c r="Q2769" s="22" t="str">
        <f>VLOOKUP(B2769,辅助信息!E:M,9,FALSE)</f>
        <v>ZTWM-CDGS-XS-2024-0134-商投建工达州中医药科技成果示范园项目</v>
      </c>
      <c r="R2769" s="22" t="str">
        <f>_xlfn._xlws.FILTER(辅助信息!D:D,辅助信息!E:E=B2769)</f>
        <v>商投建工达州中医药科技园</v>
      </c>
    </row>
    <row r="2770" hidden="1" spans="2:18">
      <c r="B2770" s="33" t="s">
        <v>180</v>
      </c>
      <c r="C2770" s="63">
        <v>45885</v>
      </c>
      <c r="D2770" s="33" t="str">
        <f>VLOOKUP(B2770,辅助信息!E:K,7,FALSE)</f>
        <v>JWDDCD2025052800131</v>
      </c>
      <c r="E2770" s="33" t="str">
        <f>VLOOKUP(F2770,辅助信息!A:B,2,FALSE)</f>
        <v>螺纹钢</v>
      </c>
      <c r="F2770" s="33" t="s">
        <v>30</v>
      </c>
      <c r="G2770" s="29">
        <v>12</v>
      </c>
      <c r="H2770" s="127">
        <f>_xlfn.XLOOKUP(C2770&amp;F2770&amp;I2770&amp;J2770,'[1]2025年已发货'!$F:$F&amp;'[1]2025年已发货'!$C:$C&amp;'[1]2025年已发货'!$G:$G&amp;'[1]2025年已发货'!$H:$H,'[1]2025年已发货'!$E:$E,"未发货")</f>
        <v>12</v>
      </c>
      <c r="I2770" s="33" t="str">
        <f>VLOOKUP(B2770,辅助信息!E:I,3,FALSE)</f>
        <v>（商投建工达州中医药科技园-4工区-8号楼）达州市通川区达州中医药职业学院犀牛大道北段</v>
      </c>
      <c r="J2770" s="33" t="str">
        <f>VLOOKUP(B2770,辅助信息!E:I,4,FALSE)</f>
        <v>张扬</v>
      </c>
      <c r="K2770" s="33">
        <f>VLOOKUP(J2770,辅助信息!H:I,2,FALSE)</f>
        <v>18381904567</v>
      </c>
      <c r="L2770" s="102" t="str">
        <f>VLOOKUP(B2770,辅助信息!E:J,6,FALSE)</f>
        <v>控制炉批号！多了现场不收！,优先安排达钢,提前联系到场规格及数量</v>
      </c>
      <c r="O2770" s="55" t="str">
        <f ca="1" t="shared" si="165"/>
        <v/>
      </c>
      <c r="P2770" s="55" t="str">
        <f ca="1" t="shared" si="166"/>
        <v/>
      </c>
      <c r="Q2770" s="22" t="str">
        <f>VLOOKUP(B2770,辅助信息!E:M,9,FALSE)</f>
        <v>ZTWM-CDGS-XS-2024-0134-商投建工达州中医药科技成果示范园项目</v>
      </c>
      <c r="R2770" s="22" t="str">
        <f>_xlfn._xlws.FILTER(辅助信息!D:D,辅助信息!E:E=B2770)</f>
        <v>商投建工达州中医药科技园</v>
      </c>
    </row>
    <row r="2771" hidden="1" spans="2:18">
      <c r="B2771" s="33" t="s">
        <v>180</v>
      </c>
      <c r="C2771" s="63">
        <v>45885</v>
      </c>
      <c r="D2771" s="33" t="str">
        <f>VLOOKUP(B2771,辅助信息!E:K,7,FALSE)</f>
        <v>JWDDCD2025052800131</v>
      </c>
      <c r="E2771" s="33" t="str">
        <f>VLOOKUP(F2771,辅助信息!A:B,2,FALSE)</f>
        <v>螺纹钢</v>
      </c>
      <c r="F2771" s="33" t="s">
        <v>28</v>
      </c>
      <c r="G2771" s="29">
        <v>12</v>
      </c>
      <c r="H2771" s="127">
        <f>_xlfn.XLOOKUP(C2771&amp;F2771&amp;I2771&amp;J2771,'[1]2025年已发货'!$F:$F&amp;'[1]2025年已发货'!$C:$C&amp;'[1]2025年已发货'!$G:$G&amp;'[1]2025年已发货'!$H:$H,'[1]2025年已发货'!$E:$E,"未发货")</f>
        <v>12</v>
      </c>
      <c r="I2771" s="33" t="str">
        <f>VLOOKUP(B2771,辅助信息!E:I,3,FALSE)</f>
        <v>（商投建工达州中医药科技园-4工区-8号楼）达州市通川区达州中医药职业学院犀牛大道北段</v>
      </c>
      <c r="J2771" s="33" t="str">
        <f>VLOOKUP(B2771,辅助信息!E:I,4,FALSE)</f>
        <v>张扬</v>
      </c>
      <c r="K2771" s="33">
        <f>VLOOKUP(J2771,辅助信息!H:I,2,FALSE)</f>
        <v>18381904567</v>
      </c>
      <c r="L2771" s="102" t="str">
        <f>VLOOKUP(B2771,辅助信息!E:J,6,FALSE)</f>
        <v>控制炉批号！多了现场不收！,优先安排达钢,提前联系到场规格及数量</v>
      </c>
      <c r="O2771" s="55" t="str">
        <f ca="1" t="shared" si="165"/>
        <v/>
      </c>
      <c r="P2771" s="55" t="str">
        <f ca="1" t="shared" si="166"/>
        <v/>
      </c>
      <c r="Q2771" s="22" t="str">
        <f>VLOOKUP(B2771,辅助信息!E:M,9,FALSE)</f>
        <v>ZTWM-CDGS-XS-2024-0134-商投建工达州中医药科技成果示范园项目</v>
      </c>
      <c r="R2771" s="22" t="str">
        <f>_xlfn._xlws.FILTER(辅助信息!D:D,辅助信息!E:E=B2771)</f>
        <v>商投建工达州中医药科技园</v>
      </c>
    </row>
    <row r="2772" hidden="1" spans="2:18">
      <c r="B2772" s="33" t="s">
        <v>180</v>
      </c>
      <c r="C2772" s="63">
        <v>45885</v>
      </c>
      <c r="D2772" s="33" t="str">
        <f>VLOOKUP(B2772,辅助信息!E:K,7,FALSE)</f>
        <v>JWDDCD2025052800131</v>
      </c>
      <c r="E2772" s="33" t="str">
        <f>VLOOKUP(F2772,辅助信息!A:B,2,FALSE)</f>
        <v>螺纹钢</v>
      </c>
      <c r="F2772" s="33" t="s">
        <v>58</v>
      </c>
      <c r="G2772" s="29">
        <v>9</v>
      </c>
      <c r="H2772" s="127">
        <f>_xlfn.XLOOKUP(C2772&amp;F2772&amp;I2772&amp;J2772,'[1]2025年已发货'!$F:$F&amp;'[1]2025年已发货'!$C:$C&amp;'[1]2025年已发货'!$G:$G&amp;'[1]2025年已发货'!$H:$H,'[1]2025年已发货'!$E:$E,"未发货")</f>
        <v>9</v>
      </c>
      <c r="I2772" s="33" t="str">
        <f>VLOOKUP(B2772,辅助信息!E:I,3,FALSE)</f>
        <v>（商投建工达州中医药科技园-4工区-8号楼）达州市通川区达州中医药职业学院犀牛大道北段</v>
      </c>
      <c r="J2772" s="33" t="str">
        <f>VLOOKUP(B2772,辅助信息!E:I,4,FALSE)</f>
        <v>张扬</v>
      </c>
      <c r="K2772" s="33">
        <f>VLOOKUP(J2772,辅助信息!H:I,2,FALSE)</f>
        <v>18381904567</v>
      </c>
      <c r="L2772" s="102" t="str">
        <f>VLOOKUP(B2772,辅助信息!E:J,6,FALSE)</f>
        <v>控制炉批号！多了现场不收！,优先安排达钢,提前联系到场规格及数量</v>
      </c>
      <c r="O2772" s="55" t="str">
        <f ca="1" t="shared" si="165"/>
        <v/>
      </c>
      <c r="P2772" s="55" t="str">
        <f ca="1" t="shared" si="166"/>
        <v/>
      </c>
      <c r="Q2772" s="22" t="str">
        <f>VLOOKUP(B2772,辅助信息!E:M,9,FALSE)</f>
        <v>ZTWM-CDGS-XS-2024-0134-商投建工达州中医药科技成果示范园项目</v>
      </c>
      <c r="R2772" s="22" t="str">
        <f>_xlfn._xlws.FILTER(辅助信息!D:D,辅助信息!E:E=B2772)</f>
        <v>商投建工达州中医药科技园</v>
      </c>
    </row>
    <row r="2773" hidden="1" spans="2:18">
      <c r="B2773" s="33" t="s">
        <v>208</v>
      </c>
      <c r="C2773" s="63">
        <v>45885</v>
      </c>
      <c r="D2773" s="33" t="str">
        <f>VLOOKUP(B2773,辅助信息!E:K,7,FALSE)</f>
        <v>JWDDCD2025102100480</v>
      </c>
      <c r="E2773" s="33" t="str">
        <f>VLOOKUP(F2773,辅助信息!A:B,2,FALSE)</f>
        <v>高线</v>
      </c>
      <c r="F2773" s="33" t="s">
        <v>51</v>
      </c>
      <c r="G2773" s="133">
        <v>10.5</v>
      </c>
      <c r="H2773" s="127">
        <v>10.5</v>
      </c>
      <c r="I2773" s="33" t="str">
        <f>VLOOKUP(B2773,辅助信息!E:I,3,FALSE)</f>
        <v>(五冶建设锦江区林家坝片区20号地块商业项目)锦江区泰昌路锦江28亩项目部</v>
      </c>
      <c r="J2773" s="33" t="str">
        <f>VLOOKUP(B2773,辅助信息!E:I,4,FALSE)</f>
        <v>陶杰</v>
      </c>
      <c r="K2773" s="33">
        <f>VLOOKUP(J2773,辅助信息!H:I,2,FALSE)</f>
        <v>13980247952</v>
      </c>
      <c r="L2773" s="102" t="str">
        <f>VLOOKUP(B2773,辅助信息!E:J,6,FALSE)</f>
        <v>联系实际收货人（陶杰13980247952）五冶建设送货单,6份材质书,锈货不收，装货前联系收货人核实到场规格,没提前告知进场规格现场不给予接收</v>
      </c>
      <c r="O2773" s="55" t="str">
        <f ca="1" t="shared" si="165"/>
        <v/>
      </c>
      <c r="P2773" s="55" t="str">
        <f ca="1" t="shared" si="166"/>
        <v/>
      </c>
      <c r="Q2773" s="22" t="str">
        <f>VLOOKUP(B2773,辅助信息!E:M,9,FALSE)</f>
        <v>ZTWM-CDGS-XS-2025-0073-五冶天府-成都怡心湖片区及龙泉驿医院等项目</v>
      </c>
      <c r="R2773" s="22" t="str">
        <f>_xlfn._xlws.FILTER(辅助信息!D:D,辅助信息!E:E=B2773)</f>
        <v>五冶建设锦江区林家坝片区20号地块商业项目</v>
      </c>
    </row>
    <row r="2774" hidden="1" spans="2:18">
      <c r="B2774" s="33" t="s">
        <v>208</v>
      </c>
      <c r="C2774" s="63">
        <v>45885</v>
      </c>
      <c r="D2774" s="33" t="str">
        <f>VLOOKUP(B2774,辅助信息!E:K,7,FALSE)</f>
        <v>JWDDCD2025102100480</v>
      </c>
      <c r="E2774" s="33" t="str">
        <f>VLOOKUP(F2774,辅助信息!A:B,2,FALSE)</f>
        <v>高线</v>
      </c>
      <c r="F2774" s="33" t="s">
        <v>61</v>
      </c>
      <c r="G2774" s="133">
        <v>21.2</v>
      </c>
      <c r="H2774" s="127">
        <v>21.2</v>
      </c>
      <c r="I2774" s="33" t="str">
        <f>VLOOKUP(B2774,辅助信息!E:I,3,FALSE)</f>
        <v>(五冶建设锦江区林家坝片区20号地块商业项目)锦江区泰昌路锦江28亩项目部</v>
      </c>
      <c r="J2774" s="33" t="str">
        <f>VLOOKUP(B2774,辅助信息!E:I,4,FALSE)</f>
        <v>陶杰</v>
      </c>
      <c r="K2774" s="33">
        <f>VLOOKUP(J2774,辅助信息!H:I,2,FALSE)</f>
        <v>13980247952</v>
      </c>
      <c r="L2774" s="102" t="str">
        <f>VLOOKUP(B2774,辅助信息!E:J,6,FALSE)</f>
        <v>联系实际收货人（陶杰13980247952）五冶建设送货单,6份材质书,锈货不收，装货前联系收货人核实到场规格,没提前告知进场规格现场不给予接收</v>
      </c>
      <c r="O2774" s="55" t="str">
        <f ca="1" t="shared" si="165"/>
        <v/>
      </c>
      <c r="P2774" s="55" t="str">
        <f ca="1" t="shared" si="166"/>
        <v/>
      </c>
      <c r="Q2774" s="22" t="str">
        <f>VLOOKUP(B2774,辅助信息!E:M,9,FALSE)</f>
        <v>ZTWM-CDGS-XS-2025-0073-五冶天府-成都怡心湖片区及龙泉驿医院等项目</v>
      </c>
      <c r="R2774" s="22" t="str">
        <f>_xlfn._xlws.FILTER(辅助信息!D:D,辅助信息!E:E=B2774)</f>
        <v>五冶建设锦江区林家坝片区20号地块商业项目</v>
      </c>
    </row>
    <row r="2775" hidden="1" spans="2:18">
      <c r="B2775" s="33" t="s">
        <v>208</v>
      </c>
      <c r="C2775" s="63">
        <v>45885</v>
      </c>
      <c r="D2775" s="33" t="str">
        <f>VLOOKUP(B2775,辅助信息!E:K,7,FALSE)</f>
        <v>JWDDCD2025102100480</v>
      </c>
      <c r="E2775" s="33" t="str">
        <f>VLOOKUP(F2775,辅助信息!A:B,2,FALSE)</f>
        <v>螺纹钢</v>
      </c>
      <c r="F2775" s="33" t="s">
        <v>30</v>
      </c>
      <c r="G2775" s="133">
        <v>6.9</v>
      </c>
      <c r="H2775" s="127">
        <v>6.9</v>
      </c>
      <c r="I2775" s="33" t="str">
        <f>VLOOKUP(B2775,辅助信息!E:I,3,FALSE)</f>
        <v>(五冶建设锦江区林家坝片区20号地块商业项目)锦江区泰昌路锦江28亩项目部</v>
      </c>
      <c r="J2775" s="33" t="str">
        <f>VLOOKUP(B2775,辅助信息!E:I,4,FALSE)</f>
        <v>陶杰</v>
      </c>
      <c r="K2775" s="33">
        <f>VLOOKUP(J2775,辅助信息!H:I,2,FALSE)</f>
        <v>13980247952</v>
      </c>
      <c r="L2775" s="102" t="str">
        <f>VLOOKUP(B2775,辅助信息!E:J,6,FALSE)</f>
        <v>联系实际收货人（陶杰13980247952）五冶建设送货单,6份材质书,锈货不收，装货前联系收货人核实到场规格,没提前告知进场规格现场不给予接收</v>
      </c>
      <c r="O2775" s="55" t="str">
        <f ca="1" t="shared" si="165"/>
        <v/>
      </c>
      <c r="P2775" s="55" t="str">
        <f ca="1" t="shared" si="166"/>
        <v/>
      </c>
      <c r="Q2775" s="22" t="str">
        <f>VLOOKUP(B2775,辅助信息!E:M,9,FALSE)</f>
        <v>ZTWM-CDGS-XS-2025-0073-五冶天府-成都怡心湖片区及龙泉驿医院等项目</v>
      </c>
      <c r="R2775" s="22" t="str">
        <f>_xlfn._xlws.FILTER(辅助信息!D:D,辅助信息!E:E=B2775)</f>
        <v>五冶建设锦江区林家坝片区20号地块商业项目</v>
      </c>
    </row>
    <row r="2776" hidden="1" spans="2:18">
      <c r="B2776" s="33" t="s">
        <v>208</v>
      </c>
      <c r="C2776" s="63">
        <v>45885</v>
      </c>
      <c r="D2776" s="33" t="str">
        <f>VLOOKUP(B2776,辅助信息!E:K,7,FALSE)</f>
        <v>JWDDCD2025102100480</v>
      </c>
      <c r="E2776" s="33" t="str">
        <f>VLOOKUP(F2776,辅助信息!A:B,2,FALSE)</f>
        <v>螺纹钢</v>
      </c>
      <c r="F2776" s="33" t="s">
        <v>28</v>
      </c>
      <c r="G2776" s="133">
        <v>27.8</v>
      </c>
      <c r="H2776" s="127">
        <v>27.8</v>
      </c>
      <c r="I2776" s="33" t="str">
        <f>VLOOKUP(B2776,辅助信息!E:I,3,FALSE)</f>
        <v>(五冶建设锦江区林家坝片区20号地块商业项目)锦江区泰昌路锦江28亩项目部</v>
      </c>
      <c r="J2776" s="33" t="str">
        <f>VLOOKUP(B2776,辅助信息!E:I,4,FALSE)</f>
        <v>陶杰</v>
      </c>
      <c r="K2776" s="33">
        <f>VLOOKUP(J2776,辅助信息!H:I,2,FALSE)</f>
        <v>13980247952</v>
      </c>
      <c r="L2776" s="102" t="str">
        <f>VLOOKUP(B2776,辅助信息!E:J,6,FALSE)</f>
        <v>联系实际收货人（陶杰13980247952）五冶建设送货单,6份材质书,锈货不收，装货前联系收货人核实到场规格,没提前告知进场规格现场不给予接收</v>
      </c>
      <c r="O2776" s="55" t="str">
        <f ca="1" t="shared" si="165"/>
        <v/>
      </c>
      <c r="P2776" s="55" t="str">
        <f ca="1" t="shared" si="166"/>
        <v/>
      </c>
      <c r="Q2776" s="22" t="str">
        <f>VLOOKUP(B2776,辅助信息!E:M,9,FALSE)</f>
        <v>ZTWM-CDGS-XS-2025-0073-五冶天府-成都怡心湖片区及龙泉驿医院等项目</v>
      </c>
      <c r="R2776" s="22" t="str">
        <f>_xlfn._xlws.FILTER(辅助信息!D:D,辅助信息!E:E=B2776)</f>
        <v>五冶建设锦江区林家坝片区20号地块商业项目</v>
      </c>
    </row>
    <row r="2777" hidden="1" spans="2:18">
      <c r="B2777" s="33" t="s">
        <v>208</v>
      </c>
      <c r="C2777" s="63">
        <v>45885</v>
      </c>
      <c r="D2777" s="33" t="str">
        <f>VLOOKUP(B2777,辅助信息!E:K,7,FALSE)</f>
        <v>JWDDCD2025102100480</v>
      </c>
      <c r="E2777" s="33" t="str">
        <f>VLOOKUP(F2777,辅助信息!A:B,2,FALSE)</f>
        <v>螺纹钢</v>
      </c>
      <c r="F2777" s="33" t="s">
        <v>18</v>
      </c>
      <c r="G2777" s="133">
        <v>46.5</v>
      </c>
      <c r="H2777" s="127">
        <v>46.5</v>
      </c>
      <c r="I2777" s="33" t="str">
        <f>VLOOKUP(B2777,辅助信息!E:I,3,FALSE)</f>
        <v>(五冶建设锦江区林家坝片区20号地块商业项目)锦江区泰昌路锦江28亩项目部</v>
      </c>
      <c r="J2777" s="33" t="str">
        <f>VLOOKUP(B2777,辅助信息!E:I,4,FALSE)</f>
        <v>陶杰</v>
      </c>
      <c r="K2777" s="33">
        <f>VLOOKUP(J2777,辅助信息!H:I,2,FALSE)</f>
        <v>13980247952</v>
      </c>
      <c r="L2777" s="102" t="str">
        <f>VLOOKUP(B2777,辅助信息!E:J,6,FALSE)</f>
        <v>联系实际收货人（陶杰13980247952）五冶建设送货单,6份材质书,锈货不收，装货前联系收货人核实到场规格,没提前告知进场规格现场不给予接收</v>
      </c>
      <c r="O2777" s="55" t="str">
        <f ca="1" t="shared" si="165"/>
        <v/>
      </c>
      <c r="P2777" s="55" t="str">
        <f ca="1" t="shared" si="166"/>
        <v/>
      </c>
      <c r="Q2777" s="22" t="str">
        <f>VLOOKUP(B2777,辅助信息!E:M,9,FALSE)</f>
        <v>ZTWM-CDGS-XS-2025-0073-五冶天府-成都怡心湖片区及龙泉驿医院等项目</v>
      </c>
      <c r="R2777" s="22" t="str">
        <f>_xlfn._xlws.FILTER(辅助信息!D:D,辅助信息!E:E=B2777)</f>
        <v>五冶建设锦江区林家坝片区20号地块商业项目</v>
      </c>
    </row>
    <row r="2778" hidden="1" spans="2:18">
      <c r="B2778" s="33" t="s">
        <v>194</v>
      </c>
      <c r="C2778" s="63">
        <v>45885</v>
      </c>
      <c r="D2778" s="33" t="str">
        <f>VLOOKUP(B2778,辅助信息!E:K,7,FALSE)</f>
        <v>JWDD2025071500089</v>
      </c>
      <c r="E2778" s="33" t="str">
        <f>VLOOKUP(F2778,辅助信息!A:B,2,FALSE)</f>
        <v>盘螺</v>
      </c>
      <c r="F2778" s="29" t="s">
        <v>26</v>
      </c>
      <c r="G2778" s="29">
        <v>5</v>
      </c>
      <c r="H2778" s="127">
        <f>_xlfn.XLOOKUP(C2778&amp;F2778&amp;I2778&amp;J2778,'[1]2025年已发货'!$F:$F&amp;'[1]2025年已发货'!$C:$C&amp;'[1]2025年已发货'!$G:$G&amp;'[1]2025年已发货'!$H:$H,'[1]2025年已发货'!$E:$E,"未发货")</f>
        <v>5</v>
      </c>
      <c r="I2778" s="33" t="str">
        <f>VLOOKUP(B2778,辅助信息!E:I,3,FALSE)</f>
        <v>(宜宾兴港三江新区长江工业园保障性租赁住房建设项目-土建)四川省宜宾市翠屏区永善路南段宜宾市三江新区长江工业园区</v>
      </c>
      <c r="J2778" s="33" t="str">
        <f>VLOOKUP(B2778,辅助信息!E:I,4,FALSE)</f>
        <v>赵元虎</v>
      </c>
      <c r="K2778" s="33">
        <f>VLOOKUP(J2778,辅助信息!H:I,2,FALSE)</f>
        <v>13684167136</v>
      </c>
      <c r="L2778" s="102" t="str">
        <f>VLOOKUP(B2778,辅助信息!E:J,6,FALSE)</f>
        <v>现场要求调度统一联系指定收货人，不单独发司机位置。锈货不收，装货前联系收货人核实到场规格,没提前告知进场规格现场不给予接收</v>
      </c>
      <c r="O2778" s="55" t="str">
        <f ca="1" t="shared" si="165"/>
        <v/>
      </c>
      <c r="P2778" s="55" t="str">
        <f ca="1" t="shared" si="166"/>
        <v/>
      </c>
      <c r="Q2778" s="22" t="str">
        <f>VLOOKUP(B2778,辅助信息!E:M,9,FALSE)</f>
        <v>ZTWM-CDYXGS-XS-2025-0014-宜宾兴港建材-三江新区长江工业园片区保障性租赁住房建设项目</v>
      </c>
      <c r="R2778" s="22" t="str">
        <f>_xlfn._xlws.FILTER(辅助信息!D:D,辅助信息!E:E=B2778)</f>
        <v>宜宾兴港三江新区长江工业园建设项目</v>
      </c>
    </row>
    <row r="2779" hidden="1" spans="2:18">
      <c r="B2779" s="33" t="s">
        <v>194</v>
      </c>
      <c r="C2779" s="63">
        <v>45885</v>
      </c>
      <c r="D2779" s="33" t="str">
        <f>VLOOKUP(B2779,辅助信息!E:K,7,FALSE)</f>
        <v>JWDD2025071500089</v>
      </c>
      <c r="E2779" s="33" t="str">
        <f>VLOOKUP(F2779,辅助信息!A:B,2,FALSE)</f>
        <v>螺纹钢</v>
      </c>
      <c r="F2779" s="29" t="s">
        <v>27</v>
      </c>
      <c r="G2779" s="29">
        <v>10</v>
      </c>
      <c r="H2779" s="127">
        <f>_xlfn.XLOOKUP(C2779&amp;F2779&amp;I2779&amp;J2779,'[1]2025年已发货'!$F:$F&amp;'[1]2025年已发货'!$C:$C&amp;'[1]2025年已发货'!$G:$G&amp;'[1]2025年已发货'!$H:$H,'[1]2025年已发货'!$E:$E,"未发货")</f>
        <v>10</v>
      </c>
      <c r="I2779" s="33" t="str">
        <f>VLOOKUP(B2779,辅助信息!E:I,3,FALSE)</f>
        <v>(宜宾兴港三江新区长江工业园保障性租赁住房建设项目-土建)四川省宜宾市翠屏区永善路南段宜宾市三江新区长江工业园区</v>
      </c>
      <c r="J2779" s="33" t="str">
        <f>VLOOKUP(B2779,辅助信息!E:I,4,FALSE)</f>
        <v>赵元虎</v>
      </c>
      <c r="K2779" s="33">
        <f>VLOOKUP(J2779,辅助信息!H:I,2,FALSE)</f>
        <v>13684167136</v>
      </c>
      <c r="L2779" s="102" t="str">
        <f>VLOOKUP(B2779,辅助信息!E:J,6,FALSE)</f>
        <v>现场要求调度统一联系指定收货人，不单独发司机位置。锈货不收，装货前联系收货人核实到场规格,没提前告知进场规格现场不给予接收</v>
      </c>
      <c r="O2779" s="55" t="str">
        <f ca="1" t="shared" si="165"/>
        <v/>
      </c>
      <c r="P2779" s="55" t="str">
        <f ca="1" t="shared" si="166"/>
        <v/>
      </c>
      <c r="Q2779" s="22" t="str">
        <f>VLOOKUP(B2779,辅助信息!E:M,9,FALSE)</f>
        <v>ZTWM-CDYXGS-XS-2025-0014-宜宾兴港建材-三江新区长江工业园片区保障性租赁住房建设项目</v>
      </c>
      <c r="R2779" s="22" t="str">
        <f>_xlfn._xlws.FILTER(辅助信息!D:D,辅助信息!E:E=B2779)</f>
        <v>宜宾兴港三江新区长江工业园建设项目</v>
      </c>
    </row>
    <row r="2780" hidden="1" spans="2:18">
      <c r="B2780" s="33" t="s">
        <v>194</v>
      </c>
      <c r="C2780" s="63">
        <v>45885</v>
      </c>
      <c r="D2780" s="33" t="str">
        <f>VLOOKUP(B2780,辅助信息!E:K,7,FALSE)</f>
        <v>JWDD2025071500089</v>
      </c>
      <c r="E2780" s="33" t="str">
        <f>VLOOKUP(F2780,辅助信息!A:B,2,FALSE)</f>
        <v>螺纹钢</v>
      </c>
      <c r="F2780" s="29" t="s">
        <v>19</v>
      </c>
      <c r="G2780" s="29">
        <v>25</v>
      </c>
      <c r="H2780" s="127">
        <f>_xlfn.XLOOKUP(C2780&amp;F2780&amp;I2780&amp;J2780,'[1]2025年已发货'!$F:$F&amp;'[1]2025年已发货'!$C:$C&amp;'[1]2025年已发货'!$G:$G&amp;'[1]2025年已发货'!$H:$H,'[1]2025年已发货'!$E:$E,"未发货")</f>
        <v>25</v>
      </c>
      <c r="I2780" s="33" t="str">
        <f>VLOOKUP(B2780,辅助信息!E:I,3,FALSE)</f>
        <v>(宜宾兴港三江新区长江工业园保障性租赁住房建设项目-土建)四川省宜宾市翠屏区永善路南段宜宾市三江新区长江工业园区</v>
      </c>
      <c r="J2780" s="33" t="str">
        <f>VLOOKUP(B2780,辅助信息!E:I,4,FALSE)</f>
        <v>赵元虎</v>
      </c>
      <c r="K2780" s="33">
        <f>VLOOKUP(J2780,辅助信息!H:I,2,FALSE)</f>
        <v>13684167136</v>
      </c>
      <c r="L2780" s="102" t="str">
        <f>VLOOKUP(B2780,辅助信息!E:J,6,FALSE)</f>
        <v>现场要求调度统一联系指定收货人，不单独发司机位置。锈货不收，装货前联系收货人核实到场规格,没提前告知进场规格现场不给予接收</v>
      </c>
      <c r="O2780" s="55" t="str">
        <f ca="1" t="shared" si="165"/>
        <v/>
      </c>
      <c r="P2780" s="55" t="str">
        <f ca="1" t="shared" si="166"/>
        <v/>
      </c>
      <c r="Q2780" s="22" t="str">
        <f>VLOOKUP(B2780,辅助信息!E:M,9,FALSE)</f>
        <v>ZTWM-CDYXGS-XS-2025-0014-宜宾兴港建材-三江新区长江工业园片区保障性租赁住房建设项目</v>
      </c>
      <c r="R2780" s="22" t="str">
        <f>_xlfn._xlws.FILTER(辅助信息!D:D,辅助信息!E:E=B2780)</f>
        <v>宜宾兴港三江新区长江工业园建设项目</v>
      </c>
    </row>
    <row r="2781" hidden="1" spans="2:18">
      <c r="B2781" s="33" t="s">
        <v>194</v>
      </c>
      <c r="C2781" s="63">
        <v>45885</v>
      </c>
      <c r="D2781" s="33" t="str">
        <f>VLOOKUP(B2781,辅助信息!E:K,7,FALSE)</f>
        <v>JWDD2025071500089</v>
      </c>
      <c r="E2781" s="33" t="str">
        <f>VLOOKUP(F2781,辅助信息!A:B,2,FALSE)</f>
        <v>螺纹钢</v>
      </c>
      <c r="F2781" s="29" t="s">
        <v>30</v>
      </c>
      <c r="G2781" s="29">
        <v>10</v>
      </c>
      <c r="H2781" s="127">
        <f>_xlfn.XLOOKUP(C2781&amp;F2781&amp;I2781&amp;J2781,'[1]2025年已发货'!$F:$F&amp;'[1]2025年已发货'!$C:$C&amp;'[1]2025年已发货'!$G:$G&amp;'[1]2025年已发货'!$H:$H,'[1]2025年已发货'!$E:$E,"未发货")</f>
        <v>10</v>
      </c>
      <c r="I2781" s="33" t="str">
        <f>VLOOKUP(B2781,辅助信息!E:I,3,FALSE)</f>
        <v>(宜宾兴港三江新区长江工业园保障性租赁住房建设项目-土建)四川省宜宾市翠屏区永善路南段宜宾市三江新区长江工业园区</v>
      </c>
      <c r="J2781" s="33" t="str">
        <f>VLOOKUP(B2781,辅助信息!E:I,4,FALSE)</f>
        <v>赵元虎</v>
      </c>
      <c r="K2781" s="33">
        <f>VLOOKUP(J2781,辅助信息!H:I,2,FALSE)</f>
        <v>13684167136</v>
      </c>
      <c r="L2781" s="102" t="str">
        <f>VLOOKUP(B2781,辅助信息!E:J,6,FALSE)</f>
        <v>现场要求调度统一联系指定收货人，不单独发司机位置。锈货不收，装货前联系收货人核实到场规格,没提前告知进场规格现场不给予接收</v>
      </c>
      <c r="O2781" s="55" t="str">
        <f ca="1" t="shared" ref="O2781:O2844" si="167">IF(OR(M2781="",N2781&lt;&gt;""),"",MAX(M2781-TODAY(),0))</f>
        <v/>
      </c>
      <c r="P2781" s="55" t="str">
        <f ca="1" t="shared" ref="P2781:P2844" si="168">IF(M2781="","",IF(N2781&lt;&gt;"",MAX(N2781-M2781,0),IF(TODAY()&gt;M2781,TODAY()-M2781,0)))</f>
        <v/>
      </c>
      <c r="Q2781" s="22" t="str">
        <f>VLOOKUP(B2781,辅助信息!E:M,9,FALSE)</f>
        <v>ZTWM-CDYXGS-XS-2025-0014-宜宾兴港建材-三江新区长江工业园片区保障性租赁住房建设项目</v>
      </c>
      <c r="R2781" s="22" t="str">
        <f>_xlfn._xlws.FILTER(辅助信息!D:D,辅助信息!E:E=B2781)</f>
        <v>宜宾兴港三江新区长江工业园建设项目</v>
      </c>
    </row>
    <row r="2782" hidden="1" spans="2:18">
      <c r="B2782" s="33" t="s">
        <v>194</v>
      </c>
      <c r="C2782" s="63">
        <v>45885</v>
      </c>
      <c r="D2782" s="33" t="str">
        <f>VLOOKUP(B2782,辅助信息!E:K,7,FALSE)</f>
        <v>JWDD2025071500089</v>
      </c>
      <c r="E2782" s="33" t="str">
        <f>VLOOKUP(F2782,辅助信息!A:B,2,FALSE)</f>
        <v>螺纹钢</v>
      </c>
      <c r="F2782" s="29" t="s">
        <v>33</v>
      </c>
      <c r="G2782" s="29">
        <v>10</v>
      </c>
      <c r="H2782" s="127">
        <f>_xlfn.XLOOKUP(C2782&amp;F2782&amp;I2782&amp;J2782,'[1]2025年已发货'!$F:$F&amp;'[1]2025年已发货'!$C:$C&amp;'[1]2025年已发货'!$G:$G&amp;'[1]2025年已发货'!$H:$H,'[1]2025年已发货'!$E:$E,"未发货")</f>
        <v>10</v>
      </c>
      <c r="I2782" s="33" t="str">
        <f>VLOOKUP(B2782,辅助信息!E:I,3,FALSE)</f>
        <v>(宜宾兴港三江新区长江工业园保障性租赁住房建设项目-土建)四川省宜宾市翠屏区永善路南段宜宾市三江新区长江工业园区</v>
      </c>
      <c r="J2782" s="33" t="str">
        <f>VLOOKUP(B2782,辅助信息!E:I,4,FALSE)</f>
        <v>赵元虎</v>
      </c>
      <c r="K2782" s="33">
        <f>VLOOKUP(J2782,辅助信息!H:I,2,FALSE)</f>
        <v>13684167136</v>
      </c>
      <c r="L2782" s="102" t="str">
        <f>VLOOKUP(B2782,辅助信息!E:J,6,FALSE)</f>
        <v>现场要求调度统一联系指定收货人，不单独发司机位置。锈货不收，装货前联系收货人核实到场规格,没提前告知进场规格现场不给予接收</v>
      </c>
      <c r="O2782" s="55" t="str">
        <f ca="1" t="shared" si="167"/>
        <v/>
      </c>
      <c r="P2782" s="55" t="str">
        <f ca="1" t="shared" si="168"/>
        <v/>
      </c>
      <c r="Q2782" s="22" t="str">
        <f>VLOOKUP(B2782,辅助信息!E:M,9,FALSE)</f>
        <v>ZTWM-CDYXGS-XS-2025-0014-宜宾兴港建材-三江新区长江工业园片区保障性租赁住房建设项目</v>
      </c>
      <c r="R2782" s="22" t="str">
        <f>_xlfn._xlws.FILTER(辅助信息!D:D,辅助信息!E:E=B2782)</f>
        <v>宜宾兴港三江新区长江工业园建设项目</v>
      </c>
    </row>
    <row r="2783" hidden="1" spans="2:18">
      <c r="B2783" s="33" t="s">
        <v>194</v>
      </c>
      <c r="C2783" s="63">
        <v>45885</v>
      </c>
      <c r="D2783" s="33" t="str">
        <f>VLOOKUP(B2783,辅助信息!E:K,7,FALSE)</f>
        <v>JWDD2025071500089</v>
      </c>
      <c r="E2783" s="33" t="str">
        <f>VLOOKUP(F2783,辅助信息!A:B,2,FALSE)</f>
        <v>螺纹钢</v>
      </c>
      <c r="F2783" s="29" t="s">
        <v>28</v>
      </c>
      <c r="G2783" s="29">
        <v>10</v>
      </c>
      <c r="H2783" s="127">
        <f>_xlfn.XLOOKUP(C2783&amp;F2783&amp;I2783&amp;J2783,'[1]2025年已发货'!$F:$F&amp;'[1]2025年已发货'!$C:$C&amp;'[1]2025年已发货'!$G:$G&amp;'[1]2025年已发货'!$H:$H,'[1]2025年已发货'!$E:$E,"未发货")</f>
        <v>10</v>
      </c>
      <c r="I2783" s="33" t="str">
        <f>VLOOKUP(B2783,辅助信息!E:I,3,FALSE)</f>
        <v>(宜宾兴港三江新区长江工业园保障性租赁住房建设项目-土建)四川省宜宾市翠屏区永善路南段宜宾市三江新区长江工业园区</v>
      </c>
      <c r="J2783" s="33" t="str">
        <f>VLOOKUP(B2783,辅助信息!E:I,4,FALSE)</f>
        <v>赵元虎</v>
      </c>
      <c r="K2783" s="33">
        <f>VLOOKUP(J2783,辅助信息!H:I,2,FALSE)</f>
        <v>13684167136</v>
      </c>
      <c r="L2783" s="102" t="str">
        <f>VLOOKUP(B2783,辅助信息!E:J,6,FALSE)</f>
        <v>现场要求调度统一联系指定收货人，不单独发司机位置。锈货不收，装货前联系收货人核实到场规格,没提前告知进场规格现场不给予接收</v>
      </c>
      <c r="O2783" s="55" t="str">
        <f ca="1" t="shared" si="167"/>
        <v/>
      </c>
      <c r="P2783" s="55" t="str">
        <f ca="1" t="shared" si="168"/>
        <v/>
      </c>
      <c r="Q2783" s="22" t="str">
        <f>VLOOKUP(B2783,辅助信息!E:M,9,FALSE)</f>
        <v>ZTWM-CDYXGS-XS-2025-0014-宜宾兴港建材-三江新区长江工业园片区保障性租赁住房建设项目</v>
      </c>
      <c r="R2783" s="22" t="str">
        <f>_xlfn._xlws.FILTER(辅助信息!D:D,辅助信息!E:E=B2783)</f>
        <v>宜宾兴港三江新区长江工业园建设项目</v>
      </c>
    </row>
    <row r="2784" hidden="1" spans="2:18">
      <c r="B2784" s="33" t="s">
        <v>194</v>
      </c>
      <c r="C2784" s="63">
        <v>45885</v>
      </c>
      <c r="D2784" s="33" t="str">
        <f>VLOOKUP(B2784,辅助信息!E:K,7,FALSE)</f>
        <v>JWDD2025071500089</v>
      </c>
      <c r="E2784" s="33" t="str">
        <f>VLOOKUP(F2784,辅助信息!A:B,2,FALSE)</f>
        <v>螺纹钢</v>
      </c>
      <c r="F2784" s="29" t="s">
        <v>18</v>
      </c>
      <c r="G2784" s="29">
        <v>35</v>
      </c>
      <c r="H2784" s="127">
        <f>_xlfn.XLOOKUP(C2784&amp;F2784&amp;I2784&amp;J2784,'[1]2025年已发货'!$F:$F&amp;'[1]2025年已发货'!$C:$C&amp;'[1]2025年已发货'!$G:$G&amp;'[1]2025年已发货'!$H:$H,'[1]2025年已发货'!$E:$E,"未发货")</f>
        <v>35</v>
      </c>
      <c r="I2784" s="33" t="str">
        <f>VLOOKUP(B2784,辅助信息!E:I,3,FALSE)</f>
        <v>(宜宾兴港三江新区长江工业园保障性租赁住房建设项目-土建)四川省宜宾市翠屏区永善路南段宜宾市三江新区长江工业园区</v>
      </c>
      <c r="J2784" s="33" t="str">
        <f>VLOOKUP(B2784,辅助信息!E:I,4,FALSE)</f>
        <v>赵元虎</v>
      </c>
      <c r="K2784" s="33">
        <f>VLOOKUP(J2784,辅助信息!H:I,2,FALSE)</f>
        <v>13684167136</v>
      </c>
      <c r="L2784" s="102" t="str">
        <f>VLOOKUP(B2784,辅助信息!E:J,6,FALSE)</f>
        <v>现场要求调度统一联系指定收货人，不单独发司机位置。锈货不收，装货前联系收货人核实到场规格,没提前告知进场规格现场不给予接收</v>
      </c>
      <c r="O2784" s="55" t="str">
        <f ca="1" t="shared" si="167"/>
        <v/>
      </c>
      <c r="P2784" s="55" t="str">
        <f ca="1" t="shared" si="168"/>
        <v/>
      </c>
      <c r="Q2784" s="22" t="str">
        <f>VLOOKUP(B2784,辅助信息!E:M,9,FALSE)</f>
        <v>ZTWM-CDYXGS-XS-2025-0014-宜宾兴港建材-三江新区长江工业园片区保障性租赁住房建设项目</v>
      </c>
      <c r="R2784" s="22" t="str">
        <f>_xlfn._xlws.FILTER(辅助信息!D:D,辅助信息!E:E=B2784)</f>
        <v>宜宾兴港三江新区长江工业园建设项目</v>
      </c>
    </row>
    <row r="2785" hidden="1" spans="2:18">
      <c r="B2785" s="33" t="s">
        <v>187</v>
      </c>
      <c r="C2785" s="63">
        <v>45885</v>
      </c>
      <c r="D2785" s="33" t="str">
        <f>VLOOKUP(B2785,辅助信息!E:K,7,FALSE)</f>
        <v>JWDDCD2025072900121</v>
      </c>
      <c r="E2785" s="33" t="str">
        <f>VLOOKUP(F2785,辅助信息!A:B,2,FALSE)</f>
        <v>盘螺</v>
      </c>
      <c r="F2785" s="33" t="s">
        <v>49</v>
      </c>
      <c r="G2785" s="29">
        <v>2</v>
      </c>
      <c r="H2785" s="127">
        <f>_xlfn.XLOOKUP(C2785&amp;F2785&amp;I2785&amp;J2785,'[1]2025年已发货'!$F:$F&amp;'[1]2025年已发货'!$C:$C&amp;'[1]2025年已发货'!$G:$G&amp;'[1]2025年已发货'!$H:$H,'[1]2025年已发货'!$E:$E,"未发货")</f>
        <v>2</v>
      </c>
      <c r="I2785" s="33" t="str">
        <f>VLOOKUP(B2785,辅助信息!E:I,3,FALSE)</f>
        <v>(乐山市校地共建产教融合基地建设项目一标段)四川省乐山市市中区苏稽镇周山嘴</v>
      </c>
      <c r="J2785" s="33" t="str">
        <f>VLOOKUP(B2785,辅助信息!E:I,4,FALSE)</f>
        <v>范增云</v>
      </c>
      <c r="K2785" s="33">
        <f>VLOOKUP(J2785,辅助信息!H:I,2,FALSE)</f>
        <v>13668153241</v>
      </c>
      <c r="L2785" s="102" t="str">
        <f>VLOOKUP(B2785,辅助信息!E:J,6,FALSE)</f>
        <v>联系实际收货人（范增云13668153241）现场要求炉批号控制2个以下，超2个不给予签收。提前联系到场规格及数量</v>
      </c>
      <c r="O2785" s="55" t="str">
        <f ca="1" t="shared" si="167"/>
        <v/>
      </c>
      <c r="P2785" s="55" t="str">
        <f ca="1" t="shared" si="168"/>
        <v/>
      </c>
      <c r="Q2785" s="22" t="str">
        <f>VLOOKUP(B2785,辅助信息!E:M,9,FALSE)</f>
        <v>ZTWM-CDGS-XS-2025-0125-四川机司-乐山市校地共建产教融合基地配套设施项目施工一标段钢筋采购合同</v>
      </c>
      <c r="R2785" s="22" t="str">
        <f>_xlfn._xlws.FILTER(辅助信息!D:D,辅助信息!E:E=B2785)</f>
        <v>乐山市校地共建产教融合基地建设项目一标段</v>
      </c>
    </row>
    <row r="2786" hidden="1" spans="2:18">
      <c r="B2786" s="33" t="s">
        <v>187</v>
      </c>
      <c r="C2786" s="63">
        <v>45885</v>
      </c>
      <c r="D2786" s="33" t="str">
        <f>VLOOKUP(B2786,辅助信息!E:K,7,FALSE)</f>
        <v>JWDDCD2025072900121</v>
      </c>
      <c r="E2786" s="33" t="str">
        <f>VLOOKUP(F2786,辅助信息!A:B,2,FALSE)</f>
        <v>盘螺</v>
      </c>
      <c r="F2786" s="33" t="s">
        <v>41</v>
      </c>
      <c r="G2786" s="29">
        <v>15</v>
      </c>
      <c r="H2786" s="127">
        <f>_xlfn.XLOOKUP(C2786&amp;F2786&amp;I2786&amp;J2786,'[1]2025年已发货'!$F:$F&amp;'[1]2025年已发货'!$C:$C&amp;'[1]2025年已发货'!$G:$G&amp;'[1]2025年已发货'!$H:$H,'[1]2025年已发货'!$E:$E,"未发货")</f>
        <v>15</v>
      </c>
      <c r="I2786" s="33" t="str">
        <f>VLOOKUP(B2786,辅助信息!E:I,3,FALSE)</f>
        <v>(乐山市校地共建产教融合基地建设项目一标段)四川省乐山市市中区苏稽镇周山嘴</v>
      </c>
      <c r="J2786" s="33" t="str">
        <f>VLOOKUP(B2786,辅助信息!E:I,4,FALSE)</f>
        <v>范增云</v>
      </c>
      <c r="K2786" s="33">
        <f>VLOOKUP(J2786,辅助信息!H:I,2,FALSE)</f>
        <v>13668153241</v>
      </c>
      <c r="L2786" s="102" t="str">
        <f>VLOOKUP(B2786,辅助信息!E:J,6,FALSE)</f>
        <v>联系实际收货人（范增云13668153241）现场要求炉批号控制2个以下，超2个不给予签收。提前联系到场规格及数量</v>
      </c>
      <c r="O2786" s="55" t="str">
        <f ca="1" t="shared" si="167"/>
        <v/>
      </c>
      <c r="P2786" s="55" t="str">
        <f ca="1" t="shared" si="168"/>
        <v/>
      </c>
      <c r="Q2786" s="22" t="str">
        <f>VLOOKUP(B2786,辅助信息!E:M,9,FALSE)</f>
        <v>ZTWM-CDGS-XS-2025-0125-四川机司-乐山市校地共建产教融合基地配套设施项目施工一标段钢筋采购合同</v>
      </c>
      <c r="R2786" s="22" t="str">
        <f>_xlfn._xlws.FILTER(辅助信息!D:D,辅助信息!E:E=B2786)</f>
        <v>乐山市校地共建产教融合基地建设项目一标段</v>
      </c>
    </row>
    <row r="2787" hidden="1" spans="2:18">
      <c r="B2787" s="33" t="s">
        <v>187</v>
      </c>
      <c r="C2787" s="63">
        <v>45885</v>
      </c>
      <c r="D2787" s="33" t="str">
        <f>VLOOKUP(B2787,辅助信息!E:K,7,FALSE)</f>
        <v>JWDDCD2025072900121</v>
      </c>
      <c r="E2787" s="33" t="str">
        <f>VLOOKUP(F2787,辅助信息!A:B,2,FALSE)</f>
        <v>螺纹钢</v>
      </c>
      <c r="F2787" s="33" t="s">
        <v>27</v>
      </c>
      <c r="G2787" s="29">
        <v>6</v>
      </c>
      <c r="H2787" s="127">
        <f>_xlfn.XLOOKUP(C2787&amp;F2787&amp;I2787&amp;J2787,'[1]2025年已发货'!$F:$F&amp;'[1]2025年已发货'!$C:$C&amp;'[1]2025年已发货'!$G:$G&amp;'[1]2025年已发货'!$H:$H,'[1]2025年已发货'!$E:$E,"未发货")</f>
        <v>6</v>
      </c>
      <c r="I2787" s="33" t="str">
        <f>VLOOKUP(B2787,辅助信息!E:I,3,FALSE)</f>
        <v>(乐山市校地共建产教融合基地建设项目一标段)四川省乐山市市中区苏稽镇周山嘴</v>
      </c>
      <c r="J2787" s="33" t="str">
        <f>VLOOKUP(B2787,辅助信息!E:I,4,FALSE)</f>
        <v>范增云</v>
      </c>
      <c r="K2787" s="33">
        <f>VLOOKUP(J2787,辅助信息!H:I,2,FALSE)</f>
        <v>13668153241</v>
      </c>
      <c r="L2787" s="102" t="str">
        <f>VLOOKUP(B2787,辅助信息!E:J,6,FALSE)</f>
        <v>联系实际收货人（范增云13668153241）现场要求炉批号控制2个以下，超2个不给予签收。提前联系到场规格及数量</v>
      </c>
      <c r="O2787" s="55" t="str">
        <f ca="1" t="shared" si="167"/>
        <v/>
      </c>
      <c r="P2787" s="55" t="str">
        <f ca="1" t="shared" si="168"/>
        <v/>
      </c>
      <c r="Q2787" s="22" t="str">
        <f>VLOOKUP(B2787,辅助信息!E:M,9,FALSE)</f>
        <v>ZTWM-CDGS-XS-2025-0125-四川机司-乐山市校地共建产教融合基地配套设施项目施工一标段钢筋采购合同</v>
      </c>
      <c r="R2787" s="22" t="str">
        <f>_xlfn._xlws.FILTER(辅助信息!D:D,辅助信息!E:E=B2787)</f>
        <v>乐山市校地共建产教融合基地建设项目一标段</v>
      </c>
    </row>
    <row r="2788" hidden="1" spans="2:18">
      <c r="B2788" s="33" t="s">
        <v>187</v>
      </c>
      <c r="C2788" s="63">
        <v>45885</v>
      </c>
      <c r="D2788" s="33" t="str">
        <f>VLOOKUP(B2788,辅助信息!E:K,7,FALSE)</f>
        <v>JWDDCD2025072900121</v>
      </c>
      <c r="E2788" s="33" t="str">
        <f>VLOOKUP(F2788,辅助信息!A:B,2,FALSE)</f>
        <v>螺纹钢</v>
      </c>
      <c r="F2788" s="33" t="s">
        <v>19</v>
      </c>
      <c r="G2788" s="29">
        <v>5</v>
      </c>
      <c r="H2788" s="127">
        <f>_xlfn.XLOOKUP(C2788&amp;F2788&amp;I2788&amp;J2788,'[1]2025年已发货'!$F:$F&amp;'[1]2025年已发货'!$C:$C&amp;'[1]2025年已发货'!$G:$G&amp;'[1]2025年已发货'!$H:$H,'[1]2025年已发货'!$E:$E,"未发货")</f>
        <v>5</v>
      </c>
      <c r="I2788" s="33" t="str">
        <f>VLOOKUP(B2788,辅助信息!E:I,3,FALSE)</f>
        <v>(乐山市校地共建产教融合基地建设项目一标段)四川省乐山市市中区苏稽镇周山嘴</v>
      </c>
      <c r="J2788" s="33" t="str">
        <f>VLOOKUP(B2788,辅助信息!E:I,4,FALSE)</f>
        <v>范增云</v>
      </c>
      <c r="K2788" s="33">
        <f>VLOOKUP(J2788,辅助信息!H:I,2,FALSE)</f>
        <v>13668153241</v>
      </c>
      <c r="L2788" s="102" t="str">
        <f>VLOOKUP(B2788,辅助信息!E:J,6,FALSE)</f>
        <v>联系实际收货人（范增云13668153241）现场要求炉批号控制2个以下，超2个不给予签收。提前联系到场规格及数量</v>
      </c>
      <c r="O2788" s="55" t="str">
        <f ca="1" t="shared" si="167"/>
        <v/>
      </c>
      <c r="P2788" s="55" t="str">
        <f ca="1" t="shared" si="168"/>
        <v/>
      </c>
      <c r="Q2788" s="22" t="str">
        <f>VLOOKUP(B2788,辅助信息!E:M,9,FALSE)</f>
        <v>ZTWM-CDGS-XS-2025-0125-四川机司-乐山市校地共建产教融合基地配套设施项目施工一标段钢筋采购合同</v>
      </c>
      <c r="R2788" s="22" t="str">
        <f>_xlfn._xlws.FILTER(辅助信息!D:D,辅助信息!E:E=B2788)</f>
        <v>乐山市校地共建产教融合基地建设项目一标段</v>
      </c>
    </row>
    <row r="2789" hidden="1" spans="2:18">
      <c r="B2789" s="33" t="s">
        <v>187</v>
      </c>
      <c r="C2789" s="63">
        <v>45885</v>
      </c>
      <c r="D2789" s="33" t="str">
        <f>VLOOKUP(B2789,辅助信息!E:K,7,FALSE)</f>
        <v>JWDDCD2025072900121</v>
      </c>
      <c r="E2789" s="33" t="str">
        <f>VLOOKUP(F2789,辅助信息!A:B,2,FALSE)</f>
        <v>螺纹钢</v>
      </c>
      <c r="F2789" s="33" t="s">
        <v>66</v>
      </c>
      <c r="G2789" s="29">
        <v>6</v>
      </c>
      <c r="H2789" s="127">
        <f>_xlfn.XLOOKUP(C2789&amp;F2789&amp;I2789&amp;J2789,'[1]2025年已发货'!$F:$F&amp;'[1]2025年已发货'!$C:$C&amp;'[1]2025年已发货'!$G:$G&amp;'[1]2025年已发货'!$H:$H,'[1]2025年已发货'!$E:$E,"未发货")</f>
        <v>6</v>
      </c>
      <c r="I2789" s="33" t="str">
        <f>VLOOKUP(B2789,辅助信息!E:I,3,FALSE)</f>
        <v>(乐山市校地共建产教融合基地建设项目一标段)四川省乐山市市中区苏稽镇周山嘴</v>
      </c>
      <c r="J2789" s="33" t="str">
        <f>VLOOKUP(B2789,辅助信息!E:I,4,FALSE)</f>
        <v>范增云</v>
      </c>
      <c r="K2789" s="33">
        <f>VLOOKUP(J2789,辅助信息!H:I,2,FALSE)</f>
        <v>13668153241</v>
      </c>
      <c r="L2789" s="102" t="str">
        <f>VLOOKUP(B2789,辅助信息!E:J,6,FALSE)</f>
        <v>联系实际收货人（范增云13668153241）现场要求炉批号控制2个以下，超2个不给予签收。提前联系到场规格及数量</v>
      </c>
      <c r="O2789" s="55" t="str">
        <f ca="1" t="shared" si="167"/>
        <v/>
      </c>
      <c r="P2789" s="55" t="str">
        <f ca="1" t="shared" si="168"/>
        <v/>
      </c>
      <c r="Q2789" s="22" t="str">
        <f>VLOOKUP(B2789,辅助信息!E:M,9,FALSE)</f>
        <v>ZTWM-CDGS-XS-2025-0125-四川机司-乐山市校地共建产教融合基地配套设施项目施工一标段钢筋采购合同</v>
      </c>
      <c r="R2789" s="22" t="str">
        <f>_xlfn._xlws.FILTER(辅助信息!D:D,辅助信息!E:E=B2789)</f>
        <v>乐山市校地共建产教融合基地建设项目一标段</v>
      </c>
    </row>
    <row r="2790" hidden="1" spans="2:18">
      <c r="B2790" s="33" t="s">
        <v>187</v>
      </c>
      <c r="C2790" s="63">
        <v>45885</v>
      </c>
      <c r="D2790" s="33" t="str">
        <f>VLOOKUP(B2790,辅助信息!E:K,7,FALSE)</f>
        <v>JWDDCD2025072900121</v>
      </c>
      <c r="E2790" s="33" t="str">
        <f>VLOOKUP(F2790,辅助信息!A:B,2,FALSE)</f>
        <v>螺纹钢</v>
      </c>
      <c r="F2790" s="33" t="s">
        <v>82</v>
      </c>
      <c r="G2790" s="29">
        <v>2.5</v>
      </c>
      <c r="H2790" s="127">
        <f>_xlfn.XLOOKUP(C2790&amp;F2790&amp;I2790&amp;J2790,'[1]2025年已发货'!$F:$F&amp;'[1]2025年已发货'!$C:$C&amp;'[1]2025年已发货'!$G:$G&amp;'[1]2025年已发货'!$H:$H,'[1]2025年已发货'!$E:$E,"未发货")</f>
        <v>2.5</v>
      </c>
      <c r="I2790" s="33" t="str">
        <f>VLOOKUP(B2790,辅助信息!E:I,3,FALSE)</f>
        <v>(乐山市校地共建产教融合基地建设项目一标段)四川省乐山市市中区苏稽镇周山嘴</v>
      </c>
      <c r="J2790" s="33" t="str">
        <f>VLOOKUP(B2790,辅助信息!E:I,4,FALSE)</f>
        <v>范增云</v>
      </c>
      <c r="K2790" s="33">
        <f>VLOOKUP(J2790,辅助信息!H:I,2,FALSE)</f>
        <v>13668153241</v>
      </c>
      <c r="L2790" s="102" t="str">
        <f>VLOOKUP(B2790,辅助信息!E:J,6,FALSE)</f>
        <v>联系实际收货人（范增云13668153241）现场要求炉批号控制2个以下，超2个不给予签收。提前联系到场规格及数量</v>
      </c>
      <c r="O2790" s="55" t="str">
        <f ca="1" t="shared" si="167"/>
        <v/>
      </c>
      <c r="P2790" s="55" t="str">
        <f ca="1" t="shared" si="168"/>
        <v/>
      </c>
      <c r="Q2790" s="22" t="str">
        <f>VLOOKUP(B2790,辅助信息!E:M,9,FALSE)</f>
        <v>ZTWM-CDGS-XS-2025-0125-四川机司-乐山市校地共建产教融合基地配套设施项目施工一标段钢筋采购合同</v>
      </c>
      <c r="R2790" s="22" t="str">
        <f>_xlfn._xlws.FILTER(辅助信息!D:D,辅助信息!E:E=B2790)</f>
        <v>乐山市校地共建产教融合基地建设项目一标段</v>
      </c>
    </row>
    <row r="2791" hidden="1" spans="2:18">
      <c r="B2791" s="33" t="s">
        <v>187</v>
      </c>
      <c r="C2791" s="63">
        <v>45885</v>
      </c>
      <c r="D2791" s="33" t="str">
        <f>VLOOKUP(B2791,辅助信息!E:K,7,FALSE)</f>
        <v>JWDDCD2025072900121</v>
      </c>
      <c r="E2791" s="33" t="str">
        <f>VLOOKUP(F2791,辅助信息!A:B,2,FALSE)</f>
        <v>螺纹钢</v>
      </c>
      <c r="F2791" s="33" t="s">
        <v>45</v>
      </c>
      <c r="G2791" s="29">
        <v>2.5</v>
      </c>
      <c r="H2791" s="127">
        <f>_xlfn.XLOOKUP(C2791&amp;F2791&amp;I2791&amp;J2791,'[1]2025年已发货'!$F:$F&amp;'[1]2025年已发货'!$C:$C&amp;'[1]2025年已发货'!$G:$G&amp;'[1]2025年已发货'!$H:$H,'[1]2025年已发货'!$E:$E,"未发货")</f>
        <v>2.5</v>
      </c>
      <c r="I2791" s="33" t="str">
        <f>VLOOKUP(B2791,辅助信息!E:I,3,FALSE)</f>
        <v>(乐山市校地共建产教融合基地建设项目一标段)四川省乐山市市中区苏稽镇周山嘴</v>
      </c>
      <c r="J2791" s="33" t="str">
        <f>VLOOKUP(B2791,辅助信息!E:I,4,FALSE)</f>
        <v>范增云</v>
      </c>
      <c r="K2791" s="33">
        <f>VLOOKUP(J2791,辅助信息!H:I,2,FALSE)</f>
        <v>13668153241</v>
      </c>
      <c r="L2791" s="102" t="str">
        <f>VLOOKUP(B2791,辅助信息!E:J,6,FALSE)</f>
        <v>联系实际收货人（范增云13668153241）现场要求炉批号控制2个以下，超2个不给予签收。提前联系到场规格及数量</v>
      </c>
      <c r="O2791" s="55" t="str">
        <f ca="1" t="shared" si="167"/>
        <v/>
      </c>
      <c r="P2791" s="55" t="str">
        <f ca="1" t="shared" si="168"/>
        <v/>
      </c>
      <c r="Q2791" s="22" t="str">
        <f>VLOOKUP(B2791,辅助信息!E:M,9,FALSE)</f>
        <v>ZTWM-CDGS-XS-2025-0125-四川机司-乐山市校地共建产教融合基地配套设施项目施工一标段钢筋采购合同</v>
      </c>
      <c r="R2791" s="22" t="str">
        <f>_xlfn._xlws.FILTER(辅助信息!D:D,辅助信息!E:E=B2791)</f>
        <v>乐山市校地共建产教融合基地建设项目一标段</v>
      </c>
    </row>
    <row r="2792" hidden="1" spans="2:18">
      <c r="B2792" s="33" t="s">
        <v>187</v>
      </c>
      <c r="C2792" s="63">
        <v>45885</v>
      </c>
      <c r="D2792" s="33" t="str">
        <f>VLOOKUP(B2792,辅助信息!E:K,7,FALSE)</f>
        <v>JWDDCD2025072900121</v>
      </c>
      <c r="E2792" s="33" t="str">
        <f>VLOOKUP(F2792,辅助信息!A:B,2,FALSE)</f>
        <v>螺纹钢</v>
      </c>
      <c r="F2792" s="33" t="s">
        <v>21</v>
      </c>
      <c r="G2792" s="29">
        <v>2.5</v>
      </c>
      <c r="H2792" s="127">
        <f>_xlfn.XLOOKUP(C2792&amp;F2792&amp;I2792&amp;J2792,'[1]2025年已发货'!$F:$F&amp;'[1]2025年已发货'!$C:$C&amp;'[1]2025年已发货'!$G:$G&amp;'[1]2025年已发货'!$H:$H,'[1]2025年已发货'!$E:$E,"未发货")</f>
        <v>2.5</v>
      </c>
      <c r="I2792" s="33" t="str">
        <f>VLOOKUP(B2792,辅助信息!E:I,3,FALSE)</f>
        <v>(乐山市校地共建产教融合基地建设项目一标段)四川省乐山市市中区苏稽镇周山嘴</v>
      </c>
      <c r="J2792" s="33" t="str">
        <f>VLOOKUP(B2792,辅助信息!E:I,4,FALSE)</f>
        <v>范增云</v>
      </c>
      <c r="K2792" s="33">
        <f>VLOOKUP(J2792,辅助信息!H:I,2,FALSE)</f>
        <v>13668153241</v>
      </c>
      <c r="L2792" s="102" t="str">
        <f>VLOOKUP(B2792,辅助信息!E:J,6,FALSE)</f>
        <v>联系实际收货人（范增云13668153241）现场要求炉批号控制2个以下，超2个不给予签收。提前联系到场规格及数量</v>
      </c>
      <c r="O2792" s="55" t="str">
        <f ca="1" t="shared" si="167"/>
        <v/>
      </c>
      <c r="P2792" s="55" t="str">
        <f ca="1" t="shared" si="168"/>
        <v/>
      </c>
      <c r="Q2792" s="22" t="str">
        <f>VLOOKUP(B2792,辅助信息!E:M,9,FALSE)</f>
        <v>ZTWM-CDGS-XS-2025-0125-四川机司-乐山市校地共建产教融合基地配套设施项目施工一标段钢筋采购合同</v>
      </c>
      <c r="R2792" s="22" t="str">
        <f>_xlfn._xlws.FILTER(辅助信息!D:D,辅助信息!E:E=B2792)</f>
        <v>乐山市校地共建产教融合基地建设项目一标段</v>
      </c>
    </row>
    <row r="2793" hidden="1" spans="2:18">
      <c r="B2793" s="33" t="s">
        <v>187</v>
      </c>
      <c r="C2793" s="63">
        <v>45885</v>
      </c>
      <c r="D2793" s="33" t="str">
        <f>VLOOKUP(B2793,辅助信息!E:K,7,FALSE)</f>
        <v>JWDDCD2025072900121</v>
      </c>
      <c r="E2793" s="33" t="str">
        <f>VLOOKUP(F2793,辅助信息!A:B,2,FALSE)</f>
        <v>螺纹钢</v>
      </c>
      <c r="F2793" s="33" t="s">
        <v>58</v>
      </c>
      <c r="G2793" s="29">
        <v>25</v>
      </c>
      <c r="H2793" s="127">
        <f>_xlfn.XLOOKUP(C2793&amp;F2793&amp;I2793&amp;J2793,'[1]2025年已发货'!$F:$F&amp;'[1]2025年已发货'!$C:$C&amp;'[1]2025年已发货'!$G:$G&amp;'[1]2025年已发货'!$H:$H,'[1]2025年已发货'!$E:$E,"未发货")</f>
        <v>25</v>
      </c>
      <c r="I2793" s="33" t="str">
        <f>VLOOKUP(B2793,辅助信息!E:I,3,FALSE)</f>
        <v>(乐山市校地共建产教融合基地建设项目一标段)四川省乐山市市中区苏稽镇周山嘴</v>
      </c>
      <c r="J2793" s="33" t="str">
        <f>VLOOKUP(B2793,辅助信息!E:I,4,FALSE)</f>
        <v>范增云</v>
      </c>
      <c r="K2793" s="33">
        <f>VLOOKUP(J2793,辅助信息!H:I,2,FALSE)</f>
        <v>13668153241</v>
      </c>
      <c r="L2793" s="102" t="str">
        <f>VLOOKUP(B2793,辅助信息!E:J,6,FALSE)</f>
        <v>联系实际收货人（范增云13668153241）现场要求炉批号控制2个以下，超2个不给予签收。提前联系到场规格及数量</v>
      </c>
      <c r="O2793" s="55" t="str">
        <f ca="1" t="shared" si="167"/>
        <v/>
      </c>
      <c r="P2793" s="55" t="str">
        <f ca="1" t="shared" si="168"/>
        <v/>
      </c>
      <c r="Q2793" s="22" t="str">
        <f>VLOOKUP(B2793,辅助信息!E:M,9,FALSE)</f>
        <v>ZTWM-CDGS-XS-2025-0125-四川机司-乐山市校地共建产教融合基地配套设施项目施工一标段钢筋采购合同</v>
      </c>
      <c r="R2793" s="22" t="str">
        <f>_xlfn._xlws.FILTER(辅助信息!D:D,辅助信息!E:E=B2793)</f>
        <v>乐山市校地共建产教融合基地建设项目一标段</v>
      </c>
    </row>
    <row r="2794" hidden="1" spans="2:18">
      <c r="B2794" s="33" t="s">
        <v>187</v>
      </c>
      <c r="C2794" s="63">
        <v>45885</v>
      </c>
      <c r="D2794" s="33" t="str">
        <f>VLOOKUP(B2794,辅助信息!E:K,7,FALSE)</f>
        <v>JWDDCD2025072900121</v>
      </c>
      <c r="E2794" s="33" t="str">
        <f>VLOOKUP(F2794,辅助信息!A:B,2,FALSE)</f>
        <v>螺纹钢</v>
      </c>
      <c r="F2794" s="33" t="s">
        <v>46</v>
      </c>
      <c r="G2794" s="29">
        <v>3</v>
      </c>
      <c r="H2794" s="127">
        <f>_xlfn.XLOOKUP(C2794&amp;F2794&amp;I2794&amp;J2794,'[1]2025年已发货'!$F:$F&amp;'[1]2025年已发货'!$C:$C&amp;'[1]2025年已发货'!$G:$G&amp;'[1]2025年已发货'!$H:$H,'[1]2025年已发货'!$E:$E,"未发货")</f>
        <v>3</v>
      </c>
      <c r="I2794" s="33" t="str">
        <f>VLOOKUP(B2794,辅助信息!E:I,3,FALSE)</f>
        <v>(乐山市校地共建产教融合基地建设项目一标段)四川省乐山市市中区苏稽镇周山嘴</v>
      </c>
      <c r="J2794" s="33" t="str">
        <f>VLOOKUP(B2794,辅助信息!E:I,4,FALSE)</f>
        <v>范增云</v>
      </c>
      <c r="K2794" s="33">
        <f>VLOOKUP(J2794,辅助信息!H:I,2,FALSE)</f>
        <v>13668153241</v>
      </c>
      <c r="L2794" s="102" t="str">
        <f>VLOOKUP(B2794,辅助信息!E:J,6,FALSE)</f>
        <v>联系实际收货人（范增云13668153241）现场要求炉批号控制2个以下，超2个不给予签收。提前联系到场规格及数量</v>
      </c>
      <c r="O2794" s="55" t="str">
        <f ca="1" t="shared" si="167"/>
        <v/>
      </c>
      <c r="P2794" s="55" t="str">
        <f ca="1" t="shared" si="168"/>
        <v/>
      </c>
      <c r="Q2794" s="22" t="str">
        <f>VLOOKUP(B2794,辅助信息!E:M,9,FALSE)</f>
        <v>ZTWM-CDGS-XS-2025-0125-四川机司-乐山市校地共建产教融合基地配套设施项目施工一标段钢筋采购合同</v>
      </c>
      <c r="R2794" s="22" t="str">
        <f>_xlfn._xlws.FILTER(辅助信息!D:D,辅助信息!E:E=B2794)</f>
        <v>乐山市校地共建产教融合基地建设项目一标段</v>
      </c>
    </row>
    <row r="2795" hidden="1" spans="2:18">
      <c r="B2795" s="33" t="s">
        <v>187</v>
      </c>
      <c r="C2795" s="63">
        <v>45885</v>
      </c>
      <c r="D2795" s="33" t="str">
        <f>VLOOKUP(B2795,辅助信息!E:K,7,FALSE)</f>
        <v>JWDDCD2025072900121</v>
      </c>
      <c r="E2795" s="33" t="str">
        <f>VLOOKUP(F2795,辅助信息!A:B,2,FALSE)</f>
        <v>螺纹钢</v>
      </c>
      <c r="F2795" s="33" t="s">
        <v>141</v>
      </c>
      <c r="G2795" s="29">
        <v>3</v>
      </c>
      <c r="H2795" s="127">
        <f>_xlfn.XLOOKUP(C2795&amp;F2795&amp;I2795&amp;J2795,'[1]2025年已发货'!$F:$F&amp;'[1]2025年已发货'!$C:$C&amp;'[1]2025年已发货'!$G:$G&amp;'[1]2025年已发货'!$H:$H,'[1]2025年已发货'!$E:$E,"未发货")</f>
        <v>3</v>
      </c>
      <c r="I2795" s="33" t="str">
        <f>VLOOKUP(B2795,辅助信息!E:I,3,FALSE)</f>
        <v>(乐山市校地共建产教融合基地建设项目一标段)四川省乐山市市中区苏稽镇周山嘴</v>
      </c>
      <c r="J2795" s="33" t="str">
        <f>VLOOKUP(B2795,辅助信息!E:I,4,FALSE)</f>
        <v>范增云</v>
      </c>
      <c r="K2795" s="33">
        <f>VLOOKUP(J2795,辅助信息!H:I,2,FALSE)</f>
        <v>13668153241</v>
      </c>
      <c r="L2795" s="102" t="str">
        <f>VLOOKUP(B2795,辅助信息!E:J,6,FALSE)</f>
        <v>联系实际收货人（范增云13668153241）现场要求炉批号控制2个以下，超2个不给予签收。提前联系到场规格及数量</v>
      </c>
      <c r="O2795" s="55" t="str">
        <f ca="1" t="shared" si="167"/>
        <v/>
      </c>
      <c r="P2795" s="55" t="str">
        <f ca="1" t="shared" si="168"/>
        <v/>
      </c>
      <c r="Q2795" s="22" t="str">
        <f>VLOOKUP(B2795,辅助信息!E:M,9,FALSE)</f>
        <v>ZTWM-CDGS-XS-2025-0125-四川机司-乐山市校地共建产教融合基地配套设施项目施工一标段钢筋采购合同</v>
      </c>
      <c r="R2795" s="22" t="str">
        <f>_xlfn._xlws.FILTER(辅助信息!D:D,辅助信息!E:E=B2795)</f>
        <v>乐山市校地共建产教融合基地建设项目一标段</v>
      </c>
    </row>
    <row r="2796" hidden="1" spans="2:18">
      <c r="B2796" s="33" t="s">
        <v>187</v>
      </c>
      <c r="C2796" s="63">
        <v>45885</v>
      </c>
      <c r="D2796" s="33" t="str">
        <f>VLOOKUP(B2796,辅助信息!E:K,7,FALSE)</f>
        <v>JWDDCD2025072900121</v>
      </c>
      <c r="E2796" s="33" t="str">
        <f>VLOOKUP(F2796,辅助信息!A:B,2,FALSE)</f>
        <v>螺纹钢</v>
      </c>
      <c r="F2796" s="33" t="s">
        <v>22</v>
      </c>
      <c r="G2796" s="29">
        <v>18</v>
      </c>
      <c r="H2796" s="127">
        <f>_xlfn.XLOOKUP(C2796&amp;F2796&amp;I2796&amp;J2796,'[1]2025年已发货'!$F:$F&amp;'[1]2025年已发货'!$C:$C&amp;'[1]2025年已发货'!$G:$G&amp;'[1]2025年已发货'!$H:$H,'[1]2025年已发货'!$E:$E,"未发货")</f>
        <v>18</v>
      </c>
      <c r="I2796" s="33" t="str">
        <f>VLOOKUP(B2796,辅助信息!E:I,3,FALSE)</f>
        <v>(乐山市校地共建产教融合基地建设项目一标段)四川省乐山市市中区苏稽镇周山嘴</v>
      </c>
      <c r="J2796" s="33" t="str">
        <f>VLOOKUP(B2796,辅助信息!E:I,4,FALSE)</f>
        <v>范增云</v>
      </c>
      <c r="K2796" s="33">
        <f>VLOOKUP(J2796,辅助信息!H:I,2,FALSE)</f>
        <v>13668153241</v>
      </c>
      <c r="L2796" s="102" t="str">
        <f>VLOOKUP(B2796,辅助信息!E:J,6,FALSE)</f>
        <v>联系实际收货人（范增云13668153241）现场要求炉批号控制2个以下，超2个不给予签收。提前联系到场规格及数量</v>
      </c>
      <c r="O2796" s="55" t="str">
        <f ca="1" t="shared" si="167"/>
        <v/>
      </c>
      <c r="P2796" s="55" t="str">
        <f ca="1" t="shared" si="168"/>
        <v/>
      </c>
      <c r="Q2796" s="22" t="str">
        <f>VLOOKUP(B2796,辅助信息!E:M,9,FALSE)</f>
        <v>ZTWM-CDGS-XS-2025-0125-四川机司-乐山市校地共建产教融合基地配套设施项目施工一标段钢筋采购合同</v>
      </c>
      <c r="R2796" s="22" t="str">
        <f>_xlfn._xlws.FILTER(辅助信息!D:D,辅助信息!E:E=B2796)</f>
        <v>乐山市校地共建产教融合基地建设项目一标段</v>
      </c>
    </row>
    <row r="2797" hidden="1" spans="2:18">
      <c r="B2797" s="33" t="s">
        <v>187</v>
      </c>
      <c r="C2797" s="63">
        <v>45885</v>
      </c>
      <c r="D2797" s="33" t="str">
        <f>VLOOKUP(B2797,辅助信息!E:K,7,FALSE)</f>
        <v>JWDDCD2025072900121</v>
      </c>
      <c r="E2797" s="33" t="str">
        <f>VLOOKUP(F2797,辅助信息!A:B,2,FALSE)</f>
        <v>螺纹钢</v>
      </c>
      <c r="F2797" s="33" t="s">
        <v>142</v>
      </c>
      <c r="G2797" s="29">
        <v>9</v>
      </c>
      <c r="H2797" s="127">
        <f>_xlfn.XLOOKUP(C2797&amp;F2797&amp;I2797&amp;J2797,'[1]2025年已发货'!$F:$F&amp;'[1]2025年已发货'!$C:$C&amp;'[1]2025年已发货'!$G:$G&amp;'[1]2025年已发货'!$H:$H,'[1]2025年已发货'!$E:$E,"未发货")</f>
        <v>9</v>
      </c>
      <c r="I2797" s="33" t="str">
        <f>VLOOKUP(B2797,辅助信息!E:I,3,FALSE)</f>
        <v>(乐山市校地共建产教融合基地建设项目一标段)四川省乐山市市中区苏稽镇周山嘴</v>
      </c>
      <c r="J2797" s="33" t="str">
        <f>VLOOKUP(B2797,辅助信息!E:I,4,FALSE)</f>
        <v>范增云</v>
      </c>
      <c r="K2797" s="33">
        <f>VLOOKUP(J2797,辅助信息!H:I,2,FALSE)</f>
        <v>13668153241</v>
      </c>
      <c r="L2797" s="102" t="str">
        <f>VLOOKUP(B2797,辅助信息!E:J,6,FALSE)</f>
        <v>联系实际收货人（范增云13668153241）现场要求炉批号控制2个以下，超2个不给予签收。提前联系到场规格及数量</v>
      </c>
      <c r="O2797" s="55" t="str">
        <f ca="1" t="shared" si="167"/>
        <v/>
      </c>
      <c r="P2797" s="55" t="str">
        <f ca="1" t="shared" si="168"/>
        <v/>
      </c>
      <c r="Q2797" s="22" t="str">
        <f>VLOOKUP(B2797,辅助信息!E:M,9,FALSE)</f>
        <v>ZTWM-CDGS-XS-2025-0125-四川机司-乐山市校地共建产教融合基地配套设施项目施工一标段钢筋采购合同</v>
      </c>
      <c r="R2797" s="22" t="str">
        <f>_xlfn._xlws.FILTER(辅助信息!D:D,辅助信息!E:E=B2797)</f>
        <v>乐山市校地共建产教融合基地建设项目一标段</v>
      </c>
    </row>
    <row r="2798" hidden="1" spans="2:18">
      <c r="B2798" s="33" t="s">
        <v>187</v>
      </c>
      <c r="C2798" s="63">
        <v>45885</v>
      </c>
      <c r="D2798" s="33" t="str">
        <f>VLOOKUP(B2798,辅助信息!E:K,7,FALSE)</f>
        <v>JWDDCD2025072900121</v>
      </c>
      <c r="E2798" s="33" t="str">
        <f>VLOOKUP(F2798,辅助信息!A:B,2,FALSE)</f>
        <v>螺纹钢</v>
      </c>
      <c r="F2798" s="33" t="s">
        <v>200</v>
      </c>
      <c r="G2798" s="29">
        <v>30</v>
      </c>
      <c r="H2798" s="127">
        <f>_xlfn.XLOOKUP(C2798&amp;F2798&amp;I2798&amp;J2798,'[1]2025年已发货'!$F:$F&amp;'[1]2025年已发货'!$C:$C&amp;'[1]2025年已发货'!$G:$G&amp;'[1]2025年已发货'!$H:$H,'[1]2025年已发货'!$E:$E,"未发货")</f>
        <v>30</v>
      </c>
      <c r="I2798" s="33" t="str">
        <f>VLOOKUP(B2798,辅助信息!E:I,3,FALSE)</f>
        <v>(乐山市校地共建产教融合基地建设项目一标段)四川省乐山市市中区苏稽镇周山嘴</v>
      </c>
      <c r="J2798" s="33" t="str">
        <f>VLOOKUP(B2798,辅助信息!E:I,4,FALSE)</f>
        <v>范增云</v>
      </c>
      <c r="K2798" s="33">
        <f>VLOOKUP(J2798,辅助信息!H:I,2,FALSE)</f>
        <v>13668153241</v>
      </c>
      <c r="L2798" s="102" t="str">
        <f>VLOOKUP(B2798,辅助信息!E:J,6,FALSE)</f>
        <v>联系实际收货人（范增云13668153241）现场要求炉批号控制2个以下，超2个不给予签收。提前联系到场规格及数量</v>
      </c>
      <c r="O2798" s="55" t="str">
        <f ca="1" t="shared" si="167"/>
        <v/>
      </c>
      <c r="P2798" s="55" t="str">
        <f ca="1" t="shared" si="168"/>
        <v/>
      </c>
      <c r="Q2798" s="22" t="str">
        <f>VLOOKUP(B2798,辅助信息!E:M,9,FALSE)</f>
        <v>ZTWM-CDGS-XS-2025-0125-四川机司-乐山市校地共建产教融合基地配套设施项目施工一标段钢筋采购合同</v>
      </c>
      <c r="R2798" s="22" t="str">
        <f>_xlfn._xlws.FILTER(辅助信息!D:D,辅助信息!E:E=B2798)</f>
        <v>乐山市校地共建产教融合基地建设项目一标段</v>
      </c>
    </row>
    <row r="2799" hidden="1" spans="2:18">
      <c r="B2799" s="33" t="s">
        <v>187</v>
      </c>
      <c r="C2799" s="63">
        <v>45885</v>
      </c>
      <c r="D2799" s="33" t="str">
        <f>VLOOKUP(B2799,辅助信息!E:K,7,FALSE)</f>
        <v>JWDDCD2025072900121</v>
      </c>
      <c r="E2799" s="33" t="str">
        <f>VLOOKUP(F2799,辅助信息!A:B,2,FALSE)</f>
        <v>螺纹钢</v>
      </c>
      <c r="F2799" s="33" t="s">
        <v>201</v>
      </c>
      <c r="G2799" s="29">
        <v>12</v>
      </c>
      <c r="H2799" s="127">
        <f>_xlfn.XLOOKUP(C2799&amp;F2799&amp;I2799&amp;J2799,'[1]2025年已发货'!$F:$F&amp;'[1]2025年已发货'!$C:$C&amp;'[1]2025年已发货'!$G:$G&amp;'[1]2025年已发货'!$H:$H,'[1]2025年已发货'!$E:$E,"未发货")</f>
        <v>12</v>
      </c>
      <c r="I2799" s="33" t="str">
        <f>VLOOKUP(B2799,辅助信息!E:I,3,FALSE)</f>
        <v>(乐山市校地共建产教融合基地建设项目一标段)四川省乐山市市中区苏稽镇周山嘴</v>
      </c>
      <c r="J2799" s="33" t="str">
        <f>VLOOKUP(B2799,辅助信息!E:I,4,FALSE)</f>
        <v>范增云</v>
      </c>
      <c r="K2799" s="33">
        <f>VLOOKUP(J2799,辅助信息!H:I,2,FALSE)</f>
        <v>13668153241</v>
      </c>
      <c r="L2799" s="102" t="str">
        <f>VLOOKUP(B2799,辅助信息!E:J,6,FALSE)</f>
        <v>联系实际收货人（范增云13668153241）现场要求炉批号控制2个以下，超2个不给予签收。提前联系到场规格及数量</v>
      </c>
      <c r="O2799" s="55" t="str">
        <f ca="1" t="shared" si="167"/>
        <v/>
      </c>
      <c r="P2799" s="55" t="str">
        <f ca="1" t="shared" si="168"/>
        <v/>
      </c>
      <c r="Q2799" s="22" t="str">
        <f>VLOOKUP(B2799,辅助信息!E:M,9,FALSE)</f>
        <v>ZTWM-CDGS-XS-2025-0125-四川机司-乐山市校地共建产教融合基地配套设施项目施工一标段钢筋采购合同</v>
      </c>
      <c r="R2799" s="22" t="str">
        <f>_xlfn._xlws.FILTER(辅助信息!D:D,辅助信息!E:E=B2799)</f>
        <v>乐山市校地共建产教融合基地建设项目一标段</v>
      </c>
    </row>
    <row r="2800" hidden="1" spans="2:18">
      <c r="B2800" s="33" t="s">
        <v>81</v>
      </c>
      <c r="C2800" s="63">
        <v>45885</v>
      </c>
      <c r="D2800" s="33" t="str">
        <f>VLOOKUP(B2800,辅助信息!E:K,7,FALSE)</f>
        <v>JWDDCD2025060900080</v>
      </c>
      <c r="E2800" s="33" t="str">
        <f>VLOOKUP(F2800,辅助信息!A:B,2,FALSE)</f>
        <v>盘螺</v>
      </c>
      <c r="F2800" s="33" t="s">
        <v>41</v>
      </c>
      <c r="G2800" s="29">
        <v>10</v>
      </c>
      <c r="H2800" s="127" t="str">
        <f>_xlfn.XLOOKUP(C2800&amp;F2800&amp;I2800&amp;J2800,'[1]2025年已发货'!$F:$F&amp;'[1]2025年已发货'!$C:$C&amp;'[1]2025年已发货'!$G:$G&amp;'[1]2025年已发货'!$H:$H,'[1]2025年已发货'!$E:$E,"未发货")</f>
        <v>未发货</v>
      </c>
      <c r="I2800" s="33" t="str">
        <f>VLOOKUP(B2800,辅助信息!E:I,3,FALSE)</f>
        <v>（华西简阳西城嘉苑）四川省成都市简阳市简城街道高屋村</v>
      </c>
      <c r="J2800" s="33" t="str">
        <f>VLOOKUP(B2800,辅助信息!E:I,4,FALSE)</f>
        <v>张瀚镭</v>
      </c>
      <c r="K2800" s="33">
        <f>VLOOKUP(J2800,辅助信息!H:I,2,FALSE)</f>
        <v>15884666220</v>
      </c>
      <c r="L2800" s="102" t="str">
        <f>VLOOKUP(B2800,辅助信息!E:J,6,FALSE)</f>
        <v>现场禁止使用氢能源挂车！优先威钢发货,我方卸车,新老国标钢厂不加价可直发，因陕钢多次出现磅差，项目拒绝使用</v>
      </c>
      <c r="O2800" s="55" t="str">
        <f ca="1" t="shared" si="167"/>
        <v/>
      </c>
      <c r="P2800" s="55" t="str">
        <f ca="1" t="shared" si="168"/>
        <v/>
      </c>
      <c r="Q2800" s="22" t="str">
        <f>VLOOKUP(B2800,辅助信息!E:M,9,FALSE)</f>
        <v>ZTWM-CDGS-XS-2024-0030-华西集采-简州大道</v>
      </c>
      <c r="R2800" s="22" t="str">
        <f>_xlfn._xlws.FILTER(辅助信息!D:D,辅助信息!E:E=B2800)</f>
        <v>华西简阳西城嘉苑</v>
      </c>
    </row>
    <row r="2801" hidden="1" spans="2:18">
      <c r="B2801" s="33" t="s">
        <v>81</v>
      </c>
      <c r="C2801" s="63">
        <v>45885</v>
      </c>
      <c r="D2801" s="33" t="str">
        <f>VLOOKUP(B2801,辅助信息!E:K,7,FALSE)</f>
        <v>JWDDCD2025060900080</v>
      </c>
      <c r="E2801" s="33" t="str">
        <f>VLOOKUP(F2801,辅助信息!A:B,2,FALSE)</f>
        <v>盘螺</v>
      </c>
      <c r="F2801" s="33" t="s">
        <v>26</v>
      </c>
      <c r="G2801" s="29">
        <v>10</v>
      </c>
      <c r="H2801" s="127" t="str">
        <f>_xlfn.XLOOKUP(C2801&amp;F2801&amp;I2801&amp;J2801,'[1]2025年已发货'!$F:$F&amp;'[1]2025年已发货'!$C:$C&amp;'[1]2025年已发货'!$G:$G&amp;'[1]2025年已发货'!$H:$H,'[1]2025年已发货'!$E:$E,"未发货")</f>
        <v>未发货</v>
      </c>
      <c r="I2801" s="33" t="str">
        <f>VLOOKUP(B2801,辅助信息!E:I,3,FALSE)</f>
        <v>（华西简阳西城嘉苑）四川省成都市简阳市简城街道高屋村</v>
      </c>
      <c r="J2801" s="33" t="str">
        <f>VLOOKUP(B2801,辅助信息!E:I,4,FALSE)</f>
        <v>张瀚镭</v>
      </c>
      <c r="K2801" s="33">
        <f>VLOOKUP(J2801,辅助信息!H:I,2,FALSE)</f>
        <v>15884666220</v>
      </c>
      <c r="L2801" s="102" t="str">
        <f>VLOOKUP(B2801,辅助信息!E:J,6,FALSE)</f>
        <v>现场禁止使用氢能源挂车！优先威钢发货,我方卸车,新老国标钢厂不加价可直发，因陕钢多次出现磅差，项目拒绝使用</v>
      </c>
      <c r="O2801" s="55" t="str">
        <f ca="1" t="shared" si="167"/>
        <v/>
      </c>
      <c r="P2801" s="55" t="str">
        <f ca="1" t="shared" si="168"/>
        <v/>
      </c>
      <c r="Q2801" s="22" t="str">
        <f>VLOOKUP(B2801,辅助信息!E:M,9,FALSE)</f>
        <v>ZTWM-CDGS-XS-2024-0030-华西集采-简州大道</v>
      </c>
      <c r="R2801" s="22" t="str">
        <f>_xlfn._xlws.FILTER(辅助信息!D:D,辅助信息!E:E=B2801)</f>
        <v>华西简阳西城嘉苑</v>
      </c>
    </row>
    <row r="2802" hidden="1" spans="2:18">
      <c r="B2802" s="33" t="s">
        <v>81</v>
      </c>
      <c r="C2802" s="63">
        <v>45885</v>
      </c>
      <c r="D2802" s="33" t="str">
        <f>VLOOKUP(B2802,辅助信息!E:K,7,FALSE)</f>
        <v>JWDDCD2025060900080</v>
      </c>
      <c r="E2802" s="33" t="str">
        <f>VLOOKUP(F2802,辅助信息!A:B,2,FALSE)</f>
        <v>螺纹钢</v>
      </c>
      <c r="F2802" s="33" t="s">
        <v>18</v>
      </c>
      <c r="G2802" s="29">
        <v>15</v>
      </c>
      <c r="H2802" s="127" t="str">
        <f>_xlfn.XLOOKUP(C2802&amp;F2802&amp;I2802&amp;J2802,'[1]2025年已发货'!$F:$F&amp;'[1]2025年已发货'!$C:$C&amp;'[1]2025年已发货'!$G:$G&amp;'[1]2025年已发货'!$H:$H,'[1]2025年已发货'!$E:$E,"未发货")</f>
        <v>未发货</v>
      </c>
      <c r="I2802" s="33" t="str">
        <f>VLOOKUP(B2802,辅助信息!E:I,3,FALSE)</f>
        <v>（华西简阳西城嘉苑）四川省成都市简阳市简城街道高屋村</v>
      </c>
      <c r="J2802" s="33" t="str">
        <f>VLOOKUP(B2802,辅助信息!E:I,4,FALSE)</f>
        <v>张瀚镭</v>
      </c>
      <c r="K2802" s="33">
        <f>VLOOKUP(J2802,辅助信息!H:I,2,FALSE)</f>
        <v>15884666220</v>
      </c>
      <c r="L2802" s="102" t="str">
        <f>VLOOKUP(B2802,辅助信息!E:J,6,FALSE)</f>
        <v>现场禁止使用氢能源挂车！优先威钢发货,我方卸车,新老国标钢厂不加价可直发，因陕钢多次出现磅差，项目拒绝使用</v>
      </c>
      <c r="O2802" s="55" t="str">
        <f ca="1" t="shared" si="167"/>
        <v/>
      </c>
      <c r="P2802" s="55" t="str">
        <f ca="1" t="shared" si="168"/>
        <v/>
      </c>
      <c r="Q2802" s="22" t="str">
        <f>VLOOKUP(B2802,辅助信息!E:M,9,FALSE)</f>
        <v>ZTWM-CDGS-XS-2024-0030-华西集采-简州大道</v>
      </c>
      <c r="R2802" s="22" t="str">
        <f>_xlfn._xlws.FILTER(辅助信息!D:D,辅助信息!E:E=B2802)</f>
        <v>华西简阳西城嘉苑</v>
      </c>
    </row>
    <row r="2803" hidden="1" spans="1:18">
      <c r="A2803" s="50" t="s">
        <v>195</v>
      </c>
      <c r="B2803" s="128" t="s">
        <v>187</v>
      </c>
      <c r="C2803" s="63">
        <v>45887</v>
      </c>
      <c r="D2803" s="33" t="str">
        <f>VLOOKUP(B2803,辅助信息!E:K,7,FALSE)</f>
        <v>JWDDCD2025072900121</v>
      </c>
      <c r="E2803" s="33" t="str">
        <f>VLOOKUP(F2803,辅助信息!A:B,2,FALSE)</f>
        <v>螺纹钢</v>
      </c>
      <c r="F2803" s="33" t="s">
        <v>198</v>
      </c>
      <c r="G2803" s="29">
        <v>4</v>
      </c>
      <c r="H2803" s="127">
        <f>_xlfn.XLOOKUP(C2803&amp;F2803&amp;I2803&amp;J2803,'[1]2025年已发货'!$F:$F&amp;'[1]2025年已发货'!$C:$C&amp;'[1]2025年已发货'!$G:$G&amp;'[1]2025年已发货'!$H:$H,'[1]2025年已发货'!$E:$E,"未发货")</f>
        <v>5</v>
      </c>
      <c r="I2803" s="33" t="str">
        <f>VLOOKUP(B2803,辅助信息!E:I,3,FALSE)</f>
        <v>(乐山市校地共建产教融合基地建设项目一标段)四川省乐山市市中区苏稽镇周山嘴</v>
      </c>
      <c r="J2803" s="33" t="str">
        <f>VLOOKUP(B2803,辅助信息!E:I,4,FALSE)</f>
        <v>范增云</v>
      </c>
      <c r="K2803" s="33">
        <f>VLOOKUP(J2803,辅助信息!H:I,2,FALSE)</f>
        <v>13668153241</v>
      </c>
      <c r="L2803" s="102" t="str">
        <f>VLOOKUP(B2803,辅助信息!E:J,6,FALSE)</f>
        <v>联系实际收货人（范增云13668153241）现场要求炉批号控制2个以下，超2个不给予签收。提前联系到场规格及数量</v>
      </c>
      <c r="O2803" s="55" t="str">
        <f ca="1" t="shared" si="167"/>
        <v/>
      </c>
      <c r="P2803" s="55" t="str">
        <f ca="1" t="shared" si="168"/>
        <v/>
      </c>
      <c r="Q2803" s="22" t="str">
        <f>VLOOKUP(B2803,辅助信息!E:M,9,FALSE)</f>
        <v>ZTWM-CDGS-XS-2025-0125-四川机司-乐山市校地共建产教融合基地配套设施项目施工一标段钢筋采购合同</v>
      </c>
      <c r="R2803" s="22" t="str">
        <f>_xlfn._xlws.FILTER(辅助信息!D:D,辅助信息!E:E=B2803)</f>
        <v>乐山市校地共建产教融合基地建设项目一标段</v>
      </c>
    </row>
    <row r="2804" hidden="1" spans="2:18">
      <c r="B2804" s="128" t="s">
        <v>187</v>
      </c>
      <c r="C2804" s="63">
        <v>45887</v>
      </c>
      <c r="D2804" s="33" t="str">
        <f>VLOOKUP(B2804,辅助信息!E:K,7,FALSE)</f>
        <v>JWDDCD2025072900121</v>
      </c>
      <c r="E2804" s="33" t="str">
        <f>VLOOKUP(F2804,辅助信息!A:B,2,FALSE)</f>
        <v>螺纹钢</v>
      </c>
      <c r="F2804" s="33" t="s">
        <v>199</v>
      </c>
      <c r="G2804" s="29">
        <v>6</v>
      </c>
      <c r="H2804" s="127">
        <f>_xlfn.XLOOKUP(C2804&amp;F2804&amp;I2804&amp;J2804,'[1]2025年已发货'!$F:$F&amp;'[1]2025年已发货'!$C:$C&amp;'[1]2025年已发货'!$G:$G&amp;'[1]2025年已发货'!$H:$H,'[1]2025年已发货'!$E:$E,"未发货")</f>
        <v>5</v>
      </c>
      <c r="I2804" s="33" t="str">
        <f>VLOOKUP(B2804,辅助信息!E:I,3,FALSE)</f>
        <v>(乐山市校地共建产教融合基地建设项目一标段)四川省乐山市市中区苏稽镇周山嘴</v>
      </c>
      <c r="J2804" s="33" t="str">
        <f>VLOOKUP(B2804,辅助信息!E:I,4,FALSE)</f>
        <v>范增云</v>
      </c>
      <c r="K2804" s="33">
        <f>VLOOKUP(J2804,辅助信息!H:I,2,FALSE)</f>
        <v>13668153241</v>
      </c>
      <c r="L2804" s="102" t="str">
        <f>VLOOKUP(B2804,辅助信息!E:J,6,FALSE)</f>
        <v>联系实际收货人（范增云13668153241）现场要求炉批号控制2个以下，超2个不给予签收。提前联系到场规格及数量</v>
      </c>
      <c r="O2804" s="55" t="str">
        <f ca="1" t="shared" si="167"/>
        <v/>
      </c>
      <c r="P2804" s="55" t="str">
        <f ca="1" t="shared" si="168"/>
        <v/>
      </c>
      <c r="Q2804" s="22" t="str">
        <f>VLOOKUP(B2804,辅助信息!E:M,9,FALSE)</f>
        <v>ZTWM-CDGS-XS-2025-0125-四川机司-乐山市校地共建产教融合基地配套设施项目施工一标段钢筋采购合同</v>
      </c>
      <c r="R2804" s="22" t="str">
        <f>_xlfn._xlws.FILTER(辅助信息!D:D,辅助信息!E:E=B2804)</f>
        <v>乐山市校地共建产教融合基地建设项目一标段</v>
      </c>
    </row>
    <row r="2805" hidden="1" spans="2:18">
      <c r="B2805" s="128" t="s">
        <v>187</v>
      </c>
      <c r="C2805" s="63">
        <v>45887</v>
      </c>
      <c r="D2805" s="33" t="str">
        <f>VLOOKUP(B2805,辅助信息!E:K,7,FALSE)</f>
        <v>JWDDCD2025072900121</v>
      </c>
      <c r="E2805" s="33" t="str">
        <f>VLOOKUP(F2805,辅助信息!A:B,2,FALSE)</f>
        <v>螺纹钢</v>
      </c>
      <c r="F2805" s="33" t="s">
        <v>141</v>
      </c>
      <c r="G2805" s="29">
        <v>6</v>
      </c>
      <c r="H2805" s="127">
        <f>_xlfn.XLOOKUP(C2805&amp;F2805&amp;I2805&amp;J2805,'[1]2025年已发货'!$F:$F&amp;'[1]2025年已发货'!$C:$C&amp;'[1]2025年已发货'!$G:$G&amp;'[1]2025年已发货'!$H:$H,'[1]2025年已发货'!$E:$E,"未发货")</f>
        <v>5</v>
      </c>
      <c r="I2805" s="33" t="str">
        <f>VLOOKUP(B2805,辅助信息!E:I,3,FALSE)</f>
        <v>(乐山市校地共建产教融合基地建设项目一标段)四川省乐山市市中区苏稽镇周山嘴</v>
      </c>
      <c r="J2805" s="33" t="str">
        <f>VLOOKUP(B2805,辅助信息!E:I,4,FALSE)</f>
        <v>范增云</v>
      </c>
      <c r="K2805" s="33">
        <f>VLOOKUP(J2805,辅助信息!H:I,2,FALSE)</f>
        <v>13668153241</v>
      </c>
      <c r="L2805" s="102" t="str">
        <f>VLOOKUP(B2805,辅助信息!E:J,6,FALSE)</f>
        <v>联系实际收货人（范增云13668153241）现场要求炉批号控制2个以下，超2个不给予签收。提前联系到场规格及数量</v>
      </c>
      <c r="O2805" s="55" t="str">
        <f ca="1" t="shared" si="167"/>
        <v/>
      </c>
      <c r="P2805" s="55" t="str">
        <f ca="1" t="shared" si="168"/>
        <v/>
      </c>
      <c r="Q2805" s="22" t="str">
        <f>VLOOKUP(B2805,辅助信息!E:M,9,FALSE)</f>
        <v>ZTWM-CDGS-XS-2025-0125-四川机司-乐山市校地共建产教融合基地配套设施项目施工一标段钢筋采购合同</v>
      </c>
      <c r="R2805" s="22" t="str">
        <f>_xlfn._xlws.FILTER(辅助信息!D:D,辅助信息!E:E=B2805)</f>
        <v>乐山市校地共建产教融合基地建设项目一标段</v>
      </c>
    </row>
    <row r="2806" hidden="1" spans="2:18">
      <c r="B2806" s="128" t="s">
        <v>187</v>
      </c>
      <c r="C2806" s="63">
        <v>45887</v>
      </c>
      <c r="D2806" s="33" t="str">
        <f>VLOOKUP(B2806,辅助信息!E:K,7,FALSE)</f>
        <v>JWDDCD2025072900121</v>
      </c>
      <c r="E2806" s="33" t="str">
        <f>VLOOKUP(F2806,辅助信息!A:B,2,FALSE)</f>
        <v>螺纹钢</v>
      </c>
      <c r="F2806" s="33" t="s">
        <v>142</v>
      </c>
      <c r="G2806" s="29">
        <v>22</v>
      </c>
      <c r="H2806" s="127">
        <f>_xlfn.XLOOKUP(C2806&amp;F2806&amp;I2806&amp;J2806,'[1]2025年已发货'!$F:$F&amp;'[1]2025年已发货'!$C:$C&amp;'[1]2025年已发货'!$G:$G&amp;'[1]2025年已发货'!$H:$H,'[1]2025年已发货'!$E:$E,"未发货")</f>
        <v>10</v>
      </c>
      <c r="I2806" s="33" t="str">
        <f>VLOOKUP(B2806,辅助信息!E:I,3,FALSE)</f>
        <v>(乐山市校地共建产教融合基地建设项目一标段)四川省乐山市市中区苏稽镇周山嘴</v>
      </c>
      <c r="J2806" s="33" t="str">
        <f>VLOOKUP(B2806,辅助信息!E:I,4,FALSE)</f>
        <v>范增云</v>
      </c>
      <c r="K2806" s="33">
        <f>VLOOKUP(J2806,辅助信息!H:I,2,FALSE)</f>
        <v>13668153241</v>
      </c>
      <c r="L2806" s="102" t="str">
        <f>VLOOKUP(B2806,辅助信息!E:J,6,FALSE)</f>
        <v>联系实际收货人（范增云13668153241）现场要求炉批号控制2个以下，超2个不给予签收。提前联系到场规格及数量</v>
      </c>
      <c r="O2806" s="55" t="str">
        <f ca="1" t="shared" si="167"/>
        <v/>
      </c>
      <c r="P2806" s="55" t="str">
        <f ca="1" t="shared" si="168"/>
        <v/>
      </c>
      <c r="Q2806" s="22" t="str">
        <f>VLOOKUP(B2806,辅助信息!E:M,9,FALSE)</f>
        <v>ZTWM-CDGS-XS-2025-0125-四川机司-乐山市校地共建产教融合基地配套设施项目施工一标段钢筋采购合同</v>
      </c>
      <c r="R2806" s="22" t="str">
        <f>_xlfn._xlws.FILTER(辅助信息!D:D,辅助信息!E:E=B2806)</f>
        <v>乐山市校地共建产教融合基地建设项目一标段</v>
      </c>
    </row>
    <row r="2807" hidden="1" spans="2:18">
      <c r="B2807" s="128" t="s">
        <v>187</v>
      </c>
      <c r="C2807" s="63">
        <v>45887</v>
      </c>
      <c r="D2807" s="33" t="str">
        <f>VLOOKUP(B2807,辅助信息!E:K,7,FALSE)</f>
        <v>JWDDCD2025072900121</v>
      </c>
      <c r="E2807" s="33" t="str">
        <f>VLOOKUP(F2807,辅助信息!A:B,2,FALSE)</f>
        <v>螺纹钢</v>
      </c>
      <c r="F2807" s="33" t="s">
        <v>200</v>
      </c>
      <c r="G2807" s="29">
        <v>10</v>
      </c>
      <c r="H2807" s="127" t="str">
        <f>_xlfn.XLOOKUP(C2807&amp;F2807&amp;I2807&amp;J2807,'[1]2025年已发货'!$F:$F&amp;'[1]2025年已发货'!$C:$C&amp;'[1]2025年已发货'!$G:$G&amp;'[1]2025年已发货'!$H:$H,'[1]2025年已发货'!$E:$E,"未发货")</f>
        <v>未发货</v>
      </c>
      <c r="I2807" s="33" t="str">
        <f>VLOOKUP(B2807,辅助信息!E:I,3,FALSE)</f>
        <v>(乐山市校地共建产教融合基地建设项目一标段)四川省乐山市市中区苏稽镇周山嘴</v>
      </c>
      <c r="J2807" s="33" t="str">
        <f>VLOOKUP(B2807,辅助信息!E:I,4,FALSE)</f>
        <v>范增云</v>
      </c>
      <c r="K2807" s="33">
        <f>VLOOKUP(J2807,辅助信息!H:I,2,FALSE)</f>
        <v>13668153241</v>
      </c>
      <c r="L2807" s="102" t="str">
        <f>VLOOKUP(B2807,辅助信息!E:J,6,FALSE)</f>
        <v>联系实际收货人（范增云13668153241）现场要求炉批号控制2个以下，超2个不给予签收。提前联系到场规格及数量</v>
      </c>
      <c r="O2807" s="55" t="str">
        <f ca="1" t="shared" si="167"/>
        <v/>
      </c>
      <c r="P2807" s="55" t="str">
        <f ca="1" t="shared" si="168"/>
        <v/>
      </c>
      <c r="Q2807" s="22" t="str">
        <f>VLOOKUP(B2807,辅助信息!E:M,9,FALSE)</f>
        <v>ZTWM-CDGS-XS-2025-0125-四川机司-乐山市校地共建产教融合基地配套设施项目施工一标段钢筋采购合同</v>
      </c>
      <c r="R2807" s="22" t="str">
        <f>_xlfn._xlws.FILTER(辅助信息!D:D,辅助信息!E:E=B2807)</f>
        <v>乐山市校地共建产教融合基地建设项目一标段</v>
      </c>
    </row>
    <row r="2808" hidden="1" spans="2:18">
      <c r="B2808" s="128" t="s">
        <v>187</v>
      </c>
      <c r="C2808" s="63">
        <v>45887</v>
      </c>
      <c r="D2808" s="33" t="str">
        <f>VLOOKUP(B2808,辅助信息!E:K,7,FALSE)</f>
        <v>JWDDCD2025072900121</v>
      </c>
      <c r="E2808" s="33" t="str">
        <f>VLOOKUP(F2808,辅助信息!A:B,2,FALSE)</f>
        <v>螺纹钢</v>
      </c>
      <c r="F2808" s="33" t="s">
        <v>201</v>
      </c>
      <c r="G2808" s="29">
        <v>16</v>
      </c>
      <c r="H2808" s="127">
        <f>_xlfn.XLOOKUP(C2808&amp;F2808&amp;I2808&amp;J2808,'[1]2025年已发货'!$F:$F&amp;'[1]2025年已发货'!$C:$C&amp;'[1]2025年已发货'!$G:$G&amp;'[1]2025年已发货'!$H:$H,'[1]2025年已发货'!$E:$E,"未发货")</f>
        <v>7.5</v>
      </c>
      <c r="I2808" s="33" t="str">
        <f>VLOOKUP(B2808,辅助信息!E:I,3,FALSE)</f>
        <v>(乐山市校地共建产教融合基地建设项目一标段)四川省乐山市市中区苏稽镇周山嘴</v>
      </c>
      <c r="J2808" s="33" t="str">
        <f>VLOOKUP(B2808,辅助信息!E:I,4,FALSE)</f>
        <v>范增云</v>
      </c>
      <c r="K2808" s="33">
        <f>VLOOKUP(J2808,辅助信息!H:I,2,FALSE)</f>
        <v>13668153241</v>
      </c>
      <c r="L2808" s="102" t="str">
        <f>VLOOKUP(B2808,辅助信息!E:J,6,FALSE)</f>
        <v>联系实际收货人（范增云13668153241）现场要求炉批号控制2个以下，超2个不给予签收。提前联系到场规格及数量</v>
      </c>
      <c r="O2808" s="55" t="str">
        <f ca="1" t="shared" si="167"/>
        <v/>
      </c>
      <c r="P2808" s="55" t="str">
        <f ca="1" t="shared" si="168"/>
        <v/>
      </c>
      <c r="Q2808" s="22" t="str">
        <f>VLOOKUP(B2808,辅助信息!E:M,9,FALSE)</f>
        <v>ZTWM-CDGS-XS-2025-0125-四川机司-乐山市校地共建产教融合基地配套设施项目施工一标段钢筋采购合同</v>
      </c>
      <c r="R2808" s="22" t="str">
        <f>_xlfn._xlws.FILTER(辅助信息!D:D,辅助信息!E:E=B2808)</f>
        <v>乐山市校地共建产教融合基地建设项目一标段</v>
      </c>
    </row>
    <row r="2809" hidden="1" spans="2:18">
      <c r="B2809" s="128" t="s">
        <v>186</v>
      </c>
      <c r="C2809" s="63">
        <v>45887</v>
      </c>
      <c r="D2809" s="33" t="str">
        <f>VLOOKUP(B2809,辅助信息!E:K,7,FALSE)</f>
        <v>JWDDCD2025072900123</v>
      </c>
      <c r="E2809" s="33" t="str">
        <f>VLOOKUP(F2809,辅助信息!A:B,2,FALSE)</f>
        <v>盘螺</v>
      </c>
      <c r="F2809" s="33" t="s">
        <v>49</v>
      </c>
      <c r="G2809" s="29">
        <v>2</v>
      </c>
      <c r="H2809" s="127">
        <f>_xlfn.XLOOKUP(C2809&amp;F2809&amp;I2809&amp;J2809,'[1]2025年已发货'!$F:$F&amp;'[1]2025年已发货'!$C:$C&amp;'[1]2025年已发货'!$G:$G&amp;'[1]2025年已发货'!$H:$H,'[1]2025年已发货'!$E:$E,"未发货")</f>
        <v>2</v>
      </c>
      <c r="I2809" s="33" t="str">
        <f>VLOOKUP(B2809,辅助信息!E:I,3,FALSE)</f>
        <v>(乐山市校地共建产教融合基地建设项目二标段)四川省乐山市市中区苏稽镇</v>
      </c>
      <c r="J2809" s="33" t="str">
        <f>VLOOKUP(B2809,辅助信息!E:I,4,FALSE)</f>
        <v>彭江涛</v>
      </c>
      <c r="K2809" s="33">
        <f>VLOOKUP(J2809,辅助信息!H:I,2,FALSE)</f>
        <v>13990276572</v>
      </c>
      <c r="L2809" s="102" t="str">
        <f>VLOOKUP(B2809,辅助信息!E:J,6,FALSE)</f>
        <v>联系实际收货人（彭江涛13990276572）现场要求炉批号控制2个以下，超2个不给予签收。提前联系到场规格及数量</v>
      </c>
      <c r="O2809" s="55" t="str">
        <f ca="1" t="shared" si="167"/>
        <v/>
      </c>
      <c r="P2809" s="55" t="str">
        <f ca="1" t="shared" si="168"/>
        <v/>
      </c>
      <c r="Q2809" s="22" t="str">
        <f>VLOOKUP(B2809,辅助信息!E:M,9,FALSE)</f>
        <v>ZTWM-CDGS-XS-2025-0126-四川机司-乐山市校地共建产教融合基地配套设施项目施工二标段钢筋采购合同</v>
      </c>
      <c r="R2809" s="22" t="str">
        <f>_xlfn._xlws.FILTER(辅助信息!D:D,辅助信息!E:E=B2809)</f>
        <v>乐山市校地共建产教融合基地建设项目二标段</v>
      </c>
    </row>
    <row r="2810" hidden="1" spans="2:18">
      <c r="B2810" s="128" t="s">
        <v>186</v>
      </c>
      <c r="C2810" s="63">
        <v>45887</v>
      </c>
      <c r="D2810" s="33" t="str">
        <f>VLOOKUP(B2810,辅助信息!E:K,7,FALSE)</f>
        <v>JWDDCD2025072900123</v>
      </c>
      <c r="E2810" s="33" t="str">
        <f>VLOOKUP(F2810,辅助信息!A:B,2,FALSE)</f>
        <v>盘螺</v>
      </c>
      <c r="F2810" s="33" t="s">
        <v>40</v>
      </c>
      <c r="G2810" s="29">
        <v>12</v>
      </c>
      <c r="H2810" s="127">
        <f>_xlfn.XLOOKUP(C2810&amp;F2810&amp;I2810&amp;J2810,'[1]2025年已发货'!$F:$F&amp;'[1]2025年已发货'!$C:$C&amp;'[1]2025年已发货'!$G:$G&amp;'[1]2025年已发货'!$H:$H,'[1]2025年已发货'!$E:$E,"未发货")</f>
        <v>12</v>
      </c>
      <c r="I2810" s="33" t="str">
        <f>VLOOKUP(B2810,辅助信息!E:I,3,FALSE)</f>
        <v>(乐山市校地共建产教融合基地建设项目二标段)四川省乐山市市中区苏稽镇</v>
      </c>
      <c r="J2810" s="33" t="str">
        <f>VLOOKUP(B2810,辅助信息!E:I,4,FALSE)</f>
        <v>彭江涛</v>
      </c>
      <c r="K2810" s="33">
        <f>VLOOKUP(J2810,辅助信息!H:I,2,FALSE)</f>
        <v>13990276572</v>
      </c>
      <c r="L2810" s="102" t="str">
        <f>VLOOKUP(B2810,辅助信息!E:J,6,FALSE)</f>
        <v>联系实际收货人（彭江涛13990276572）现场要求炉批号控制2个以下，超2个不给予签收。提前联系到场规格及数量</v>
      </c>
      <c r="O2810" s="55" t="str">
        <f ca="1" t="shared" si="167"/>
        <v/>
      </c>
      <c r="P2810" s="55" t="str">
        <f ca="1" t="shared" si="168"/>
        <v/>
      </c>
      <c r="Q2810" s="22" t="str">
        <f>VLOOKUP(B2810,辅助信息!E:M,9,FALSE)</f>
        <v>ZTWM-CDGS-XS-2025-0126-四川机司-乐山市校地共建产教融合基地配套设施项目施工二标段钢筋采购合同</v>
      </c>
      <c r="R2810" s="22" t="str">
        <f>_xlfn._xlws.FILTER(辅助信息!D:D,辅助信息!E:E=B2810)</f>
        <v>乐山市校地共建产教融合基地建设项目二标段</v>
      </c>
    </row>
    <row r="2811" hidden="1" spans="2:18">
      <c r="B2811" s="128" t="s">
        <v>186</v>
      </c>
      <c r="C2811" s="63">
        <v>45887</v>
      </c>
      <c r="D2811" s="33" t="str">
        <f>VLOOKUP(B2811,辅助信息!E:K,7,FALSE)</f>
        <v>JWDDCD2025072900123</v>
      </c>
      <c r="E2811" s="33" t="str">
        <f>VLOOKUP(F2811,辅助信息!A:B,2,FALSE)</f>
        <v>盘螺</v>
      </c>
      <c r="F2811" s="33" t="s">
        <v>41</v>
      </c>
      <c r="G2811" s="29">
        <v>7</v>
      </c>
      <c r="H2811" s="127">
        <f>_xlfn.XLOOKUP(C2811&amp;F2811&amp;I2811&amp;J2811,'[1]2025年已发货'!$F:$F&amp;'[1]2025年已发货'!$C:$C&amp;'[1]2025年已发货'!$G:$G&amp;'[1]2025年已发货'!$H:$H,'[1]2025年已发货'!$E:$E,"未发货")</f>
        <v>7</v>
      </c>
      <c r="I2811" s="33" t="str">
        <f>VLOOKUP(B2811,辅助信息!E:I,3,FALSE)</f>
        <v>(乐山市校地共建产教融合基地建设项目二标段)四川省乐山市市中区苏稽镇</v>
      </c>
      <c r="J2811" s="33" t="str">
        <f>VLOOKUP(B2811,辅助信息!E:I,4,FALSE)</f>
        <v>彭江涛</v>
      </c>
      <c r="K2811" s="33">
        <f>VLOOKUP(J2811,辅助信息!H:I,2,FALSE)</f>
        <v>13990276572</v>
      </c>
      <c r="L2811" s="102" t="str">
        <f>VLOOKUP(B2811,辅助信息!E:J,6,FALSE)</f>
        <v>联系实际收货人（彭江涛13990276572）现场要求炉批号控制2个以下，超2个不给予签收。提前联系到场规格及数量</v>
      </c>
      <c r="O2811" s="55" t="str">
        <f ca="1" t="shared" si="167"/>
        <v/>
      </c>
      <c r="P2811" s="55" t="str">
        <f ca="1" t="shared" si="168"/>
        <v/>
      </c>
      <c r="Q2811" s="22" t="str">
        <f>VLOOKUP(B2811,辅助信息!E:M,9,FALSE)</f>
        <v>ZTWM-CDGS-XS-2025-0126-四川机司-乐山市校地共建产教融合基地配套设施项目施工二标段钢筋采购合同</v>
      </c>
      <c r="R2811" s="22" t="str">
        <f>_xlfn._xlws.FILTER(辅助信息!D:D,辅助信息!E:E=B2811)</f>
        <v>乐山市校地共建产教融合基地建设项目二标段</v>
      </c>
    </row>
    <row r="2812" hidden="1" spans="2:18">
      <c r="B2812" s="128" t="s">
        <v>186</v>
      </c>
      <c r="C2812" s="63">
        <v>45887</v>
      </c>
      <c r="D2812" s="33" t="str">
        <f>VLOOKUP(B2812,辅助信息!E:K,7,FALSE)</f>
        <v>JWDDCD2025072900123</v>
      </c>
      <c r="E2812" s="33" t="str">
        <f>VLOOKUP(F2812,辅助信息!A:B,2,FALSE)</f>
        <v>盘螺</v>
      </c>
      <c r="F2812" s="33" t="s">
        <v>26</v>
      </c>
      <c r="G2812" s="29">
        <v>2</v>
      </c>
      <c r="H2812" s="127">
        <f>_xlfn.XLOOKUP(C2812&amp;F2812&amp;I2812&amp;J2812,'[1]2025年已发货'!$F:$F&amp;'[1]2025年已发货'!$C:$C&amp;'[1]2025年已发货'!$G:$G&amp;'[1]2025年已发货'!$H:$H,'[1]2025年已发货'!$E:$E,"未发货")</f>
        <v>2</v>
      </c>
      <c r="I2812" s="33" t="str">
        <f>VLOOKUP(B2812,辅助信息!E:I,3,FALSE)</f>
        <v>(乐山市校地共建产教融合基地建设项目二标段)四川省乐山市市中区苏稽镇</v>
      </c>
      <c r="J2812" s="33" t="str">
        <f>VLOOKUP(B2812,辅助信息!E:I,4,FALSE)</f>
        <v>彭江涛</v>
      </c>
      <c r="K2812" s="33">
        <f>VLOOKUP(J2812,辅助信息!H:I,2,FALSE)</f>
        <v>13990276572</v>
      </c>
      <c r="L2812" s="102" t="str">
        <f>VLOOKUP(B2812,辅助信息!E:J,6,FALSE)</f>
        <v>联系实际收货人（彭江涛13990276572）现场要求炉批号控制2个以下，超2个不给予签收。提前联系到场规格及数量</v>
      </c>
      <c r="O2812" s="55" t="str">
        <f ca="1" t="shared" si="167"/>
        <v/>
      </c>
      <c r="P2812" s="55" t="str">
        <f ca="1" t="shared" si="168"/>
        <v/>
      </c>
      <c r="Q2812" s="22" t="str">
        <f>VLOOKUP(B2812,辅助信息!E:M,9,FALSE)</f>
        <v>ZTWM-CDGS-XS-2025-0126-四川机司-乐山市校地共建产教融合基地配套设施项目施工二标段钢筋采购合同</v>
      </c>
      <c r="R2812" s="22" t="str">
        <f>_xlfn._xlws.FILTER(辅助信息!D:D,辅助信息!E:E=B2812)</f>
        <v>乐山市校地共建产教融合基地建设项目二标段</v>
      </c>
    </row>
    <row r="2813" hidden="1" spans="2:18">
      <c r="B2813" s="128" t="s">
        <v>186</v>
      </c>
      <c r="C2813" s="63">
        <v>45887</v>
      </c>
      <c r="D2813" s="33" t="str">
        <f>VLOOKUP(B2813,辅助信息!E:K,7,FALSE)</f>
        <v>JWDDCD2025072900123</v>
      </c>
      <c r="E2813" s="33" t="str">
        <f>VLOOKUP(F2813,辅助信息!A:B,2,FALSE)</f>
        <v>螺纹钢</v>
      </c>
      <c r="F2813" s="33" t="s">
        <v>76</v>
      </c>
      <c r="G2813" s="29">
        <v>3</v>
      </c>
      <c r="H2813" s="127">
        <f>_xlfn.XLOOKUP(C2813&amp;F2813&amp;I2813&amp;J2813,'[1]2025年已发货'!$F:$F&amp;'[1]2025年已发货'!$C:$C&amp;'[1]2025年已发货'!$G:$G&amp;'[1]2025年已发货'!$H:$H,'[1]2025年已发货'!$E:$E,"未发货")</f>
        <v>3</v>
      </c>
      <c r="I2813" s="33" t="str">
        <f>VLOOKUP(B2813,辅助信息!E:I,3,FALSE)</f>
        <v>(乐山市校地共建产教融合基地建设项目二标段)四川省乐山市市中区苏稽镇</v>
      </c>
      <c r="J2813" s="33" t="str">
        <f>VLOOKUP(B2813,辅助信息!E:I,4,FALSE)</f>
        <v>彭江涛</v>
      </c>
      <c r="K2813" s="33">
        <f>VLOOKUP(J2813,辅助信息!H:I,2,FALSE)</f>
        <v>13990276572</v>
      </c>
      <c r="L2813" s="102" t="str">
        <f>VLOOKUP(B2813,辅助信息!E:J,6,FALSE)</f>
        <v>联系实际收货人（彭江涛13990276572）现场要求炉批号控制2个以下，超2个不给予签收。提前联系到场规格及数量</v>
      </c>
      <c r="O2813" s="55" t="str">
        <f ca="1" t="shared" si="167"/>
        <v/>
      </c>
      <c r="P2813" s="55" t="str">
        <f ca="1" t="shared" si="168"/>
        <v/>
      </c>
      <c r="Q2813" s="22" t="str">
        <f>VLOOKUP(B2813,辅助信息!E:M,9,FALSE)</f>
        <v>ZTWM-CDGS-XS-2025-0126-四川机司-乐山市校地共建产教融合基地配套设施项目施工二标段钢筋采购合同</v>
      </c>
      <c r="R2813" s="22" t="str">
        <f>_xlfn._xlws.FILTER(辅助信息!D:D,辅助信息!E:E=B2813)</f>
        <v>乐山市校地共建产教融合基地建设项目二标段</v>
      </c>
    </row>
    <row r="2814" hidden="1" spans="2:18">
      <c r="B2814" s="128" t="s">
        <v>186</v>
      </c>
      <c r="C2814" s="63">
        <v>45887</v>
      </c>
      <c r="D2814" s="33" t="str">
        <f>VLOOKUP(B2814,辅助信息!E:K,7,FALSE)</f>
        <v>JWDDCD2025072900123</v>
      </c>
      <c r="E2814" s="33" t="str">
        <f>VLOOKUP(F2814,辅助信息!A:B,2,FALSE)</f>
        <v>螺纹钢</v>
      </c>
      <c r="F2814" s="33" t="s">
        <v>90</v>
      </c>
      <c r="G2814" s="29">
        <v>50</v>
      </c>
      <c r="H2814" s="127">
        <f>_xlfn.XLOOKUP(C2814&amp;F2814&amp;I2814&amp;J2814,'[1]2025年已发货'!$F:$F&amp;'[1]2025年已发货'!$C:$C&amp;'[1]2025年已发货'!$G:$G&amp;'[1]2025年已发货'!$H:$H,'[1]2025年已发货'!$E:$E,"未发货")</f>
        <v>15</v>
      </c>
      <c r="I2814" s="33" t="str">
        <f>VLOOKUP(B2814,辅助信息!E:I,3,FALSE)</f>
        <v>(乐山市校地共建产教融合基地建设项目二标段)四川省乐山市市中区苏稽镇</v>
      </c>
      <c r="J2814" s="33" t="str">
        <f>VLOOKUP(B2814,辅助信息!E:I,4,FALSE)</f>
        <v>彭江涛</v>
      </c>
      <c r="K2814" s="33">
        <f>VLOOKUP(J2814,辅助信息!H:I,2,FALSE)</f>
        <v>13990276572</v>
      </c>
      <c r="L2814" s="102" t="str">
        <f>VLOOKUP(B2814,辅助信息!E:J,6,FALSE)</f>
        <v>联系实际收货人（彭江涛13990276572）现场要求炉批号控制2个以下，超2个不给予签收。提前联系到场规格及数量</v>
      </c>
      <c r="O2814" s="55" t="str">
        <f ca="1" t="shared" si="167"/>
        <v/>
      </c>
      <c r="P2814" s="55" t="str">
        <f ca="1" t="shared" si="168"/>
        <v/>
      </c>
      <c r="Q2814" s="22" t="str">
        <f>VLOOKUP(B2814,辅助信息!E:M,9,FALSE)</f>
        <v>ZTWM-CDGS-XS-2025-0126-四川机司-乐山市校地共建产教融合基地配套设施项目施工二标段钢筋采购合同</v>
      </c>
      <c r="R2814" s="22" t="str">
        <f>_xlfn._xlws.FILTER(辅助信息!D:D,辅助信息!E:E=B2814)</f>
        <v>乐山市校地共建产教融合基地建设项目二标段</v>
      </c>
    </row>
    <row r="2815" hidden="1" spans="2:18">
      <c r="B2815" s="128" t="s">
        <v>186</v>
      </c>
      <c r="C2815" s="63">
        <v>45887</v>
      </c>
      <c r="D2815" s="33" t="str">
        <f>VLOOKUP(B2815,辅助信息!E:K,7,FALSE)</f>
        <v>JWDDCD2025072900123</v>
      </c>
      <c r="E2815" s="33" t="str">
        <f>VLOOKUP(F2815,辅助信息!A:B,2,FALSE)</f>
        <v>螺纹钢</v>
      </c>
      <c r="F2815" s="33" t="s">
        <v>130</v>
      </c>
      <c r="G2815" s="29">
        <v>10</v>
      </c>
      <c r="H2815" s="127">
        <f>_xlfn.XLOOKUP(C2815&amp;F2815&amp;I2815&amp;J2815,'[1]2025年已发货'!$F:$F&amp;'[1]2025年已发货'!$C:$C&amp;'[1]2025年已发货'!$G:$G&amp;'[1]2025年已发货'!$H:$H,'[1]2025年已发货'!$E:$E,"未发货")</f>
        <v>10</v>
      </c>
      <c r="I2815" s="33" t="str">
        <f>VLOOKUP(B2815,辅助信息!E:I,3,FALSE)</f>
        <v>(乐山市校地共建产教融合基地建设项目二标段)四川省乐山市市中区苏稽镇</v>
      </c>
      <c r="J2815" s="33" t="str">
        <f>VLOOKUP(B2815,辅助信息!E:I,4,FALSE)</f>
        <v>彭江涛</v>
      </c>
      <c r="K2815" s="33">
        <f>VLOOKUP(J2815,辅助信息!H:I,2,FALSE)</f>
        <v>13990276572</v>
      </c>
      <c r="L2815" s="102" t="str">
        <f>VLOOKUP(B2815,辅助信息!E:J,6,FALSE)</f>
        <v>联系实际收货人（彭江涛13990276572）现场要求炉批号控制2个以下，超2个不给予签收。提前联系到场规格及数量</v>
      </c>
      <c r="O2815" s="55" t="str">
        <f ca="1" t="shared" si="167"/>
        <v/>
      </c>
      <c r="P2815" s="55" t="str">
        <f ca="1" t="shared" si="168"/>
        <v/>
      </c>
      <c r="Q2815" s="22" t="str">
        <f>VLOOKUP(B2815,辅助信息!E:M,9,FALSE)</f>
        <v>ZTWM-CDGS-XS-2025-0126-四川机司-乐山市校地共建产教融合基地配套设施项目施工二标段钢筋采购合同</v>
      </c>
      <c r="R2815" s="22" t="str">
        <f>_xlfn._xlws.FILTER(辅助信息!D:D,辅助信息!E:E=B2815)</f>
        <v>乐山市校地共建产教融合基地建设项目二标段</v>
      </c>
    </row>
    <row r="2816" hidden="1" spans="2:18">
      <c r="B2816" s="128" t="s">
        <v>186</v>
      </c>
      <c r="C2816" s="63">
        <v>45887</v>
      </c>
      <c r="D2816" s="33" t="str">
        <f>VLOOKUP(B2816,辅助信息!E:K,7,FALSE)</f>
        <v>JWDDCD2025072900123</v>
      </c>
      <c r="E2816" s="33" t="str">
        <f>VLOOKUP(F2816,辅助信息!A:B,2,FALSE)</f>
        <v>螺纹钢</v>
      </c>
      <c r="F2816" s="33" t="s">
        <v>138</v>
      </c>
      <c r="G2816" s="29">
        <v>10</v>
      </c>
      <c r="H2816" s="127">
        <f>_xlfn.XLOOKUP(C2816&amp;F2816&amp;I2816&amp;J2816,'[1]2025年已发货'!$F:$F&amp;'[1]2025年已发货'!$C:$C&amp;'[1]2025年已发货'!$G:$G&amp;'[1]2025年已发货'!$H:$H,'[1]2025年已发货'!$E:$E,"未发货")</f>
        <v>10</v>
      </c>
      <c r="I2816" s="33" t="str">
        <f>VLOOKUP(B2816,辅助信息!E:I,3,FALSE)</f>
        <v>(乐山市校地共建产教融合基地建设项目二标段)四川省乐山市市中区苏稽镇</v>
      </c>
      <c r="J2816" s="33" t="str">
        <f>VLOOKUP(B2816,辅助信息!E:I,4,FALSE)</f>
        <v>彭江涛</v>
      </c>
      <c r="K2816" s="33">
        <f>VLOOKUP(J2816,辅助信息!H:I,2,FALSE)</f>
        <v>13990276572</v>
      </c>
      <c r="L2816" s="102" t="str">
        <f>VLOOKUP(B2816,辅助信息!E:J,6,FALSE)</f>
        <v>联系实际收货人（彭江涛13990276572）现场要求炉批号控制2个以下，超2个不给予签收。提前联系到场规格及数量</v>
      </c>
      <c r="O2816" s="55" t="str">
        <f ca="1" t="shared" si="167"/>
        <v/>
      </c>
      <c r="P2816" s="55" t="str">
        <f ca="1" t="shared" si="168"/>
        <v/>
      </c>
      <c r="Q2816" s="22" t="str">
        <f>VLOOKUP(B2816,辅助信息!E:M,9,FALSE)</f>
        <v>ZTWM-CDGS-XS-2025-0126-四川机司-乐山市校地共建产教融合基地配套设施项目施工二标段钢筋采购合同</v>
      </c>
      <c r="R2816" s="22" t="str">
        <f>_xlfn._xlws.FILTER(辅助信息!D:D,辅助信息!E:E=B2816)</f>
        <v>乐山市校地共建产教融合基地建设项目二标段</v>
      </c>
    </row>
    <row r="2817" hidden="1" spans="2:18">
      <c r="B2817" s="128" t="s">
        <v>186</v>
      </c>
      <c r="C2817" s="63">
        <v>45887</v>
      </c>
      <c r="D2817" s="33" t="str">
        <f>VLOOKUP(B2817,辅助信息!E:K,7,FALSE)</f>
        <v>JWDDCD2025072900123</v>
      </c>
      <c r="E2817" s="33" t="str">
        <f>VLOOKUP(F2817,辅助信息!A:B,2,FALSE)</f>
        <v>螺纹钢</v>
      </c>
      <c r="F2817" s="33" t="s">
        <v>133</v>
      </c>
      <c r="G2817" s="29">
        <v>23</v>
      </c>
      <c r="H2817" s="127">
        <f>_xlfn.XLOOKUP(C2817&amp;F2817&amp;I2817&amp;J2817,'[1]2025年已发货'!$F:$F&amp;'[1]2025年已发货'!$C:$C&amp;'[1]2025年已发货'!$G:$G&amp;'[1]2025年已发货'!$H:$H,'[1]2025年已发货'!$E:$E,"未发货")</f>
        <v>23</v>
      </c>
      <c r="I2817" s="33" t="str">
        <f>VLOOKUP(B2817,辅助信息!E:I,3,FALSE)</f>
        <v>(乐山市校地共建产教融合基地建设项目二标段)四川省乐山市市中区苏稽镇</v>
      </c>
      <c r="J2817" s="33" t="str">
        <f>VLOOKUP(B2817,辅助信息!E:I,4,FALSE)</f>
        <v>彭江涛</v>
      </c>
      <c r="K2817" s="33">
        <f>VLOOKUP(J2817,辅助信息!H:I,2,FALSE)</f>
        <v>13990276572</v>
      </c>
      <c r="L2817" s="102" t="str">
        <f>VLOOKUP(B2817,辅助信息!E:J,6,FALSE)</f>
        <v>联系实际收货人（彭江涛13990276572）现场要求炉批号控制2个以下，超2个不给予签收。提前联系到场规格及数量</v>
      </c>
      <c r="O2817" s="55" t="str">
        <f ca="1" t="shared" si="167"/>
        <v/>
      </c>
      <c r="P2817" s="55" t="str">
        <f ca="1" t="shared" si="168"/>
        <v/>
      </c>
      <c r="Q2817" s="22" t="str">
        <f>VLOOKUP(B2817,辅助信息!E:M,9,FALSE)</f>
        <v>ZTWM-CDGS-XS-2025-0126-四川机司-乐山市校地共建产教融合基地配套设施项目施工二标段钢筋采购合同</v>
      </c>
      <c r="R2817" s="22" t="str">
        <f>_xlfn._xlws.FILTER(辅助信息!D:D,辅助信息!E:E=B2817)</f>
        <v>乐山市校地共建产教融合基地建设项目二标段</v>
      </c>
    </row>
    <row r="2818" hidden="1" spans="2:18">
      <c r="B2818" s="128" t="s">
        <v>186</v>
      </c>
      <c r="C2818" s="63">
        <v>45887</v>
      </c>
      <c r="D2818" s="33" t="str">
        <f>VLOOKUP(B2818,辅助信息!E:K,7,FALSE)</f>
        <v>JWDDCD2025072900123</v>
      </c>
      <c r="E2818" s="33" t="str">
        <f>VLOOKUP(F2818,辅助信息!A:B,2,FALSE)</f>
        <v>螺纹钢</v>
      </c>
      <c r="F2818" s="33" t="s">
        <v>91</v>
      </c>
      <c r="G2818" s="29">
        <v>15</v>
      </c>
      <c r="H2818" s="127">
        <f>_xlfn.XLOOKUP(C2818&amp;F2818&amp;I2818&amp;J2818,'[1]2025年已发货'!$F:$F&amp;'[1]2025年已发货'!$C:$C&amp;'[1]2025年已发货'!$G:$G&amp;'[1]2025年已发货'!$H:$H,'[1]2025年已发货'!$E:$E,"未发货")</f>
        <v>10</v>
      </c>
      <c r="I2818" s="33" t="str">
        <f>VLOOKUP(B2818,辅助信息!E:I,3,FALSE)</f>
        <v>(乐山市校地共建产教融合基地建设项目二标段)四川省乐山市市中区苏稽镇</v>
      </c>
      <c r="J2818" s="33" t="str">
        <f>VLOOKUP(B2818,辅助信息!E:I,4,FALSE)</f>
        <v>彭江涛</v>
      </c>
      <c r="K2818" s="33">
        <f>VLOOKUP(J2818,辅助信息!H:I,2,FALSE)</f>
        <v>13990276572</v>
      </c>
      <c r="L2818" s="102" t="str">
        <f>VLOOKUP(B2818,辅助信息!E:J,6,FALSE)</f>
        <v>联系实际收货人（彭江涛13990276572）现场要求炉批号控制2个以下，超2个不给予签收。提前联系到场规格及数量</v>
      </c>
      <c r="O2818" s="55" t="str">
        <f ca="1" t="shared" si="167"/>
        <v/>
      </c>
      <c r="P2818" s="55" t="str">
        <f ca="1" t="shared" si="168"/>
        <v/>
      </c>
      <c r="Q2818" s="22" t="str">
        <f>VLOOKUP(B2818,辅助信息!E:M,9,FALSE)</f>
        <v>ZTWM-CDGS-XS-2025-0126-四川机司-乐山市校地共建产教融合基地配套设施项目施工二标段钢筋采购合同</v>
      </c>
      <c r="R2818" s="22" t="str">
        <f>_xlfn._xlws.FILTER(辅助信息!D:D,辅助信息!E:E=B2818)</f>
        <v>乐山市校地共建产教融合基地建设项目二标段</v>
      </c>
    </row>
    <row r="2819" hidden="1" spans="2:18">
      <c r="B2819" s="128" t="s">
        <v>186</v>
      </c>
      <c r="C2819" s="63">
        <v>45887</v>
      </c>
      <c r="D2819" s="33" t="str">
        <f>VLOOKUP(B2819,辅助信息!E:K,7,FALSE)</f>
        <v>JWDDCD2025072900123</v>
      </c>
      <c r="E2819" s="33" t="str">
        <f>VLOOKUP(F2819,辅助信息!A:B,2,FALSE)</f>
        <v>螺纹钢</v>
      </c>
      <c r="F2819" s="33" t="s">
        <v>205</v>
      </c>
      <c r="G2819" s="29">
        <v>7</v>
      </c>
      <c r="H2819" s="127">
        <f>_xlfn.XLOOKUP(C2819&amp;F2819&amp;I2819&amp;J2819,'[1]2025年已发货'!$F:$F&amp;'[1]2025年已发货'!$C:$C&amp;'[1]2025年已发货'!$G:$G&amp;'[1]2025年已发货'!$H:$H,'[1]2025年已发货'!$E:$E,"未发货")</f>
        <v>7</v>
      </c>
      <c r="I2819" s="33" t="str">
        <f>VLOOKUP(B2819,辅助信息!E:I,3,FALSE)</f>
        <v>(乐山市校地共建产教融合基地建设项目二标段)四川省乐山市市中区苏稽镇</v>
      </c>
      <c r="J2819" s="33" t="str">
        <f>VLOOKUP(B2819,辅助信息!E:I,4,FALSE)</f>
        <v>彭江涛</v>
      </c>
      <c r="K2819" s="33">
        <f>VLOOKUP(J2819,辅助信息!H:I,2,FALSE)</f>
        <v>13990276572</v>
      </c>
      <c r="L2819" s="102" t="str">
        <f>VLOOKUP(B2819,辅助信息!E:J,6,FALSE)</f>
        <v>联系实际收货人（彭江涛13990276572）现场要求炉批号控制2个以下，超2个不给予签收。提前联系到场规格及数量</v>
      </c>
      <c r="O2819" s="55" t="str">
        <f ca="1" t="shared" si="167"/>
        <v/>
      </c>
      <c r="P2819" s="55" t="str">
        <f ca="1" t="shared" si="168"/>
        <v/>
      </c>
      <c r="Q2819" s="22" t="str">
        <f>VLOOKUP(B2819,辅助信息!E:M,9,FALSE)</f>
        <v>ZTWM-CDGS-XS-2025-0126-四川机司-乐山市校地共建产教融合基地配套设施项目施工二标段钢筋采购合同</v>
      </c>
      <c r="R2819" s="22" t="str">
        <f>_xlfn._xlws.FILTER(辅助信息!D:D,辅助信息!E:E=B2819)</f>
        <v>乐山市校地共建产教融合基地建设项目二标段</v>
      </c>
    </row>
    <row r="2820" hidden="1" spans="2:18">
      <c r="B2820" s="128" t="s">
        <v>186</v>
      </c>
      <c r="C2820" s="63">
        <v>45887</v>
      </c>
      <c r="D2820" s="33" t="str">
        <f>VLOOKUP(B2820,辅助信息!E:K,7,FALSE)</f>
        <v>JWDDCD2025072900123</v>
      </c>
      <c r="E2820" s="33" t="str">
        <f>VLOOKUP(F2820,辅助信息!A:B,2,FALSE)</f>
        <v>螺纹钢</v>
      </c>
      <c r="F2820" s="33" t="s">
        <v>140</v>
      </c>
      <c r="G2820" s="29">
        <v>3</v>
      </c>
      <c r="H2820" s="127">
        <f>_xlfn.XLOOKUP(C2820&amp;F2820&amp;I2820&amp;J2820,'[1]2025年已发货'!$F:$F&amp;'[1]2025年已发货'!$C:$C&amp;'[1]2025年已发货'!$G:$G&amp;'[1]2025年已发货'!$H:$H,'[1]2025年已发货'!$E:$E,"未发货")</f>
        <v>3</v>
      </c>
      <c r="I2820" s="33" t="str">
        <f>VLOOKUP(B2820,辅助信息!E:I,3,FALSE)</f>
        <v>(乐山市校地共建产教融合基地建设项目二标段)四川省乐山市市中区苏稽镇</v>
      </c>
      <c r="J2820" s="33" t="str">
        <f>VLOOKUP(B2820,辅助信息!E:I,4,FALSE)</f>
        <v>彭江涛</v>
      </c>
      <c r="K2820" s="33">
        <f>VLOOKUP(J2820,辅助信息!H:I,2,FALSE)</f>
        <v>13990276572</v>
      </c>
      <c r="L2820" s="102" t="str">
        <f>VLOOKUP(B2820,辅助信息!E:J,6,FALSE)</f>
        <v>联系实际收货人（彭江涛13990276572）现场要求炉批号控制2个以下，超2个不给予签收。提前联系到场规格及数量</v>
      </c>
      <c r="O2820" s="55" t="str">
        <f ca="1" t="shared" si="167"/>
        <v/>
      </c>
      <c r="P2820" s="55" t="str">
        <f ca="1" t="shared" si="168"/>
        <v/>
      </c>
      <c r="Q2820" s="22" t="str">
        <f>VLOOKUP(B2820,辅助信息!E:M,9,FALSE)</f>
        <v>ZTWM-CDGS-XS-2025-0126-四川机司-乐山市校地共建产教融合基地配套设施项目施工二标段钢筋采购合同</v>
      </c>
      <c r="R2820" s="22" t="str">
        <f>_xlfn._xlws.FILTER(辅助信息!D:D,辅助信息!E:E=B2820)</f>
        <v>乐山市校地共建产教融合基地建设项目二标段</v>
      </c>
    </row>
    <row r="2821" hidden="1" spans="2:18">
      <c r="B2821" s="128" t="s">
        <v>186</v>
      </c>
      <c r="C2821" s="63">
        <v>45887</v>
      </c>
      <c r="D2821" s="33" t="str">
        <f>VLOOKUP(B2821,辅助信息!E:K,7,FALSE)</f>
        <v>JWDDCD2025072900123</v>
      </c>
      <c r="E2821" s="33" t="str">
        <f>VLOOKUP(F2821,辅助信息!A:B,2,FALSE)</f>
        <v>螺纹钢</v>
      </c>
      <c r="F2821" s="33" t="s">
        <v>197</v>
      </c>
      <c r="G2821" s="29">
        <v>3</v>
      </c>
      <c r="H2821" s="127">
        <f>_xlfn.XLOOKUP(C2821&amp;F2821&amp;I2821&amp;J2821,'[1]2025年已发货'!$F:$F&amp;'[1]2025年已发货'!$C:$C&amp;'[1]2025年已发货'!$G:$G&amp;'[1]2025年已发货'!$H:$H,'[1]2025年已发货'!$E:$E,"未发货")</f>
        <v>3</v>
      </c>
      <c r="I2821" s="33" t="str">
        <f>VLOOKUP(B2821,辅助信息!E:I,3,FALSE)</f>
        <v>(乐山市校地共建产教融合基地建设项目二标段)四川省乐山市市中区苏稽镇</v>
      </c>
      <c r="J2821" s="33" t="str">
        <f>VLOOKUP(B2821,辅助信息!E:I,4,FALSE)</f>
        <v>彭江涛</v>
      </c>
      <c r="K2821" s="33">
        <f>VLOOKUP(J2821,辅助信息!H:I,2,FALSE)</f>
        <v>13990276572</v>
      </c>
      <c r="L2821" s="102" t="str">
        <f>VLOOKUP(B2821,辅助信息!E:J,6,FALSE)</f>
        <v>联系实际收货人（彭江涛13990276572）现场要求炉批号控制2个以下，超2个不给予签收。提前联系到场规格及数量</v>
      </c>
      <c r="O2821" s="55" t="str">
        <f ca="1" t="shared" si="167"/>
        <v/>
      </c>
      <c r="P2821" s="55" t="str">
        <f ca="1" t="shared" si="168"/>
        <v/>
      </c>
      <c r="Q2821" s="22" t="str">
        <f>VLOOKUP(B2821,辅助信息!E:M,9,FALSE)</f>
        <v>ZTWM-CDGS-XS-2025-0126-四川机司-乐山市校地共建产教融合基地配套设施项目施工二标段钢筋采购合同</v>
      </c>
      <c r="R2821" s="22" t="str">
        <f>_xlfn._xlws.FILTER(辅助信息!D:D,辅助信息!E:E=B2821)</f>
        <v>乐山市校地共建产教融合基地建设项目二标段</v>
      </c>
    </row>
    <row r="2822" hidden="1" spans="2:18">
      <c r="B2822" s="128" t="s">
        <v>186</v>
      </c>
      <c r="C2822" s="63">
        <v>45887</v>
      </c>
      <c r="D2822" s="33" t="str">
        <f>VLOOKUP(B2822,辅助信息!E:K,7,FALSE)</f>
        <v>JWDDCD2025072900123</v>
      </c>
      <c r="E2822" s="33" t="str">
        <f>VLOOKUP(F2822,辅助信息!A:B,2,FALSE)</f>
        <v>螺纹钢</v>
      </c>
      <c r="F2822" s="33" t="s">
        <v>198</v>
      </c>
      <c r="G2822" s="29">
        <v>3</v>
      </c>
      <c r="H2822" s="127">
        <f>_xlfn.XLOOKUP(C2822&amp;F2822&amp;I2822&amp;J2822,'[1]2025年已发货'!$F:$F&amp;'[1]2025年已发货'!$C:$C&amp;'[1]2025年已发货'!$G:$G&amp;'[1]2025年已发货'!$H:$H,'[1]2025年已发货'!$E:$E,"未发货")</f>
        <v>3</v>
      </c>
      <c r="I2822" s="33" t="str">
        <f>VLOOKUP(B2822,辅助信息!E:I,3,FALSE)</f>
        <v>(乐山市校地共建产教融合基地建设项目二标段)四川省乐山市市中区苏稽镇</v>
      </c>
      <c r="J2822" s="33" t="str">
        <f>VLOOKUP(B2822,辅助信息!E:I,4,FALSE)</f>
        <v>彭江涛</v>
      </c>
      <c r="K2822" s="33">
        <f>VLOOKUP(J2822,辅助信息!H:I,2,FALSE)</f>
        <v>13990276572</v>
      </c>
      <c r="L2822" s="102" t="str">
        <f>VLOOKUP(B2822,辅助信息!E:J,6,FALSE)</f>
        <v>联系实际收货人（彭江涛13990276572）现场要求炉批号控制2个以下，超2个不给予签收。提前联系到场规格及数量</v>
      </c>
      <c r="O2822" s="55" t="str">
        <f ca="1" t="shared" si="167"/>
        <v/>
      </c>
      <c r="P2822" s="55" t="str">
        <f ca="1" t="shared" si="168"/>
        <v/>
      </c>
      <c r="Q2822" s="22" t="str">
        <f>VLOOKUP(B2822,辅助信息!E:M,9,FALSE)</f>
        <v>ZTWM-CDGS-XS-2025-0126-四川机司-乐山市校地共建产教融合基地配套设施项目施工二标段钢筋采购合同</v>
      </c>
      <c r="R2822" s="22" t="str">
        <f>_xlfn._xlws.FILTER(辅助信息!D:D,辅助信息!E:E=B2822)</f>
        <v>乐山市校地共建产教融合基地建设项目二标段</v>
      </c>
    </row>
    <row r="2823" hidden="1" spans="2:18">
      <c r="B2823" s="128" t="s">
        <v>186</v>
      </c>
      <c r="C2823" s="63">
        <v>45887</v>
      </c>
      <c r="D2823" s="33" t="str">
        <f>VLOOKUP(B2823,辅助信息!E:K,7,FALSE)</f>
        <v>JWDDCD2025072900123</v>
      </c>
      <c r="E2823" s="33" t="str">
        <f>VLOOKUP(F2823,辅助信息!A:B,2,FALSE)</f>
        <v>螺纹钢</v>
      </c>
      <c r="F2823" s="33" t="s">
        <v>199</v>
      </c>
      <c r="G2823" s="29">
        <v>7</v>
      </c>
      <c r="H2823" s="127">
        <f>_xlfn.XLOOKUP(C2823&amp;F2823&amp;I2823&amp;J2823,'[1]2025年已发货'!$F:$F&amp;'[1]2025年已发货'!$C:$C&amp;'[1]2025年已发货'!$G:$G&amp;'[1]2025年已发货'!$H:$H,'[1]2025年已发货'!$E:$E,"未发货")</f>
        <v>7</v>
      </c>
      <c r="I2823" s="33" t="str">
        <f>VLOOKUP(B2823,辅助信息!E:I,3,FALSE)</f>
        <v>(乐山市校地共建产教融合基地建设项目二标段)四川省乐山市市中区苏稽镇</v>
      </c>
      <c r="J2823" s="33" t="str">
        <f>VLOOKUP(B2823,辅助信息!E:I,4,FALSE)</f>
        <v>彭江涛</v>
      </c>
      <c r="K2823" s="33">
        <f>VLOOKUP(J2823,辅助信息!H:I,2,FALSE)</f>
        <v>13990276572</v>
      </c>
      <c r="L2823" s="102" t="str">
        <f>VLOOKUP(B2823,辅助信息!E:J,6,FALSE)</f>
        <v>联系实际收货人（彭江涛13990276572）现场要求炉批号控制2个以下，超2个不给予签收。提前联系到场规格及数量</v>
      </c>
      <c r="O2823" s="55" t="str">
        <f ca="1" t="shared" si="167"/>
        <v/>
      </c>
      <c r="P2823" s="55" t="str">
        <f ca="1" t="shared" si="168"/>
        <v/>
      </c>
      <c r="Q2823" s="22" t="str">
        <f>VLOOKUP(B2823,辅助信息!E:M,9,FALSE)</f>
        <v>ZTWM-CDGS-XS-2025-0126-四川机司-乐山市校地共建产教融合基地配套设施项目施工二标段钢筋采购合同</v>
      </c>
      <c r="R2823" s="22" t="str">
        <f>_xlfn._xlws.FILTER(辅助信息!D:D,辅助信息!E:E=B2823)</f>
        <v>乐山市校地共建产教融合基地建设项目二标段</v>
      </c>
    </row>
    <row r="2824" hidden="1" spans="2:18">
      <c r="B2824" s="128" t="s">
        <v>186</v>
      </c>
      <c r="C2824" s="63">
        <v>45887</v>
      </c>
      <c r="D2824" s="33" t="str">
        <f>VLOOKUP(B2824,辅助信息!E:K,7,FALSE)</f>
        <v>JWDDCD2025072900123</v>
      </c>
      <c r="E2824" s="33" t="str">
        <f>VLOOKUP(F2824,辅助信息!A:B,2,FALSE)</f>
        <v>螺纹钢</v>
      </c>
      <c r="F2824" s="33" t="s">
        <v>141</v>
      </c>
      <c r="G2824" s="29">
        <v>13</v>
      </c>
      <c r="H2824" s="127">
        <f>_xlfn.XLOOKUP(C2824&amp;F2824&amp;I2824&amp;J2824,'[1]2025年已发货'!$F:$F&amp;'[1]2025年已发货'!$C:$C&amp;'[1]2025年已发货'!$G:$G&amp;'[1]2025年已发货'!$H:$H,'[1]2025年已发货'!$E:$E,"未发货")</f>
        <v>13</v>
      </c>
      <c r="I2824" s="33" t="str">
        <f>VLOOKUP(B2824,辅助信息!E:I,3,FALSE)</f>
        <v>(乐山市校地共建产教融合基地建设项目二标段)四川省乐山市市中区苏稽镇</v>
      </c>
      <c r="J2824" s="33" t="str">
        <f>VLOOKUP(B2824,辅助信息!E:I,4,FALSE)</f>
        <v>彭江涛</v>
      </c>
      <c r="K2824" s="33">
        <f>VLOOKUP(J2824,辅助信息!H:I,2,FALSE)</f>
        <v>13990276572</v>
      </c>
      <c r="L2824" s="102" t="str">
        <f>VLOOKUP(B2824,辅助信息!E:J,6,FALSE)</f>
        <v>联系实际收货人（彭江涛13990276572）现场要求炉批号控制2个以下，超2个不给予签收。提前联系到场规格及数量</v>
      </c>
      <c r="O2824" s="55" t="str">
        <f ca="1" t="shared" si="167"/>
        <v/>
      </c>
      <c r="P2824" s="55" t="str">
        <f ca="1" t="shared" si="168"/>
        <v/>
      </c>
      <c r="Q2824" s="22" t="str">
        <f>VLOOKUP(B2824,辅助信息!E:M,9,FALSE)</f>
        <v>ZTWM-CDGS-XS-2025-0126-四川机司-乐山市校地共建产教融合基地配套设施项目施工二标段钢筋采购合同</v>
      </c>
      <c r="R2824" s="22" t="str">
        <f>_xlfn._xlws.FILTER(辅助信息!D:D,辅助信息!E:E=B2824)</f>
        <v>乐山市校地共建产教融合基地建设项目二标段</v>
      </c>
    </row>
    <row r="2825" hidden="1" spans="2:18">
      <c r="B2825" s="128" t="s">
        <v>186</v>
      </c>
      <c r="C2825" s="63">
        <v>45887</v>
      </c>
      <c r="D2825" s="33" t="str">
        <f>VLOOKUP(B2825,辅助信息!E:K,7,FALSE)</f>
        <v>JWDDCD2025072900123</v>
      </c>
      <c r="E2825" s="33" t="str">
        <f>VLOOKUP(F2825,辅助信息!A:B,2,FALSE)</f>
        <v>螺纹钢</v>
      </c>
      <c r="F2825" s="33" t="s">
        <v>142</v>
      </c>
      <c r="G2825" s="29">
        <v>35</v>
      </c>
      <c r="H2825" s="127">
        <f>_xlfn.XLOOKUP(C2825&amp;F2825&amp;I2825&amp;J2825,'[1]2025年已发货'!$F:$F&amp;'[1]2025年已发货'!$C:$C&amp;'[1]2025年已发货'!$G:$G&amp;'[1]2025年已发货'!$H:$H,'[1]2025年已发货'!$E:$E,"未发货")</f>
        <v>35</v>
      </c>
      <c r="I2825" s="33" t="str">
        <f>VLOOKUP(B2825,辅助信息!E:I,3,FALSE)</f>
        <v>(乐山市校地共建产教融合基地建设项目二标段)四川省乐山市市中区苏稽镇</v>
      </c>
      <c r="J2825" s="33" t="str">
        <f>VLOOKUP(B2825,辅助信息!E:I,4,FALSE)</f>
        <v>彭江涛</v>
      </c>
      <c r="K2825" s="33">
        <f>VLOOKUP(J2825,辅助信息!H:I,2,FALSE)</f>
        <v>13990276572</v>
      </c>
      <c r="L2825" s="102" t="str">
        <f>VLOOKUP(B2825,辅助信息!E:J,6,FALSE)</f>
        <v>联系实际收货人（彭江涛13990276572）现场要求炉批号控制2个以下，超2个不给予签收。提前联系到场规格及数量</v>
      </c>
      <c r="O2825" s="55" t="str">
        <f ca="1" t="shared" si="167"/>
        <v/>
      </c>
      <c r="P2825" s="55" t="str">
        <f ca="1" t="shared" si="168"/>
        <v/>
      </c>
      <c r="Q2825" s="22" t="str">
        <f>VLOOKUP(B2825,辅助信息!E:M,9,FALSE)</f>
        <v>ZTWM-CDGS-XS-2025-0126-四川机司-乐山市校地共建产教融合基地配套设施项目施工二标段钢筋采购合同</v>
      </c>
      <c r="R2825" s="22" t="str">
        <f>_xlfn._xlws.FILTER(辅助信息!D:D,辅助信息!E:E=B2825)</f>
        <v>乐山市校地共建产教融合基地建设项目二标段</v>
      </c>
    </row>
    <row r="2826" hidden="1" spans="2:18">
      <c r="B2826" s="33" t="s">
        <v>68</v>
      </c>
      <c r="C2826" s="63">
        <v>45887</v>
      </c>
      <c r="D2826" s="33" t="str">
        <f>VLOOKUP(B2826,辅助信息!E:K,7,FALSE)</f>
        <v>JWDDCD2025052800131</v>
      </c>
      <c r="E2826" s="33" t="str">
        <f>VLOOKUP(F2826,辅助信息!A:B,2,FALSE)</f>
        <v>盘螺</v>
      </c>
      <c r="F2826" s="33" t="s">
        <v>49</v>
      </c>
      <c r="G2826" s="29">
        <v>3</v>
      </c>
      <c r="H2826" s="127">
        <f>_xlfn.XLOOKUP(C2826&amp;F2826&amp;I2826&amp;J2826,'[1]2025年已发货'!$F:$F&amp;'[1]2025年已发货'!$C:$C&amp;'[1]2025年已发货'!$G:$G&amp;'[1]2025年已发货'!$H:$H,'[1]2025年已发货'!$E:$E,"未发货")</f>
        <v>3</v>
      </c>
      <c r="I2826" s="33" t="str">
        <f>VLOOKUP(B2826,辅助信息!E:I,3,FALSE)</f>
        <v>（商投建工达州中医药科技园-2工区-景观桥）达州市通川区达州中医药职业学院犀牛大道北段</v>
      </c>
      <c r="J2826" s="33" t="str">
        <f>VLOOKUP(B2826,辅助信息!E:I,4,FALSE)</f>
        <v>李波</v>
      </c>
      <c r="K2826" s="33">
        <f>VLOOKUP(J2826,辅助信息!H:I,2,FALSE)</f>
        <v>18381899787</v>
      </c>
      <c r="L2826" s="102" t="str">
        <f>VLOOKUP(B2826,辅助信息!E:J,6,FALSE)</f>
        <v>控制炉批号！多了现场不收！,优先安排达钢,提前联系到场规格及数量</v>
      </c>
      <c r="O2826" s="55" t="str">
        <f ca="1" t="shared" si="167"/>
        <v/>
      </c>
      <c r="P2826" s="55" t="str">
        <f ca="1" t="shared" si="168"/>
        <v/>
      </c>
      <c r="Q2826" s="22" t="str">
        <f>VLOOKUP(B2826,辅助信息!E:M,9,FALSE)</f>
        <v>ZTWM-CDGS-XS-2024-0134-商投建工达州中医药科技成果示范园项目</v>
      </c>
      <c r="R2826" s="22" t="str">
        <f>_xlfn._xlws.FILTER(辅助信息!D:D,辅助信息!E:E=B2826)</f>
        <v>商投建工达州中医药科技园</v>
      </c>
    </row>
    <row r="2827" hidden="1" spans="2:18">
      <c r="B2827" s="33" t="s">
        <v>68</v>
      </c>
      <c r="C2827" s="63">
        <v>45887</v>
      </c>
      <c r="D2827" s="33" t="str">
        <f>VLOOKUP(B2827,辅助信息!E:K,7,FALSE)</f>
        <v>JWDDCD2025052800131</v>
      </c>
      <c r="E2827" s="33" t="str">
        <f>VLOOKUP(F2827,辅助信息!A:B,2,FALSE)</f>
        <v>盘螺</v>
      </c>
      <c r="F2827" s="33" t="s">
        <v>40</v>
      </c>
      <c r="G2827" s="29">
        <v>12</v>
      </c>
      <c r="H2827" s="127">
        <f>_xlfn.XLOOKUP(C2827&amp;F2827&amp;I2827&amp;J2827,'[1]2025年已发货'!$F:$F&amp;'[1]2025年已发货'!$C:$C&amp;'[1]2025年已发货'!$G:$G&amp;'[1]2025年已发货'!$H:$H,'[1]2025年已发货'!$E:$E,"未发货")</f>
        <v>12</v>
      </c>
      <c r="I2827" s="33" t="str">
        <f>VLOOKUP(B2827,辅助信息!E:I,3,FALSE)</f>
        <v>（商投建工达州中医药科技园-2工区-景观桥）达州市通川区达州中医药职业学院犀牛大道北段</v>
      </c>
      <c r="J2827" s="33" t="str">
        <f>VLOOKUP(B2827,辅助信息!E:I,4,FALSE)</f>
        <v>李波</v>
      </c>
      <c r="K2827" s="33">
        <f>VLOOKUP(J2827,辅助信息!H:I,2,FALSE)</f>
        <v>18381899787</v>
      </c>
      <c r="L2827" s="102" t="str">
        <f>VLOOKUP(B2827,辅助信息!E:J,6,FALSE)</f>
        <v>控制炉批号！多了现场不收！,优先安排达钢,提前联系到场规格及数量</v>
      </c>
      <c r="O2827" s="55" t="str">
        <f ca="1" t="shared" si="167"/>
        <v/>
      </c>
      <c r="P2827" s="55" t="str">
        <f ca="1" t="shared" si="168"/>
        <v/>
      </c>
      <c r="Q2827" s="22" t="str">
        <f>VLOOKUP(B2827,辅助信息!E:M,9,FALSE)</f>
        <v>ZTWM-CDGS-XS-2024-0134-商投建工达州中医药科技成果示范园项目</v>
      </c>
      <c r="R2827" s="22" t="str">
        <f>_xlfn._xlws.FILTER(辅助信息!D:D,辅助信息!E:E=B2827)</f>
        <v>商投建工达州中医药科技园</v>
      </c>
    </row>
    <row r="2828" hidden="1" spans="2:18">
      <c r="B2828" s="33" t="s">
        <v>68</v>
      </c>
      <c r="C2828" s="63">
        <v>45887</v>
      </c>
      <c r="D2828" s="33" t="str">
        <f>VLOOKUP(B2828,辅助信息!E:K,7,FALSE)</f>
        <v>JWDDCD2025052800131</v>
      </c>
      <c r="E2828" s="33" t="str">
        <f>VLOOKUP(F2828,辅助信息!A:B,2,FALSE)</f>
        <v>盘螺</v>
      </c>
      <c r="F2828" s="33" t="s">
        <v>41</v>
      </c>
      <c r="G2828" s="29">
        <v>10</v>
      </c>
      <c r="H2828" s="127">
        <f>_xlfn.XLOOKUP(C2828&amp;F2828&amp;I2828&amp;J2828,'[1]2025年已发货'!$F:$F&amp;'[1]2025年已发货'!$C:$C&amp;'[1]2025年已发货'!$G:$G&amp;'[1]2025年已发货'!$H:$H,'[1]2025年已发货'!$E:$E,"未发货")</f>
        <v>10</v>
      </c>
      <c r="I2828" s="33" t="str">
        <f>VLOOKUP(B2828,辅助信息!E:I,3,FALSE)</f>
        <v>（商投建工达州中医药科技园-2工区-景观桥）达州市通川区达州中医药职业学院犀牛大道北段</v>
      </c>
      <c r="J2828" s="33" t="str">
        <f>VLOOKUP(B2828,辅助信息!E:I,4,FALSE)</f>
        <v>李波</v>
      </c>
      <c r="K2828" s="33">
        <f>VLOOKUP(J2828,辅助信息!H:I,2,FALSE)</f>
        <v>18381899787</v>
      </c>
      <c r="L2828" s="102" t="str">
        <f>VLOOKUP(B2828,辅助信息!E:J,6,FALSE)</f>
        <v>控制炉批号！多了现场不收！,优先安排达钢,提前联系到场规格及数量</v>
      </c>
      <c r="O2828" s="55" t="str">
        <f ca="1" t="shared" si="167"/>
        <v/>
      </c>
      <c r="P2828" s="55" t="str">
        <f ca="1" t="shared" si="168"/>
        <v/>
      </c>
      <c r="Q2828" s="22" t="str">
        <f>VLOOKUP(B2828,辅助信息!E:M,9,FALSE)</f>
        <v>ZTWM-CDGS-XS-2024-0134-商投建工达州中医药科技成果示范园项目</v>
      </c>
      <c r="R2828" s="22" t="str">
        <f>_xlfn._xlws.FILTER(辅助信息!D:D,辅助信息!E:E=B2828)</f>
        <v>商投建工达州中医药科技园</v>
      </c>
    </row>
    <row r="2829" hidden="1" spans="2:18">
      <c r="B2829" s="33" t="s">
        <v>68</v>
      </c>
      <c r="C2829" s="63">
        <v>45887</v>
      </c>
      <c r="D2829" s="33" t="str">
        <f>VLOOKUP(B2829,辅助信息!E:K,7,FALSE)</f>
        <v>JWDDCD2025052800131</v>
      </c>
      <c r="E2829" s="33" t="str">
        <f>VLOOKUP(F2829,辅助信息!A:B,2,FALSE)</f>
        <v>螺纹钢</v>
      </c>
      <c r="F2829" s="33" t="s">
        <v>27</v>
      </c>
      <c r="G2829" s="29">
        <v>6</v>
      </c>
      <c r="H2829" s="127">
        <f>_xlfn.XLOOKUP(C2829&amp;F2829&amp;I2829&amp;J2829,'[1]2025年已发货'!$F:$F&amp;'[1]2025年已发货'!$C:$C&amp;'[1]2025年已发货'!$G:$G&amp;'[1]2025年已发货'!$H:$H,'[1]2025年已发货'!$E:$E,"未发货")</f>
        <v>6</v>
      </c>
      <c r="I2829" s="33" t="str">
        <f>VLOOKUP(B2829,辅助信息!E:I,3,FALSE)</f>
        <v>（商投建工达州中医药科技园-2工区-景观桥）达州市通川区达州中医药职业学院犀牛大道北段</v>
      </c>
      <c r="J2829" s="33" t="str">
        <f>VLOOKUP(B2829,辅助信息!E:I,4,FALSE)</f>
        <v>李波</v>
      </c>
      <c r="K2829" s="33">
        <f>VLOOKUP(J2829,辅助信息!H:I,2,FALSE)</f>
        <v>18381899787</v>
      </c>
      <c r="L2829" s="102" t="str">
        <f>VLOOKUP(B2829,辅助信息!E:J,6,FALSE)</f>
        <v>控制炉批号！多了现场不收！,优先安排达钢,提前联系到场规格及数量</v>
      </c>
      <c r="O2829" s="55" t="str">
        <f ca="1" t="shared" si="167"/>
        <v/>
      </c>
      <c r="P2829" s="55" t="str">
        <f ca="1" t="shared" si="168"/>
        <v/>
      </c>
      <c r="Q2829" s="22" t="str">
        <f>VLOOKUP(B2829,辅助信息!E:M,9,FALSE)</f>
        <v>ZTWM-CDGS-XS-2024-0134-商投建工达州中医药科技成果示范园项目</v>
      </c>
      <c r="R2829" s="22" t="str">
        <f>_xlfn._xlws.FILTER(辅助信息!D:D,辅助信息!E:E=B2829)</f>
        <v>商投建工达州中医药科技园</v>
      </c>
    </row>
    <row r="2830" hidden="1" spans="2:18">
      <c r="B2830" s="33" t="s">
        <v>68</v>
      </c>
      <c r="C2830" s="63">
        <v>45887</v>
      </c>
      <c r="D2830" s="33" t="str">
        <f>VLOOKUP(B2830,辅助信息!E:K,7,FALSE)</f>
        <v>JWDDCD2025052800131</v>
      </c>
      <c r="E2830" s="33" t="str">
        <f>VLOOKUP(F2830,辅助信息!A:B,2,FALSE)</f>
        <v>螺纹钢</v>
      </c>
      <c r="F2830" s="33" t="s">
        <v>19</v>
      </c>
      <c r="G2830" s="29">
        <v>27</v>
      </c>
      <c r="H2830" s="127">
        <f>_xlfn.XLOOKUP(C2830&amp;F2830&amp;I2830&amp;J2830,'[1]2025年已发货'!$F:$F&amp;'[1]2025年已发货'!$C:$C&amp;'[1]2025年已发货'!$G:$G&amp;'[1]2025年已发货'!$H:$H,'[1]2025年已发货'!$E:$E,"未发货")</f>
        <v>25</v>
      </c>
      <c r="I2830" s="33" t="str">
        <f>VLOOKUP(B2830,辅助信息!E:I,3,FALSE)</f>
        <v>（商投建工达州中医药科技园-2工区-景观桥）达州市通川区达州中医药职业学院犀牛大道北段</v>
      </c>
      <c r="J2830" s="33" t="str">
        <f>VLOOKUP(B2830,辅助信息!E:I,4,FALSE)</f>
        <v>李波</v>
      </c>
      <c r="K2830" s="33">
        <f>VLOOKUP(J2830,辅助信息!H:I,2,FALSE)</f>
        <v>18381899787</v>
      </c>
      <c r="L2830" s="102" t="str">
        <f>VLOOKUP(B2830,辅助信息!E:J,6,FALSE)</f>
        <v>控制炉批号！多了现场不收！,优先安排达钢,提前联系到场规格及数量</v>
      </c>
      <c r="O2830" s="55" t="str">
        <f ca="1" t="shared" si="167"/>
        <v/>
      </c>
      <c r="P2830" s="55" t="str">
        <f ca="1" t="shared" si="168"/>
        <v/>
      </c>
      <c r="Q2830" s="22" t="str">
        <f>VLOOKUP(B2830,辅助信息!E:M,9,FALSE)</f>
        <v>ZTWM-CDGS-XS-2024-0134-商投建工达州中医药科技成果示范园项目</v>
      </c>
      <c r="R2830" s="22" t="str">
        <f>_xlfn._xlws.FILTER(辅助信息!D:D,辅助信息!E:E=B2830)</f>
        <v>商投建工达州中医药科技园</v>
      </c>
    </row>
    <row r="2831" hidden="1" spans="2:18">
      <c r="B2831" s="33" t="s">
        <v>68</v>
      </c>
      <c r="C2831" s="63">
        <v>45887</v>
      </c>
      <c r="D2831" s="33" t="str">
        <f>VLOOKUP(B2831,辅助信息!E:K,7,FALSE)</f>
        <v>JWDDCD2025052800131</v>
      </c>
      <c r="E2831" s="33" t="str">
        <f>VLOOKUP(F2831,辅助信息!A:B,2,FALSE)</f>
        <v>螺纹钢</v>
      </c>
      <c r="F2831" s="33" t="s">
        <v>32</v>
      </c>
      <c r="G2831" s="29">
        <v>15</v>
      </c>
      <c r="H2831" s="127">
        <f>_xlfn.XLOOKUP(C2831&amp;F2831&amp;I2831&amp;J2831,'[1]2025年已发货'!$F:$F&amp;'[1]2025年已发货'!$C:$C&amp;'[1]2025年已发货'!$G:$G&amp;'[1]2025年已发货'!$H:$H,'[1]2025年已发货'!$E:$E,"未发货")</f>
        <v>15</v>
      </c>
      <c r="I2831" s="33" t="str">
        <f>VLOOKUP(B2831,辅助信息!E:I,3,FALSE)</f>
        <v>（商投建工达州中医药科技园-2工区-景观桥）达州市通川区达州中医药职业学院犀牛大道北段</v>
      </c>
      <c r="J2831" s="33" t="str">
        <f>VLOOKUP(B2831,辅助信息!E:I,4,FALSE)</f>
        <v>李波</v>
      </c>
      <c r="K2831" s="33">
        <f>VLOOKUP(J2831,辅助信息!H:I,2,FALSE)</f>
        <v>18381899787</v>
      </c>
      <c r="L2831" s="102" t="str">
        <f>VLOOKUP(B2831,辅助信息!E:J,6,FALSE)</f>
        <v>控制炉批号！多了现场不收！,优先安排达钢,提前联系到场规格及数量</v>
      </c>
      <c r="O2831" s="55" t="str">
        <f ca="1" t="shared" si="167"/>
        <v/>
      </c>
      <c r="P2831" s="55" t="str">
        <f ca="1" t="shared" si="168"/>
        <v/>
      </c>
      <c r="Q2831" s="22" t="str">
        <f>VLOOKUP(B2831,辅助信息!E:M,9,FALSE)</f>
        <v>ZTWM-CDGS-XS-2024-0134-商投建工达州中医药科技成果示范园项目</v>
      </c>
      <c r="R2831" s="22" t="str">
        <f>_xlfn._xlws.FILTER(辅助信息!D:D,辅助信息!E:E=B2831)</f>
        <v>商投建工达州中医药科技园</v>
      </c>
    </row>
    <row r="2832" hidden="1" spans="2:18">
      <c r="B2832" s="33" t="s">
        <v>68</v>
      </c>
      <c r="C2832" s="63">
        <v>45887</v>
      </c>
      <c r="D2832" s="33" t="str">
        <f>VLOOKUP(B2832,辅助信息!E:K,7,FALSE)</f>
        <v>JWDDCD2025052800131</v>
      </c>
      <c r="E2832" s="33" t="str">
        <f>VLOOKUP(F2832,辅助信息!A:B,2,FALSE)</f>
        <v>螺纹钢</v>
      </c>
      <c r="F2832" s="33" t="s">
        <v>28</v>
      </c>
      <c r="G2832" s="29">
        <v>30</v>
      </c>
      <c r="H2832" s="127">
        <f>_xlfn.XLOOKUP(C2832&amp;F2832&amp;I2832&amp;J2832,'[1]2025年已发货'!$F:$F&amp;'[1]2025年已发货'!$C:$C&amp;'[1]2025年已发货'!$G:$G&amp;'[1]2025年已发货'!$H:$H,'[1]2025年已发货'!$E:$E,"未发货")</f>
        <v>30</v>
      </c>
      <c r="I2832" s="33" t="str">
        <f>VLOOKUP(B2832,辅助信息!E:I,3,FALSE)</f>
        <v>（商投建工达州中医药科技园-2工区-景观桥）达州市通川区达州中医药职业学院犀牛大道北段</v>
      </c>
      <c r="J2832" s="33" t="str">
        <f>VLOOKUP(B2832,辅助信息!E:I,4,FALSE)</f>
        <v>李波</v>
      </c>
      <c r="K2832" s="33">
        <f>VLOOKUP(J2832,辅助信息!H:I,2,FALSE)</f>
        <v>18381899787</v>
      </c>
      <c r="L2832" s="102" t="str">
        <f>VLOOKUP(B2832,辅助信息!E:J,6,FALSE)</f>
        <v>控制炉批号！多了现场不收！,优先安排达钢,提前联系到场规格及数量</v>
      </c>
      <c r="O2832" s="55" t="str">
        <f ca="1" t="shared" si="167"/>
        <v/>
      </c>
      <c r="P2832" s="55" t="str">
        <f ca="1" t="shared" si="168"/>
        <v/>
      </c>
      <c r="Q2832" s="22" t="str">
        <f>VLOOKUP(B2832,辅助信息!E:M,9,FALSE)</f>
        <v>ZTWM-CDGS-XS-2024-0134-商投建工达州中医药科技成果示范园项目</v>
      </c>
      <c r="R2832" s="22" t="str">
        <f>_xlfn._xlws.FILTER(辅助信息!D:D,辅助信息!E:E=B2832)</f>
        <v>商投建工达州中医药科技园</v>
      </c>
    </row>
    <row r="2833" hidden="1" spans="2:18">
      <c r="B2833" s="33" t="s">
        <v>68</v>
      </c>
      <c r="C2833" s="63">
        <v>45887</v>
      </c>
      <c r="D2833" s="33" t="str">
        <f>VLOOKUP(B2833,辅助信息!E:K,7,FALSE)</f>
        <v>JWDDCD2025052800131</v>
      </c>
      <c r="E2833" s="33" t="str">
        <f>VLOOKUP(F2833,辅助信息!A:B,2,FALSE)</f>
        <v>螺纹钢</v>
      </c>
      <c r="F2833" s="33" t="s">
        <v>18</v>
      </c>
      <c r="G2833" s="29">
        <v>15</v>
      </c>
      <c r="H2833" s="127">
        <f>_xlfn.XLOOKUP(C2833&amp;F2833&amp;I2833&amp;J2833,'[1]2025年已发货'!$F:$F&amp;'[1]2025年已发货'!$C:$C&amp;'[1]2025年已发货'!$G:$G&amp;'[1]2025年已发货'!$H:$H,'[1]2025年已发货'!$E:$E,"未发货")</f>
        <v>15</v>
      </c>
      <c r="I2833" s="33" t="str">
        <f>VLOOKUP(B2833,辅助信息!E:I,3,FALSE)</f>
        <v>（商投建工达州中医药科技园-2工区-景观桥）达州市通川区达州中医药职业学院犀牛大道北段</v>
      </c>
      <c r="J2833" s="33" t="str">
        <f>VLOOKUP(B2833,辅助信息!E:I,4,FALSE)</f>
        <v>李波</v>
      </c>
      <c r="K2833" s="33">
        <f>VLOOKUP(J2833,辅助信息!H:I,2,FALSE)</f>
        <v>18381899787</v>
      </c>
      <c r="L2833" s="102" t="str">
        <f>VLOOKUP(B2833,辅助信息!E:J,6,FALSE)</f>
        <v>控制炉批号！多了现场不收！,优先安排达钢,提前联系到场规格及数量</v>
      </c>
      <c r="O2833" s="55" t="str">
        <f ca="1" t="shared" si="167"/>
        <v/>
      </c>
      <c r="P2833" s="55" t="str">
        <f ca="1" t="shared" si="168"/>
        <v/>
      </c>
      <c r="Q2833" s="22" t="str">
        <f>VLOOKUP(B2833,辅助信息!E:M,9,FALSE)</f>
        <v>ZTWM-CDGS-XS-2024-0134-商投建工达州中医药科技成果示范园项目</v>
      </c>
      <c r="R2833" s="22" t="str">
        <f>_xlfn._xlws.FILTER(辅助信息!D:D,辅助信息!E:E=B2833)</f>
        <v>商投建工达州中医药科技园</v>
      </c>
    </row>
    <row r="2834" hidden="1" spans="2:18">
      <c r="B2834" s="33" t="s">
        <v>186</v>
      </c>
      <c r="C2834" s="63">
        <v>45887</v>
      </c>
      <c r="D2834" s="33" t="str">
        <f>VLOOKUP(B2834,辅助信息!E:K,7,FALSE)</f>
        <v>JWDDCD2025072900123</v>
      </c>
      <c r="E2834" s="33" t="str">
        <f>VLOOKUP(F2834,辅助信息!A:B,2,FALSE)</f>
        <v>盘螺</v>
      </c>
      <c r="F2834" s="33" t="s">
        <v>40</v>
      </c>
      <c r="G2834" s="29">
        <v>67</v>
      </c>
      <c r="H2834" s="127">
        <v>68</v>
      </c>
      <c r="I2834" s="33" t="str">
        <f>VLOOKUP(B2834,辅助信息!E:I,3,FALSE)</f>
        <v>(乐山市校地共建产教融合基地建设项目二标段)四川省乐山市市中区苏稽镇</v>
      </c>
      <c r="J2834" s="33" t="str">
        <f>VLOOKUP(B2834,辅助信息!E:I,4,FALSE)</f>
        <v>彭江涛</v>
      </c>
      <c r="K2834" s="33">
        <f>VLOOKUP(J2834,辅助信息!H:I,2,FALSE)</f>
        <v>13990276572</v>
      </c>
      <c r="L2834" s="102" t="str">
        <f>VLOOKUP(B2834,辅助信息!E:J,6,FALSE)</f>
        <v>联系实际收货人（彭江涛13990276572）现场要求炉批号控制2个以下，超2个不给予签收。提前联系到场规格及数量</v>
      </c>
      <c r="O2834" s="55" t="str">
        <f ca="1" t="shared" si="167"/>
        <v/>
      </c>
      <c r="P2834" s="55" t="str">
        <f ca="1" t="shared" si="168"/>
        <v/>
      </c>
      <c r="Q2834" s="22" t="str">
        <f>VLOOKUP(B2834,辅助信息!E:M,9,FALSE)</f>
        <v>ZTWM-CDGS-XS-2025-0126-四川机司-乐山市校地共建产教融合基地配套设施项目施工二标段钢筋采购合同</v>
      </c>
      <c r="R2834" s="22" t="str">
        <f>_xlfn._xlws.FILTER(辅助信息!D:D,辅助信息!E:E=B2834)</f>
        <v>乐山市校地共建产教融合基地建设项目二标段</v>
      </c>
    </row>
    <row r="2835" hidden="1" spans="2:18">
      <c r="B2835" s="33" t="s">
        <v>186</v>
      </c>
      <c r="C2835" s="63">
        <v>45887</v>
      </c>
      <c r="D2835" s="33" t="str">
        <f>VLOOKUP(B2835,辅助信息!E:K,7,FALSE)</f>
        <v>JWDDCD2025072900123</v>
      </c>
      <c r="E2835" s="33" t="str">
        <f>VLOOKUP(F2835,辅助信息!A:B,2,FALSE)</f>
        <v>盘螺</v>
      </c>
      <c r="F2835" s="33" t="s">
        <v>41</v>
      </c>
      <c r="G2835" s="29">
        <v>98</v>
      </c>
      <c r="H2835" s="127">
        <v>98</v>
      </c>
      <c r="I2835" s="33" t="str">
        <f>VLOOKUP(B2835,辅助信息!E:I,3,FALSE)</f>
        <v>(乐山市校地共建产教融合基地建设项目二标段)四川省乐山市市中区苏稽镇</v>
      </c>
      <c r="J2835" s="33" t="str">
        <f>VLOOKUP(B2835,辅助信息!E:I,4,FALSE)</f>
        <v>彭江涛</v>
      </c>
      <c r="K2835" s="33">
        <f>VLOOKUP(J2835,辅助信息!H:I,2,FALSE)</f>
        <v>13990276572</v>
      </c>
      <c r="L2835" s="102" t="str">
        <f>VLOOKUP(B2835,辅助信息!E:J,6,FALSE)</f>
        <v>联系实际收货人（彭江涛13990276572）现场要求炉批号控制2个以下，超2个不给予签收。提前联系到场规格及数量</v>
      </c>
      <c r="O2835" s="55" t="str">
        <f ca="1" t="shared" si="167"/>
        <v/>
      </c>
      <c r="P2835" s="55" t="str">
        <f ca="1" t="shared" si="168"/>
        <v/>
      </c>
      <c r="Q2835" s="22" t="str">
        <f>VLOOKUP(B2835,辅助信息!E:M,9,FALSE)</f>
        <v>ZTWM-CDGS-XS-2025-0126-四川机司-乐山市校地共建产教融合基地配套设施项目施工二标段钢筋采购合同</v>
      </c>
      <c r="R2835" s="22" t="str">
        <f>_xlfn._xlws.FILTER(辅助信息!D:D,辅助信息!E:E=B2835)</f>
        <v>乐山市校地共建产教融合基地建设项目二标段</v>
      </c>
    </row>
    <row r="2836" hidden="1" spans="2:18">
      <c r="B2836" s="33" t="s">
        <v>147</v>
      </c>
      <c r="C2836" s="63">
        <v>45887</v>
      </c>
      <c r="D2836" s="33" t="str">
        <f>VLOOKUP(B2836,辅助信息!E:K,7,FALSE)</f>
        <v>JWDDCD2025052800131</v>
      </c>
      <c r="E2836" s="33" t="str">
        <f>VLOOKUP(F2836,辅助信息!A:B,2,FALSE)</f>
        <v>盘螺</v>
      </c>
      <c r="F2836" s="33" t="s">
        <v>49</v>
      </c>
      <c r="G2836" s="29">
        <v>6</v>
      </c>
      <c r="H2836" s="127">
        <f>_xlfn.XLOOKUP(C2836&amp;F2836&amp;I2836&amp;J2836,'[1]2025年已发货'!$F:$F&amp;'[1]2025年已发货'!$C:$C&amp;'[1]2025年已发货'!$G:$G&amp;'[1]2025年已发货'!$H:$H,'[1]2025年已发货'!$E:$E,"未发货")</f>
        <v>6</v>
      </c>
      <c r="I2836" s="33" t="str">
        <f>VLOOKUP(B2836,辅助信息!E:I,3,FALSE)</f>
        <v>（商投建工达州中医药科技园-4工区-11号楼）达州市通川区达州中医药职业学院犀牛大道北段</v>
      </c>
      <c r="J2836" s="33" t="str">
        <f>VLOOKUP(B2836,辅助信息!E:I,4,FALSE)</f>
        <v>张扬</v>
      </c>
      <c r="K2836" s="33">
        <f>VLOOKUP(J2836,辅助信息!H:I,2,FALSE)</f>
        <v>18381904567</v>
      </c>
      <c r="L2836" s="102" t="str">
        <f>VLOOKUP(B2836,辅助信息!E:J,6,FALSE)</f>
        <v>控制炉批号！多了现场不收！,优先安排达钢,提前联系到场规格及数量</v>
      </c>
      <c r="O2836" s="55" t="str">
        <f ca="1" t="shared" si="167"/>
        <v/>
      </c>
      <c r="P2836" s="55" t="str">
        <f ca="1" t="shared" si="168"/>
        <v/>
      </c>
      <c r="Q2836" s="22" t="str">
        <f>VLOOKUP(B2836,辅助信息!E:M,9,FALSE)</f>
        <v>ZTWM-CDGS-XS-2024-0134-商投建工达州中医药科技成果示范园项目</v>
      </c>
      <c r="R2836" s="22" t="str">
        <f>_xlfn._xlws.FILTER(辅助信息!D:D,辅助信息!E:E=B2836)</f>
        <v>商投建工达州中医药科技园</v>
      </c>
    </row>
    <row r="2837" hidden="1" spans="2:18">
      <c r="B2837" s="33" t="s">
        <v>147</v>
      </c>
      <c r="C2837" s="63">
        <v>45887</v>
      </c>
      <c r="D2837" s="33" t="str">
        <f>VLOOKUP(B2837,辅助信息!E:K,7,FALSE)</f>
        <v>JWDDCD2025052800131</v>
      </c>
      <c r="E2837" s="33" t="str">
        <f>VLOOKUP(F2837,辅助信息!A:B,2,FALSE)</f>
        <v>盘螺</v>
      </c>
      <c r="F2837" s="33" t="s">
        <v>40</v>
      </c>
      <c r="G2837" s="29">
        <v>24</v>
      </c>
      <c r="H2837" s="127">
        <f>_xlfn.XLOOKUP(C2837&amp;F2837&amp;I2837&amp;J2837,'[1]2025年已发货'!$F:$F&amp;'[1]2025年已发货'!$C:$C&amp;'[1]2025年已发货'!$G:$G&amp;'[1]2025年已发货'!$H:$H,'[1]2025年已发货'!$E:$E,"未发货")</f>
        <v>24</v>
      </c>
      <c r="I2837" s="33" t="str">
        <f>VLOOKUP(B2837,辅助信息!E:I,3,FALSE)</f>
        <v>（商投建工达州中医药科技园-4工区-11号楼）达州市通川区达州中医药职业学院犀牛大道北段</v>
      </c>
      <c r="J2837" s="33" t="str">
        <f>VLOOKUP(B2837,辅助信息!E:I,4,FALSE)</f>
        <v>张扬</v>
      </c>
      <c r="K2837" s="33">
        <f>VLOOKUP(J2837,辅助信息!H:I,2,FALSE)</f>
        <v>18381904567</v>
      </c>
      <c r="L2837" s="102" t="str">
        <f>VLOOKUP(B2837,辅助信息!E:J,6,FALSE)</f>
        <v>控制炉批号！多了现场不收！,优先安排达钢,提前联系到场规格及数量</v>
      </c>
      <c r="O2837" s="55" t="str">
        <f ca="1" t="shared" si="167"/>
        <v/>
      </c>
      <c r="P2837" s="55" t="str">
        <f ca="1" t="shared" si="168"/>
        <v/>
      </c>
      <c r="Q2837" s="22" t="str">
        <f>VLOOKUP(B2837,辅助信息!E:M,9,FALSE)</f>
        <v>ZTWM-CDGS-XS-2024-0134-商投建工达州中医药科技成果示范园项目</v>
      </c>
      <c r="R2837" s="22" t="str">
        <f>_xlfn._xlws.FILTER(辅助信息!D:D,辅助信息!E:E=B2837)</f>
        <v>商投建工达州中医药科技园</v>
      </c>
    </row>
    <row r="2838" hidden="1" spans="2:18">
      <c r="B2838" s="33" t="s">
        <v>147</v>
      </c>
      <c r="C2838" s="63">
        <v>45887</v>
      </c>
      <c r="D2838" s="33" t="str">
        <f>VLOOKUP(B2838,辅助信息!E:K,7,FALSE)</f>
        <v>JWDDCD2025052800131</v>
      </c>
      <c r="E2838" s="33" t="str">
        <f>VLOOKUP(F2838,辅助信息!A:B,2,FALSE)</f>
        <v>盘螺</v>
      </c>
      <c r="F2838" s="33" t="s">
        <v>41</v>
      </c>
      <c r="G2838" s="29">
        <v>15</v>
      </c>
      <c r="H2838" s="127">
        <f>_xlfn.XLOOKUP(C2838&amp;F2838&amp;I2838&amp;J2838,'[1]2025年已发货'!$F:$F&amp;'[1]2025年已发货'!$C:$C&amp;'[1]2025年已发货'!$G:$G&amp;'[1]2025年已发货'!$H:$H,'[1]2025年已发货'!$E:$E,"未发货")</f>
        <v>15</v>
      </c>
      <c r="I2838" s="33" t="str">
        <f>VLOOKUP(B2838,辅助信息!E:I,3,FALSE)</f>
        <v>（商投建工达州中医药科技园-4工区-11号楼）达州市通川区达州中医药职业学院犀牛大道北段</v>
      </c>
      <c r="J2838" s="33" t="str">
        <f>VLOOKUP(B2838,辅助信息!E:I,4,FALSE)</f>
        <v>张扬</v>
      </c>
      <c r="K2838" s="33">
        <f>VLOOKUP(J2838,辅助信息!H:I,2,FALSE)</f>
        <v>18381904567</v>
      </c>
      <c r="L2838" s="102" t="str">
        <f>VLOOKUP(B2838,辅助信息!E:J,6,FALSE)</f>
        <v>控制炉批号！多了现场不收！,优先安排达钢,提前联系到场规格及数量</v>
      </c>
      <c r="O2838" s="55" t="str">
        <f ca="1" t="shared" si="167"/>
        <v/>
      </c>
      <c r="P2838" s="55" t="str">
        <f ca="1" t="shared" si="168"/>
        <v/>
      </c>
      <c r="Q2838" s="22" t="str">
        <f>VLOOKUP(B2838,辅助信息!E:M,9,FALSE)</f>
        <v>ZTWM-CDGS-XS-2024-0134-商投建工达州中医药科技成果示范园项目</v>
      </c>
      <c r="R2838" s="22" t="str">
        <f>_xlfn._xlws.FILTER(辅助信息!D:D,辅助信息!E:E=B2838)</f>
        <v>商投建工达州中医药科技园</v>
      </c>
    </row>
    <row r="2839" hidden="1" spans="2:18">
      <c r="B2839" s="33" t="s">
        <v>147</v>
      </c>
      <c r="C2839" s="63">
        <v>45887</v>
      </c>
      <c r="D2839" s="33" t="str">
        <f>VLOOKUP(B2839,辅助信息!E:K,7,FALSE)</f>
        <v>JWDDCD2025052800131</v>
      </c>
      <c r="E2839" s="33" t="str">
        <f>VLOOKUP(F2839,辅助信息!A:B,2,FALSE)</f>
        <v>螺纹钢</v>
      </c>
      <c r="F2839" s="33" t="s">
        <v>45</v>
      </c>
      <c r="G2839" s="29">
        <v>6</v>
      </c>
      <c r="H2839" s="127">
        <f>_xlfn.XLOOKUP(C2839&amp;F2839&amp;I2839&amp;J2839,'[1]2025年已发货'!$F:$F&amp;'[1]2025年已发货'!$C:$C&amp;'[1]2025年已发货'!$G:$G&amp;'[1]2025年已发货'!$H:$H,'[1]2025年已发货'!$E:$E,"未发货")</f>
        <v>6</v>
      </c>
      <c r="I2839" s="33" t="str">
        <f>VLOOKUP(B2839,辅助信息!E:I,3,FALSE)</f>
        <v>（商投建工达州中医药科技园-4工区-11号楼）达州市通川区达州中医药职业学院犀牛大道北段</v>
      </c>
      <c r="J2839" s="33" t="str">
        <f>VLOOKUP(B2839,辅助信息!E:I,4,FALSE)</f>
        <v>张扬</v>
      </c>
      <c r="K2839" s="33">
        <f>VLOOKUP(J2839,辅助信息!H:I,2,FALSE)</f>
        <v>18381904567</v>
      </c>
      <c r="L2839" s="102" t="str">
        <f>VLOOKUP(B2839,辅助信息!E:J,6,FALSE)</f>
        <v>控制炉批号！多了现场不收！,优先安排达钢,提前联系到场规格及数量</v>
      </c>
      <c r="O2839" s="55" t="str">
        <f ca="1" t="shared" si="167"/>
        <v/>
      </c>
      <c r="P2839" s="55" t="str">
        <f ca="1" t="shared" si="168"/>
        <v/>
      </c>
      <c r="Q2839" s="22" t="str">
        <f>VLOOKUP(B2839,辅助信息!E:M,9,FALSE)</f>
        <v>ZTWM-CDGS-XS-2024-0134-商投建工达州中医药科技成果示范园项目</v>
      </c>
      <c r="R2839" s="22" t="str">
        <f>_xlfn._xlws.FILTER(辅助信息!D:D,辅助信息!E:E=B2839)</f>
        <v>商投建工达州中医药科技园</v>
      </c>
    </row>
    <row r="2840" hidden="1" spans="2:18">
      <c r="B2840" s="33" t="s">
        <v>147</v>
      </c>
      <c r="C2840" s="63">
        <v>45887</v>
      </c>
      <c r="D2840" s="33" t="str">
        <f>VLOOKUP(B2840,辅助信息!E:K,7,FALSE)</f>
        <v>JWDDCD2025052800131</v>
      </c>
      <c r="E2840" s="33" t="str">
        <f>VLOOKUP(F2840,辅助信息!A:B,2,FALSE)</f>
        <v>螺纹钢</v>
      </c>
      <c r="F2840" s="33" t="s">
        <v>21</v>
      </c>
      <c r="G2840" s="29">
        <v>9</v>
      </c>
      <c r="H2840" s="127">
        <f>_xlfn.XLOOKUP(C2840&amp;F2840&amp;I2840&amp;J2840,'[1]2025年已发货'!$F:$F&amp;'[1]2025年已发货'!$C:$C&amp;'[1]2025年已发货'!$G:$G&amp;'[1]2025年已发货'!$H:$H,'[1]2025年已发货'!$E:$E,"未发货")</f>
        <v>7.5</v>
      </c>
      <c r="I2840" s="33" t="str">
        <f>VLOOKUP(B2840,辅助信息!E:I,3,FALSE)</f>
        <v>（商投建工达州中医药科技园-4工区-11号楼）达州市通川区达州中医药职业学院犀牛大道北段</v>
      </c>
      <c r="J2840" s="33" t="str">
        <f>VLOOKUP(B2840,辅助信息!E:I,4,FALSE)</f>
        <v>张扬</v>
      </c>
      <c r="K2840" s="33">
        <f>VLOOKUP(J2840,辅助信息!H:I,2,FALSE)</f>
        <v>18381904567</v>
      </c>
      <c r="L2840" s="102" t="str">
        <f>VLOOKUP(B2840,辅助信息!E:J,6,FALSE)</f>
        <v>控制炉批号！多了现场不收！,优先安排达钢,提前联系到场规格及数量</v>
      </c>
      <c r="O2840" s="55" t="str">
        <f ca="1" t="shared" si="167"/>
        <v/>
      </c>
      <c r="P2840" s="55" t="str">
        <f ca="1" t="shared" si="168"/>
        <v/>
      </c>
      <c r="Q2840" s="22" t="str">
        <f>VLOOKUP(B2840,辅助信息!E:M,9,FALSE)</f>
        <v>ZTWM-CDGS-XS-2024-0134-商投建工达州中医药科技成果示范园项目</v>
      </c>
      <c r="R2840" s="22" t="str">
        <f>_xlfn._xlws.FILTER(辅助信息!D:D,辅助信息!E:E=B2840)</f>
        <v>商投建工达州中医药科技园</v>
      </c>
    </row>
    <row r="2841" hidden="1" spans="2:18">
      <c r="B2841" s="33" t="s">
        <v>147</v>
      </c>
      <c r="C2841" s="63">
        <v>45887</v>
      </c>
      <c r="D2841" s="33" t="str">
        <f>VLOOKUP(B2841,辅助信息!E:K,7,FALSE)</f>
        <v>JWDDCD2025052800131</v>
      </c>
      <c r="E2841" s="33" t="str">
        <f>VLOOKUP(F2841,辅助信息!A:B,2,FALSE)</f>
        <v>螺纹钢</v>
      </c>
      <c r="F2841" s="33" t="s">
        <v>58</v>
      </c>
      <c r="G2841" s="29">
        <v>9</v>
      </c>
      <c r="H2841" s="127">
        <f>_xlfn.XLOOKUP(C2841&amp;F2841&amp;I2841&amp;J2841,'[1]2025年已发货'!$F:$F&amp;'[1]2025年已发货'!$C:$C&amp;'[1]2025年已发货'!$G:$G&amp;'[1]2025年已发货'!$H:$H,'[1]2025年已发货'!$E:$E,"未发货")</f>
        <v>7.5</v>
      </c>
      <c r="I2841" s="33" t="str">
        <f>VLOOKUP(B2841,辅助信息!E:I,3,FALSE)</f>
        <v>（商投建工达州中医药科技园-4工区-11号楼）达州市通川区达州中医药职业学院犀牛大道北段</v>
      </c>
      <c r="J2841" s="33" t="str">
        <f>VLOOKUP(B2841,辅助信息!E:I,4,FALSE)</f>
        <v>张扬</v>
      </c>
      <c r="K2841" s="33">
        <f>VLOOKUP(J2841,辅助信息!H:I,2,FALSE)</f>
        <v>18381904567</v>
      </c>
      <c r="L2841" s="102" t="str">
        <f>VLOOKUP(B2841,辅助信息!E:J,6,FALSE)</f>
        <v>控制炉批号！多了现场不收！,优先安排达钢,提前联系到场规格及数量</v>
      </c>
      <c r="O2841" s="55" t="str">
        <f ca="1" t="shared" si="167"/>
        <v/>
      </c>
      <c r="P2841" s="55" t="str">
        <f ca="1" t="shared" si="168"/>
        <v/>
      </c>
      <c r="Q2841" s="22" t="str">
        <f>VLOOKUP(B2841,辅助信息!E:M,9,FALSE)</f>
        <v>ZTWM-CDGS-XS-2024-0134-商投建工达州中医药科技成果示范园项目</v>
      </c>
      <c r="R2841" s="22" t="str">
        <f>_xlfn._xlws.FILTER(辅助信息!D:D,辅助信息!E:E=B2841)</f>
        <v>商投建工达州中医药科技园</v>
      </c>
    </row>
    <row r="2842" hidden="1" spans="2:18">
      <c r="B2842" s="33" t="s">
        <v>147</v>
      </c>
      <c r="C2842" s="63">
        <v>45887</v>
      </c>
      <c r="D2842" s="33" t="str">
        <f>VLOOKUP(B2842,辅助信息!E:K,7,FALSE)</f>
        <v>JWDDCD2025052800131</v>
      </c>
      <c r="E2842" s="33" t="str">
        <f>VLOOKUP(F2842,辅助信息!A:B,2,FALSE)</f>
        <v>螺纹钢</v>
      </c>
      <c r="F2842" s="33" t="s">
        <v>22</v>
      </c>
      <c r="G2842" s="29">
        <v>21</v>
      </c>
      <c r="H2842" s="127">
        <f>_xlfn.XLOOKUP(C2842&amp;F2842&amp;I2842&amp;J2842,'[1]2025年已发货'!$F:$F&amp;'[1]2025年已发货'!$C:$C&amp;'[1]2025年已发货'!$G:$G&amp;'[1]2025年已发货'!$H:$H,'[1]2025年已发货'!$E:$E,"未发货")</f>
        <v>20</v>
      </c>
      <c r="I2842" s="33" t="str">
        <f>VLOOKUP(B2842,辅助信息!E:I,3,FALSE)</f>
        <v>（商投建工达州中医药科技园-4工区-11号楼）达州市通川区达州中医药职业学院犀牛大道北段</v>
      </c>
      <c r="J2842" s="33" t="str">
        <f>VLOOKUP(B2842,辅助信息!E:I,4,FALSE)</f>
        <v>张扬</v>
      </c>
      <c r="K2842" s="33">
        <f>VLOOKUP(J2842,辅助信息!H:I,2,FALSE)</f>
        <v>18381904567</v>
      </c>
      <c r="L2842" s="102" t="str">
        <f>VLOOKUP(B2842,辅助信息!E:J,6,FALSE)</f>
        <v>控制炉批号！多了现场不收！,优先安排达钢,提前联系到场规格及数量</v>
      </c>
      <c r="O2842" s="55" t="str">
        <f ca="1" t="shared" si="167"/>
        <v/>
      </c>
      <c r="P2842" s="55" t="str">
        <f ca="1" t="shared" si="168"/>
        <v/>
      </c>
      <c r="Q2842" s="22" t="str">
        <f>VLOOKUP(B2842,辅助信息!E:M,9,FALSE)</f>
        <v>ZTWM-CDGS-XS-2024-0134-商投建工达州中医药科技成果示范园项目</v>
      </c>
      <c r="R2842" s="22" t="str">
        <f>_xlfn._xlws.FILTER(辅助信息!D:D,辅助信息!E:E=B2842)</f>
        <v>商投建工达州中医药科技园</v>
      </c>
    </row>
    <row r="2843" hidden="1" spans="2:18">
      <c r="B2843" s="113" t="s">
        <v>187</v>
      </c>
      <c r="C2843" s="63">
        <v>45888</v>
      </c>
      <c r="D2843" s="113" t="str">
        <f>VLOOKUP(B2843,辅助信息!E:K,7,FALSE)</f>
        <v>JWDDCD2025072900121</v>
      </c>
      <c r="E2843" s="113" t="str">
        <f>VLOOKUP(F2843,辅助信息!A:B,2,FALSE)</f>
        <v>螺纹钢</v>
      </c>
      <c r="F2843" s="113" t="s">
        <v>142</v>
      </c>
      <c r="G2843" s="114">
        <v>12</v>
      </c>
      <c r="H2843" s="127" t="str">
        <f>_xlfn.XLOOKUP(C2843&amp;F2843&amp;I2843&amp;J2843,'[1]2025年已发货'!$F:$F&amp;'[1]2025年已发货'!$C:$C&amp;'[1]2025年已发货'!$G:$G&amp;'[1]2025年已发货'!$H:$H,'[1]2025年已发货'!$E:$E,"未发货")</f>
        <v>未发货</v>
      </c>
      <c r="I2843" s="113" t="str">
        <f>VLOOKUP(B2843,辅助信息!E:I,3,FALSE)</f>
        <v>(乐山市校地共建产教融合基地建设项目一标段)四川省乐山市市中区苏稽镇周山嘴</v>
      </c>
      <c r="J2843" s="113" t="str">
        <f>VLOOKUP(B2843,辅助信息!E:I,4,FALSE)</f>
        <v>范增云</v>
      </c>
      <c r="K2843" s="113">
        <f>VLOOKUP(J2843,辅助信息!H:I,2,FALSE)</f>
        <v>13668153241</v>
      </c>
      <c r="L2843" s="115" t="str">
        <f>VLOOKUP(B2843,辅助信息!E:J,6,FALSE)</f>
        <v>联系实际收货人（范增云13668153241）现场要求炉批号控制2个以下，超2个不给予签收。提前联系到场规格及数量</v>
      </c>
      <c r="O2843" s="55" t="str">
        <f ca="1" t="shared" si="167"/>
        <v/>
      </c>
      <c r="P2843" s="55" t="str">
        <f ca="1" t="shared" si="168"/>
        <v/>
      </c>
      <c r="Q2843" s="22" t="str">
        <f>VLOOKUP(B2843,辅助信息!E:M,9,FALSE)</f>
        <v>ZTWM-CDGS-XS-2025-0125-四川机司-乐山市校地共建产教融合基地配套设施项目施工一标段钢筋采购合同</v>
      </c>
      <c r="R2843" s="22" t="str">
        <f>_xlfn._xlws.FILTER(辅助信息!D:D,辅助信息!E:E=B2843)</f>
        <v>乐山市校地共建产教融合基地建设项目一标段</v>
      </c>
    </row>
    <row r="2844" hidden="1" spans="2:18">
      <c r="B2844" s="113" t="s">
        <v>187</v>
      </c>
      <c r="C2844" s="63">
        <v>45888</v>
      </c>
      <c r="D2844" s="113" t="str">
        <f>VLOOKUP(B2844,辅助信息!E:K,7,FALSE)</f>
        <v>JWDDCD2025072900121</v>
      </c>
      <c r="E2844" s="113" t="str">
        <f>VLOOKUP(F2844,辅助信息!A:B,2,FALSE)</f>
        <v>螺纹钢</v>
      </c>
      <c r="F2844" s="113" t="s">
        <v>200</v>
      </c>
      <c r="G2844" s="114">
        <v>10</v>
      </c>
      <c r="H2844" s="127" t="str">
        <f>_xlfn.XLOOKUP(C2844&amp;F2844&amp;I2844&amp;J2844,'[1]2025年已发货'!$F:$F&amp;'[1]2025年已发货'!$C:$C&amp;'[1]2025年已发货'!$G:$G&amp;'[1]2025年已发货'!$H:$H,'[1]2025年已发货'!$E:$E,"未发货")</f>
        <v>未发货</v>
      </c>
      <c r="I2844" s="113" t="str">
        <f>VLOOKUP(B2844,辅助信息!E:I,3,FALSE)</f>
        <v>(乐山市校地共建产教融合基地建设项目一标段)四川省乐山市市中区苏稽镇周山嘴</v>
      </c>
      <c r="J2844" s="113" t="str">
        <f>VLOOKUP(B2844,辅助信息!E:I,4,FALSE)</f>
        <v>范增云</v>
      </c>
      <c r="K2844" s="113">
        <f>VLOOKUP(J2844,辅助信息!H:I,2,FALSE)</f>
        <v>13668153241</v>
      </c>
      <c r="L2844" s="115" t="str">
        <f>VLOOKUP(B2844,辅助信息!E:J,6,FALSE)</f>
        <v>联系实际收货人（范增云13668153241）现场要求炉批号控制2个以下，超2个不给予签收。提前联系到场规格及数量</v>
      </c>
      <c r="O2844" s="55" t="str">
        <f ca="1" t="shared" si="167"/>
        <v/>
      </c>
      <c r="P2844" s="55" t="str">
        <f ca="1" t="shared" si="168"/>
        <v/>
      </c>
      <c r="Q2844" s="22" t="str">
        <f>VLOOKUP(B2844,辅助信息!E:M,9,FALSE)</f>
        <v>ZTWM-CDGS-XS-2025-0125-四川机司-乐山市校地共建产教融合基地配套设施项目施工一标段钢筋采购合同</v>
      </c>
      <c r="R2844" s="22" t="str">
        <f>_xlfn._xlws.FILTER(辅助信息!D:D,辅助信息!E:E=B2844)</f>
        <v>乐山市校地共建产教融合基地建设项目一标段</v>
      </c>
    </row>
    <row r="2845" hidden="1" spans="2:18">
      <c r="B2845" s="113" t="s">
        <v>187</v>
      </c>
      <c r="C2845" s="63">
        <v>45888</v>
      </c>
      <c r="D2845" s="113" t="str">
        <f>VLOOKUP(B2845,辅助信息!E:K,7,FALSE)</f>
        <v>JWDDCD2025072900121</v>
      </c>
      <c r="E2845" s="113" t="str">
        <f>VLOOKUP(F2845,辅助信息!A:B,2,FALSE)</f>
        <v>螺纹钢</v>
      </c>
      <c r="F2845" s="113" t="s">
        <v>201</v>
      </c>
      <c r="G2845" s="114">
        <f>16-7.5</f>
        <v>8.5</v>
      </c>
      <c r="H2845" s="127" t="str">
        <f>_xlfn.XLOOKUP(C2845&amp;F2845&amp;I2845&amp;J2845,'[1]2025年已发货'!$F:$F&amp;'[1]2025年已发货'!$C:$C&amp;'[1]2025年已发货'!$G:$G&amp;'[1]2025年已发货'!$H:$H,'[1]2025年已发货'!$E:$E,"未发货")</f>
        <v>未发货</v>
      </c>
      <c r="I2845" s="113" t="str">
        <f>VLOOKUP(B2845,辅助信息!E:I,3,FALSE)</f>
        <v>(乐山市校地共建产教融合基地建设项目一标段)四川省乐山市市中区苏稽镇周山嘴</v>
      </c>
      <c r="J2845" s="113" t="str">
        <f>VLOOKUP(B2845,辅助信息!E:I,4,FALSE)</f>
        <v>范增云</v>
      </c>
      <c r="K2845" s="113">
        <f>VLOOKUP(J2845,辅助信息!H:I,2,FALSE)</f>
        <v>13668153241</v>
      </c>
      <c r="L2845" s="115" t="str">
        <f>VLOOKUP(B2845,辅助信息!E:J,6,FALSE)</f>
        <v>联系实际收货人（范增云13668153241）现场要求炉批号控制2个以下，超2个不给予签收。提前联系到场规格及数量</v>
      </c>
      <c r="O2845" s="55" t="str">
        <f ca="1" t="shared" ref="O2845:O2900" si="169">IF(OR(M2845="",N2845&lt;&gt;""),"",MAX(M2845-TODAY(),0))</f>
        <v/>
      </c>
      <c r="P2845" s="55" t="str">
        <f ca="1" t="shared" ref="P2845:P2900" si="170">IF(M2845="","",IF(N2845&lt;&gt;"",MAX(N2845-M2845,0),IF(TODAY()&gt;M2845,TODAY()-M2845,0)))</f>
        <v/>
      </c>
      <c r="Q2845" s="22" t="str">
        <f>VLOOKUP(B2845,辅助信息!E:M,9,FALSE)</f>
        <v>ZTWM-CDGS-XS-2025-0125-四川机司-乐山市校地共建产教融合基地配套设施项目施工一标段钢筋采购合同</v>
      </c>
      <c r="R2845" s="22" t="str">
        <f>_xlfn._xlws.FILTER(辅助信息!D:D,辅助信息!E:E=B2845)</f>
        <v>乐山市校地共建产教融合基地建设项目一标段</v>
      </c>
    </row>
    <row r="2846" hidden="1" spans="2:18">
      <c r="B2846" s="33" t="s">
        <v>92</v>
      </c>
      <c r="C2846" s="63">
        <v>45888</v>
      </c>
      <c r="D2846" s="33" t="str">
        <f>VLOOKUP(B2846,辅助信息!E:K,7,FALSE)</f>
        <v>JWDDCD2025051800046</v>
      </c>
      <c r="E2846" s="33" t="str">
        <f>VLOOKUP(F2846,辅助信息!A:B,2,FALSE)</f>
        <v>盘螺</v>
      </c>
      <c r="F2846" s="33" t="s">
        <v>49</v>
      </c>
      <c r="G2846" s="29">
        <v>6</v>
      </c>
      <c r="H2846" s="127">
        <f>_xlfn.XLOOKUP(C2846&amp;F2846&amp;I2846&amp;J2846,'[1]2025年已发货'!$F:$F&amp;'[1]2025年已发货'!$C:$C&amp;'[1]2025年已发货'!$G:$G&amp;'[1]2025年已发货'!$H:$H,'[1]2025年已发货'!$E:$E,"未发货")</f>
        <v>6</v>
      </c>
      <c r="I2846" s="33" t="str">
        <f>VLOOKUP(B2846,辅助信息!E:I,3,FALSE)</f>
        <v>（华西萌海科创农业生态谷）成都市简阳市白金山水库</v>
      </c>
      <c r="J2846" s="33" t="str">
        <f>VLOOKUP(B2846,辅助信息!E:I,4,FALSE)</f>
        <v>石清国</v>
      </c>
      <c r="K2846" s="33">
        <f>VLOOKUP(J2846,辅助信息!H:I,2,FALSE)</f>
        <v>13458642015</v>
      </c>
      <c r="L2846" s="102" t="str">
        <f>VLOOKUP(B2846,辅助信息!E:J,6,FALSE)</f>
        <v>优先威钢,我方卸车,新老国标钢厂不加价可直发</v>
      </c>
      <c r="O2846" s="55" t="str">
        <f ca="1" t="shared" si="169"/>
        <v/>
      </c>
      <c r="P2846" s="55" t="str">
        <f ca="1" t="shared" si="170"/>
        <v/>
      </c>
      <c r="Q2846" s="22" t="str">
        <f>VLOOKUP(B2846,辅助信息!E:M,9,FALSE)</f>
        <v>ZTWM-CDGS-XS-2024-0092-华西-萌海科创农业生态谷</v>
      </c>
      <c r="R2846" s="22" t="str">
        <f>_xlfn._xlws.FILTER(辅助信息!D:D,辅助信息!E:E=B2846)</f>
        <v>华西萌海-科创农业生态谷</v>
      </c>
    </row>
    <row r="2847" hidden="1" spans="2:18">
      <c r="B2847" s="33" t="s">
        <v>92</v>
      </c>
      <c r="C2847" s="63">
        <v>45888</v>
      </c>
      <c r="D2847" s="33" t="str">
        <f>VLOOKUP(B2847,辅助信息!E:K,7,FALSE)</f>
        <v>JWDDCD2025051800046</v>
      </c>
      <c r="E2847" s="33" t="str">
        <f>VLOOKUP(F2847,辅助信息!A:B,2,FALSE)</f>
        <v>螺纹钢</v>
      </c>
      <c r="F2847" s="33" t="s">
        <v>27</v>
      </c>
      <c r="G2847" s="29">
        <v>7</v>
      </c>
      <c r="H2847" s="127">
        <f>_xlfn.XLOOKUP(C2847&amp;F2847&amp;I2847&amp;J2847,'[1]2025年已发货'!$F:$F&amp;'[1]2025年已发货'!$C:$C&amp;'[1]2025年已发货'!$G:$G&amp;'[1]2025年已发货'!$H:$H,'[1]2025年已发货'!$E:$E,"未发货")</f>
        <v>7</v>
      </c>
      <c r="I2847" s="33" t="str">
        <f>VLOOKUP(B2847,辅助信息!E:I,3,FALSE)</f>
        <v>（华西萌海科创农业生态谷）成都市简阳市白金山水库</v>
      </c>
      <c r="J2847" s="33" t="str">
        <f>VLOOKUP(B2847,辅助信息!E:I,4,FALSE)</f>
        <v>石清国</v>
      </c>
      <c r="K2847" s="33">
        <f>VLOOKUP(J2847,辅助信息!H:I,2,FALSE)</f>
        <v>13458642015</v>
      </c>
      <c r="L2847" s="102" t="str">
        <f>VLOOKUP(B2847,辅助信息!E:J,6,FALSE)</f>
        <v>优先威钢,我方卸车,新老国标钢厂不加价可直发</v>
      </c>
      <c r="O2847" s="55" t="str">
        <f ca="1" t="shared" si="169"/>
        <v/>
      </c>
      <c r="P2847" s="55" t="str">
        <f ca="1" t="shared" si="170"/>
        <v/>
      </c>
      <c r="Q2847" s="22" t="str">
        <f>VLOOKUP(B2847,辅助信息!E:M,9,FALSE)</f>
        <v>ZTWM-CDGS-XS-2024-0092-华西-萌海科创农业生态谷</v>
      </c>
      <c r="R2847" s="22" t="str">
        <f>_xlfn._xlws.FILTER(辅助信息!D:D,辅助信息!E:E=B2847)</f>
        <v>华西萌海-科创农业生态谷</v>
      </c>
    </row>
    <row r="2848" hidden="1" spans="2:18">
      <c r="B2848" s="33" t="s">
        <v>92</v>
      </c>
      <c r="C2848" s="63">
        <v>45888</v>
      </c>
      <c r="D2848" s="33" t="str">
        <f>VLOOKUP(B2848,辅助信息!E:K,7,FALSE)</f>
        <v>JWDDCD2025051800046</v>
      </c>
      <c r="E2848" s="33" t="str">
        <f>VLOOKUP(F2848,辅助信息!A:B,2,FALSE)</f>
        <v>螺纹钢</v>
      </c>
      <c r="F2848" s="33" t="s">
        <v>65</v>
      </c>
      <c r="G2848" s="29">
        <v>3</v>
      </c>
      <c r="H2848" s="127">
        <f>_xlfn.XLOOKUP(C2848&amp;F2848&amp;I2848&amp;J2848,'[1]2025年已发货'!$F:$F&amp;'[1]2025年已发货'!$C:$C&amp;'[1]2025年已发货'!$G:$G&amp;'[1]2025年已发货'!$H:$H,'[1]2025年已发货'!$E:$E,"未发货")</f>
        <v>3</v>
      </c>
      <c r="I2848" s="33" t="str">
        <f>VLOOKUP(B2848,辅助信息!E:I,3,FALSE)</f>
        <v>（华西萌海科创农业生态谷）成都市简阳市白金山水库</v>
      </c>
      <c r="J2848" s="33" t="str">
        <f>VLOOKUP(B2848,辅助信息!E:I,4,FALSE)</f>
        <v>石清国</v>
      </c>
      <c r="K2848" s="33">
        <f>VLOOKUP(J2848,辅助信息!H:I,2,FALSE)</f>
        <v>13458642015</v>
      </c>
      <c r="L2848" s="102" t="str">
        <f>VLOOKUP(B2848,辅助信息!E:J,6,FALSE)</f>
        <v>优先威钢,我方卸车,新老国标钢厂不加价可直发</v>
      </c>
      <c r="O2848" s="55" t="str">
        <f ca="1" t="shared" si="169"/>
        <v/>
      </c>
      <c r="P2848" s="55" t="str">
        <f ca="1" t="shared" si="170"/>
        <v/>
      </c>
      <c r="Q2848" s="22" t="str">
        <f>VLOOKUP(B2848,辅助信息!E:M,9,FALSE)</f>
        <v>ZTWM-CDGS-XS-2024-0092-华西-萌海科创农业生态谷</v>
      </c>
      <c r="R2848" s="22" t="str">
        <f>_xlfn._xlws.FILTER(辅助信息!D:D,辅助信息!E:E=B2848)</f>
        <v>华西萌海-科创农业生态谷</v>
      </c>
    </row>
    <row r="2849" hidden="1" spans="2:18">
      <c r="B2849" s="33" t="s">
        <v>92</v>
      </c>
      <c r="C2849" s="63">
        <v>45888</v>
      </c>
      <c r="D2849" s="33" t="str">
        <f>VLOOKUP(B2849,辅助信息!E:K,7,FALSE)</f>
        <v>JWDDCD2025051800046</v>
      </c>
      <c r="E2849" s="33" t="str">
        <f>VLOOKUP(F2849,辅助信息!A:B,2,FALSE)</f>
        <v>螺纹钢</v>
      </c>
      <c r="F2849" s="33" t="s">
        <v>82</v>
      </c>
      <c r="G2849" s="29">
        <v>3</v>
      </c>
      <c r="H2849" s="127">
        <f>_xlfn.XLOOKUP(C2849&amp;F2849&amp;I2849&amp;J2849,'[1]2025年已发货'!$F:$F&amp;'[1]2025年已发货'!$C:$C&amp;'[1]2025年已发货'!$G:$G&amp;'[1]2025年已发货'!$H:$H,'[1]2025年已发货'!$E:$E,"未发货")</f>
        <v>3</v>
      </c>
      <c r="I2849" s="33" t="str">
        <f>VLOOKUP(B2849,辅助信息!E:I,3,FALSE)</f>
        <v>（华西萌海科创农业生态谷）成都市简阳市白金山水库</v>
      </c>
      <c r="J2849" s="33" t="str">
        <f>VLOOKUP(B2849,辅助信息!E:I,4,FALSE)</f>
        <v>石清国</v>
      </c>
      <c r="K2849" s="33">
        <f>VLOOKUP(J2849,辅助信息!H:I,2,FALSE)</f>
        <v>13458642015</v>
      </c>
      <c r="L2849" s="102" t="str">
        <f>VLOOKUP(B2849,辅助信息!E:J,6,FALSE)</f>
        <v>优先威钢,我方卸车,新老国标钢厂不加价可直发</v>
      </c>
      <c r="O2849" s="55" t="str">
        <f ca="1" t="shared" si="169"/>
        <v/>
      </c>
      <c r="P2849" s="55" t="str">
        <f ca="1" t="shared" si="170"/>
        <v/>
      </c>
      <c r="Q2849" s="22" t="str">
        <f>VLOOKUP(B2849,辅助信息!E:M,9,FALSE)</f>
        <v>ZTWM-CDGS-XS-2024-0092-华西-萌海科创农业生态谷</v>
      </c>
      <c r="R2849" s="22" t="str">
        <f>_xlfn._xlws.FILTER(辅助信息!D:D,辅助信息!E:E=B2849)</f>
        <v>华西萌海-科创农业生态谷</v>
      </c>
    </row>
    <row r="2850" hidden="1" spans="2:18">
      <c r="B2850" s="33" t="s">
        <v>92</v>
      </c>
      <c r="C2850" s="63">
        <v>45888</v>
      </c>
      <c r="D2850" s="33" t="str">
        <f>VLOOKUP(B2850,辅助信息!E:K,7,FALSE)</f>
        <v>JWDDCD2025051800046</v>
      </c>
      <c r="E2850" s="33" t="str">
        <f>VLOOKUP(F2850,辅助信息!A:B,2,FALSE)</f>
        <v>螺纹钢</v>
      </c>
      <c r="F2850" s="33" t="s">
        <v>22</v>
      </c>
      <c r="G2850" s="29">
        <v>20</v>
      </c>
      <c r="H2850" s="127">
        <f>_xlfn.XLOOKUP(C2850&amp;F2850&amp;I2850&amp;J2850,'[1]2025年已发货'!$F:$F&amp;'[1]2025年已发货'!$C:$C&amp;'[1]2025年已发货'!$G:$G&amp;'[1]2025年已发货'!$H:$H,'[1]2025年已发货'!$E:$E,"未发货")</f>
        <v>20</v>
      </c>
      <c r="I2850" s="33" t="str">
        <f>VLOOKUP(B2850,辅助信息!E:I,3,FALSE)</f>
        <v>（华西萌海科创农业生态谷）成都市简阳市白金山水库</v>
      </c>
      <c r="J2850" s="33" t="str">
        <f>VLOOKUP(B2850,辅助信息!E:I,4,FALSE)</f>
        <v>石清国</v>
      </c>
      <c r="K2850" s="33">
        <f>VLOOKUP(J2850,辅助信息!H:I,2,FALSE)</f>
        <v>13458642015</v>
      </c>
      <c r="L2850" s="102" t="str">
        <f>VLOOKUP(B2850,辅助信息!E:J,6,FALSE)</f>
        <v>优先威钢,我方卸车,新老国标钢厂不加价可直发</v>
      </c>
      <c r="O2850" s="55" t="str">
        <f ca="1" t="shared" si="169"/>
        <v/>
      </c>
      <c r="P2850" s="55" t="str">
        <f ca="1" t="shared" si="170"/>
        <v/>
      </c>
      <c r="Q2850" s="22" t="str">
        <f>VLOOKUP(B2850,辅助信息!E:M,9,FALSE)</f>
        <v>ZTWM-CDGS-XS-2024-0092-华西-萌海科创农业生态谷</v>
      </c>
      <c r="R2850" s="22" t="str">
        <f>_xlfn._xlws.FILTER(辅助信息!D:D,辅助信息!E:E=B2850)</f>
        <v>华西萌海-科创农业生态谷</v>
      </c>
    </row>
    <row r="2851" hidden="1" spans="2:18">
      <c r="B2851" s="33" t="s">
        <v>47</v>
      </c>
      <c r="C2851" s="63">
        <v>45888</v>
      </c>
      <c r="D2851" s="33" t="str">
        <f>VLOOKUP(B2851,辅助信息!E:K,7,FALSE)</f>
        <v>JWDDCD2025052800131</v>
      </c>
      <c r="E2851" s="33" t="str">
        <f>VLOOKUP(F2851,辅助信息!A:B,2,FALSE)</f>
        <v>盘螺</v>
      </c>
      <c r="F2851" s="33" t="s">
        <v>40</v>
      </c>
      <c r="G2851" s="29">
        <v>30</v>
      </c>
      <c r="H2851" s="127">
        <f>_xlfn.XLOOKUP(C2851&amp;F2851&amp;I2851&amp;J2851,'[1]2025年已发货'!$F:$F&amp;'[1]2025年已发货'!$C:$C&amp;'[1]2025年已发货'!$G:$G&amp;'[1]2025年已发货'!$H:$H,'[1]2025年已发货'!$E:$E,"未发货")</f>
        <v>30</v>
      </c>
      <c r="I2851" s="33" t="str">
        <f>VLOOKUP(B2851,辅助信息!E:I,3,FALSE)</f>
        <v>（商投建工达州中医药科技园-1工区）达州市通川区达州中医药职业学院犀牛大道北段</v>
      </c>
      <c r="J2851" s="33" t="str">
        <f>VLOOKUP(B2851,辅助信息!E:I,4,FALSE)</f>
        <v>程黄刚</v>
      </c>
      <c r="K2851" s="33">
        <f>VLOOKUP(J2851,辅助信息!H:I,2,FALSE)</f>
        <v>15108211617</v>
      </c>
      <c r="L2851" s="102" t="str">
        <f>VLOOKUP(B2851,辅助信息!E:J,6,FALSE)</f>
        <v>控制炉批号！多了现场不收！,优先安排达钢,提前联系到场规格及数量</v>
      </c>
      <c r="O2851" s="55" t="str">
        <f ca="1" t="shared" si="169"/>
        <v/>
      </c>
      <c r="P2851" s="55" t="str">
        <f ca="1" t="shared" si="170"/>
        <v/>
      </c>
      <c r="Q2851" s="22" t="str">
        <f>VLOOKUP(B2851,辅助信息!E:M,9,FALSE)</f>
        <v>ZTWM-CDGS-XS-2024-0134-商投建工达州中医药科技成果示范园项目</v>
      </c>
      <c r="R2851" s="22" t="str">
        <f>_xlfn._xlws.FILTER(辅助信息!D:D,辅助信息!E:E=B2851)</f>
        <v>商投建工达州中医药科技园</v>
      </c>
    </row>
    <row r="2852" hidden="1" spans="2:18">
      <c r="B2852" s="33" t="s">
        <v>47</v>
      </c>
      <c r="C2852" s="63">
        <v>45888</v>
      </c>
      <c r="D2852" s="33" t="str">
        <f>VLOOKUP(B2852,辅助信息!E:K,7,FALSE)</f>
        <v>JWDDCD2025052800131</v>
      </c>
      <c r="E2852" s="33" t="str">
        <f>VLOOKUP(F2852,辅助信息!A:B,2,FALSE)</f>
        <v>盘螺</v>
      </c>
      <c r="F2852" s="33" t="s">
        <v>41</v>
      </c>
      <c r="G2852" s="29">
        <v>9</v>
      </c>
      <c r="H2852" s="127">
        <f>_xlfn.XLOOKUP(C2852&amp;F2852&amp;I2852&amp;J2852,'[1]2025年已发货'!$F:$F&amp;'[1]2025年已发货'!$C:$C&amp;'[1]2025年已发货'!$G:$G&amp;'[1]2025年已发货'!$H:$H,'[1]2025年已发货'!$E:$E,"未发货")</f>
        <v>9</v>
      </c>
      <c r="I2852" s="33" t="str">
        <f>VLOOKUP(B2852,辅助信息!E:I,3,FALSE)</f>
        <v>（商投建工达州中医药科技园-1工区）达州市通川区达州中医药职业学院犀牛大道北段</v>
      </c>
      <c r="J2852" s="33" t="str">
        <f>VLOOKUP(B2852,辅助信息!E:I,4,FALSE)</f>
        <v>程黄刚</v>
      </c>
      <c r="K2852" s="33">
        <f>VLOOKUP(J2852,辅助信息!H:I,2,FALSE)</f>
        <v>15108211617</v>
      </c>
      <c r="L2852" s="102" t="str">
        <f>VLOOKUP(B2852,辅助信息!E:J,6,FALSE)</f>
        <v>控制炉批号！多了现场不收！,优先安排达钢,提前联系到场规格及数量</v>
      </c>
      <c r="O2852" s="55" t="str">
        <f ca="1" t="shared" si="169"/>
        <v/>
      </c>
      <c r="P2852" s="55" t="str">
        <f ca="1" t="shared" si="170"/>
        <v/>
      </c>
      <c r="Q2852" s="22" t="str">
        <f>VLOOKUP(B2852,辅助信息!E:M,9,FALSE)</f>
        <v>ZTWM-CDGS-XS-2024-0134-商投建工达州中医药科技成果示范园项目</v>
      </c>
      <c r="R2852" s="22" t="str">
        <f>_xlfn._xlws.FILTER(辅助信息!D:D,辅助信息!E:E=B2852)</f>
        <v>商投建工达州中医药科技园</v>
      </c>
    </row>
    <row r="2853" hidden="1" spans="2:18">
      <c r="B2853" s="33" t="s">
        <v>47</v>
      </c>
      <c r="C2853" s="63">
        <v>45888</v>
      </c>
      <c r="D2853" s="33" t="str">
        <f>VLOOKUP(B2853,辅助信息!E:K,7,FALSE)</f>
        <v>JWDDCD2025052800131</v>
      </c>
      <c r="E2853" s="33" t="str">
        <f>VLOOKUP(F2853,辅助信息!A:B,2,FALSE)</f>
        <v>螺纹钢</v>
      </c>
      <c r="F2853" s="33" t="s">
        <v>27</v>
      </c>
      <c r="G2853" s="29">
        <v>12</v>
      </c>
      <c r="H2853" s="127">
        <f>_xlfn.XLOOKUP(C2853&amp;F2853&amp;I2853&amp;J2853,'[1]2025年已发货'!$F:$F&amp;'[1]2025年已发货'!$C:$C&amp;'[1]2025年已发货'!$G:$G&amp;'[1]2025年已发货'!$H:$H,'[1]2025年已发货'!$E:$E,"未发货")</f>
        <v>12</v>
      </c>
      <c r="I2853" s="33" t="str">
        <f>VLOOKUP(B2853,辅助信息!E:I,3,FALSE)</f>
        <v>（商投建工达州中医药科技园-1工区）达州市通川区达州中医药职业学院犀牛大道北段</v>
      </c>
      <c r="J2853" s="33" t="str">
        <f>VLOOKUP(B2853,辅助信息!E:I,4,FALSE)</f>
        <v>程黄刚</v>
      </c>
      <c r="K2853" s="33">
        <f>VLOOKUP(J2853,辅助信息!H:I,2,FALSE)</f>
        <v>15108211617</v>
      </c>
      <c r="L2853" s="102" t="str">
        <f>VLOOKUP(B2853,辅助信息!E:J,6,FALSE)</f>
        <v>控制炉批号！多了现场不收！,优先安排达钢,提前联系到场规格及数量</v>
      </c>
      <c r="O2853" s="55" t="str">
        <f ca="1" t="shared" si="169"/>
        <v/>
      </c>
      <c r="P2853" s="55" t="str">
        <f ca="1" t="shared" si="170"/>
        <v/>
      </c>
      <c r="Q2853" s="22" t="str">
        <f>VLOOKUP(B2853,辅助信息!E:M,9,FALSE)</f>
        <v>ZTWM-CDGS-XS-2024-0134-商投建工达州中医药科技成果示范园项目</v>
      </c>
      <c r="R2853" s="22" t="str">
        <f>_xlfn._xlws.FILTER(辅助信息!D:D,辅助信息!E:E=B2853)</f>
        <v>商投建工达州中医药科技园</v>
      </c>
    </row>
    <row r="2854" hidden="1" spans="2:18">
      <c r="B2854" s="33" t="s">
        <v>186</v>
      </c>
      <c r="C2854" s="63">
        <v>45888</v>
      </c>
      <c r="D2854" s="33" t="str">
        <f>VLOOKUP(B2854,辅助信息!E:K,7,FALSE)</f>
        <v>JWDDCD2025072900123</v>
      </c>
      <c r="E2854" s="33" t="str">
        <f>VLOOKUP(F2854,辅助信息!A:B,2,FALSE)</f>
        <v>螺纹钢</v>
      </c>
      <c r="F2854" s="33" t="s">
        <v>19</v>
      </c>
      <c r="G2854" s="29">
        <v>15</v>
      </c>
      <c r="H2854" s="127">
        <f>_xlfn.XLOOKUP(C2854&amp;F2854&amp;I2854&amp;J2854,'[1]2025年已发货'!$F:$F&amp;'[1]2025年已发货'!$C:$C&amp;'[1]2025年已发货'!$G:$G&amp;'[1]2025年已发货'!$H:$H,'[1]2025年已发货'!$E:$E,"未发货")</f>
        <v>15</v>
      </c>
      <c r="I2854" s="33" t="str">
        <f>VLOOKUP(B2854,辅助信息!E:I,3,FALSE)</f>
        <v>(乐山市校地共建产教融合基地建设项目二标段)四川省乐山市市中区苏稽镇</v>
      </c>
      <c r="J2854" s="33" t="str">
        <f>VLOOKUP(B2854,辅助信息!E:I,4,FALSE)</f>
        <v>彭江涛</v>
      </c>
      <c r="K2854" s="33">
        <f>VLOOKUP(J2854,辅助信息!H:I,2,FALSE)</f>
        <v>13990276572</v>
      </c>
      <c r="L2854" s="102" t="str">
        <f>VLOOKUP(B2854,辅助信息!E:J,6,FALSE)</f>
        <v>联系实际收货人（彭江涛13990276572）现场要求炉批号控制2个以下，超2个不给予签收。提前联系到场规格及数量</v>
      </c>
      <c r="O2854" s="55" t="str">
        <f ca="1" t="shared" si="169"/>
        <v/>
      </c>
      <c r="P2854" s="55" t="str">
        <f ca="1" t="shared" si="170"/>
        <v/>
      </c>
      <c r="Q2854" s="22" t="str">
        <f>VLOOKUP(B2854,辅助信息!E:M,9,FALSE)</f>
        <v>ZTWM-CDGS-XS-2025-0126-四川机司-乐山市校地共建产教融合基地配套设施项目施工二标段钢筋采购合同</v>
      </c>
      <c r="R2854" s="22" t="str">
        <f>_xlfn._xlws.FILTER(辅助信息!D:D,辅助信息!E:E=B2854)</f>
        <v>乐山市校地共建产教融合基地建设项目二标段</v>
      </c>
    </row>
    <row r="2855" hidden="1" spans="2:18">
      <c r="B2855" s="33" t="s">
        <v>186</v>
      </c>
      <c r="C2855" s="63">
        <v>45888</v>
      </c>
      <c r="D2855" s="33" t="str">
        <f>VLOOKUP(B2855,辅助信息!E:K,7,FALSE)</f>
        <v>JWDDCD2025072900123</v>
      </c>
      <c r="E2855" s="33" t="str">
        <f>VLOOKUP(F2855,辅助信息!A:B,2,FALSE)</f>
        <v>螺纹钢</v>
      </c>
      <c r="F2855" s="33" t="s">
        <v>33</v>
      </c>
      <c r="G2855" s="29">
        <v>15</v>
      </c>
      <c r="H2855" s="127">
        <f>_xlfn.XLOOKUP(C2855&amp;F2855&amp;I2855&amp;J2855,'[1]2025年已发货'!$F:$F&amp;'[1]2025年已发货'!$C:$C&amp;'[1]2025年已发货'!$G:$G&amp;'[1]2025年已发货'!$H:$H,'[1]2025年已发货'!$E:$E,"未发货")</f>
        <v>15</v>
      </c>
      <c r="I2855" s="33" t="str">
        <f>VLOOKUP(B2855,辅助信息!E:I,3,FALSE)</f>
        <v>(乐山市校地共建产教融合基地建设项目二标段)四川省乐山市市中区苏稽镇</v>
      </c>
      <c r="J2855" s="33" t="str">
        <f>VLOOKUP(B2855,辅助信息!E:I,4,FALSE)</f>
        <v>彭江涛</v>
      </c>
      <c r="K2855" s="33">
        <f>VLOOKUP(J2855,辅助信息!H:I,2,FALSE)</f>
        <v>13990276572</v>
      </c>
      <c r="L2855" s="102" t="str">
        <f>VLOOKUP(B2855,辅助信息!E:J,6,FALSE)</f>
        <v>联系实际收货人（彭江涛13990276572）现场要求炉批号控制2个以下，超2个不给予签收。提前联系到场规格及数量</v>
      </c>
      <c r="O2855" s="55" t="str">
        <f ca="1" t="shared" si="169"/>
        <v/>
      </c>
      <c r="P2855" s="55" t="str">
        <f ca="1" t="shared" si="170"/>
        <v/>
      </c>
      <c r="Q2855" s="22" t="str">
        <f>VLOOKUP(B2855,辅助信息!E:M,9,FALSE)</f>
        <v>ZTWM-CDGS-XS-2025-0126-四川机司-乐山市校地共建产教融合基地配套设施项目施工二标段钢筋采购合同</v>
      </c>
      <c r="R2855" s="22" t="str">
        <f>_xlfn._xlws.FILTER(辅助信息!D:D,辅助信息!E:E=B2855)</f>
        <v>乐山市校地共建产教融合基地建设项目二标段</v>
      </c>
    </row>
    <row r="2856" hidden="1" spans="2:18">
      <c r="B2856" s="33" t="s">
        <v>186</v>
      </c>
      <c r="C2856" s="63">
        <v>45888</v>
      </c>
      <c r="D2856" s="33" t="str">
        <f>VLOOKUP(B2856,辅助信息!E:K,7,FALSE)</f>
        <v>JWDDCD2025072900123</v>
      </c>
      <c r="E2856" s="33" t="str">
        <f>VLOOKUP(F2856,辅助信息!A:B,2,FALSE)</f>
        <v>螺纹钢</v>
      </c>
      <c r="F2856" s="33" t="s">
        <v>28</v>
      </c>
      <c r="G2856" s="29">
        <v>5</v>
      </c>
      <c r="H2856" s="127">
        <f>_xlfn.XLOOKUP(C2856&amp;F2856&amp;I2856&amp;J2856,'[1]2025年已发货'!$F:$F&amp;'[1]2025年已发货'!$C:$C&amp;'[1]2025年已发货'!$G:$G&amp;'[1]2025年已发货'!$H:$H,'[1]2025年已发货'!$E:$E,"未发货")</f>
        <v>5</v>
      </c>
      <c r="I2856" s="33" t="str">
        <f>VLOOKUP(B2856,辅助信息!E:I,3,FALSE)</f>
        <v>(乐山市校地共建产教融合基地建设项目二标段)四川省乐山市市中区苏稽镇</v>
      </c>
      <c r="J2856" s="33" t="str">
        <f>VLOOKUP(B2856,辅助信息!E:I,4,FALSE)</f>
        <v>彭江涛</v>
      </c>
      <c r="K2856" s="33">
        <f>VLOOKUP(J2856,辅助信息!H:I,2,FALSE)</f>
        <v>13990276572</v>
      </c>
      <c r="L2856" s="102" t="str">
        <f>VLOOKUP(B2856,辅助信息!E:J,6,FALSE)</f>
        <v>联系实际收货人（彭江涛13990276572）现场要求炉批号控制2个以下，超2个不给予签收。提前联系到场规格及数量</v>
      </c>
      <c r="O2856" s="55" t="str">
        <f ca="1" t="shared" si="169"/>
        <v/>
      </c>
      <c r="P2856" s="55" t="str">
        <f ca="1" t="shared" si="170"/>
        <v/>
      </c>
      <c r="Q2856" s="22" t="str">
        <f>VLOOKUP(B2856,辅助信息!E:M,9,FALSE)</f>
        <v>ZTWM-CDGS-XS-2025-0126-四川机司-乐山市校地共建产教融合基地配套设施项目施工二标段钢筋采购合同</v>
      </c>
      <c r="R2856" s="22" t="str">
        <f>_xlfn._xlws.FILTER(辅助信息!D:D,辅助信息!E:E=B2856)</f>
        <v>乐山市校地共建产教融合基地建设项目二标段</v>
      </c>
    </row>
    <row r="2857" hidden="1" spans="2:18">
      <c r="B2857" s="33" t="s">
        <v>186</v>
      </c>
      <c r="C2857" s="63">
        <v>45888</v>
      </c>
      <c r="D2857" s="33" t="str">
        <f>VLOOKUP(B2857,辅助信息!E:K,7,FALSE)</f>
        <v>JWDDCD2025072900123</v>
      </c>
      <c r="E2857" s="33" t="str">
        <f>VLOOKUP(F2857,辅助信息!A:B,2,FALSE)</f>
        <v>螺纹钢</v>
      </c>
      <c r="F2857" s="33" t="s">
        <v>76</v>
      </c>
      <c r="G2857" s="29">
        <v>15</v>
      </c>
      <c r="H2857" s="127">
        <f>_xlfn.XLOOKUP(C2857&amp;F2857&amp;I2857&amp;J2857,'[1]2025年已发货'!$F:$F&amp;'[1]2025年已发货'!$C:$C&amp;'[1]2025年已发货'!$G:$G&amp;'[1]2025年已发货'!$H:$H,'[1]2025年已发货'!$E:$E,"未发货")</f>
        <v>15</v>
      </c>
      <c r="I2857" s="33" t="str">
        <f>VLOOKUP(B2857,辅助信息!E:I,3,FALSE)</f>
        <v>(乐山市校地共建产教融合基地建设项目二标段)四川省乐山市市中区苏稽镇</v>
      </c>
      <c r="J2857" s="33" t="str">
        <f>VLOOKUP(B2857,辅助信息!E:I,4,FALSE)</f>
        <v>彭江涛</v>
      </c>
      <c r="K2857" s="33">
        <f>VLOOKUP(J2857,辅助信息!H:I,2,FALSE)</f>
        <v>13990276572</v>
      </c>
      <c r="L2857" s="102" t="str">
        <f>VLOOKUP(B2857,辅助信息!E:J,6,FALSE)</f>
        <v>联系实际收货人（彭江涛13990276572）现场要求炉批号控制2个以下，超2个不给予签收。提前联系到场规格及数量</v>
      </c>
      <c r="O2857" s="55" t="str">
        <f ca="1" t="shared" si="169"/>
        <v/>
      </c>
      <c r="P2857" s="55" t="str">
        <f ca="1" t="shared" si="170"/>
        <v/>
      </c>
      <c r="Q2857" s="22" t="str">
        <f>VLOOKUP(B2857,辅助信息!E:M,9,FALSE)</f>
        <v>ZTWM-CDGS-XS-2025-0126-四川机司-乐山市校地共建产教融合基地配套设施项目施工二标段钢筋采购合同</v>
      </c>
      <c r="R2857" s="22" t="str">
        <f>_xlfn._xlws.FILTER(辅助信息!D:D,辅助信息!E:E=B2857)</f>
        <v>乐山市校地共建产教融合基地建设项目二标段</v>
      </c>
    </row>
    <row r="2858" hidden="1" spans="2:18">
      <c r="B2858" s="33" t="s">
        <v>186</v>
      </c>
      <c r="C2858" s="63">
        <v>45888</v>
      </c>
      <c r="D2858" s="33" t="str">
        <f>VLOOKUP(B2858,辅助信息!E:K,7,FALSE)</f>
        <v>JWDDCD2025072900123</v>
      </c>
      <c r="E2858" s="33" t="str">
        <f>VLOOKUP(F2858,辅助信息!A:B,2,FALSE)</f>
        <v>螺纹钢</v>
      </c>
      <c r="F2858" s="33" t="s">
        <v>138</v>
      </c>
      <c r="G2858" s="29">
        <v>15</v>
      </c>
      <c r="H2858" s="127">
        <f>_xlfn.XLOOKUP(C2858&amp;F2858&amp;I2858&amp;J2858,'[1]2025年已发货'!$F:$F&amp;'[1]2025年已发货'!$C:$C&amp;'[1]2025年已发货'!$G:$G&amp;'[1]2025年已发货'!$H:$H,'[1]2025年已发货'!$E:$E,"未发货")</f>
        <v>15</v>
      </c>
      <c r="I2858" s="33" t="str">
        <f>VLOOKUP(B2858,辅助信息!E:I,3,FALSE)</f>
        <v>(乐山市校地共建产教融合基地建设项目二标段)四川省乐山市市中区苏稽镇</v>
      </c>
      <c r="J2858" s="33" t="str">
        <f>VLOOKUP(B2858,辅助信息!E:I,4,FALSE)</f>
        <v>彭江涛</v>
      </c>
      <c r="K2858" s="33">
        <f>VLOOKUP(J2858,辅助信息!H:I,2,FALSE)</f>
        <v>13990276572</v>
      </c>
      <c r="L2858" s="102" t="str">
        <f>VLOOKUP(B2858,辅助信息!E:J,6,FALSE)</f>
        <v>联系实际收货人（彭江涛13990276572）现场要求炉批号控制2个以下，超2个不给予签收。提前联系到场规格及数量</v>
      </c>
      <c r="O2858" s="55" t="str">
        <f ca="1" t="shared" si="169"/>
        <v/>
      </c>
      <c r="P2858" s="55" t="str">
        <f ca="1" t="shared" si="170"/>
        <v/>
      </c>
      <c r="Q2858" s="22" t="str">
        <f>VLOOKUP(B2858,辅助信息!E:M,9,FALSE)</f>
        <v>ZTWM-CDGS-XS-2025-0126-四川机司-乐山市校地共建产教融合基地配套设施项目施工二标段钢筋采购合同</v>
      </c>
      <c r="R2858" s="22" t="str">
        <f>_xlfn._xlws.FILTER(辅助信息!D:D,辅助信息!E:E=B2858)</f>
        <v>乐山市校地共建产教融合基地建设项目二标段</v>
      </c>
    </row>
    <row r="2859" hidden="1" spans="2:18">
      <c r="B2859" s="33" t="s">
        <v>186</v>
      </c>
      <c r="C2859" s="63">
        <v>45888</v>
      </c>
      <c r="D2859" s="33" t="str">
        <f>VLOOKUP(B2859,辅助信息!E:K,7,FALSE)</f>
        <v>JWDDCD2025072900123</v>
      </c>
      <c r="E2859" s="33" t="str">
        <f>VLOOKUP(F2859,辅助信息!A:B,2,FALSE)</f>
        <v>螺纹钢</v>
      </c>
      <c r="F2859" s="33" t="s">
        <v>133</v>
      </c>
      <c r="G2859" s="29">
        <v>5</v>
      </c>
      <c r="H2859" s="127">
        <f>_xlfn.XLOOKUP(C2859&amp;F2859&amp;I2859&amp;J2859,'[1]2025年已发货'!$F:$F&amp;'[1]2025年已发货'!$C:$C&amp;'[1]2025年已发货'!$G:$G&amp;'[1]2025年已发货'!$H:$H,'[1]2025年已发货'!$E:$E,"未发货")</f>
        <v>5</v>
      </c>
      <c r="I2859" s="33" t="str">
        <f>VLOOKUP(B2859,辅助信息!E:I,3,FALSE)</f>
        <v>(乐山市校地共建产教融合基地建设项目二标段)四川省乐山市市中区苏稽镇</v>
      </c>
      <c r="J2859" s="33" t="str">
        <f>VLOOKUP(B2859,辅助信息!E:I,4,FALSE)</f>
        <v>彭江涛</v>
      </c>
      <c r="K2859" s="33">
        <f>VLOOKUP(J2859,辅助信息!H:I,2,FALSE)</f>
        <v>13990276572</v>
      </c>
      <c r="L2859" s="102" t="str">
        <f>VLOOKUP(B2859,辅助信息!E:J,6,FALSE)</f>
        <v>联系实际收货人（彭江涛13990276572）现场要求炉批号控制2个以下，超2个不给予签收。提前联系到场规格及数量</v>
      </c>
      <c r="O2859" s="55" t="str">
        <f ca="1" t="shared" si="169"/>
        <v/>
      </c>
      <c r="P2859" s="55" t="str">
        <f ca="1" t="shared" si="170"/>
        <v/>
      </c>
      <c r="Q2859" s="22" t="str">
        <f>VLOOKUP(B2859,辅助信息!E:M,9,FALSE)</f>
        <v>ZTWM-CDGS-XS-2025-0126-四川机司-乐山市校地共建产教融合基地配套设施项目施工二标段钢筋采购合同</v>
      </c>
      <c r="R2859" s="22" t="str">
        <f>_xlfn._xlws.FILTER(辅助信息!D:D,辅助信息!E:E=B2859)</f>
        <v>乐山市校地共建产教融合基地建设项目二标段</v>
      </c>
    </row>
    <row r="2860" hidden="1" spans="2:18">
      <c r="B2860" s="33" t="s">
        <v>68</v>
      </c>
      <c r="C2860" s="63">
        <v>45889</v>
      </c>
      <c r="D2860" s="33" t="str">
        <f>VLOOKUP(B2860,辅助信息!E:K,7,FALSE)</f>
        <v>JWDDCD2025052800131</v>
      </c>
      <c r="E2860" s="33" t="str">
        <f>VLOOKUP(F2860,辅助信息!A:B,2,FALSE)</f>
        <v>螺纹钢</v>
      </c>
      <c r="F2860" s="33" t="s">
        <v>27</v>
      </c>
      <c r="G2860" s="29">
        <v>15</v>
      </c>
      <c r="H2860" s="127">
        <f>_xlfn.XLOOKUP(C2860&amp;F2860&amp;I2860&amp;J2860,'[1]2025年已发货'!$F:$F&amp;'[1]2025年已发货'!$C:$C&amp;'[1]2025年已发货'!$G:$G&amp;'[1]2025年已发货'!$H:$H,'[1]2025年已发货'!$E:$E,"未发货")</f>
        <v>13</v>
      </c>
      <c r="I2860" s="33" t="str">
        <f>VLOOKUP(B2860,辅助信息!E:I,3,FALSE)</f>
        <v>（商投建工达州中医药科技园-2工区-景观桥）达州市通川区达州中医药职业学院犀牛大道北段</v>
      </c>
      <c r="J2860" s="33" t="str">
        <f>VLOOKUP(B2860,辅助信息!E:I,4,FALSE)</f>
        <v>李波</v>
      </c>
      <c r="K2860" s="33">
        <f>VLOOKUP(J2860,辅助信息!H:I,2,FALSE)</f>
        <v>18381899787</v>
      </c>
      <c r="L2860" s="102" t="str">
        <f>VLOOKUP(B2860,辅助信息!E:J,6,FALSE)</f>
        <v>控制炉批号！多了现场不收！,优先安排达钢,提前联系到场规格及数量</v>
      </c>
      <c r="O2860" s="55" t="str">
        <f ca="1" t="shared" si="169"/>
        <v/>
      </c>
      <c r="P2860" s="55" t="str">
        <f ca="1" t="shared" si="170"/>
        <v/>
      </c>
      <c r="Q2860" s="22" t="str">
        <f>VLOOKUP(B2860,辅助信息!E:M,9,FALSE)</f>
        <v>ZTWM-CDGS-XS-2024-0134-商投建工达州中医药科技成果示范园项目</v>
      </c>
      <c r="R2860" s="22" t="str">
        <f>_xlfn._xlws.FILTER(辅助信息!D:D,辅助信息!E:E=B2860)</f>
        <v>商投建工达州中医药科技园</v>
      </c>
    </row>
    <row r="2861" hidden="1" spans="2:18">
      <c r="B2861" s="33" t="s">
        <v>68</v>
      </c>
      <c r="C2861" s="63">
        <v>45889</v>
      </c>
      <c r="D2861" s="33" t="str">
        <f>VLOOKUP(B2861,辅助信息!E:K,7,FALSE)</f>
        <v>JWDDCD2025052800131</v>
      </c>
      <c r="E2861" s="33" t="str">
        <f>VLOOKUP(F2861,辅助信息!A:B,2,FALSE)</f>
        <v>螺纹钢</v>
      </c>
      <c r="F2861" s="33" t="s">
        <v>32</v>
      </c>
      <c r="G2861" s="29">
        <v>15</v>
      </c>
      <c r="H2861" s="127">
        <f>_xlfn.XLOOKUP(C2861&amp;F2861&amp;I2861&amp;J2861,'[1]2025年已发货'!$F:$F&amp;'[1]2025年已发货'!$C:$C&amp;'[1]2025年已发货'!$G:$G&amp;'[1]2025年已发货'!$H:$H,'[1]2025年已发货'!$E:$E,"未发货")</f>
        <v>13</v>
      </c>
      <c r="I2861" s="33" t="str">
        <f>VLOOKUP(B2861,辅助信息!E:I,3,FALSE)</f>
        <v>（商投建工达州中医药科技园-2工区-景观桥）达州市通川区达州中医药职业学院犀牛大道北段</v>
      </c>
      <c r="J2861" s="33" t="str">
        <f>VLOOKUP(B2861,辅助信息!E:I,4,FALSE)</f>
        <v>李波</v>
      </c>
      <c r="K2861" s="33">
        <f>VLOOKUP(J2861,辅助信息!H:I,2,FALSE)</f>
        <v>18381899787</v>
      </c>
      <c r="L2861" s="102" t="str">
        <f>VLOOKUP(B2861,辅助信息!E:J,6,FALSE)</f>
        <v>控制炉批号！多了现场不收！,优先安排达钢,提前联系到场规格及数量</v>
      </c>
      <c r="O2861" s="55" t="str">
        <f ca="1" t="shared" si="169"/>
        <v/>
      </c>
      <c r="P2861" s="55" t="str">
        <f ca="1" t="shared" si="170"/>
        <v/>
      </c>
      <c r="Q2861" s="22" t="str">
        <f>VLOOKUP(B2861,辅助信息!E:M,9,FALSE)</f>
        <v>ZTWM-CDGS-XS-2024-0134-商投建工达州中医药科技成果示范园项目</v>
      </c>
      <c r="R2861" s="22" t="str">
        <f>_xlfn._xlws.FILTER(辅助信息!D:D,辅助信息!E:E=B2861)</f>
        <v>商投建工达州中医药科技园</v>
      </c>
    </row>
    <row r="2862" hidden="1" spans="2:18">
      <c r="B2862" s="33" t="s">
        <v>68</v>
      </c>
      <c r="C2862" s="63">
        <v>45889</v>
      </c>
      <c r="D2862" s="33" t="str">
        <f>VLOOKUP(B2862,辅助信息!E:K,7,FALSE)</f>
        <v>JWDDCD2025052800131</v>
      </c>
      <c r="E2862" s="33" t="str">
        <f>VLOOKUP(F2862,辅助信息!A:B,2,FALSE)</f>
        <v>螺纹钢</v>
      </c>
      <c r="F2862" s="33" t="s">
        <v>33</v>
      </c>
      <c r="G2862" s="29">
        <v>15</v>
      </c>
      <c r="H2862" s="127">
        <f>_xlfn.XLOOKUP(C2862&amp;F2862&amp;I2862&amp;J2862,'[1]2025年已发货'!$F:$F&amp;'[1]2025年已发货'!$C:$C&amp;'[1]2025年已发货'!$G:$G&amp;'[1]2025年已发货'!$H:$H,'[1]2025年已发货'!$E:$E,"未发货")</f>
        <v>10</v>
      </c>
      <c r="I2862" s="33" t="str">
        <f>VLOOKUP(B2862,辅助信息!E:I,3,FALSE)</f>
        <v>（商投建工达州中医药科技园-2工区-景观桥）达州市通川区达州中医药职业学院犀牛大道北段</v>
      </c>
      <c r="J2862" s="33" t="str">
        <f>VLOOKUP(B2862,辅助信息!E:I,4,FALSE)</f>
        <v>李波</v>
      </c>
      <c r="K2862" s="33">
        <f>VLOOKUP(J2862,辅助信息!H:I,2,FALSE)</f>
        <v>18381899787</v>
      </c>
      <c r="L2862" s="102" t="str">
        <f>VLOOKUP(B2862,辅助信息!E:J,6,FALSE)</f>
        <v>控制炉批号！多了现场不收！,优先安排达钢,提前联系到场规格及数量</v>
      </c>
      <c r="O2862" s="55" t="str">
        <f ca="1" t="shared" si="169"/>
        <v/>
      </c>
      <c r="P2862" s="55" t="str">
        <f ca="1" t="shared" si="170"/>
        <v/>
      </c>
      <c r="Q2862" s="22" t="str">
        <f>VLOOKUP(B2862,辅助信息!E:M,9,FALSE)</f>
        <v>ZTWM-CDGS-XS-2024-0134-商投建工达州中医药科技成果示范园项目</v>
      </c>
      <c r="R2862" s="22" t="str">
        <f>_xlfn._xlws.FILTER(辅助信息!D:D,辅助信息!E:E=B2862)</f>
        <v>商投建工达州中医药科技园</v>
      </c>
    </row>
    <row r="2863" hidden="1" spans="2:18">
      <c r="B2863" s="33" t="s">
        <v>177</v>
      </c>
      <c r="C2863" s="63">
        <v>45889</v>
      </c>
      <c r="D2863" s="33" t="str">
        <f>VLOOKUP(B2863,辅助信息!E:K,7,FALSE)</f>
        <v>JWDDCD2025062200016</v>
      </c>
      <c r="E2863" s="33" t="str">
        <f>VLOOKUP(F2863,辅助信息!A:B,2,FALSE)</f>
        <v>盘螺</v>
      </c>
      <c r="F2863" s="33" t="s">
        <v>40</v>
      </c>
      <c r="G2863" s="29">
        <v>10</v>
      </c>
      <c r="H2863" s="127">
        <f>_xlfn.XLOOKUP(C2863&amp;F2863&amp;I2863&amp;J2863,'[1]2025年已发货'!$F:$F&amp;'[1]2025年已发货'!$C:$C&amp;'[1]2025年已发货'!$G:$G&amp;'[1]2025年已发货'!$H:$H,'[1]2025年已发货'!$E:$E,"未发货")</f>
        <v>10</v>
      </c>
      <c r="I2863" s="33" t="str">
        <f>VLOOKUP(B2863,辅助信息!E:I,3,FALSE)</f>
        <v>(武汉电气化局成达万高铁强电项目-南充营山)四川省南充市营山县保真路景阳名城南50米(保真路东)</v>
      </c>
      <c r="J2863" s="33" t="str">
        <f>VLOOKUP(B2863,辅助信息!E:I,4,FALSE)</f>
        <v>周开亮</v>
      </c>
      <c r="K2863" s="33">
        <f>VLOOKUP(J2863,辅助信息!H:I,2,FALSE)</f>
        <v>18381485052</v>
      </c>
      <c r="L2863" s="102" t="str">
        <f>VLOOKUP(B2863,辅助信息!E:J,6,FALSE)</f>
        <v>锈货不收！！下雨天钢筋没盖篷布不收！！，装货前联系收货人核实到场规格,没提前告知进场规格现场不给予接收</v>
      </c>
      <c r="O2863" s="55" t="str">
        <f ca="1" t="shared" si="169"/>
        <v/>
      </c>
      <c r="P2863" s="55" t="str">
        <f ca="1" t="shared" si="170"/>
        <v/>
      </c>
      <c r="Q2863" s="22" t="str">
        <f>VLOOKUP(B2863,辅助信息!E:M,9,FALSE)</f>
        <v>ZTWM-CDGS-XS-2025-0033-中铁武汉电气化局集团有限公司成达万高速铁路强电工程项目</v>
      </c>
      <c r="R2863" s="22" t="str">
        <f>_xlfn._xlws.FILTER(辅助信息!D:D,辅助信息!E:E=B2863)</f>
        <v>武汉电气化局成达万高铁强电项目</v>
      </c>
    </row>
    <row r="2864" hidden="1" spans="2:18">
      <c r="B2864" s="33" t="s">
        <v>177</v>
      </c>
      <c r="C2864" s="63">
        <v>45889</v>
      </c>
      <c r="D2864" s="33" t="str">
        <f>VLOOKUP(B2864,辅助信息!E:K,7,FALSE)</f>
        <v>JWDDCD2025062200016</v>
      </c>
      <c r="E2864" s="33" t="str">
        <f>VLOOKUP(F2864,辅助信息!A:B,2,FALSE)</f>
        <v>盘螺</v>
      </c>
      <c r="F2864" s="33" t="s">
        <v>41</v>
      </c>
      <c r="G2864" s="29">
        <v>18</v>
      </c>
      <c r="H2864" s="127">
        <f>_xlfn.XLOOKUP(C2864&amp;F2864&amp;I2864&amp;J2864,'[1]2025年已发货'!$F:$F&amp;'[1]2025年已发货'!$C:$C&amp;'[1]2025年已发货'!$G:$G&amp;'[1]2025年已发货'!$H:$H,'[1]2025年已发货'!$E:$E,"未发货")</f>
        <v>18</v>
      </c>
      <c r="I2864" s="33" t="str">
        <f>VLOOKUP(B2864,辅助信息!E:I,3,FALSE)</f>
        <v>(武汉电气化局成达万高铁强电项目-南充营山)四川省南充市营山县保真路景阳名城南50米(保真路东)</v>
      </c>
      <c r="J2864" s="33" t="str">
        <f>VLOOKUP(B2864,辅助信息!E:I,4,FALSE)</f>
        <v>周开亮</v>
      </c>
      <c r="K2864" s="33">
        <f>VLOOKUP(J2864,辅助信息!H:I,2,FALSE)</f>
        <v>18381485052</v>
      </c>
      <c r="L2864" s="102" t="str">
        <f>VLOOKUP(B2864,辅助信息!E:J,6,FALSE)</f>
        <v>锈货不收！！下雨天钢筋没盖篷布不收！！，装货前联系收货人核实到场规格,没提前告知进场规格现场不给予接收</v>
      </c>
      <c r="O2864" s="55" t="str">
        <f ca="1" t="shared" si="169"/>
        <v/>
      </c>
      <c r="P2864" s="55" t="str">
        <f ca="1" t="shared" si="170"/>
        <v/>
      </c>
      <c r="Q2864" s="22" t="str">
        <f>VLOOKUP(B2864,辅助信息!E:M,9,FALSE)</f>
        <v>ZTWM-CDGS-XS-2025-0033-中铁武汉电气化局集团有限公司成达万高速铁路强电工程项目</v>
      </c>
      <c r="R2864" s="22" t="str">
        <f>_xlfn._xlws.FILTER(辅助信息!D:D,辅助信息!E:E=B2864)</f>
        <v>武汉电气化局成达万高铁强电项目</v>
      </c>
    </row>
    <row r="2865" hidden="1" spans="2:18">
      <c r="B2865" s="33" t="s">
        <v>177</v>
      </c>
      <c r="C2865" s="63">
        <v>45889</v>
      </c>
      <c r="D2865" s="33" t="str">
        <f>VLOOKUP(B2865,辅助信息!E:K,7,FALSE)</f>
        <v>JWDDCD2025062200016</v>
      </c>
      <c r="E2865" s="33" t="str">
        <f>VLOOKUP(F2865,辅助信息!A:B,2,FALSE)</f>
        <v>螺纹钢</v>
      </c>
      <c r="F2865" s="33" t="s">
        <v>27</v>
      </c>
      <c r="G2865" s="29">
        <v>10</v>
      </c>
      <c r="H2865" s="127">
        <f>_xlfn.XLOOKUP(C2865&amp;F2865&amp;I2865&amp;J2865,'[1]2025年已发货'!$F:$F&amp;'[1]2025年已发货'!$C:$C&amp;'[1]2025年已发货'!$G:$G&amp;'[1]2025年已发货'!$H:$H,'[1]2025年已发货'!$E:$E,"未发货")</f>
        <v>10</v>
      </c>
      <c r="I2865" s="33" t="str">
        <f>VLOOKUP(B2865,辅助信息!E:I,3,FALSE)</f>
        <v>(武汉电气化局成达万高铁强电项目-南充营山)四川省南充市营山县保真路景阳名城南50米(保真路东)</v>
      </c>
      <c r="J2865" s="33" t="str">
        <f>VLOOKUP(B2865,辅助信息!E:I,4,FALSE)</f>
        <v>周开亮</v>
      </c>
      <c r="K2865" s="33">
        <f>VLOOKUP(J2865,辅助信息!H:I,2,FALSE)</f>
        <v>18381485052</v>
      </c>
      <c r="L2865" s="102" t="str">
        <f>VLOOKUP(B2865,辅助信息!E:J,6,FALSE)</f>
        <v>锈货不收！！下雨天钢筋没盖篷布不收！！，装货前联系收货人核实到场规格,没提前告知进场规格现场不给予接收</v>
      </c>
      <c r="O2865" s="55" t="str">
        <f ca="1" t="shared" si="169"/>
        <v/>
      </c>
      <c r="P2865" s="55" t="str">
        <f ca="1" t="shared" si="170"/>
        <v/>
      </c>
      <c r="Q2865" s="22" t="str">
        <f>VLOOKUP(B2865,辅助信息!E:M,9,FALSE)</f>
        <v>ZTWM-CDGS-XS-2025-0033-中铁武汉电气化局集团有限公司成达万高速铁路强电工程项目</v>
      </c>
      <c r="R2865" s="22" t="str">
        <f>_xlfn._xlws.FILTER(辅助信息!D:D,辅助信息!E:E=B2865)</f>
        <v>武汉电气化局成达万高铁强电项目</v>
      </c>
    </row>
    <row r="2866" hidden="1" spans="2:18">
      <c r="B2866" s="33" t="s">
        <v>177</v>
      </c>
      <c r="C2866" s="63">
        <v>45889</v>
      </c>
      <c r="D2866" s="33" t="str">
        <f>VLOOKUP(B2866,辅助信息!E:K,7,FALSE)</f>
        <v>JWDDCD2025062200016</v>
      </c>
      <c r="E2866" s="33" t="str">
        <f>VLOOKUP(F2866,辅助信息!A:B,2,FALSE)</f>
        <v>螺纹钢</v>
      </c>
      <c r="F2866" s="33" t="s">
        <v>19</v>
      </c>
      <c r="G2866" s="29">
        <v>5</v>
      </c>
      <c r="H2866" s="127">
        <f>_xlfn.XLOOKUP(C2866&amp;F2866&amp;I2866&amp;J2866,'[1]2025年已发货'!$F:$F&amp;'[1]2025年已发货'!$C:$C&amp;'[1]2025年已发货'!$G:$G&amp;'[1]2025年已发货'!$H:$H,'[1]2025年已发货'!$E:$E,"未发货")</f>
        <v>5</v>
      </c>
      <c r="I2866" s="33" t="str">
        <f>VLOOKUP(B2866,辅助信息!E:I,3,FALSE)</f>
        <v>(武汉电气化局成达万高铁强电项目-南充营山)四川省南充市营山县保真路景阳名城南50米(保真路东)</v>
      </c>
      <c r="J2866" s="33" t="str">
        <f>VLOOKUP(B2866,辅助信息!E:I,4,FALSE)</f>
        <v>周开亮</v>
      </c>
      <c r="K2866" s="33">
        <f>VLOOKUP(J2866,辅助信息!H:I,2,FALSE)</f>
        <v>18381485052</v>
      </c>
      <c r="L2866" s="102" t="str">
        <f>VLOOKUP(B2866,辅助信息!E:J,6,FALSE)</f>
        <v>锈货不收！！下雨天钢筋没盖篷布不收！！，装货前联系收货人核实到场规格,没提前告知进场规格现场不给予接收</v>
      </c>
      <c r="O2866" s="55" t="str">
        <f ca="1" t="shared" si="169"/>
        <v/>
      </c>
      <c r="P2866" s="55" t="str">
        <f ca="1" t="shared" si="170"/>
        <v/>
      </c>
      <c r="Q2866" s="22" t="str">
        <f>VLOOKUP(B2866,辅助信息!E:M,9,FALSE)</f>
        <v>ZTWM-CDGS-XS-2025-0033-中铁武汉电气化局集团有限公司成达万高速铁路强电工程项目</v>
      </c>
      <c r="R2866" s="22" t="str">
        <f>_xlfn._xlws.FILTER(辅助信息!D:D,辅助信息!E:E=B2866)</f>
        <v>武汉电气化局成达万高铁强电项目</v>
      </c>
    </row>
    <row r="2867" hidden="1" spans="2:18">
      <c r="B2867" s="33" t="s">
        <v>177</v>
      </c>
      <c r="C2867" s="63">
        <v>45889</v>
      </c>
      <c r="D2867" s="33" t="str">
        <f>VLOOKUP(B2867,辅助信息!E:K,7,FALSE)</f>
        <v>JWDDCD2025062200016</v>
      </c>
      <c r="E2867" s="33" t="str">
        <f>VLOOKUP(F2867,辅助信息!A:B,2,FALSE)</f>
        <v>螺纹钢</v>
      </c>
      <c r="F2867" s="33" t="s">
        <v>33</v>
      </c>
      <c r="G2867" s="29">
        <v>8</v>
      </c>
      <c r="H2867" s="127" t="str">
        <f>_xlfn.XLOOKUP(C2867&amp;F2867&amp;I2867&amp;J2867,'[1]2025年已发货'!$F:$F&amp;'[1]2025年已发货'!$C:$C&amp;'[1]2025年已发货'!$G:$G&amp;'[1]2025年已发货'!$H:$H,'[1]2025年已发货'!$E:$E,"未发货")</f>
        <v>未发货</v>
      </c>
      <c r="I2867" s="33" t="str">
        <f>VLOOKUP(B2867,辅助信息!E:I,3,FALSE)</f>
        <v>(武汉电气化局成达万高铁强电项目-南充营山)四川省南充市营山县保真路景阳名城南50米(保真路东)</v>
      </c>
      <c r="J2867" s="33" t="str">
        <f>VLOOKUP(B2867,辅助信息!E:I,4,FALSE)</f>
        <v>周开亮</v>
      </c>
      <c r="K2867" s="33">
        <f>VLOOKUP(J2867,辅助信息!H:I,2,FALSE)</f>
        <v>18381485052</v>
      </c>
      <c r="L2867" s="102" t="str">
        <f>VLOOKUP(B2867,辅助信息!E:J,6,FALSE)</f>
        <v>锈货不收！！下雨天钢筋没盖篷布不收！！，装货前联系收货人核实到场规格,没提前告知进场规格现场不给予接收</v>
      </c>
      <c r="O2867" s="55" t="str">
        <f ca="1" t="shared" si="169"/>
        <v/>
      </c>
      <c r="P2867" s="55" t="str">
        <f ca="1" t="shared" si="170"/>
        <v/>
      </c>
      <c r="Q2867" s="22" t="str">
        <f>VLOOKUP(B2867,辅助信息!E:M,9,FALSE)</f>
        <v>ZTWM-CDGS-XS-2025-0033-中铁武汉电气化局集团有限公司成达万高速铁路强电工程项目</v>
      </c>
      <c r="R2867" s="22" t="str">
        <f>_xlfn._xlws.FILTER(辅助信息!D:D,辅助信息!E:E=B2867)</f>
        <v>武汉电气化局成达万高铁强电项目</v>
      </c>
    </row>
    <row r="2868" hidden="1" spans="2:18">
      <c r="B2868" s="33" t="s">
        <v>177</v>
      </c>
      <c r="C2868" s="63">
        <v>45889</v>
      </c>
      <c r="D2868" s="33" t="str">
        <f>VLOOKUP(B2868,辅助信息!E:K,7,FALSE)</f>
        <v>JWDDCD2025062200016</v>
      </c>
      <c r="E2868" s="33" t="str">
        <f>VLOOKUP(F2868,辅助信息!A:B,2,FALSE)</f>
        <v>螺纹钢</v>
      </c>
      <c r="F2868" s="33" t="s">
        <v>28</v>
      </c>
      <c r="G2868" s="29">
        <v>5</v>
      </c>
      <c r="H2868" s="127">
        <f>_xlfn.XLOOKUP(C2868&amp;F2868&amp;I2868&amp;J2868,'[1]2025年已发货'!$F:$F&amp;'[1]2025年已发货'!$C:$C&amp;'[1]2025年已发货'!$G:$G&amp;'[1]2025年已发货'!$H:$H,'[1]2025年已发货'!$E:$E,"未发货")</f>
        <v>5</v>
      </c>
      <c r="I2868" s="33" t="str">
        <f>VLOOKUP(B2868,辅助信息!E:I,3,FALSE)</f>
        <v>(武汉电气化局成达万高铁强电项目-南充营山)四川省南充市营山县保真路景阳名城南50米(保真路东)</v>
      </c>
      <c r="J2868" s="33" t="str">
        <f>VLOOKUP(B2868,辅助信息!E:I,4,FALSE)</f>
        <v>周开亮</v>
      </c>
      <c r="K2868" s="33">
        <f>VLOOKUP(J2868,辅助信息!H:I,2,FALSE)</f>
        <v>18381485052</v>
      </c>
      <c r="L2868" s="102" t="str">
        <f>VLOOKUP(B2868,辅助信息!E:J,6,FALSE)</f>
        <v>锈货不收！！下雨天钢筋没盖篷布不收！！，装货前联系收货人核实到场规格,没提前告知进场规格现场不给予接收</v>
      </c>
      <c r="O2868" s="55" t="str">
        <f ca="1" t="shared" si="169"/>
        <v/>
      </c>
      <c r="P2868" s="55" t="str">
        <f ca="1" t="shared" si="170"/>
        <v/>
      </c>
      <c r="Q2868" s="22" t="str">
        <f>VLOOKUP(B2868,辅助信息!E:M,9,FALSE)</f>
        <v>ZTWM-CDGS-XS-2025-0033-中铁武汉电气化局集团有限公司成达万高速铁路强电工程项目</v>
      </c>
      <c r="R2868" s="22" t="str">
        <f>_xlfn._xlws.FILTER(辅助信息!D:D,辅助信息!E:E=B2868)</f>
        <v>武汉电气化局成达万高铁强电项目</v>
      </c>
    </row>
    <row r="2869" hidden="1" spans="2:18">
      <c r="B2869" s="33" t="s">
        <v>177</v>
      </c>
      <c r="C2869" s="63">
        <v>45889</v>
      </c>
      <c r="D2869" s="33" t="str">
        <f>VLOOKUP(B2869,辅助信息!E:K,7,FALSE)</f>
        <v>JWDDCD2025062200016</v>
      </c>
      <c r="E2869" s="33" t="str">
        <f>VLOOKUP(F2869,辅助信息!A:B,2,FALSE)</f>
        <v>螺纹钢</v>
      </c>
      <c r="F2869" s="33" t="s">
        <v>18</v>
      </c>
      <c r="G2869" s="29">
        <v>15</v>
      </c>
      <c r="H2869" s="127">
        <f>_xlfn.XLOOKUP(C2869&amp;F2869&amp;I2869&amp;J2869,'[1]2025年已发货'!$F:$F&amp;'[1]2025年已发货'!$C:$C&amp;'[1]2025年已发货'!$G:$G&amp;'[1]2025年已发货'!$H:$H,'[1]2025年已发货'!$E:$E,"未发货")</f>
        <v>15</v>
      </c>
      <c r="I2869" s="33" t="str">
        <f>VLOOKUP(B2869,辅助信息!E:I,3,FALSE)</f>
        <v>(武汉电气化局成达万高铁强电项目-南充营山)四川省南充市营山县保真路景阳名城南50米(保真路东)</v>
      </c>
      <c r="J2869" s="33" t="str">
        <f>VLOOKUP(B2869,辅助信息!E:I,4,FALSE)</f>
        <v>周开亮</v>
      </c>
      <c r="K2869" s="33">
        <f>VLOOKUP(J2869,辅助信息!H:I,2,FALSE)</f>
        <v>18381485052</v>
      </c>
      <c r="L2869" s="102" t="str">
        <f>VLOOKUP(B2869,辅助信息!E:J,6,FALSE)</f>
        <v>锈货不收！！下雨天钢筋没盖篷布不收！！，装货前联系收货人核实到场规格,没提前告知进场规格现场不给予接收</v>
      </c>
      <c r="O2869" s="55" t="str">
        <f ca="1" t="shared" si="169"/>
        <v/>
      </c>
      <c r="P2869" s="55" t="str">
        <f ca="1" t="shared" si="170"/>
        <v/>
      </c>
      <c r="Q2869" s="22" t="str">
        <f>VLOOKUP(B2869,辅助信息!E:M,9,FALSE)</f>
        <v>ZTWM-CDGS-XS-2025-0033-中铁武汉电气化局集团有限公司成达万高速铁路强电工程项目</v>
      </c>
      <c r="R2869" s="22" t="str">
        <f>_xlfn._xlws.FILTER(辅助信息!D:D,辅助信息!E:E=B2869)</f>
        <v>武汉电气化局成达万高铁强电项目</v>
      </c>
    </row>
    <row r="2870" hidden="1" spans="2:18">
      <c r="B2870" s="33" t="s">
        <v>187</v>
      </c>
      <c r="C2870" s="63">
        <v>45889</v>
      </c>
      <c r="D2870" s="33" t="str">
        <f>VLOOKUP(B2870,辅助信息!E:K,7,FALSE)</f>
        <v>JWDDCD2025072900121</v>
      </c>
      <c r="E2870" s="33" t="str">
        <f>VLOOKUP(F2870,辅助信息!A:B,2,FALSE)</f>
        <v>高线</v>
      </c>
      <c r="F2870" s="33" t="s">
        <v>57</v>
      </c>
      <c r="G2870" s="29">
        <v>20</v>
      </c>
      <c r="H2870" s="127" t="str">
        <f>_xlfn.XLOOKUP(C2870&amp;F2870&amp;I2870&amp;J2870,'[1]2025年已发货'!$F:$F&amp;'[1]2025年已发货'!$C:$C&amp;'[1]2025年已发货'!$G:$G&amp;'[1]2025年已发货'!$H:$H,'[1]2025年已发货'!$E:$E,"未发货")</f>
        <v>未发货</v>
      </c>
      <c r="I2870" s="33" t="str">
        <f>VLOOKUP(B2870,辅助信息!E:I,3,FALSE)</f>
        <v>(乐山市校地共建产教融合基地建设项目一标段)四川省乐山市市中区苏稽镇周山嘴</v>
      </c>
      <c r="J2870" s="33" t="str">
        <f>VLOOKUP(B2870,辅助信息!E:I,4,FALSE)</f>
        <v>范增云</v>
      </c>
      <c r="K2870" s="33">
        <f>VLOOKUP(J2870,辅助信息!H:I,2,FALSE)</f>
        <v>13668153241</v>
      </c>
      <c r="L2870" s="102" t="str">
        <f>VLOOKUP(B2870,辅助信息!E:J,6,FALSE)</f>
        <v>联系实际收货人（范增云13668153241）现场要求炉批号控制2个以下，超2个不给予签收。提前联系到场规格及数量</v>
      </c>
      <c r="O2870" s="55" t="str">
        <f ca="1" t="shared" si="169"/>
        <v/>
      </c>
      <c r="P2870" s="55" t="str">
        <f ca="1" t="shared" si="170"/>
        <v/>
      </c>
      <c r="Q2870" s="22" t="str">
        <f>VLOOKUP(B2870,辅助信息!E:M,9,FALSE)</f>
        <v>ZTWM-CDGS-XS-2025-0125-四川机司-乐山市校地共建产教融合基地配套设施项目施工一标段钢筋采购合同</v>
      </c>
      <c r="R2870" s="22" t="str">
        <f>_xlfn._xlws.FILTER(辅助信息!D:D,辅助信息!E:E=B2870)</f>
        <v>乐山市校地共建产教融合基地建设项目一标段</v>
      </c>
    </row>
    <row r="2871" hidden="1" spans="2:18">
      <c r="B2871" s="33" t="s">
        <v>187</v>
      </c>
      <c r="C2871" s="63">
        <v>45889</v>
      </c>
      <c r="D2871" s="33" t="str">
        <f>VLOOKUP(B2871,辅助信息!E:K,7,FALSE)</f>
        <v>JWDDCD2025072900121</v>
      </c>
      <c r="E2871" s="33" t="str">
        <f>VLOOKUP(F2871,辅助信息!A:B,2,FALSE)</f>
        <v>盘螺</v>
      </c>
      <c r="F2871" s="33" t="s">
        <v>49</v>
      </c>
      <c r="G2871" s="29">
        <v>2</v>
      </c>
      <c r="H2871" s="127" t="str">
        <f>_xlfn.XLOOKUP(C2871&amp;F2871&amp;I2871&amp;J2871,'[1]2025年已发货'!$F:$F&amp;'[1]2025年已发货'!$C:$C&amp;'[1]2025年已发货'!$G:$G&amp;'[1]2025年已发货'!$H:$H,'[1]2025年已发货'!$E:$E,"未发货")</f>
        <v>未发货</v>
      </c>
      <c r="I2871" s="33" t="str">
        <f>VLOOKUP(B2871,辅助信息!E:I,3,FALSE)</f>
        <v>(乐山市校地共建产教融合基地建设项目一标段)四川省乐山市市中区苏稽镇周山嘴</v>
      </c>
      <c r="J2871" s="33" t="str">
        <f>VLOOKUP(B2871,辅助信息!E:I,4,FALSE)</f>
        <v>范增云</v>
      </c>
      <c r="K2871" s="33">
        <f>VLOOKUP(J2871,辅助信息!H:I,2,FALSE)</f>
        <v>13668153241</v>
      </c>
      <c r="L2871" s="102" t="str">
        <f>VLOOKUP(B2871,辅助信息!E:J,6,FALSE)</f>
        <v>联系实际收货人（范增云13668153241）现场要求炉批号控制2个以下，超2个不给予签收。提前联系到场规格及数量</v>
      </c>
      <c r="O2871" s="55" t="str">
        <f ca="1" t="shared" si="169"/>
        <v/>
      </c>
      <c r="P2871" s="55" t="str">
        <f ca="1" t="shared" si="170"/>
        <v/>
      </c>
      <c r="Q2871" s="22" t="str">
        <f>VLOOKUP(B2871,辅助信息!E:M,9,FALSE)</f>
        <v>ZTWM-CDGS-XS-2025-0125-四川机司-乐山市校地共建产教融合基地配套设施项目施工一标段钢筋采购合同</v>
      </c>
      <c r="R2871" s="22" t="str">
        <f>_xlfn._xlws.FILTER(辅助信息!D:D,辅助信息!E:E=B2871)</f>
        <v>乐山市校地共建产教融合基地建设项目一标段</v>
      </c>
    </row>
    <row r="2872" hidden="1" spans="2:18">
      <c r="B2872" s="33" t="s">
        <v>187</v>
      </c>
      <c r="C2872" s="63">
        <v>45889</v>
      </c>
      <c r="D2872" s="33" t="str">
        <f>VLOOKUP(B2872,辅助信息!E:K,7,FALSE)</f>
        <v>JWDDCD2025072900121</v>
      </c>
      <c r="E2872" s="33" t="str">
        <f>VLOOKUP(F2872,辅助信息!A:B,2,FALSE)</f>
        <v>盘螺</v>
      </c>
      <c r="F2872" s="33" t="s">
        <v>40</v>
      </c>
      <c r="G2872" s="29">
        <v>10</v>
      </c>
      <c r="H2872" s="127" t="str">
        <f>_xlfn.XLOOKUP(C2872&amp;F2872&amp;I2872&amp;J2872,'[1]2025年已发货'!$F:$F&amp;'[1]2025年已发货'!$C:$C&amp;'[1]2025年已发货'!$G:$G&amp;'[1]2025年已发货'!$H:$H,'[1]2025年已发货'!$E:$E,"未发货")</f>
        <v>未发货</v>
      </c>
      <c r="I2872" s="33" t="str">
        <f>VLOOKUP(B2872,辅助信息!E:I,3,FALSE)</f>
        <v>(乐山市校地共建产教融合基地建设项目一标段)四川省乐山市市中区苏稽镇周山嘴</v>
      </c>
      <c r="J2872" s="33" t="str">
        <f>VLOOKUP(B2872,辅助信息!E:I,4,FALSE)</f>
        <v>范增云</v>
      </c>
      <c r="K2872" s="33">
        <f>VLOOKUP(J2872,辅助信息!H:I,2,FALSE)</f>
        <v>13668153241</v>
      </c>
      <c r="L2872" s="102" t="str">
        <f>VLOOKUP(B2872,辅助信息!E:J,6,FALSE)</f>
        <v>联系实际收货人（范增云13668153241）现场要求炉批号控制2个以下，超2个不给予签收。提前联系到场规格及数量</v>
      </c>
      <c r="O2872" s="55" t="str">
        <f ca="1" t="shared" si="169"/>
        <v/>
      </c>
      <c r="P2872" s="55" t="str">
        <f ca="1" t="shared" si="170"/>
        <v/>
      </c>
      <c r="Q2872" s="22" t="str">
        <f>VLOOKUP(B2872,辅助信息!E:M,9,FALSE)</f>
        <v>ZTWM-CDGS-XS-2025-0125-四川机司-乐山市校地共建产教融合基地配套设施项目施工一标段钢筋采购合同</v>
      </c>
      <c r="R2872" s="22" t="str">
        <f>_xlfn._xlws.FILTER(辅助信息!D:D,辅助信息!E:E=B2872)</f>
        <v>乐山市校地共建产教融合基地建设项目一标段</v>
      </c>
    </row>
    <row r="2873" hidden="1" spans="2:18">
      <c r="B2873" s="33" t="s">
        <v>187</v>
      </c>
      <c r="C2873" s="63">
        <v>45889</v>
      </c>
      <c r="D2873" s="33" t="str">
        <f>VLOOKUP(B2873,辅助信息!E:K,7,FALSE)</f>
        <v>JWDDCD2025072900121</v>
      </c>
      <c r="E2873" s="33" t="str">
        <f>VLOOKUP(F2873,辅助信息!A:B,2,FALSE)</f>
        <v>盘螺</v>
      </c>
      <c r="F2873" s="33" t="s">
        <v>41</v>
      </c>
      <c r="G2873" s="29">
        <v>20</v>
      </c>
      <c r="H2873" s="127" t="str">
        <f>_xlfn.XLOOKUP(C2873&amp;F2873&amp;I2873&amp;J2873,'[1]2025年已发货'!$F:$F&amp;'[1]2025年已发货'!$C:$C&amp;'[1]2025年已发货'!$G:$G&amp;'[1]2025年已发货'!$H:$H,'[1]2025年已发货'!$E:$E,"未发货")</f>
        <v>未发货</v>
      </c>
      <c r="I2873" s="33" t="str">
        <f>VLOOKUP(B2873,辅助信息!E:I,3,FALSE)</f>
        <v>(乐山市校地共建产教融合基地建设项目一标段)四川省乐山市市中区苏稽镇周山嘴</v>
      </c>
      <c r="J2873" s="33" t="str">
        <f>VLOOKUP(B2873,辅助信息!E:I,4,FALSE)</f>
        <v>范增云</v>
      </c>
      <c r="K2873" s="33">
        <f>VLOOKUP(J2873,辅助信息!H:I,2,FALSE)</f>
        <v>13668153241</v>
      </c>
      <c r="L2873" s="102" t="str">
        <f>VLOOKUP(B2873,辅助信息!E:J,6,FALSE)</f>
        <v>联系实际收货人（范增云13668153241）现场要求炉批号控制2个以下，超2个不给予签收。提前联系到场规格及数量</v>
      </c>
      <c r="O2873" s="55" t="str">
        <f ca="1" t="shared" si="169"/>
        <v/>
      </c>
      <c r="P2873" s="55" t="str">
        <f ca="1" t="shared" si="170"/>
        <v/>
      </c>
      <c r="Q2873" s="22" t="str">
        <f>VLOOKUP(B2873,辅助信息!E:M,9,FALSE)</f>
        <v>ZTWM-CDGS-XS-2025-0125-四川机司-乐山市校地共建产教融合基地配套设施项目施工一标段钢筋采购合同</v>
      </c>
      <c r="R2873" s="22" t="str">
        <f>_xlfn._xlws.FILTER(辅助信息!D:D,辅助信息!E:E=B2873)</f>
        <v>乐山市校地共建产教融合基地建设项目一标段</v>
      </c>
    </row>
    <row r="2874" hidden="1" spans="2:18">
      <c r="B2874" s="33" t="s">
        <v>187</v>
      </c>
      <c r="C2874" s="63">
        <v>45889</v>
      </c>
      <c r="D2874" s="33" t="str">
        <f>VLOOKUP(B2874,辅助信息!E:K,7,FALSE)</f>
        <v>JWDDCD2025072900121</v>
      </c>
      <c r="E2874" s="33" t="str">
        <f>VLOOKUP(F2874,辅助信息!A:B,2,FALSE)</f>
        <v>盘螺</v>
      </c>
      <c r="F2874" s="33" t="s">
        <v>26</v>
      </c>
      <c r="G2874" s="29">
        <v>30</v>
      </c>
      <c r="H2874" s="127" t="str">
        <f>_xlfn.XLOOKUP(C2874&amp;F2874&amp;I2874&amp;J2874,'[1]2025年已发货'!$F:$F&amp;'[1]2025年已发货'!$C:$C&amp;'[1]2025年已发货'!$G:$G&amp;'[1]2025年已发货'!$H:$H,'[1]2025年已发货'!$E:$E,"未发货")</f>
        <v>未发货</v>
      </c>
      <c r="I2874" s="33" t="str">
        <f>VLOOKUP(B2874,辅助信息!E:I,3,FALSE)</f>
        <v>(乐山市校地共建产教融合基地建设项目一标段)四川省乐山市市中区苏稽镇周山嘴</v>
      </c>
      <c r="J2874" s="33" t="str">
        <f>VLOOKUP(B2874,辅助信息!E:I,4,FALSE)</f>
        <v>范增云</v>
      </c>
      <c r="K2874" s="33">
        <f>VLOOKUP(J2874,辅助信息!H:I,2,FALSE)</f>
        <v>13668153241</v>
      </c>
      <c r="L2874" s="102" t="str">
        <f>VLOOKUP(B2874,辅助信息!E:J,6,FALSE)</f>
        <v>联系实际收货人（范增云13668153241）现场要求炉批号控制2个以下，超2个不给予签收。提前联系到场规格及数量</v>
      </c>
      <c r="O2874" s="55" t="str">
        <f ca="1" t="shared" si="169"/>
        <v/>
      </c>
      <c r="P2874" s="55" t="str">
        <f ca="1" t="shared" si="170"/>
        <v/>
      </c>
      <c r="Q2874" s="22" t="str">
        <f>VLOOKUP(B2874,辅助信息!E:M,9,FALSE)</f>
        <v>ZTWM-CDGS-XS-2025-0125-四川机司-乐山市校地共建产教融合基地配套设施项目施工一标段钢筋采购合同</v>
      </c>
      <c r="R2874" s="22" t="str">
        <f>_xlfn._xlws.FILTER(辅助信息!D:D,辅助信息!E:E=B2874)</f>
        <v>乐山市校地共建产教融合基地建设项目一标段</v>
      </c>
    </row>
    <row r="2875" hidden="1" spans="2:18">
      <c r="B2875" s="33" t="s">
        <v>187</v>
      </c>
      <c r="C2875" s="63">
        <v>45889</v>
      </c>
      <c r="D2875" s="33" t="str">
        <f>VLOOKUP(B2875,辅助信息!E:K,7,FALSE)</f>
        <v>JWDDCD2025072900121</v>
      </c>
      <c r="E2875" s="33" t="str">
        <f>VLOOKUP(F2875,辅助信息!A:B,2,FALSE)</f>
        <v>螺纹钢</v>
      </c>
      <c r="F2875" s="33" t="s">
        <v>33</v>
      </c>
      <c r="G2875" s="29">
        <v>6</v>
      </c>
      <c r="H2875" s="127">
        <f>_xlfn.XLOOKUP(C2875&amp;F2875&amp;I2875&amp;J2875,'[1]2025年已发货'!$F:$F&amp;'[1]2025年已发货'!$C:$C&amp;'[1]2025年已发货'!$G:$G&amp;'[1]2025年已发货'!$H:$H,'[1]2025年已发货'!$E:$E,"未发货")</f>
        <v>6</v>
      </c>
      <c r="I2875" s="33" t="str">
        <f>VLOOKUP(B2875,辅助信息!E:I,3,FALSE)</f>
        <v>(乐山市校地共建产教融合基地建设项目一标段)四川省乐山市市中区苏稽镇周山嘴</v>
      </c>
      <c r="J2875" s="33" t="str">
        <f>VLOOKUP(B2875,辅助信息!E:I,4,FALSE)</f>
        <v>范增云</v>
      </c>
      <c r="K2875" s="33">
        <f>VLOOKUP(J2875,辅助信息!H:I,2,FALSE)</f>
        <v>13668153241</v>
      </c>
      <c r="L2875" s="102" t="str">
        <f>VLOOKUP(B2875,辅助信息!E:J,6,FALSE)</f>
        <v>联系实际收货人（范增云13668153241）现场要求炉批号控制2个以下，超2个不给予签收。提前联系到场规格及数量</v>
      </c>
      <c r="O2875" s="55" t="str">
        <f ca="1" t="shared" si="169"/>
        <v/>
      </c>
      <c r="P2875" s="55" t="str">
        <f ca="1" t="shared" si="170"/>
        <v/>
      </c>
      <c r="Q2875" s="22" t="str">
        <f>VLOOKUP(B2875,辅助信息!E:M,9,FALSE)</f>
        <v>ZTWM-CDGS-XS-2025-0125-四川机司-乐山市校地共建产教融合基地配套设施项目施工一标段钢筋采购合同</v>
      </c>
      <c r="R2875" s="22" t="str">
        <f>_xlfn._xlws.FILTER(辅助信息!D:D,辅助信息!E:E=B2875)</f>
        <v>乐山市校地共建产教融合基地建设项目一标段</v>
      </c>
    </row>
    <row r="2876" hidden="1" spans="2:18">
      <c r="B2876" s="33" t="s">
        <v>187</v>
      </c>
      <c r="C2876" s="63">
        <v>45889</v>
      </c>
      <c r="D2876" s="33" t="str">
        <f>VLOOKUP(B2876,辅助信息!E:K,7,FALSE)</f>
        <v>JWDDCD2025072900121</v>
      </c>
      <c r="E2876" s="33" t="str">
        <f>VLOOKUP(F2876,辅助信息!A:B,2,FALSE)</f>
        <v>螺纹钢</v>
      </c>
      <c r="F2876" s="33" t="s">
        <v>28</v>
      </c>
      <c r="G2876" s="29">
        <v>3</v>
      </c>
      <c r="H2876" s="127">
        <f>_xlfn.XLOOKUP(C2876&amp;F2876&amp;I2876&amp;J2876,'[1]2025年已发货'!$F:$F&amp;'[1]2025年已发货'!$C:$C&amp;'[1]2025年已发货'!$G:$G&amp;'[1]2025年已发货'!$H:$H,'[1]2025年已发货'!$E:$E,"未发货")</f>
        <v>3</v>
      </c>
      <c r="I2876" s="33" t="str">
        <f>VLOOKUP(B2876,辅助信息!E:I,3,FALSE)</f>
        <v>(乐山市校地共建产教融合基地建设项目一标段)四川省乐山市市中区苏稽镇周山嘴</v>
      </c>
      <c r="J2876" s="33" t="str">
        <f>VLOOKUP(B2876,辅助信息!E:I,4,FALSE)</f>
        <v>范增云</v>
      </c>
      <c r="K2876" s="33">
        <f>VLOOKUP(J2876,辅助信息!H:I,2,FALSE)</f>
        <v>13668153241</v>
      </c>
      <c r="L2876" s="102" t="str">
        <f>VLOOKUP(B2876,辅助信息!E:J,6,FALSE)</f>
        <v>联系实际收货人（范增云13668153241）现场要求炉批号控制2个以下，超2个不给予签收。提前联系到场规格及数量</v>
      </c>
      <c r="O2876" s="55" t="str">
        <f ca="1" t="shared" si="169"/>
        <v/>
      </c>
      <c r="P2876" s="55" t="str">
        <f ca="1" t="shared" si="170"/>
        <v/>
      </c>
      <c r="Q2876" s="22" t="str">
        <f>VLOOKUP(B2876,辅助信息!E:M,9,FALSE)</f>
        <v>ZTWM-CDGS-XS-2025-0125-四川机司-乐山市校地共建产教融合基地配套设施项目施工一标段钢筋采购合同</v>
      </c>
      <c r="R2876" s="22" t="str">
        <f>_xlfn._xlws.FILTER(辅助信息!D:D,辅助信息!E:E=B2876)</f>
        <v>乐山市校地共建产教融合基地建设项目一标段</v>
      </c>
    </row>
    <row r="2877" hidden="1" spans="2:18">
      <c r="B2877" s="33" t="s">
        <v>187</v>
      </c>
      <c r="C2877" s="63">
        <v>45889</v>
      </c>
      <c r="D2877" s="33" t="str">
        <f>VLOOKUP(B2877,辅助信息!E:K,7,FALSE)</f>
        <v>JWDDCD2025072900121</v>
      </c>
      <c r="E2877" s="33" t="str">
        <f>VLOOKUP(F2877,辅助信息!A:B,2,FALSE)</f>
        <v>螺纹钢</v>
      </c>
      <c r="F2877" s="33" t="s">
        <v>18</v>
      </c>
      <c r="G2877" s="29">
        <v>10</v>
      </c>
      <c r="H2877" s="127">
        <f>_xlfn.XLOOKUP(C2877&amp;F2877&amp;I2877&amp;J2877,'[1]2025年已发货'!$F:$F&amp;'[1]2025年已发货'!$C:$C&amp;'[1]2025年已发货'!$G:$G&amp;'[1]2025年已发货'!$H:$H,'[1]2025年已发货'!$E:$E,"未发货")</f>
        <v>10</v>
      </c>
      <c r="I2877" s="33" t="str">
        <f>VLOOKUP(B2877,辅助信息!E:I,3,FALSE)</f>
        <v>(乐山市校地共建产教融合基地建设项目一标段)四川省乐山市市中区苏稽镇周山嘴</v>
      </c>
      <c r="J2877" s="33" t="str">
        <f>VLOOKUP(B2877,辅助信息!E:I,4,FALSE)</f>
        <v>范增云</v>
      </c>
      <c r="K2877" s="33">
        <f>VLOOKUP(J2877,辅助信息!H:I,2,FALSE)</f>
        <v>13668153241</v>
      </c>
      <c r="L2877" s="102" t="str">
        <f>VLOOKUP(B2877,辅助信息!E:J,6,FALSE)</f>
        <v>联系实际收货人（范增云13668153241）现场要求炉批号控制2个以下，超2个不给予签收。提前联系到场规格及数量</v>
      </c>
      <c r="O2877" s="55" t="str">
        <f ca="1" t="shared" si="169"/>
        <v/>
      </c>
      <c r="P2877" s="55" t="str">
        <f ca="1" t="shared" si="170"/>
        <v/>
      </c>
      <c r="Q2877" s="22" t="str">
        <f>VLOOKUP(B2877,辅助信息!E:M,9,FALSE)</f>
        <v>ZTWM-CDGS-XS-2025-0125-四川机司-乐山市校地共建产教融合基地配套设施项目施工一标段钢筋采购合同</v>
      </c>
      <c r="R2877" s="22" t="str">
        <f>_xlfn._xlws.FILTER(辅助信息!D:D,辅助信息!E:E=B2877)</f>
        <v>乐山市校地共建产教融合基地建设项目一标段</v>
      </c>
    </row>
    <row r="2878" hidden="1" spans="2:18">
      <c r="B2878" s="33" t="s">
        <v>187</v>
      </c>
      <c r="C2878" s="63">
        <v>45889</v>
      </c>
      <c r="D2878" s="33" t="str">
        <f>VLOOKUP(B2878,辅助信息!E:K,7,FALSE)</f>
        <v>JWDDCD2025072900121</v>
      </c>
      <c r="E2878" s="33" t="str">
        <f>VLOOKUP(F2878,辅助信息!A:B,2,FALSE)</f>
        <v>螺纹钢</v>
      </c>
      <c r="F2878" s="33" t="s">
        <v>65</v>
      </c>
      <c r="G2878" s="29">
        <v>36</v>
      </c>
      <c r="H2878" s="127">
        <f>_xlfn.XLOOKUP(C2878&amp;F2878&amp;I2878&amp;J2878,'[1]2025年已发货'!$F:$F&amp;'[1]2025年已发货'!$C:$C&amp;'[1]2025年已发货'!$G:$G&amp;'[1]2025年已发货'!$H:$H,'[1]2025年已发货'!$E:$E,"未发货")</f>
        <v>14</v>
      </c>
      <c r="I2878" s="33" t="str">
        <f>VLOOKUP(B2878,辅助信息!E:I,3,FALSE)</f>
        <v>(乐山市校地共建产教融合基地建设项目一标段)四川省乐山市市中区苏稽镇周山嘴</v>
      </c>
      <c r="J2878" s="33" t="str">
        <f>VLOOKUP(B2878,辅助信息!E:I,4,FALSE)</f>
        <v>范增云</v>
      </c>
      <c r="K2878" s="33">
        <f>VLOOKUP(J2878,辅助信息!H:I,2,FALSE)</f>
        <v>13668153241</v>
      </c>
      <c r="L2878" s="102" t="str">
        <f>VLOOKUP(B2878,辅助信息!E:J,6,FALSE)</f>
        <v>联系实际收货人（范增云13668153241）现场要求炉批号控制2个以下，超2个不给予签收。提前联系到场规格及数量</v>
      </c>
      <c r="O2878" s="55" t="str">
        <f ca="1" t="shared" si="169"/>
        <v/>
      </c>
      <c r="P2878" s="55" t="str">
        <f ca="1" t="shared" si="170"/>
        <v/>
      </c>
      <c r="Q2878" s="22" t="str">
        <f>VLOOKUP(B2878,辅助信息!E:M,9,FALSE)</f>
        <v>ZTWM-CDGS-XS-2025-0125-四川机司-乐山市校地共建产教融合基地配套设施项目施工一标段钢筋采购合同</v>
      </c>
      <c r="R2878" s="22" t="str">
        <f>_xlfn._xlws.FILTER(辅助信息!D:D,辅助信息!E:E=B2878)</f>
        <v>乐山市校地共建产教融合基地建设项目一标段</v>
      </c>
    </row>
    <row r="2879" hidden="1" spans="2:18">
      <c r="B2879" s="33" t="s">
        <v>187</v>
      </c>
      <c r="C2879" s="63">
        <v>45889</v>
      </c>
      <c r="D2879" s="33" t="str">
        <f>VLOOKUP(B2879,辅助信息!E:K,7,FALSE)</f>
        <v>JWDDCD2025072900121</v>
      </c>
      <c r="E2879" s="33" t="str">
        <f>VLOOKUP(F2879,辅助信息!A:B,2,FALSE)</f>
        <v>螺纹钢</v>
      </c>
      <c r="F2879" s="33" t="s">
        <v>52</v>
      </c>
      <c r="G2879" s="29">
        <v>3</v>
      </c>
      <c r="H2879" s="127">
        <f>_xlfn.XLOOKUP(C2879&amp;F2879&amp;I2879&amp;J2879,'[1]2025年已发货'!$F:$F&amp;'[1]2025年已发货'!$C:$C&amp;'[1]2025年已发货'!$G:$G&amp;'[1]2025年已发货'!$H:$H,'[1]2025年已发货'!$E:$E,"未发货")</f>
        <v>3</v>
      </c>
      <c r="I2879" s="33" t="str">
        <f>VLOOKUP(B2879,辅助信息!E:I,3,FALSE)</f>
        <v>(乐山市校地共建产教融合基地建设项目一标段)四川省乐山市市中区苏稽镇周山嘴</v>
      </c>
      <c r="J2879" s="33" t="str">
        <f>VLOOKUP(B2879,辅助信息!E:I,4,FALSE)</f>
        <v>范增云</v>
      </c>
      <c r="K2879" s="33">
        <f>VLOOKUP(J2879,辅助信息!H:I,2,FALSE)</f>
        <v>13668153241</v>
      </c>
      <c r="L2879" s="102" t="str">
        <f>VLOOKUP(B2879,辅助信息!E:J,6,FALSE)</f>
        <v>联系实际收货人（范增云13668153241）现场要求炉批号控制2个以下，超2个不给予签收。提前联系到场规格及数量</v>
      </c>
      <c r="O2879" s="55" t="str">
        <f ca="1" t="shared" si="169"/>
        <v/>
      </c>
      <c r="P2879" s="55" t="str">
        <f ca="1" t="shared" si="170"/>
        <v/>
      </c>
      <c r="Q2879" s="22" t="str">
        <f>VLOOKUP(B2879,辅助信息!E:M,9,FALSE)</f>
        <v>ZTWM-CDGS-XS-2025-0125-四川机司-乐山市校地共建产教融合基地配套设施项目施工一标段钢筋采购合同</v>
      </c>
      <c r="R2879" s="22" t="str">
        <f>_xlfn._xlws.FILTER(辅助信息!D:D,辅助信息!E:E=B2879)</f>
        <v>乐山市校地共建产教融合基地建设项目一标段</v>
      </c>
    </row>
    <row r="2880" hidden="1" spans="2:18">
      <c r="B2880" s="33" t="s">
        <v>186</v>
      </c>
      <c r="C2880" s="63">
        <v>45889</v>
      </c>
      <c r="D2880" s="33" t="str">
        <f>VLOOKUP(B2880,辅助信息!E:K,7,FALSE)</f>
        <v>JWDDCD2025072900123</v>
      </c>
      <c r="E2880" s="33" t="str">
        <f>VLOOKUP(F2880,辅助信息!A:B,2,FALSE)</f>
        <v>螺纹钢</v>
      </c>
      <c r="F2880" s="33" t="s">
        <v>76</v>
      </c>
      <c r="G2880" s="29">
        <v>3</v>
      </c>
      <c r="H2880" s="127" t="str">
        <f>_xlfn.XLOOKUP(C2880&amp;F2880&amp;I2880&amp;J2880,'[1]2025年已发货'!$F:$F&amp;'[1]2025年已发货'!$C:$C&amp;'[1]2025年已发货'!$G:$G&amp;'[1]2025年已发货'!$H:$H,'[1]2025年已发货'!$E:$E,"未发货")</f>
        <v>未发货</v>
      </c>
      <c r="I2880" s="33" t="str">
        <f>VLOOKUP(B2880,辅助信息!E:I,3,FALSE)</f>
        <v>(乐山市校地共建产教融合基地建设项目二标段)四川省乐山市市中区苏稽镇</v>
      </c>
      <c r="J2880" s="33" t="str">
        <f>VLOOKUP(B2880,辅助信息!E:I,4,FALSE)</f>
        <v>彭江涛</v>
      </c>
      <c r="K2880" s="33">
        <f>VLOOKUP(J2880,辅助信息!H:I,2,FALSE)</f>
        <v>13990276572</v>
      </c>
      <c r="L2880" s="102" t="str">
        <f>VLOOKUP(B2880,辅助信息!E:J,6,FALSE)</f>
        <v>联系实际收货人（彭江涛13990276572）现场要求炉批号控制2个以下，超2个不给予签收。提前联系到场规格及数量</v>
      </c>
      <c r="O2880" s="55" t="str">
        <f ca="1" t="shared" si="169"/>
        <v/>
      </c>
      <c r="P2880" s="55" t="str">
        <f ca="1" t="shared" si="170"/>
        <v/>
      </c>
      <c r="Q2880" s="22" t="str">
        <f>VLOOKUP(B2880,辅助信息!E:M,9,FALSE)</f>
        <v>ZTWM-CDGS-XS-2025-0126-四川机司-乐山市校地共建产教融合基地配套设施项目施工二标段钢筋采购合同</v>
      </c>
      <c r="R2880" s="22" t="str">
        <f>_xlfn._xlws.FILTER(辅助信息!D:D,辅助信息!E:E=B2880)</f>
        <v>乐山市校地共建产教融合基地建设项目二标段</v>
      </c>
    </row>
    <row r="2881" hidden="1" spans="2:18">
      <c r="B2881" s="33" t="s">
        <v>186</v>
      </c>
      <c r="C2881" s="63">
        <v>45889</v>
      </c>
      <c r="D2881" s="33" t="str">
        <f>VLOOKUP(B2881,辅助信息!E:K,7,FALSE)</f>
        <v>JWDDCD2025072900123</v>
      </c>
      <c r="E2881" s="33" t="str">
        <f>VLOOKUP(F2881,辅助信息!A:B,2,FALSE)</f>
        <v>螺纹钢</v>
      </c>
      <c r="F2881" s="33" t="s">
        <v>199</v>
      </c>
      <c r="G2881" s="29">
        <v>5</v>
      </c>
      <c r="H2881" s="127" t="str">
        <f>_xlfn.XLOOKUP(C2881&amp;F2881&amp;I2881&amp;J2881,'[1]2025年已发货'!$F:$F&amp;'[1]2025年已发货'!$C:$C&amp;'[1]2025年已发货'!$G:$G&amp;'[1]2025年已发货'!$H:$H,'[1]2025年已发货'!$E:$E,"未发货")</f>
        <v>未发货</v>
      </c>
      <c r="I2881" s="33" t="str">
        <f>VLOOKUP(B2881,辅助信息!E:I,3,FALSE)</f>
        <v>(乐山市校地共建产教融合基地建设项目二标段)四川省乐山市市中区苏稽镇</v>
      </c>
      <c r="J2881" s="33" t="str">
        <f>VLOOKUP(B2881,辅助信息!E:I,4,FALSE)</f>
        <v>彭江涛</v>
      </c>
      <c r="K2881" s="33">
        <f>VLOOKUP(J2881,辅助信息!H:I,2,FALSE)</f>
        <v>13990276572</v>
      </c>
      <c r="L2881" s="102" t="str">
        <f>VLOOKUP(B2881,辅助信息!E:J,6,FALSE)</f>
        <v>联系实际收货人（彭江涛13990276572）现场要求炉批号控制2个以下，超2个不给予签收。提前联系到场规格及数量</v>
      </c>
      <c r="O2881" s="55" t="str">
        <f ca="1" t="shared" si="169"/>
        <v/>
      </c>
      <c r="P2881" s="55" t="str">
        <f ca="1" t="shared" si="170"/>
        <v/>
      </c>
      <c r="Q2881" s="22" t="str">
        <f>VLOOKUP(B2881,辅助信息!E:M,9,FALSE)</f>
        <v>ZTWM-CDGS-XS-2025-0126-四川机司-乐山市校地共建产教融合基地配套设施项目施工二标段钢筋采购合同</v>
      </c>
      <c r="R2881" s="22" t="str">
        <f>_xlfn._xlws.FILTER(辅助信息!D:D,辅助信息!E:E=B2881)</f>
        <v>乐山市校地共建产教融合基地建设项目二标段</v>
      </c>
    </row>
    <row r="2882" hidden="1" spans="2:18">
      <c r="B2882" s="33" t="s">
        <v>186</v>
      </c>
      <c r="C2882" s="63">
        <v>45889</v>
      </c>
      <c r="D2882" s="33" t="str">
        <f>VLOOKUP(B2882,辅助信息!E:K,7,FALSE)</f>
        <v>JWDDCD2025072900123</v>
      </c>
      <c r="E2882" s="33" t="str">
        <f>VLOOKUP(F2882,辅助信息!A:B,2,FALSE)</f>
        <v>螺纹钢</v>
      </c>
      <c r="F2882" s="33" t="s">
        <v>141</v>
      </c>
      <c r="G2882" s="29">
        <v>10</v>
      </c>
      <c r="H2882" s="127">
        <v>10</v>
      </c>
      <c r="I2882" s="33" t="str">
        <f>VLOOKUP(B2882,辅助信息!E:I,3,FALSE)</f>
        <v>(乐山市校地共建产教融合基地建设项目二标段)四川省乐山市市中区苏稽镇</v>
      </c>
      <c r="J2882" s="33" t="str">
        <f>VLOOKUP(B2882,辅助信息!E:I,4,FALSE)</f>
        <v>彭江涛</v>
      </c>
      <c r="K2882" s="33">
        <f>VLOOKUP(J2882,辅助信息!H:I,2,FALSE)</f>
        <v>13990276572</v>
      </c>
      <c r="L2882" s="102" t="str">
        <f>VLOOKUP(B2882,辅助信息!E:J,6,FALSE)</f>
        <v>联系实际收货人（彭江涛13990276572）现场要求炉批号控制2个以下，超2个不给予签收。提前联系到场规格及数量</v>
      </c>
      <c r="O2882" s="55" t="str">
        <f ca="1" t="shared" si="169"/>
        <v/>
      </c>
      <c r="P2882" s="55" t="str">
        <f ca="1" t="shared" si="170"/>
        <v/>
      </c>
      <c r="Q2882" s="22" t="str">
        <f>VLOOKUP(B2882,辅助信息!E:M,9,FALSE)</f>
        <v>ZTWM-CDGS-XS-2025-0126-四川机司-乐山市校地共建产教融合基地配套设施项目施工二标段钢筋采购合同</v>
      </c>
      <c r="R2882" s="22" t="str">
        <f>_xlfn._xlws.FILTER(辅助信息!D:D,辅助信息!E:E=B2882)</f>
        <v>乐山市校地共建产教融合基地建设项目二标段</v>
      </c>
    </row>
    <row r="2883" hidden="1" spans="2:18">
      <c r="B2883" s="33" t="s">
        <v>186</v>
      </c>
      <c r="C2883" s="63">
        <v>45889</v>
      </c>
      <c r="D2883" s="33" t="str">
        <f>VLOOKUP(B2883,辅助信息!E:K,7,FALSE)</f>
        <v>JWDDCD2025072900123</v>
      </c>
      <c r="E2883" s="33" t="str">
        <f>VLOOKUP(F2883,辅助信息!A:B,2,FALSE)</f>
        <v>螺纹钢</v>
      </c>
      <c r="F2883" s="33" t="s">
        <v>142</v>
      </c>
      <c r="G2883" s="29">
        <v>47</v>
      </c>
      <c r="H2883" s="127" t="str">
        <f>_xlfn.XLOOKUP(C2883&amp;F2883&amp;I2883&amp;J2883,'[1]2025年已发货'!$F:$F&amp;'[1]2025年已发货'!$C:$C&amp;'[1]2025年已发货'!$G:$G&amp;'[1]2025年已发货'!$H:$H,'[1]2025年已发货'!$E:$E,"未发货")</f>
        <v>未发货</v>
      </c>
      <c r="I2883" s="33" t="str">
        <f>VLOOKUP(B2883,辅助信息!E:I,3,FALSE)</f>
        <v>(乐山市校地共建产教融合基地建设项目二标段)四川省乐山市市中区苏稽镇</v>
      </c>
      <c r="J2883" s="33" t="str">
        <f>VLOOKUP(B2883,辅助信息!E:I,4,FALSE)</f>
        <v>彭江涛</v>
      </c>
      <c r="K2883" s="33">
        <f>VLOOKUP(J2883,辅助信息!H:I,2,FALSE)</f>
        <v>13990276572</v>
      </c>
      <c r="L2883" s="102" t="str">
        <f>VLOOKUP(B2883,辅助信息!E:J,6,FALSE)</f>
        <v>联系实际收货人（彭江涛13990276572）现场要求炉批号控制2个以下，超2个不给予签收。提前联系到场规格及数量</v>
      </c>
      <c r="O2883" s="55" t="str">
        <f ca="1" t="shared" si="169"/>
        <v/>
      </c>
      <c r="P2883" s="55" t="str">
        <f ca="1" t="shared" si="170"/>
        <v/>
      </c>
      <c r="Q2883" s="22" t="str">
        <f>VLOOKUP(B2883,辅助信息!E:M,9,FALSE)</f>
        <v>ZTWM-CDGS-XS-2025-0126-四川机司-乐山市校地共建产教融合基地配套设施项目施工二标段钢筋采购合同</v>
      </c>
      <c r="R2883" s="22" t="str">
        <f>_xlfn._xlws.FILTER(辅助信息!D:D,辅助信息!E:E=B2883)</f>
        <v>乐山市校地共建产教融合基地建设项目二标段</v>
      </c>
    </row>
    <row r="2884" hidden="1" spans="2:18">
      <c r="B2884" s="33" t="s">
        <v>186</v>
      </c>
      <c r="C2884" s="63">
        <v>45889</v>
      </c>
      <c r="D2884" s="33" t="str">
        <f>VLOOKUP(B2884,辅助信息!E:K,7,FALSE)</f>
        <v>JWDDCD2025072900123</v>
      </c>
      <c r="E2884" s="33" t="str">
        <f>VLOOKUP(F2884,辅助信息!A:B,2,FALSE)</f>
        <v>螺纹钢</v>
      </c>
      <c r="F2884" s="33" t="s">
        <v>205</v>
      </c>
      <c r="G2884" s="29">
        <v>15</v>
      </c>
      <c r="H2884" s="127" t="str">
        <f>_xlfn.XLOOKUP(C2884&amp;F2884&amp;I2884&amp;J2884,'[1]2025年已发货'!$F:$F&amp;'[1]2025年已发货'!$C:$C&amp;'[1]2025年已发货'!$G:$G&amp;'[1]2025年已发货'!$H:$H,'[1]2025年已发货'!$E:$E,"未发货")</f>
        <v>未发货</v>
      </c>
      <c r="I2884" s="33" t="str">
        <f>VLOOKUP(B2884,辅助信息!E:I,3,FALSE)</f>
        <v>(乐山市校地共建产教融合基地建设项目二标段)四川省乐山市市中区苏稽镇</v>
      </c>
      <c r="J2884" s="33" t="str">
        <f>VLOOKUP(B2884,辅助信息!E:I,4,FALSE)</f>
        <v>彭江涛</v>
      </c>
      <c r="K2884" s="33">
        <f>VLOOKUP(J2884,辅助信息!H:I,2,FALSE)</f>
        <v>13990276572</v>
      </c>
      <c r="L2884" s="102" t="str">
        <f>VLOOKUP(B2884,辅助信息!E:J,6,FALSE)</f>
        <v>联系实际收货人（彭江涛13990276572）现场要求炉批号控制2个以下，超2个不给予签收。提前联系到场规格及数量</v>
      </c>
      <c r="O2884" s="55" t="str">
        <f ca="1" t="shared" si="169"/>
        <v/>
      </c>
      <c r="P2884" s="55" t="str">
        <f ca="1" t="shared" si="170"/>
        <v/>
      </c>
      <c r="Q2884" s="22" t="str">
        <f>VLOOKUP(B2884,辅助信息!E:M,9,FALSE)</f>
        <v>ZTWM-CDGS-XS-2025-0126-四川机司-乐山市校地共建产教融合基地配套设施项目施工二标段钢筋采购合同</v>
      </c>
      <c r="R2884" s="22" t="str">
        <f>_xlfn._xlws.FILTER(辅助信息!D:D,辅助信息!E:E=B2884)</f>
        <v>乐山市校地共建产教融合基地建设项目二标段</v>
      </c>
    </row>
    <row r="2885" hidden="1" spans="2:18">
      <c r="B2885" s="33" t="s">
        <v>186</v>
      </c>
      <c r="C2885" s="63">
        <v>45889</v>
      </c>
      <c r="D2885" s="33" t="str">
        <f>VLOOKUP(B2885,辅助信息!E:K,7,FALSE)</f>
        <v>JWDDCD2025072900123</v>
      </c>
      <c r="E2885" s="33" t="str">
        <f>VLOOKUP(F2885,辅助信息!A:B,2,FALSE)</f>
        <v>螺纹钢</v>
      </c>
      <c r="F2885" s="33" t="s">
        <v>140</v>
      </c>
      <c r="G2885" s="29">
        <v>15</v>
      </c>
      <c r="H2885" s="127" t="str">
        <f>_xlfn.XLOOKUP(C2885&amp;F2885&amp;I2885&amp;J2885,'[1]2025年已发货'!$F:$F&amp;'[1]2025年已发货'!$C:$C&amp;'[1]2025年已发货'!$G:$G&amp;'[1]2025年已发货'!$H:$H,'[1]2025年已发货'!$E:$E,"未发货")</f>
        <v>未发货</v>
      </c>
      <c r="I2885" s="33" t="str">
        <f>VLOOKUP(B2885,辅助信息!E:I,3,FALSE)</f>
        <v>(乐山市校地共建产教融合基地建设项目二标段)四川省乐山市市中区苏稽镇</v>
      </c>
      <c r="J2885" s="33" t="str">
        <f>VLOOKUP(B2885,辅助信息!E:I,4,FALSE)</f>
        <v>彭江涛</v>
      </c>
      <c r="K2885" s="33">
        <f>VLOOKUP(J2885,辅助信息!H:I,2,FALSE)</f>
        <v>13990276572</v>
      </c>
      <c r="L2885" s="102" t="str">
        <f>VLOOKUP(B2885,辅助信息!E:J,6,FALSE)</f>
        <v>联系实际收货人（彭江涛13990276572）现场要求炉批号控制2个以下，超2个不给予签收。提前联系到场规格及数量</v>
      </c>
      <c r="O2885" s="55" t="str">
        <f ca="1" t="shared" si="169"/>
        <v/>
      </c>
      <c r="P2885" s="55" t="str">
        <f ca="1" t="shared" si="170"/>
        <v/>
      </c>
      <c r="Q2885" s="22" t="str">
        <f>VLOOKUP(B2885,辅助信息!E:M,9,FALSE)</f>
        <v>ZTWM-CDGS-XS-2025-0126-四川机司-乐山市校地共建产教融合基地配套设施项目施工二标段钢筋采购合同</v>
      </c>
      <c r="R2885" s="22" t="str">
        <f>_xlfn._xlws.FILTER(辅助信息!D:D,辅助信息!E:E=B2885)</f>
        <v>乐山市校地共建产教融合基地建设项目二标段</v>
      </c>
    </row>
    <row r="2886" hidden="1" spans="2:18">
      <c r="B2886" s="33" t="s">
        <v>186</v>
      </c>
      <c r="C2886" s="63">
        <v>45889</v>
      </c>
      <c r="D2886" s="33" t="str">
        <f>VLOOKUP(B2886,辅助信息!E:K,7,FALSE)</f>
        <v>JWDDCD2025072900123</v>
      </c>
      <c r="E2886" s="33" t="str">
        <f>VLOOKUP(F2886,辅助信息!A:B,2,FALSE)</f>
        <v>螺纹钢</v>
      </c>
      <c r="F2886" s="33" t="s">
        <v>142</v>
      </c>
      <c r="G2886" s="29">
        <v>25</v>
      </c>
      <c r="H2886" s="127" t="str">
        <f>_xlfn.XLOOKUP(C2886&amp;F2886&amp;I2886&amp;J2886,'[1]2025年已发货'!$F:$F&amp;'[1]2025年已发货'!$C:$C&amp;'[1]2025年已发货'!$G:$G&amp;'[1]2025年已发货'!$H:$H,'[1]2025年已发货'!$E:$E,"未发货")</f>
        <v>未发货</v>
      </c>
      <c r="I2886" s="33" t="str">
        <f>VLOOKUP(B2886,辅助信息!E:I,3,FALSE)</f>
        <v>(乐山市校地共建产教融合基地建设项目二标段)四川省乐山市市中区苏稽镇</v>
      </c>
      <c r="J2886" s="33" t="str">
        <f>VLOOKUP(B2886,辅助信息!E:I,4,FALSE)</f>
        <v>彭江涛</v>
      </c>
      <c r="K2886" s="33">
        <f>VLOOKUP(J2886,辅助信息!H:I,2,FALSE)</f>
        <v>13990276572</v>
      </c>
      <c r="L2886" s="102" t="str">
        <f>VLOOKUP(B2886,辅助信息!E:J,6,FALSE)</f>
        <v>联系实际收货人（彭江涛13990276572）现场要求炉批号控制2个以下，超2个不给予签收。提前联系到场规格及数量</v>
      </c>
      <c r="O2886" s="55" t="str">
        <f ca="1" t="shared" si="169"/>
        <v/>
      </c>
      <c r="P2886" s="55" t="str">
        <f ca="1" t="shared" si="170"/>
        <v/>
      </c>
      <c r="Q2886" s="22" t="str">
        <f>VLOOKUP(B2886,辅助信息!E:M,9,FALSE)</f>
        <v>ZTWM-CDGS-XS-2025-0126-四川机司-乐山市校地共建产教融合基地配套设施项目施工二标段钢筋采购合同</v>
      </c>
      <c r="R2886" s="22" t="str">
        <f>_xlfn._xlws.FILTER(辅助信息!D:D,辅助信息!E:E=B2886)</f>
        <v>乐山市校地共建产教融合基地建设项目二标段</v>
      </c>
    </row>
    <row r="2887" hidden="1" spans="2:18">
      <c r="B2887" s="33" t="s">
        <v>186</v>
      </c>
      <c r="C2887" s="63">
        <v>45889</v>
      </c>
      <c r="D2887" s="33" t="str">
        <f>VLOOKUP(B2887,辅助信息!E:K,7,FALSE)</f>
        <v>JWDDCD2025072900123</v>
      </c>
      <c r="E2887" s="33" t="str">
        <f>VLOOKUP(F2887,辅助信息!A:B,2,FALSE)</f>
        <v>螺纹钢</v>
      </c>
      <c r="F2887" s="33" t="s">
        <v>200</v>
      </c>
      <c r="G2887" s="29">
        <v>10</v>
      </c>
      <c r="H2887" s="127" t="str">
        <f>_xlfn.XLOOKUP(C2887&amp;F2887&amp;I2887&amp;J2887,'[1]2025年已发货'!$F:$F&amp;'[1]2025年已发货'!$C:$C&amp;'[1]2025年已发货'!$G:$G&amp;'[1]2025年已发货'!$H:$H,'[1]2025年已发货'!$E:$E,"未发货")</f>
        <v>未发货</v>
      </c>
      <c r="I2887" s="33" t="str">
        <f>VLOOKUP(B2887,辅助信息!E:I,3,FALSE)</f>
        <v>(乐山市校地共建产教融合基地建设项目二标段)四川省乐山市市中区苏稽镇</v>
      </c>
      <c r="J2887" s="33" t="str">
        <f>VLOOKUP(B2887,辅助信息!E:I,4,FALSE)</f>
        <v>彭江涛</v>
      </c>
      <c r="K2887" s="33">
        <f>VLOOKUP(J2887,辅助信息!H:I,2,FALSE)</f>
        <v>13990276572</v>
      </c>
      <c r="L2887" s="102" t="str">
        <f>VLOOKUP(B2887,辅助信息!E:J,6,FALSE)</f>
        <v>联系实际收货人（彭江涛13990276572）现场要求炉批号控制2个以下，超2个不给予签收。提前联系到场规格及数量</v>
      </c>
      <c r="O2887" s="55" t="str">
        <f ca="1" t="shared" si="169"/>
        <v/>
      </c>
      <c r="P2887" s="55" t="str">
        <f ca="1" t="shared" si="170"/>
        <v/>
      </c>
      <c r="Q2887" s="22" t="str">
        <f>VLOOKUP(B2887,辅助信息!E:M,9,FALSE)</f>
        <v>ZTWM-CDGS-XS-2025-0126-四川机司-乐山市校地共建产教融合基地配套设施项目施工二标段钢筋采购合同</v>
      </c>
      <c r="R2887" s="22" t="str">
        <f>_xlfn._xlws.FILTER(辅助信息!D:D,辅助信息!E:E=B2887)</f>
        <v>乐山市校地共建产教融合基地建设项目二标段</v>
      </c>
    </row>
    <row r="2888" hidden="1" spans="2:18">
      <c r="B2888" s="33" t="s">
        <v>186</v>
      </c>
      <c r="C2888" s="63">
        <v>45889</v>
      </c>
      <c r="D2888" s="33" t="str">
        <f>VLOOKUP(B2888,辅助信息!E:K,7,FALSE)</f>
        <v>JWDDCD2025072900123</v>
      </c>
      <c r="E2888" s="33" t="str">
        <f>VLOOKUP(F2888,辅助信息!A:B,2,FALSE)</f>
        <v>螺纹钢</v>
      </c>
      <c r="F2888" s="33" t="s">
        <v>201</v>
      </c>
      <c r="G2888" s="29">
        <v>5</v>
      </c>
      <c r="H2888" s="127">
        <v>5</v>
      </c>
      <c r="I2888" s="33" t="str">
        <f>VLOOKUP(B2888,辅助信息!E:I,3,FALSE)</f>
        <v>(乐山市校地共建产教融合基地建设项目二标段)四川省乐山市市中区苏稽镇</v>
      </c>
      <c r="J2888" s="33" t="str">
        <f>VLOOKUP(B2888,辅助信息!E:I,4,FALSE)</f>
        <v>彭江涛</v>
      </c>
      <c r="K2888" s="33">
        <f>VLOOKUP(J2888,辅助信息!H:I,2,FALSE)</f>
        <v>13990276572</v>
      </c>
      <c r="L2888" s="102" t="str">
        <f>VLOOKUP(B2888,辅助信息!E:J,6,FALSE)</f>
        <v>联系实际收货人（彭江涛13990276572）现场要求炉批号控制2个以下，超2个不给予签收。提前联系到场规格及数量</v>
      </c>
      <c r="O2888" s="55" t="str">
        <f ca="1" t="shared" si="169"/>
        <v/>
      </c>
      <c r="P2888" s="55" t="str">
        <f ca="1" t="shared" si="170"/>
        <v/>
      </c>
      <c r="Q2888" s="22" t="str">
        <f>VLOOKUP(B2888,辅助信息!E:M,9,FALSE)</f>
        <v>ZTWM-CDGS-XS-2025-0126-四川机司-乐山市校地共建产教融合基地配套设施项目施工二标段钢筋采购合同</v>
      </c>
      <c r="R2888" s="22" t="str">
        <f>_xlfn._xlws.FILTER(辅助信息!D:D,辅助信息!E:E=B2888)</f>
        <v>乐山市校地共建产教融合基地建设项目二标段</v>
      </c>
    </row>
    <row r="2889" hidden="1" spans="2:18">
      <c r="B2889" s="33" t="s">
        <v>186</v>
      </c>
      <c r="C2889" s="63">
        <v>45889</v>
      </c>
      <c r="D2889" s="33" t="str">
        <f>VLOOKUP(B2889,辅助信息!E:K,7,FALSE)</f>
        <v>JWDDCD2025072900123</v>
      </c>
      <c r="E2889" s="33" t="str">
        <f>VLOOKUP(F2889,辅助信息!A:B,2,FALSE)</f>
        <v>螺纹钢</v>
      </c>
      <c r="F2889" s="33" t="s">
        <v>141</v>
      </c>
      <c r="G2889" s="29">
        <v>10</v>
      </c>
      <c r="H2889" s="127">
        <v>5</v>
      </c>
      <c r="I2889" s="33" t="str">
        <f>VLOOKUP(B2889,辅助信息!E:I,3,FALSE)</f>
        <v>(乐山市校地共建产教融合基地建设项目二标段)四川省乐山市市中区苏稽镇</v>
      </c>
      <c r="J2889" s="33" t="str">
        <f>VLOOKUP(B2889,辅助信息!E:I,4,FALSE)</f>
        <v>彭江涛</v>
      </c>
      <c r="K2889" s="33">
        <f>VLOOKUP(J2889,辅助信息!H:I,2,FALSE)</f>
        <v>13990276572</v>
      </c>
      <c r="L2889" s="102" t="str">
        <f>VLOOKUP(B2889,辅助信息!E:J,6,FALSE)</f>
        <v>联系实际收货人（彭江涛13990276572）现场要求炉批号控制2个以下，超2个不给予签收。提前联系到场规格及数量</v>
      </c>
      <c r="O2889" s="55" t="str">
        <f ca="1" t="shared" si="169"/>
        <v/>
      </c>
      <c r="P2889" s="55" t="str">
        <f ca="1" t="shared" si="170"/>
        <v/>
      </c>
      <c r="Q2889" s="22" t="str">
        <f>VLOOKUP(B2889,辅助信息!E:M,9,FALSE)</f>
        <v>ZTWM-CDGS-XS-2025-0126-四川机司-乐山市校地共建产教融合基地配套设施项目施工二标段钢筋采购合同</v>
      </c>
      <c r="R2889" s="22" t="str">
        <f>_xlfn._xlws.FILTER(辅助信息!D:D,辅助信息!E:E=B2889)</f>
        <v>乐山市校地共建产教融合基地建设项目二标段</v>
      </c>
    </row>
    <row r="2890" hidden="1" spans="2:18">
      <c r="B2890" s="33" t="s">
        <v>186</v>
      </c>
      <c r="C2890" s="63">
        <v>45889</v>
      </c>
      <c r="D2890" s="33" t="str">
        <f>VLOOKUP(B2890,辅助信息!E:K,7,FALSE)</f>
        <v>JWDDCD2025072900123</v>
      </c>
      <c r="E2890" s="33" t="str">
        <f>VLOOKUP(F2890,辅助信息!A:B,2,FALSE)</f>
        <v>螺纹钢</v>
      </c>
      <c r="F2890" s="33" t="s">
        <v>200</v>
      </c>
      <c r="G2890" s="29">
        <v>10</v>
      </c>
      <c r="H2890" s="127" t="str">
        <f>_xlfn.XLOOKUP(C2890&amp;F2890&amp;I2890&amp;J2890,'[1]2025年已发货'!$F:$F&amp;'[1]2025年已发货'!$C:$C&amp;'[1]2025年已发货'!$G:$G&amp;'[1]2025年已发货'!$H:$H,'[1]2025年已发货'!$E:$E,"未发货")</f>
        <v>未发货</v>
      </c>
      <c r="I2890" s="33" t="str">
        <f>VLOOKUP(B2890,辅助信息!E:I,3,FALSE)</f>
        <v>(乐山市校地共建产教融合基地建设项目二标段)四川省乐山市市中区苏稽镇</v>
      </c>
      <c r="J2890" s="33" t="str">
        <f>VLOOKUP(B2890,辅助信息!E:I,4,FALSE)</f>
        <v>彭江涛</v>
      </c>
      <c r="K2890" s="33">
        <f>VLOOKUP(J2890,辅助信息!H:I,2,FALSE)</f>
        <v>13990276572</v>
      </c>
      <c r="L2890" s="102" t="str">
        <f>VLOOKUP(B2890,辅助信息!E:J,6,FALSE)</f>
        <v>联系实际收货人（彭江涛13990276572）现场要求炉批号控制2个以下，超2个不给予签收。提前联系到场规格及数量</v>
      </c>
      <c r="O2890" s="55" t="str">
        <f ca="1" t="shared" si="169"/>
        <v/>
      </c>
      <c r="P2890" s="55" t="str">
        <f ca="1" t="shared" si="170"/>
        <v/>
      </c>
      <c r="Q2890" s="22" t="str">
        <f>VLOOKUP(B2890,辅助信息!E:M,9,FALSE)</f>
        <v>ZTWM-CDGS-XS-2025-0126-四川机司-乐山市校地共建产教融合基地配套设施项目施工二标段钢筋采购合同</v>
      </c>
      <c r="R2890" s="22" t="str">
        <f>_xlfn._xlws.FILTER(辅助信息!D:D,辅助信息!E:E=B2890)</f>
        <v>乐山市校地共建产教融合基地建设项目二标段</v>
      </c>
    </row>
    <row r="2891" hidden="1" spans="2:18">
      <c r="B2891" s="33" t="s">
        <v>186</v>
      </c>
      <c r="C2891" s="63">
        <v>45889</v>
      </c>
      <c r="D2891" s="33" t="str">
        <f>VLOOKUP(B2891,辅助信息!E:K,7,FALSE)</f>
        <v>JWDDCD2025072900123</v>
      </c>
      <c r="E2891" s="33" t="str">
        <f>VLOOKUP(F2891,辅助信息!A:B,2,FALSE)</f>
        <v>螺纹钢</v>
      </c>
      <c r="F2891" s="33" t="s">
        <v>201</v>
      </c>
      <c r="G2891" s="29">
        <v>15</v>
      </c>
      <c r="H2891" s="127">
        <v>15</v>
      </c>
      <c r="I2891" s="33" t="str">
        <f>VLOOKUP(B2891,辅助信息!E:I,3,FALSE)</f>
        <v>(乐山市校地共建产教融合基地建设项目二标段)四川省乐山市市中区苏稽镇</v>
      </c>
      <c r="J2891" s="33" t="str">
        <f>VLOOKUP(B2891,辅助信息!E:I,4,FALSE)</f>
        <v>彭江涛</v>
      </c>
      <c r="K2891" s="33">
        <f>VLOOKUP(J2891,辅助信息!H:I,2,FALSE)</f>
        <v>13990276572</v>
      </c>
      <c r="L2891" s="102" t="str">
        <f>VLOOKUP(B2891,辅助信息!E:J,6,FALSE)</f>
        <v>联系实际收货人（彭江涛13990276572）现场要求炉批号控制2个以下，超2个不给予签收。提前联系到场规格及数量</v>
      </c>
      <c r="O2891" s="55" t="str">
        <f ca="1" t="shared" si="169"/>
        <v/>
      </c>
      <c r="P2891" s="55" t="str">
        <f ca="1" t="shared" si="170"/>
        <v/>
      </c>
      <c r="Q2891" s="22" t="str">
        <f>VLOOKUP(B2891,辅助信息!E:M,9,FALSE)</f>
        <v>ZTWM-CDGS-XS-2025-0126-四川机司-乐山市校地共建产教融合基地配套设施项目施工二标段钢筋采购合同</v>
      </c>
      <c r="R2891" s="22" t="str">
        <f>_xlfn._xlws.FILTER(辅助信息!D:D,辅助信息!E:E=B2891)</f>
        <v>乐山市校地共建产教融合基地建设项目二标段</v>
      </c>
    </row>
    <row r="2892" hidden="1" spans="2:18">
      <c r="B2892" s="33" t="s">
        <v>187</v>
      </c>
      <c r="C2892" s="63">
        <v>45889</v>
      </c>
      <c r="D2892" s="33" t="str">
        <f>VLOOKUP(B2892,辅助信息!E:K,7,FALSE)</f>
        <v>JWDDCD2025072900121</v>
      </c>
      <c r="E2892" s="33" t="str">
        <f>VLOOKUP(F2892,辅助信息!A:B,2,FALSE)</f>
        <v>螺纹钢</v>
      </c>
      <c r="F2892" s="33" t="s">
        <v>66</v>
      </c>
      <c r="G2892" s="29">
        <v>10</v>
      </c>
      <c r="H2892" s="127">
        <f>_xlfn.XLOOKUP(C2892&amp;F2892&amp;I2892&amp;J2892,'[1]2025年已发货'!$F:$F&amp;'[1]2025年已发货'!$C:$C&amp;'[1]2025年已发货'!$G:$G&amp;'[1]2025年已发货'!$H:$H,'[1]2025年已发货'!$E:$E,"未发货")</f>
        <v>10</v>
      </c>
      <c r="I2892" s="33" t="str">
        <f>VLOOKUP(B2892,辅助信息!E:I,3,FALSE)</f>
        <v>(乐山市校地共建产教融合基地建设项目一标段)四川省乐山市市中区苏稽镇周山嘴</v>
      </c>
      <c r="J2892" s="33" t="str">
        <f>VLOOKUP(B2892,辅助信息!E:I,4,FALSE)</f>
        <v>范增云</v>
      </c>
      <c r="K2892" s="33">
        <f>VLOOKUP(J2892,辅助信息!H:I,2,FALSE)</f>
        <v>13668153241</v>
      </c>
      <c r="L2892" s="102" t="str">
        <f>VLOOKUP(B2892,辅助信息!E:J,6,FALSE)</f>
        <v>联系实际收货人（范增云13668153241）现场要求炉批号控制2个以下，超2个不给予签收。提前联系到场规格及数量</v>
      </c>
      <c r="O2892" s="55" t="str">
        <f ca="1" t="shared" si="169"/>
        <v/>
      </c>
      <c r="P2892" s="55" t="str">
        <f ca="1" t="shared" si="170"/>
        <v/>
      </c>
      <c r="Q2892" s="22" t="str">
        <f>VLOOKUP(B2892,辅助信息!E:M,9,FALSE)</f>
        <v>ZTWM-CDGS-XS-2025-0125-四川机司-乐山市校地共建产教融合基地配套设施项目施工一标段钢筋采购合同</v>
      </c>
      <c r="R2892" s="22" t="str">
        <f>_xlfn._xlws.FILTER(辅助信息!D:D,辅助信息!E:E=B2892)</f>
        <v>乐山市校地共建产教融合基地建设项目一标段</v>
      </c>
    </row>
    <row r="2893" hidden="1" spans="2:18">
      <c r="B2893" s="33" t="s">
        <v>187</v>
      </c>
      <c r="C2893" s="63">
        <v>45889</v>
      </c>
      <c r="D2893" s="33" t="str">
        <f>VLOOKUP(B2893,辅助信息!E:K,7,FALSE)</f>
        <v>JWDDCD2025072900121</v>
      </c>
      <c r="E2893" s="33" t="str">
        <f>VLOOKUP(F2893,辅助信息!A:B,2,FALSE)</f>
        <v>螺纹钢</v>
      </c>
      <c r="F2893" s="33" t="s">
        <v>82</v>
      </c>
      <c r="G2893" s="29">
        <v>6</v>
      </c>
      <c r="H2893" s="127">
        <f>_xlfn.XLOOKUP(C2893&amp;F2893&amp;I2893&amp;J2893,'[1]2025年已发货'!$F:$F&amp;'[1]2025年已发货'!$C:$C&amp;'[1]2025年已发货'!$G:$G&amp;'[1]2025年已发货'!$H:$H,'[1]2025年已发货'!$E:$E,"未发货")</f>
        <v>6</v>
      </c>
      <c r="I2893" s="33" t="str">
        <f>VLOOKUP(B2893,辅助信息!E:I,3,FALSE)</f>
        <v>(乐山市校地共建产教融合基地建设项目一标段)四川省乐山市市中区苏稽镇周山嘴</v>
      </c>
      <c r="J2893" s="33" t="str">
        <f>VLOOKUP(B2893,辅助信息!E:I,4,FALSE)</f>
        <v>范增云</v>
      </c>
      <c r="K2893" s="33">
        <f>VLOOKUP(J2893,辅助信息!H:I,2,FALSE)</f>
        <v>13668153241</v>
      </c>
      <c r="L2893" s="102" t="str">
        <f>VLOOKUP(B2893,辅助信息!E:J,6,FALSE)</f>
        <v>联系实际收货人（范增云13668153241）现场要求炉批号控制2个以下，超2个不给予签收。提前联系到场规格及数量</v>
      </c>
      <c r="O2893" s="55" t="str">
        <f ca="1" t="shared" si="169"/>
        <v/>
      </c>
      <c r="P2893" s="55" t="str">
        <f ca="1" t="shared" si="170"/>
        <v/>
      </c>
      <c r="Q2893" s="22" t="str">
        <f>VLOOKUP(B2893,辅助信息!E:M,9,FALSE)</f>
        <v>ZTWM-CDGS-XS-2025-0125-四川机司-乐山市校地共建产教融合基地配套设施项目施工一标段钢筋采购合同</v>
      </c>
      <c r="R2893" s="22" t="str">
        <f>_xlfn._xlws.FILTER(辅助信息!D:D,辅助信息!E:E=B2893)</f>
        <v>乐山市校地共建产教融合基地建设项目一标段</v>
      </c>
    </row>
    <row r="2894" hidden="1" spans="2:18">
      <c r="B2894" s="33" t="s">
        <v>187</v>
      </c>
      <c r="C2894" s="63">
        <v>45889</v>
      </c>
      <c r="D2894" s="33" t="str">
        <f>VLOOKUP(B2894,辅助信息!E:K,7,FALSE)</f>
        <v>JWDDCD2025072900121</v>
      </c>
      <c r="E2894" s="33" t="str">
        <f>VLOOKUP(F2894,辅助信息!A:B,2,FALSE)</f>
        <v>螺纹钢</v>
      </c>
      <c r="F2894" s="33" t="s">
        <v>45</v>
      </c>
      <c r="G2894" s="29">
        <v>3</v>
      </c>
      <c r="H2894" s="127">
        <f>_xlfn.XLOOKUP(C2894&amp;F2894&amp;I2894&amp;J2894,'[1]2025年已发货'!$F:$F&amp;'[1]2025年已发货'!$C:$C&amp;'[1]2025年已发货'!$G:$G&amp;'[1]2025年已发货'!$H:$H,'[1]2025年已发货'!$E:$E,"未发货")</f>
        <v>3</v>
      </c>
      <c r="I2894" s="33" t="str">
        <f>VLOOKUP(B2894,辅助信息!E:I,3,FALSE)</f>
        <v>(乐山市校地共建产教融合基地建设项目一标段)四川省乐山市市中区苏稽镇周山嘴</v>
      </c>
      <c r="J2894" s="33" t="str">
        <f>VLOOKUP(B2894,辅助信息!E:I,4,FALSE)</f>
        <v>范增云</v>
      </c>
      <c r="K2894" s="33">
        <f>VLOOKUP(J2894,辅助信息!H:I,2,FALSE)</f>
        <v>13668153241</v>
      </c>
      <c r="L2894" s="102" t="str">
        <f>VLOOKUP(B2894,辅助信息!E:J,6,FALSE)</f>
        <v>联系实际收货人（范增云13668153241）现场要求炉批号控制2个以下，超2个不给予签收。提前联系到场规格及数量</v>
      </c>
      <c r="O2894" s="55" t="str">
        <f ca="1" t="shared" si="169"/>
        <v/>
      </c>
      <c r="P2894" s="55" t="str">
        <f ca="1" t="shared" si="170"/>
        <v/>
      </c>
      <c r="Q2894" s="22" t="str">
        <f>VLOOKUP(B2894,辅助信息!E:M,9,FALSE)</f>
        <v>ZTWM-CDGS-XS-2025-0125-四川机司-乐山市校地共建产教融合基地配套设施项目施工一标段钢筋采购合同</v>
      </c>
      <c r="R2894" s="22" t="str">
        <f>_xlfn._xlws.FILTER(辅助信息!D:D,辅助信息!E:E=B2894)</f>
        <v>乐山市校地共建产教融合基地建设项目一标段</v>
      </c>
    </row>
    <row r="2895" hidden="1" spans="2:18">
      <c r="B2895" s="33" t="s">
        <v>187</v>
      </c>
      <c r="C2895" s="63">
        <v>45889</v>
      </c>
      <c r="D2895" s="33" t="str">
        <f>VLOOKUP(B2895,辅助信息!E:K,7,FALSE)</f>
        <v>JWDDCD2025072900121</v>
      </c>
      <c r="E2895" s="33" t="str">
        <f>VLOOKUP(F2895,辅助信息!A:B,2,FALSE)</f>
        <v>螺纹钢</v>
      </c>
      <c r="F2895" s="33" t="s">
        <v>21</v>
      </c>
      <c r="G2895" s="29">
        <v>3</v>
      </c>
      <c r="H2895" s="127">
        <f>_xlfn.XLOOKUP(C2895&amp;F2895&amp;I2895&amp;J2895,'[1]2025年已发货'!$F:$F&amp;'[1]2025年已发货'!$C:$C&amp;'[1]2025年已发货'!$G:$G&amp;'[1]2025年已发货'!$H:$H,'[1]2025年已发货'!$E:$E,"未发货")</f>
        <v>3</v>
      </c>
      <c r="I2895" s="33" t="str">
        <f>VLOOKUP(B2895,辅助信息!E:I,3,FALSE)</f>
        <v>(乐山市校地共建产教融合基地建设项目一标段)四川省乐山市市中区苏稽镇周山嘴</v>
      </c>
      <c r="J2895" s="33" t="str">
        <f>VLOOKUP(B2895,辅助信息!E:I,4,FALSE)</f>
        <v>范增云</v>
      </c>
      <c r="K2895" s="33">
        <f>VLOOKUP(J2895,辅助信息!H:I,2,FALSE)</f>
        <v>13668153241</v>
      </c>
      <c r="L2895" s="102" t="str">
        <f>VLOOKUP(B2895,辅助信息!E:J,6,FALSE)</f>
        <v>联系实际收货人（范增云13668153241）现场要求炉批号控制2个以下，超2个不给予签收。提前联系到场规格及数量</v>
      </c>
      <c r="O2895" s="55" t="str">
        <f ca="1" t="shared" si="169"/>
        <v/>
      </c>
      <c r="P2895" s="55" t="str">
        <f ca="1" t="shared" si="170"/>
        <v/>
      </c>
      <c r="Q2895" s="22" t="str">
        <f>VLOOKUP(B2895,辅助信息!E:M,9,FALSE)</f>
        <v>ZTWM-CDGS-XS-2025-0125-四川机司-乐山市校地共建产教融合基地配套设施项目施工一标段钢筋采购合同</v>
      </c>
      <c r="R2895" s="22" t="str">
        <f>_xlfn._xlws.FILTER(辅助信息!D:D,辅助信息!E:E=B2895)</f>
        <v>乐山市校地共建产教融合基地建设项目一标段</v>
      </c>
    </row>
    <row r="2896" hidden="1" spans="2:18">
      <c r="B2896" s="33" t="s">
        <v>187</v>
      </c>
      <c r="C2896" s="63">
        <v>45889</v>
      </c>
      <c r="D2896" s="33" t="str">
        <f>VLOOKUP(B2896,辅助信息!E:K,7,FALSE)</f>
        <v>JWDDCD2025072900121</v>
      </c>
      <c r="E2896" s="33" t="str">
        <f>VLOOKUP(F2896,辅助信息!A:B,2,FALSE)</f>
        <v>螺纹钢</v>
      </c>
      <c r="F2896" s="33" t="s">
        <v>58</v>
      </c>
      <c r="G2896" s="29">
        <v>9</v>
      </c>
      <c r="H2896" s="127">
        <f>_xlfn.XLOOKUP(C2896&amp;F2896&amp;I2896&amp;J2896,'[1]2025年已发货'!$F:$F&amp;'[1]2025年已发货'!$C:$C&amp;'[1]2025年已发货'!$G:$G&amp;'[1]2025年已发货'!$H:$H,'[1]2025年已发货'!$E:$E,"未发货")</f>
        <v>9</v>
      </c>
      <c r="I2896" s="33" t="str">
        <f>VLOOKUP(B2896,辅助信息!E:I,3,FALSE)</f>
        <v>(乐山市校地共建产教融合基地建设项目一标段)四川省乐山市市中区苏稽镇周山嘴</v>
      </c>
      <c r="J2896" s="33" t="str">
        <f>VLOOKUP(B2896,辅助信息!E:I,4,FALSE)</f>
        <v>范增云</v>
      </c>
      <c r="K2896" s="33">
        <f>VLOOKUP(J2896,辅助信息!H:I,2,FALSE)</f>
        <v>13668153241</v>
      </c>
      <c r="L2896" s="102" t="str">
        <f>VLOOKUP(B2896,辅助信息!E:J,6,FALSE)</f>
        <v>联系实际收货人（范增云13668153241）现场要求炉批号控制2个以下，超2个不给予签收。提前联系到场规格及数量</v>
      </c>
      <c r="O2896" s="55" t="str">
        <f ca="1" t="shared" si="169"/>
        <v/>
      </c>
      <c r="P2896" s="55" t="str">
        <f ca="1" t="shared" si="170"/>
        <v/>
      </c>
      <c r="Q2896" s="22" t="str">
        <f>VLOOKUP(B2896,辅助信息!E:M,9,FALSE)</f>
        <v>ZTWM-CDGS-XS-2025-0125-四川机司-乐山市校地共建产教融合基地配套设施项目施工一标段钢筋采购合同</v>
      </c>
      <c r="R2896" s="22" t="str">
        <f>_xlfn._xlws.FILTER(辅助信息!D:D,辅助信息!E:E=B2896)</f>
        <v>乐山市校地共建产教融合基地建设项目一标段</v>
      </c>
    </row>
    <row r="2897" hidden="1" spans="2:18">
      <c r="B2897" s="33" t="s">
        <v>187</v>
      </c>
      <c r="C2897" s="63">
        <v>45889</v>
      </c>
      <c r="D2897" s="33" t="str">
        <f>VLOOKUP(B2897,辅助信息!E:K,7,FALSE)</f>
        <v>JWDDCD2025072900121</v>
      </c>
      <c r="E2897" s="33" t="str">
        <f>VLOOKUP(F2897,辅助信息!A:B,2,FALSE)</f>
        <v>螺纹钢</v>
      </c>
      <c r="F2897" s="33" t="s">
        <v>46</v>
      </c>
      <c r="G2897" s="29">
        <v>18</v>
      </c>
      <c r="H2897" s="127">
        <f>_xlfn.XLOOKUP(C2897&amp;F2897&amp;I2897&amp;J2897,'[1]2025年已发货'!$F:$F&amp;'[1]2025年已发货'!$C:$C&amp;'[1]2025年已发货'!$G:$G&amp;'[1]2025年已发货'!$H:$H,'[1]2025年已发货'!$E:$E,"未发货")</f>
        <v>18</v>
      </c>
      <c r="I2897" s="33" t="str">
        <f>VLOOKUP(B2897,辅助信息!E:I,3,FALSE)</f>
        <v>(乐山市校地共建产教融合基地建设项目一标段)四川省乐山市市中区苏稽镇周山嘴</v>
      </c>
      <c r="J2897" s="33" t="str">
        <f>VLOOKUP(B2897,辅助信息!E:I,4,FALSE)</f>
        <v>范增云</v>
      </c>
      <c r="K2897" s="33">
        <f>VLOOKUP(J2897,辅助信息!H:I,2,FALSE)</f>
        <v>13668153241</v>
      </c>
      <c r="L2897" s="102" t="str">
        <f>VLOOKUP(B2897,辅助信息!E:J,6,FALSE)</f>
        <v>联系实际收货人（范增云13668153241）现场要求炉批号控制2个以下，超2个不给予签收。提前联系到场规格及数量</v>
      </c>
      <c r="O2897" s="55" t="str">
        <f ca="1" t="shared" si="169"/>
        <v/>
      </c>
      <c r="P2897" s="55" t="str">
        <f ca="1" t="shared" si="170"/>
        <v/>
      </c>
      <c r="Q2897" s="22" t="str">
        <f>VLOOKUP(B2897,辅助信息!E:M,9,FALSE)</f>
        <v>ZTWM-CDGS-XS-2025-0125-四川机司-乐山市校地共建产教融合基地配套设施项目施工一标段钢筋采购合同</v>
      </c>
      <c r="R2897" s="22" t="str">
        <f>_xlfn._xlws.FILTER(辅助信息!D:D,辅助信息!E:E=B2897)</f>
        <v>乐山市校地共建产教融合基地建设项目一标段</v>
      </c>
    </row>
    <row r="2898" hidden="1" spans="2:18">
      <c r="B2898" s="33" t="s">
        <v>187</v>
      </c>
      <c r="C2898" s="63">
        <v>45889</v>
      </c>
      <c r="D2898" s="33" t="str">
        <f>VLOOKUP(B2898,辅助信息!E:K,7,FALSE)</f>
        <v>JWDDCD2025072900121</v>
      </c>
      <c r="E2898" s="33" t="str">
        <f>VLOOKUP(F2898,辅助信息!A:B,2,FALSE)</f>
        <v>螺纹钢</v>
      </c>
      <c r="F2898" s="33" t="s">
        <v>22</v>
      </c>
      <c r="G2898" s="29">
        <v>30</v>
      </c>
      <c r="H2898" s="127">
        <f>_xlfn.XLOOKUP(C2898&amp;F2898&amp;I2898&amp;J2898,'[1]2025年已发货'!$F:$F&amp;'[1]2025年已发货'!$C:$C&amp;'[1]2025年已发货'!$G:$G&amp;'[1]2025年已发货'!$H:$H,'[1]2025年已发货'!$E:$E,"未发货")</f>
        <v>30</v>
      </c>
      <c r="I2898" s="33" t="str">
        <f>VLOOKUP(B2898,辅助信息!E:I,3,FALSE)</f>
        <v>(乐山市校地共建产教融合基地建设项目一标段)四川省乐山市市中区苏稽镇周山嘴</v>
      </c>
      <c r="J2898" s="33" t="str">
        <f>VLOOKUP(B2898,辅助信息!E:I,4,FALSE)</f>
        <v>范增云</v>
      </c>
      <c r="K2898" s="33">
        <f>VLOOKUP(J2898,辅助信息!H:I,2,FALSE)</f>
        <v>13668153241</v>
      </c>
      <c r="L2898" s="102" t="str">
        <f>VLOOKUP(B2898,辅助信息!E:J,6,FALSE)</f>
        <v>联系实际收货人（范增云13668153241）现场要求炉批号控制2个以下，超2个不给予签收。提前联系到场规格及数量</v>
      </c>
      <c r="O2898" s="55" t="str">
        <f ca="1" t="shared" si="169"/>
        <v/>
      </c>
      <c r="P2898" s="55" t="str">
        <f ca="1" t="shared" si="170"/>
        <v/>
      </c>
      <c r="Q2898" s="22" t="str">
        <f>VLOOKUP(B2898,辅助信息!E:M,9,FALSE)</f>
        <v>ZTWM-CDGS-XS-2025-0125-四川机司-乐山市校地共建产教融合基地配套设施项目施工一标段钢筋采购合同</v>
      </c>
      <c r="R2898" s="22" t="str">
        <f>_xlfn._xlws.FILTER(辅助信息!D:D,辅助信息!E:E=B2898)</f>
        <v>乐山市校地共建产教融合基地建设项目一标段</v>
      </c>
    </row>
    <row r="2899" hidden="1" spans="2:18">
      <c r="B2899" s="33" t="s">
        <v>187</v>
      </c>
      <c r="C2899" s="63">
        <v>45889</v>
      </c>
      <c r="D2899" s="33" t="str">
        <f>VLOOKUP(B2899,辅助信息!E:K,7,FALSE)</f>
        <v>JWDDCD2025072900121</v>
      </c>
      <c r="E2899" s="33" t="str">
        <f>VLOOKUP(F2899,辅助信息!A:B,2,FALSE)</f>
        <v>螺纹钢</v>
      </c>
      <c r="F2899" s="33" t="s">
        <v>181</v>
      </c>
      <c r="G2899" s="29">
        <v>23</v>
      </c>
      <c r="H2899" s="127">
        <f>_xlfn.XLOOKUP(C2899&amp;F2899&amp;I2899&amp;J2899,'[1]2025年已发货'!$F:$F&amp;'[1]2025年已发货'!$C:$C&amp;'[1]2025年已发货'!$G:$G&amp;'[1]2025年已发货'!$H:$H,'[1]2025年已发货'!$E:$E,"未发货")</f>
        <v>23</v>
      </c>
      <c r="I2899" s="33" t="str">
        <f>VLOOKUP(B2899,辅助信息!E:I,3,FALSE)</f>
        <v>(乐山市校地共建产教融合基地建设项目一标段)四川省乐山市市中区苏稽镇周山嘴</v>
      </c>
      <c r="J2899" s="33" t="str">
        <f>VLOOKUP(B2899,辅助信息!E:I,4,FALSE)</f>
        <v>范增云</v>
      </c>
      <c r="K2899" s="33">
        <f>VLOOKUP(J2899,辅助信息!H:I,2,FALSE)</f>
        <v>13668153241</v>
      </c>
      <c r="L2899" s="102" t="str">
        <f>VLOOKUP(B2899,辅助信息!E:J,6,FALSE)</f>
        <v>联系实际收货人（范增云13668153241）现场要求炉批号控制2个以下，超2个不给予签收。提前联系到场规格及数量</v>
      </c>
      <c r="O2899" s="55" t="str">
        <f ca="1" t="shared" si="169"/>
        <v/>
      </c>
      <c r="P2899" s="55" t="str">
        <f ca="1" t="shared" si="170"/>
        <v/>
      </c>
      <c r="Q2899" s="22" t="str">
        <f>VLOOKUP(B2899,辅助信息!E:M,9,FALSE)</f>
        <v>ZTWM-CDGS-XS-2025-0125-四川机司-乐山市校地共建产教融合基地配套设施项目施工一标段钢筋采购合同</v>
      </c>
      <c r="R2899" s="22" t="str">
        <f>_xlfn._xlws.FILTER(辅助信息!D:D,辅助信息!E:E=B2899)</f>
        <v>乐山市校地共建产教融合基地建设项目一标段</v>
      </c>
    </row>
    <row r="2900" hidden="1" spans="2:18">
      <c r="B2900" s="33" t="s">
        <v>187</v>
      </c>
      <c r="C2900" s="63">
        <v>45889</v>
      </c>
      <c r="D2900" s="33" t="str">
        <f>VLOOKUP(B2900,辅助信息!E:K,7,FALSE)</f>
        <v>JWDDCD2025072900121</v>
      </c>
      <c r="E2900" s="33" t="str">
        <f>VLOOKUP(F2900,辅助信息!A:B,2,FALSE)</f>
        <v>螺纹钢</v>
      </c>
      <c r="F2900" s="33" t="s">
        <v>182</v>
      </c>
      <c r="G2900" s="29">
        <v>3</v>
      </c>
      <c r="H2900" s="127">
        <f>_xlfn.XLOOKUP(C2900&amp;F2900&amp;I2900&amp;J2900,'[1]2025年已发货'!$F:$F&amp;'[1]2025年已发货'!$C:$C&amp;'[1]2025年已发货'!$G:$G&amp;'[1]2025年已发货'!$H:$H,'[1]2025年已发货'!$E:$E,"未发货")</f>
        <v>3</v>
      </c>
      <c r="I2900" s="33" t="str">
        <f>VLOOKUP(B2900,辅助信息!E:I,3,FALSE)</f>
        <v>(乐山市校地共建产教融合基地建设项目一标段)四川省乐山市市中区苏稽镇周山嘴</v>
      </c>
      <c r="J2900" s="33" t="str">
        <f>VLOOKUP(B2900,辅助信息!E:I,4,FALSE)</f>
        <v>范增云</v>
      </c>
      <c r="K2900" s="33">
        <f>VLOOKUP(J2900,辅助信息!H:I,2,FALSE)</f>
        <v>13668153241</v>
      </c>
      <c r="L2900" s="102" t="str">
        <f>VLOOKUP(B2900,辅助信息!E:J,6,FALSE)</f>
        <v>联系实际收货人（范增云13668153241）现场要求炉批号控制2个以下，超2个不给予签收。提前联系到场规格及数量</v>
      </c>
      <c r="O2900" s="55" t="str">
        <f ca="1" t="shared" si="169"/>
        <v/>
      </c>
      <c r="P2900" s="55" t="str">
        <f ca="1" t="shared" si="170"/>
        <v/>
      </c>
      <c r="Q2900" s="22" t="str">
        <f>VLOOKUP(B2900,辅助信息!E:M,9,FALSE)</f>
        <v>ZTWM-CDGS-XS-2025-0125-四川机司-乐山市校地共建产教融合基地配套设施项目施工一标段钢筋采购合同</v>
      </c>
      <c r="R2900" s="22" t="str">
        <f>_xlfn._xlws.FILTER(辅助信息!D:D,辅助信息!E:E=B2900)</f>
        <v>乐山市校地共建产教融合基地建设项目一标段</v>
      </c>
    </row>
    <row r="2901" s="19" customFormat="1" hidden="1" spans="1:18">
      <c r="A2901" s="50"/>
      <c r="B2901" s="113" t="s">
        <v>187</v>
      </c>
      <c r="C2901" s="63">
        <v>45890</v>
      </c>
      <c r="D2901" s="113" t="str">
        <f>VLOOKUP(B2901,辅助信息!E:K,7,FALSE)</f>
        <v>JWDDCD2025072900121</v>
      </c>
      <c r="E2901" s="113" t="str">
        <f>VLOOKUP(F2901,辅助信息!A:B,2,FALSE)</f>
        <v>高线</v>
      </c>
      <c r="F2901" s="113" t="s">
        <v>57</v>
      </c>
      <c r="G2901" s="114">
        <v>20</v>
      </c>
      <c r="H2901" s="127" t="str">
        <f>_xlfn.XLOOKUP(C2901&amp;F2901&amp;I2901&amp;J2901,'[1]2025年已发货'!$F:$F&amp;'[1]2025年已发货'!$C:$C&amp;'[1]2025年已发货'!$G:$G&amp;'[1]2025年已发货'!$H:$H,'[1]2025年已发货'!$E:$E,"未发货")</f>
        <v>未发货</v>
      </c>
      <c r="I2901" s="113" t="str">
        <f>VLOOKUP(B2901,辅助信息!E:I,3,FALSE)</f>
        <v>(乐山市校地共建产教融合基地建设项目一标段)四川省乐山市市中区苏稽镇周山嘴</v>
      </c>
      <c r="J2901" s="113" t="str">
        <f>VLOOKUP(B2901,辅助信息!E:I,4,FALSE)</f>
        <v>范增云</v>
      </c>
      <c r="K2901" s="113">
        <f>VLOOKUP(J2901,辅助信息!H:I,2,FALSE)</f>
        <v>13668153241</v>
      </c>
      <c r="L2901" s="115" t="str">
        <f>VLOOKUP(B2901,辅助信息!E:J,6,FALSE)</f>
        <v>联系实际收货人（范增云13668153241）现场要求炉批号控制2个以下，超2个不给予签收。提前联系到场规格及数量</v>
      </c>
      <c r="M2901" s="84">
        <v>45870</v>
      </c>
      <c r="N2901" s="55"/>
      <c r="O2901" s="55">
        <f ca="1" t="shared" ref="O2892:O2955" si="171">IF(OR(M2901="",N2901&lt;&gt;""),"",MAX(M2901-TODAY(),0))</f>
        <v>0</v>
      </c>
      <c r="P2901" s="55">
        <f ca="1" t="shared" ref="P2892:P2955" si="172">IF(M2901="","",IF(N2901&lt;&gt;"",MAX(N2901-M2901,0),IF(TODAY()&gt;M2901,TODAY()-M2901,0)))</f>
        <v>87</v>
      </c>
      <c r="Q2901" s="19" t="str">
        <f>VLOOKUP(B2901,辅助信息!E:M,9,FALSE)</f>
        <v>ZTWM-CDGS-XS-2025-0125-四川机司-乐山市校地共建产教融合基地配套设施项目施工一标段钢筋采购合同</v>
      </c>
      <c r="R2901" s="19" t="str">
        <f>_xlfn._xlws.FILTER(辅助信息!D:D,辅助信息!E:E=B2901)</f>
        <v>乐山市校地共建产教融合基地建设项目一标段</v>
      </c>
    </row>
    <row r="2902" s="19" customFormat="1" hidden="1" spans="1:18">
      <c r="A2902" s="50"/>
      <c r="B2902" s="113" t="s">
        <v>187</v>
      </c>
      <c r="C2902" s="63">
        <v>45890</v>
      </c>
      <c r="D2902" s="113" t="str">
        <f>VLOOKUP(B2902,辅助信息!E:K,7,FALSE)</f>
        <v>JWDDCD2025072900121</v>
      </c>
      <c r="E2902" s="113" t="str">
        <f>VLOOKUP(F2902,辅助信息!A:B,2,FALSE)</f>
        <v>盘螺</v>
      </c>
      <c r="F2902" s="113" t="s">
        <v>49</v>
      </c>
      <c r="G2902" s="114">
        <v>2</v>
      </c>
      <c r="H2902" s="127">
        <f>_xlfn.XLOOKUP(C2902&amp;F2902&amp;I2902&amp;J2902,'[1]2025年已发货'!$F:$F&amp;'[1]2025年已发货'!$C:$C&amp;'[1]2025年已发货'!$G:$G&amp;'[1]2025年已发货'!$H:$H,'[1]2025年已发货'!$E:$E,"未发货")</f>
        <v>2</v>
      </c>
      <c r="I2902" s="113" t="str">
        <f>VLOOKUP(B2902,辅助信息!E:I,3,FALSE)</f>
        <v>(乐山市校地共建产教融合基地建设项目一标段)四川省乐山市市中区苏稽镇周山嘴</v>
      </c>
      <c r="J2902" s="113" t="str">
        <f>VLOOKUP(B2902,辅助信息!E:I,4,FALSE)</f>
        <v>范增云</v>
      </c>
      <c r="K2902" s="113">
        <f>VLOOKUP(J2902,辅助信息!H:I,2,FALSE)</f>
        <v>13668153241</v>
      </c>
      <c r="L2902" s="115" t="str">
        <f>VLOOKUP(B2902,辅助信息!E:J,6,FALSE)</f>
        <v>联系实际收货人（范增云13668153241）现场要求炉批号控制2个以下，超2个不给予签收。提前联系到场规格及数量</v>
      </c>
      <c r="M2902" s="84">
        <v>45870</v>
      </c>
      <c r="N2902" s="55"/>
      <c r="O2902" s="55">
        <f ca="1" t="shared" si="171"/>
        <v>0</v>
      </c>
      <c r="P2902" s="55">
        <f ca="1" t="shared" si="172"/>
        <v>87</v>
      </c>
      <c r="Q2902" s="19" t="str">
        <f>VLOOKUP(B2902,辅助信息!E:M,9,FALSE)</f>
        <v>ZTWM-CDGS-XS-2025-0125-四川机司-乐山市校地共建产教融合基地配套设施项目施工一标段钢筋采购合同</v>
      </c>
      <c r="R2902" s="19" t="str">
        <f>_xlfn._xlws.FILTER(辅助信息!D:D,辅助信息!E:E=B2902)</f>
        <v>乐山市校地共建产教融合基地建设项目一标段</v>
      </c>
    </row>
    <row r="2903" s="19" customFormat="1" hidden="1" spans="1:18">
      <c r="A2903" s="50"/>
      <c r="B2903" s="113" t="s">
        <v>187</v>
      </c>
      <c r="C2903" s="63">
        <v>45890</v>
      </c>
      <c r="D2903" s="113" t="str">
        <f>VLOOKUP(B2903,辅助信息!E:K,7,FALSE)</f>
        <v>JWDDCD2025072900121</v>
      </c>
      <c r="E2903" s="113" t="str">
        <f>VLOOKUP(F2903,辅助信息!A:B,2,FALSE)</f>
        <v>盘螺</v>
      </c>
      <c r="F2903" s="113" t="s">
        <v>40</v>
      </c>
      <c r="G2903" s="114">
        <v>10</v>
      </c>
      <c r="H2903" s="127">
        <f>_xlfn.XLOOKUP(C2903&amp;F2903&amp;I2903&amp;J2903,'[1]2025年已发货'!$F:$F&amp;'[1]2025年已发货'!$C:$C&amp;'[1]2025年已发货'!$G:$G&amp;'[1]2025年已发货'!$H:$H,'[1]2025年已发货'!$E:$E,"未发货")</f>
        <v>10</v>
      </c>
      <c r="I2903" s="113" t="str">
        <f>VLOOKUP(B2903,辅助信息!E:I,3,FALSE)</f>
        <v>(乐山市校地共建产教融合基地建设项目一标段)四川省乐山市市中区苏稽镇周山嘴</v>
      </c>
      <c r="J2903" s="113" t="str">
        <f>VLOOKUP(B2903,辅助信息!E:I,4,FALSE)</f>
        <v>范增云</v>
      </c>
      <c r="K2903" s="113">
        <f>VLOOKUP(J2903,辅助信息!H:I,2,FALSE)</f>
        <v>13668153241</v>
      </c>
      <c r="L2903" s="115" t="str">
        <f>VLOOKUP(B2903,辅助信息!E:J,6,FALSE)</f>
        <v>联系实际收货人（范增云13668153241）现场要求炉批号控制2个以下，超2个不给予签收。提前联系到场规格及数量</v>
      </c>
      <c r="M2903" s="84">
        <v>45870</v>
      </c>
      <c r="N2903" s="55"/>
      <c r="O2903" s="55">
        <f ca="1" t="shared" si="171"/>
        <v>0</v>
      </c>
      <c r="P2903" s="55">
        <f ca="1" t="shared" si="172"/>
        <v>87</v>
      </c>
      <c r="Q2903" s="19" t="str">
        <f>VLOOKUP(B2903,辅助信息!E:M,9,FALSE)</f>
        <v>ZTWM-CDGS-XS-2025-0125-四川机司-乐山市校地共建产教融合基地配套设施项目施工一标段钢筋采购合同</v>
      </c>
      <c r="R2903" s="19" t="str">
        <f>_xlfn._xlws.FILTER(辅助信息!D:D,辅助信息!E:E=B2903)</f>
        <v>乐山市校地共建产教融合基地建设项目一标段</v>
      </c>
    </row>
    <row r="2904" s="19" customFormat="1" hidden="1" spans="1:18">
      <c r="A2904" s="50"/>
      <c r="B2904" s="113" t="s">
        <v>187</v>
      </c>
      <c r="C2904" s="63">
        <v>45890</v>
      </c>
      <c r="D2904" s="113" t="str">
        <f>VLOOKUP(B2904,辅助信息!E:K,7,FALSE)</f>
        <v>JWDDCD2025072900121</v>
      </c>
      <c r="E2904" s="113" t="str">
        <f>VLOOKUP(F2904,辅助信息!A:B,2,FALSE)</f>
        <v>盘螺</v>
      </c>
      <c r="F2904" s="113" t="s">
        <v>41</v>
      </c>
      <c r="G2904" s="114">
        <v>20</v>
      </c>
      <c r="H2904" s="127">
        <v>20</v>
      </c>
      <c r="I2904" s="113" t="str">
        <f>VLOOKUP(B2904,辅助信息!E:I,3,FALSE)</f>
        <v>(乐山市校地共建产教融合基地建设项目一标段)四川省乐山市市中区苏稽镇周山嘴</v>
      </c>
      <c r="J2904" s="113" t="str">
        <f>VLOOKUP(B2904,辅助信息!E:I,4,FALSE)</f>
        <v>范增云</v>
      </c>
      <c r="K2904" s="113">
        <f>VLOOKUP(J2904,辅助信息!H:I,2,FALSE)</f>
        <v>13668153241</v>
      </c>
      <c r="L2904" s="115" t="str">
        <f>VLOOKUP(B2904,辅助信息!E:J,6,FALSE)</f>
        <v>联系实际收货人（范增云13668153241）现场要求炉批号控制2个以下，超2个不给予签收。提前联系到场规格及数量</v>
      </c>
      <c r="M2904" s="84">
        <v>45870</v>
      </c>
      <c r="N2904" s="55"/>
      <c r="O2904" s="55">
        <f ca="1" t="shared" si="171"/>
        <v>0</v>
      </c>
      <c r="P2904" s="55">
        <f ca="1" t="shared" si="172"/>
        <v>87</v>
      </c>
      <c r="Q2904" s="19" t="str">
        <f>VLOOKUP(B2904,辅助信息!E:M,9,FALSE)</f>
        <v>ZTWM-CDGS-XS-2025-0125-四川机司-乐山市校地共建产教融合基地配套设施项目施工一标段钢筋采购合同</v>
      </c>
      <c r="R2904" s="19" t="str">
        <f>_xlfn._xlws.FILTER(辅助信息!D:D,辅助信息!E:E=B2904)</f>
        <v>乐山市校地共建产教融合基地建设项目一标段</v>
      </c>
    </row>
    <row r="2905" s="19" customFormat="1" hidden="1" spans="1:18">
      <c r="A2905" s="50"/>
      <c r="B2905" s="113" t="s">
        <v>187</v>
      </c>
      <c r="C2905" s="63">
        <v>45890</v>
      </c>
      <c r="D2905" s="113" t="str">
        <f>VLOOKUP(B2905,辅助信息!E:K,7,FALSE)</f>
        <v>JWDDCD2025072900121</v>
      </c>
      <c r="E2905" s="113" t="str">
        <f>VLOOKUP(F2905,辅助信息!A:B,2,FALSE)</f>
        <v>盘螺</v>
      </c>
      <c r="F2905" s="113" t="s">
        <v>26</v>
      </c>
      <c r="G2905" s="114">
        <v>30</v>
      </c>
      <c r="H2905" s="127">
        <f>_xlfn.XLOOKUP(C2905&amp;F2905&amp;I2905&amp;J2905,'[1]2025年已发货'!$F:$F&amp;'[1]2025年已发货'!$C:$C&amp;'[1]2025年已发货'!$G:$G&amp;'[1]2025年已发货'!$H:$H,'[1]2025年已发货'!$E:$E,"未发货")</f>
        <v>30</v>
      </c>
      <c r="I2905" s="113" t="str">
        <f>VLOOKUP(B2905,辅助信息!E:I,3,FALSE)</f>
        <v>(乐山市校地共建产教融合基地建设项目一标段)四川省乐山市市中区苏稽镇周山嘴</v>
      </c>
      <c r="J2905" s="113" t="str">
        <f>VLOOKUP(B2905,辅助信息!E:I,4,FALSE)</f>
        <v>范增云</v>
      </c>
      <c r="K2905" s="113">
        <f>VLOOKUP(J2905,辅助信息!H:I,2,FALSE)</f>
        <v>13668153241</v>
      </c>
      <c r="L2905" s="115" t="str">
        <f>VLOOKUP(B2905,辅助信息!E:J,6,FALSE)</f>
        <v>联系实际收货人（范增云13668153241）现场要求炉批号控制2个以下，超2个不给予签收。提前联系到场规格及数量</v>
      </c>
      <c r="M2905" s="84">
        <v>45870</v>
      </c>
      <c r="N2905" s="55"/>
      <c r="O2905" s="55">
        <f ca="1" t="shared" si="171"/>
        <v>0</v>
      </c>
      <c r="P2905" s="55">
        <f ca="1" t="shared" si="172"/>
        <v>87</v>
      </c>
      <c r="Q2905" s="19" t="str">
        <f>VLOOKUP(B2905,辅助信息!E:M,9,FALSE)</f>
        <v>ZTWM-CDGS-XS-2025-0125-四川机司-乐山市校地共建产教融合基地配套设施项目施工一标段钢筋采购合同</v>
      </c>
      <c r="R2905" s="19" t="str">
        <f>_xlfn._xlws.FILTER(辅助信息!D:D,辅助信息!E:E=B2905)</f>
        <v>乐山市校地共建产教融合基地建设项目一标段</v>
      </c>
    </row>
    <row r="2906" s="19" customFormat="1" hidden="1" spans="1:18">
      <c r="A2906" s="50"/>
      <c r="B2906" s="113" t="s">
        <v>187</v>
      </c>
      <c r="C2906" s="63">
        <v>45890</v>
      </c>
      <c r="D2906" s="113" t="str">
        <f>VLOOKUP(B2906,辅助信息!E:K,7,FALSE)</f>
        <v>JWDDCD2025072900121</v>
      </c>
      <c r="E2906" s="113" t="str">
        <f>VLOOKUP(F2906,辅助信息!A:B,2,FALSE)</f>
        <v>螺纹钢</v>
      </c>
      <c r="F2906" s="113" t="s">
        <v>65</v>
      </c>
      <c r="G2906" s="114">
        <v>22</v>
      </c>
      <c r="H2906" s="127">
        <f>_xlfn.XLOOKUP(C2906&amp;F2906&amp;I2906&amp;J2906,'[1]2025年已发货'!$F:$F&amp;'[1]2025年已发货'!$C:$C&amp;'[1]2025年已发货'!$G:$G&amp;'[1]2025年已发货'!$H:$H,'[1]2025年已发货'!$E:$E,"未发货")</f>
        <v>22</v>
      </c>
      <c r="I2906" s="113" t="str">
        <f>VLOOKUP(B2906,辅助信息!E:I,3,FALSE)</f>
        <v>(乐山市校地共建产教融合基地建设项目一标段)四川省乐山市市中区苏稽镇周山嘴</v>
      </c>
      <c r="J2906" s="113" t="str">
        <f>VLOOKUP(B2906,辅助信息!E:I,4,FALSE)</f>
        <v>范增云</v>
      </c>
      <c r="K2906" s="113">
        <f>VLOOKUP(J2906,辅助信息!H:I,2,FALSE)</f>
        <v>13668153241</v>
      </c>
      <c r="L2906" s="115" t="str">
        <f>VLOOKUP(B2906,辅助信息!E:J,6,FALSE)</f>
        <v>联系实际收货人（范增云13668153241）现场要求炉批号控制2个以下，超2个不给予签收。提前联系到场规格及数量</v>
      </c>
      <c r="M2906" s="84">
        <v>45870</v>
      </c>
      <c r="N2906" s="55"/>
      <c r="O2906" s="55">
        <f ca="1" t="shared" si="171"/>
        <v>0</v>
      </c>
      <c r="P2906" s="55">
        <f ca="1" t="shared" si="172"/>
        <v>87</v>
      </c>
      <c r="Q2906" s="19" t="str">
        <f>VLOOKUP(B2906,辅助信息!E:M,9,FALSE)</f>
        <v>ZTWM-CDGS-XS-2025-0125-四川机司-乐山市校地共建产教融合基地配套设施项目施工一标段钢筋采购合同</v>
      </c>
      <c r="R2906" s="19" t="str">
        <f>_xlfn._xlws.FILTER(辅助信息!D:D,辅助信息!E:E=B2906)</f>
        <v>乐山市校地共建产教融合基地建设项目一标段</v>
      </c>
    </row>
    <row r="2907" s="19" customFormat="1" hidden="1" spans="1:18">
      <c r="A2907" s="50"/>
      <c r="B2907" s="113" t="s">
        <v>187</v>
      </c>
      <c r="C2907" s="63">
        <v>45890</v>
      </c>
      <c r="D2907" s="113" t="str">
        <f>VLOOKUP(B2907,辅助信息!E:K,7,FALSE)</f>
        <v>JWDDCD2025072900121</v>
      </c>
      <c r="E2907" s="113" t="str">
        <f>VLOOKUP(F2907,辅助信息!A:B,2,FALSE)</f>
        <v>螺纹钢</v>
      </c>
      <c r="F2907" s="113" t="s">
        <v>28</v>
      </c>
      <c r="G2907" s="114">
        <v>18</v>
      </c>
      <c r="H2907" s="127">
        <v>18</v>
      </c>
      <c r="I2907" s="113" t="str">
        <f>VLOOKUP(B2907,辅助信息!E:I,3,FALSE)</f>
        <v>(乐山市校地共建产教融合基地建设项目一标段)四川省乐山市市中区苏稽镇周山嘴</v>
      </c>
      <c r="J2907" s="113" t="str">
        <f>VLOOKUP(B2907,辅助信息!E:I,4,FALSE)</f>
        <v>范增云</v>
      </c>
      <c r="K2907" s="113">
        <f>VLOOKUP(J2907,辅助信息!H:I,2,FALSE)</f>
        <v>13668153241</v>
      </c>
      <c r="L2907" s="115" t="str">
        <f>VLOOKUP(B2907,辅助信息!E:J,6,FALSE)</f>
        <v>联系实际收货人（范增云13668153241）现场要求炉批号控制2个以下，超2个不给予签收。提前联系到场规格及数量</v>
      </c>
      <c r="M2907" s="84">
        <v>45870</v>
      </c>
      <c r="N2907" s="55"/>
      <c r="O2907" s="55">
        <f ca="1" t="shared" si="171"/>
        <v>0</v>
      </c>
      <c r="P2907" s="55">
        <f ca="1" t="shared" si="172"/>
        <v>87</v>
      </c>
      <c r="Q2907" s="19" t="str">
        <f>VLOOKUP(B2907,辅助信息!E:M,9,FALSE)</f>
        <v>ZTWM-CDGS-XS-2025-0125-四川机司-乐山市校地共建产教融合基地配套设施项目施工一标段钢筋采购合同</v>
      </c>
      <c r="R2907" s="19" t="str">
        <f>_xlfn._xlws.FILTER(辅助信息!D:D,辅助信息!E:E=B2907)</f>
        <v>乐山市校地共建产教融合基地建设项目一标段</v>
      </c>
    </row>
    <row r="2908" s="19" customFormat="1" hidden="1" spans="1:18">
      <c r="A2908" s="50"/>
      <c r="B2908" s="113" t="s">
        <v>186</v>
      </c>
      <c r="C2908" s="63">
        <v>45890</v>
      </c>
      <c r="D2908" s="113" t="str">
        <f>VLOOKUP(B2908,辅助信息!E:K,7,FALSE)</f>
        <v>JWDDCD2025072900123</v>
      </c>
      <c r="E2908" s="113" t="str">
        <f>VLOOKUP(F2908,辅助信息!A:B,2,FALSE)</f>
        <v>螺纹钢</v>
      </c>
      <c r="F2908" s="113" t="s">
        <v>76</v>
      </c>
      <c r="G2908" s="114">
        <v>3</v>
      </c>
      <c r="H2908" s="127">
        <f>_xlfn.XLOOKUP(C2908&amp;F2908&amp;I2908&amp;J2908,'[1]2025年已发货'!$F:$F&amp;'[1]2025年已发货'!$C:$C&amp;'[1]2025年已发货'!$G:$G&amp;'[1]2025年已发货'!$H:$H,'[1]2025年已发货'!$E:$E,"未发货")</f>
        <v>24</v>
      </c>
      <c r="I2908" s="113" t="str">
        <f>VLOOKUP(B2908,辅助信息!E:I,3,FALSE)</f>
        <v>(乐山市校地共建产教融合基地建设项目二标段)四川省乐山市市中区苏稽镇</v>
      </c>
      <c r="J2908" s="113" t="str">
        <f>VLOOKUP(B2908,辅助信息!E:I,4,FALSE)</f>
        <v>彭江涛</v>
      </c>
      <c r="K2908" s="113">
        <f>VLOOKUP(J2908,辅助信息!H:I,2,FALSE)</f>
        <v>13990276572</v>
      </c>
      <c r="L2908" s="115" t="str">
        <f>VLOOKUP(B2908,辅助信息!E:J,6,FALSE)</f>
        <v>联系实际收货人（彭江涛13990276572）现场要求炉批号控制2个以下，超2个不给予签收。提前联系到场规格及数量</v>
      </c>
      <c r="M2908" s="84">
        <v>45870</v>
      </c>
      <c r="N2908" s="55"/>
      <c r="O2908" s="55">
        <f ca="1" t="shared" si="171"/>
        <v>0</v>
      </c>
      <c r="P2908" s="55">
        <f ca="1" t="shared" si="172"/>
        <v>87</v>
      </c>
      <c r="Q2908" s="19" t="str">
        <f>VLOOKUP(B2908,辅助信息!E:M,9,FALSE)</f>
        <v>ZTWM-CDGS-XS-2025-0126-四川机司-乐山市校地共建产教融合基地配套设施项目施工二标段钢筋采购合同</v>
      </c>
      <c r="R2908" s="19" t="str">
        <f>_xlfn._xlws.FILTER(辅助信息!D:D,辅助信息!E:E=B2908)</f>
        <v>乐山市校地共建产教融合基地建设项目二标段</v>
      </c>
    </row>
    <row r="2909" s="19" customFormat="1" hidden="1" spans="1:18">
      <c r="A2909" s="50"/>
      <c r="B2909" s="113" t="s">
        <v>186</v>
      </c>
      <c r="C2909" s="63">
        <v>45890</v>
      </c>
      <c r="D2909" s="113" t="str">
        <f>VLOOKUP(B2909,辅助信息!E:K,7,FALSE)</f>
        <v>JWDDCD2025072900123</v>
      </c>
      <c r="E2909" s="113" t="str">
        <f>VLOOKUP(F2909,辅助信息!A:B,2,FALSE)</f>
        <v>螺纹钢</v>
      </c>
      <c r="F2909" s="113" t="s">
        <v>199</v>
      </c>
      <c r="G2909" s="114">
        <v>5</v>
      </c>
      <c r="H2909" s="127">
        <f>_xlfn.XLOOKUP(C2909&amp;F2909&amp;I2909&amp;J2909,'[1]2025年已发货'!$F:$F&amp;'[1]2025年已发货'!$C:$C&amp;'[1]2025年已发货'!$G:$G&amp;'[1]2025年已发货'!$H:$H,'[1]2025年已发货'!$E:$E,"未发货")</f>
        <v>5</v>
      </c>
      <c r="I2909" s="113" t="str">
        <f>VLOOKUP(B2909,辅助信息!E:I,3,FALSE)</f>
        <v>(乐山市校地共建产教融合基地建设项目二标段)四川省乐山市市中区苏稽镇</v>
      </c>
      <c r="J2909" s="113" t="str">
        <f>VLOOKUP(B2909,辅助信息!E:I,4,FALSE)</f>
        <v>彭江涛</v>
      </c>
      <c r="K2909" s="113">
        <f>VLOOKUP(J2909,辅助信息!H:I,2,FALSE)</f>
        <v>13990276572</v>
      </c>
      <c r="L2909" s="115" t="str">
        <f>VLOOKUP(B2909,辅助信息!E:J,6,FALSE)</f>
        <v>联系实际收货人（彭江涛13990276572）现场要求炉批号控制2个以下，超2个不给予签收。提前联系到场规格及数量</v>
      </c>
      <c r="M2909" s="84">
        <v>45870</v>
      </c>
      <c r="N2909" s="55"/>
      <c r="O2909" s="55">
        <f ca="1" t="shared" si="171"/>
        <v>0</v>
      </c>
      <c r="P2909" s="55">
        <f ca="1" t="shared" si="172"/>
        <v>87</v>
      </c>
      <c r="Q2909" s="19" t="str">
        <f>VLOOKUP(B2909,辅助信息!E:M,9,FALSE)</f>
        <v>ZTWM-CDGS-XS-2025-0126-四川机司-乐山市校地共建产教融合基地配套设施项目施工二标段钢筋采购合同</v>
      </c>
      <c r="R2909" s="19" t="str">
        <f>_xlfn._xlws.FILTER(辅助信息!D:D,辅助信息!E:E=B2909)</f>
        <v>乐山市校地共建产教融合基地建设项目二标段</v>
      </c>
    </row>
    <row r="2910" s="19" customFormat="1" hidden="1" spans="1:18">
      <c r="A2910" s="50"/>
      <c r="B2910" s="113" t="s">
        <v>186</v>
      </c>
      <c r="C2910" s="63">
        <v>45890</v>
      </c>
      <c r="D2910" s="113" t="str">
        <f>VLOOKUP(B2910,辅助信息!E:K,7,FALSE)</f>
        <v>JWDDCD2025072900123</v>
      </c>
      <c r="E2910" s="113" t="str">
        <f>VLOOKUP(F2910,辅助信息!A:B,2,FALSE)</f>
        <v>螺纹钢</v>
      </c>
      <c r="F2910" s="113" t="s">
        <v>142</v>
      </c>
      <c r="G2910" s="114">
        <v>47</v>
      </c>
      <c r="H2910" s="127" t="str">
        <f>_xlfn.XLOOKUP(C2910&amp;F2910&amp;I2910&amp;J2910,'[1]2025年已发货'!$F:$F&amp;'[1]2025年已发货'!$C:$C&amp;'[1]2025年已发货'!$G:$G&amp;'[1]2025年已发货'!$H:$H,'[1]2025年已发货'!$E:$E,"未发货")</f>
        <v>未发货</v>
      </c>
      <c r="I2910" s="113" t="str">
        <f>VLOOKUP(B2910,辅助信息!E:I,3,FALSE)</f>
        <v>(乐山市校地共建产教融合基地建设项目二标段)四川省乐山市市中区苏稽镇</v>
      </c>
      <c r="J2910" s="113" t="str">
        <f>VLOOKUP(B2910,辅助信息!E:I,4,FALSE)</f>
        <v>彭江涛</v>
      </c>
      <c r="K2910" s="113">
        <f>VLOOKUP(J2910,辅助信息!H:I,2,FALSE)</f>
        <v>13990276572</v>
      </c>
      <c r="L2910" s="115" t="str">
        <f>VLOOKUP(B2910,辅助信息!E:J,6,FALSE)</f>
        <v>联系实际收货人（彭江涛13990276572）现场要求炉批号控制2个以下，超2个不给予签收。提前联系到场规格及数量</v>
      </c>
      <c r="M2910" s="84">
        <v>45870</v>
      </c>
      <c r="N2910" s="55"/>
      <c r="O2910" s="55">
        <f ca="1" t="shared" si="171"/>
        <v>0</v>
      </c>
      <c r="P2910" s="55">
        <f ca="1" t="shared" si="172"/>
        <v>87</v>
      </c>
      <c r="Q2910" s="19" t="str">
        <f>VLOOKUP(B2910,辅助信息!E:M,9,FALSE)</f>
        <v>ZTWM-CDGS-XS-2025-0126-四川机司-乐山市校地共建产教融合基地配套设施项目施工二标段钢筋采购合同</v>
      </c>
      <c r="R2910" s="19" t="str">
        <f>_xlfn._xlws.FILTER(辅助信息!D:D,辅助信息!E:E=B2910)</f>
        <v>乐山市校地共建产教融合基地建设项目二标段</v>
      </c>
    </row>
    <row r="2911" s="19" customFormat="1" hidden="1" spans="1:18">
      <c r="A2911" s="50"/>
      <c r="B2911" s="113" t="s">
        <v>186</v>
      </c>
      <c r="C2911" s="63">
        <v>45890</v>
      </c>
      <c r="D2911" s="113" t="str">
        <f>VLOOKUP(B2911,辅助信息!E:K,7,FALSE)</f>
        <v>JWDDCD2025072900123</v>
      </c>
      <c r="E2911" s="113" t="str">
        <f>VLOOKUP(F2911,辅助信息!A:B,2,FALSE)</f>
        <v>螺纹钢</v>
      </c>
      <c r="F2911" s="113" t="s">
        <v>205</v>
      </c>
      <c r="G2911" s="114">
        <v>15</v>
      </c>
      <c r="H2911" s="127">
        <f>_xlfn.XLOOKUP(C2911&amp;F2911&amp;I2911&amp;J2911,'[1]2025年已发货'!$F:$F&amp;'[1]2025年已发货'!$C:$C&amp;'[1]2025年已发货'!$G:$G&amp;'[1]2025年已发货'!$H:$H,'[1]2025年已发货'!$E:$E,"未发货")</f>
        <v>20</v>
      </c>
      <c r="I2911" s="113" t="str">
        <f>VLOOKUP(B2911,辅助信息!E:I,3,FALSE)</f>
        <v>(乐山市校地共建产教融合基地建设项目二标段)四川省乐山市市中区苏稽镇</v>
      </c>
      <c r="J2911" s="113" t="str">
        <f>VLOOKUP(B2911,辅助信息!E:I,4,FALSE)</f>
        <v>彭江涛</v>
      </c>
      <c r="K2911" s="113">
        <f>VLOOKUP(J2911,辅助信息!H:I,2,FALSE)</f>
        <v>13990276572</v>
      </c>
      <c r="L2911" s="115" t="str">
        <f>VLOOKUP(B2911,辅助信息!E:J,6,FALSE)</f>
        <v>联系实际收货人（彭江涛13990276572）现场要求炉批号控制2个以下，超2个不给予签收。提前联系到场规格及数量</v>
      </c>
      <c r="M2911" s="84">
        <v>45870</v>
      </c>
      <c r="N2911" s="55"/>
      <c r="O2911" s="55">
        <f ca="1" t="shared" si="171"/>
        <v>0</v>
      </c>
      <c r="P2911" s="55">
        <f ca="1" t="shared" si="172"/>
        <v>87</v>
      </c>
      <c r="Q2911" s="19" t="str">
        <f>VLOOKUP(B2911,辅助信息!E:M,9,FALSE)</f>
        <v>ZTWM-CDGS-XS-2025-0126-四川机司-乐山市校地共建产教融合基地配套设施项目施工二标段钢筋采购合同</v>
      </c>
      <c r="R2911" s="19" t="str">
        <f>_xlfn._xlws.FILTER(辅助信息!D:D,辅助信息!E:E=B2911)</f>
        <v>乐山市校地共建产教融合基地建设项目二标段</v>
      </c>
    </row>
    <row r="2912" s="19" customFormat="1" hidden="1" spans="1:18">
      <c r="A2912" s="50"/>
      <c r="B2912" s="113" t="s">
        <v>186</v>
      </c>
      <c r="C2912" s="63">
        <v>45890</v>
      </c>
      <c r="D2912" s="113" t="str">
        <f>VLOOKUP(B2912,辅助信息!E:K,7,FALSE)</f>
        <v>JWDDCD2025072900123</v>
      </c>
      <c r="E2912" s="113" t="str">
        <f>VLOOKUP(F2912,辅助信息!A:B,2,FALSE)</f>
        <v>螺纹钢</v>
      </c>
      <c r="F2912" s="113" t="s">
        <v>140</v>
      </c>
      <c r="G2912" s="114">
        <v>15</v>
      </c>
      <c r="H2912" s="127" t="str">
        <f>_xlfn.XLOOKUP(C2912&amp;F2912&amp;I2912&amp;J2912,'[1]2025年已发货'!$F:$F&amp;'[1]2025年已发货'!$C:$C&amp;'[1]2025年已发货'!$G:$G&amp;'[1]2025年已发货'!$H:$H,'[1]2025年已发货'!$E:$E,"未发货")</f>
        <v>未发货</v>
      </c>
      <c r="I2912" s="113" t="str">
        <f>VLOOKUP(B2912,辅助信息!E:I,3,FALSE)</f>
        <v>(乐山市校地共建产教融合基地建设项目二标段)四川省乐山市市中区苏稽镇</v>
      </c>
      <c r="J2912" s="113" t="str">
        <f>VLOOKUP(B2912,辅助信息!E:I,4,FALSE)</f>
        <v>彭江涛</v>
      </c>
      <c r="K2912" s="113">
        <f>VLOOKUP(J2912,辅助信息!H:I,2,FALSE)</f>
        <v>13990276572</v>
      </c>
      <c r="L2912" s="115" t="str">
        <f>VLOOKUP(B2912,辅助信息!E:J,6,FALSE)</f>
        <v>联系实际收货人（彭江涛13990276572）现场要求炉批号控制2个以下，超2个不给予签收。提前联系到场规格及数量</v>
      </c>
      <c r="M2912" s="84">
        <v>45870</v>
      </c>
      <c r="N2912" s="55"/>
      <c r="O2912" s="55">
        <f ca="1" t="shared" si="171"/>
        <v>0</v>
      </c>
      <c r="P2912" s="55">
        <f ca="1" t="shared" si="172"/>
        <v>87</v>
      </c>
      <c r="Q2912" s="19" t="str">
        <f>VLOOKUP(B2912,辅助信息!E:M,9,FALSE)</f>
        <v>ZTWM-CDGS-XS-2025-0126-四川机司-乐山市校地共建产教融合基地配套设施项目施工二标段钢筋采购合同</v>
      </c>
      <c r="R2912" s="19" t="str">
        <f>_xlfn._xlws.FILTER(辅助信息!D:D,辅助信息!E:E=B2912)</f>
        <v>乐山市校地共建产教融合基地建设项目二标段</v>
      </c>
    </row>
    <row r="2913" s="19" customFormat="1" hidden="1" spans="1:18">
      <c r="A2913" s="50"/>
      <c r="B2913" s="113" t="s">
        <v>186</v>
      </c>
      <c r="C2913" s="63">
        <v>45890</v>
      </c>
      <c r="D2913" s="113" t="str">
        <f>VLOOKUP(B2913,辅助信息!E:K,7,FALSE)</f>
        <v>JWDDCD2025072900123</v>
      </c>
      <c r="E2913" s="113" t="str">
        <f>VLOOKUP(F2913,辅助信息!A:B,2,FALSE)</f>
        <v>螺纹钢</v>
      </c>
      <c r="F2913" s="113" t="s">
        <v>142</v>
      </c>
      <c r="G2913" s="114">
        <v>25</v>
      </c>
      <c r="H2913" s="127" t="str">
        <f>_xlfn.XLOOKUP(C2913&amp;F2913&amp;I2913&amp;J2913,'[1]2025年已发货'!$F:$F&amp;'[1]2025年已发货'!$C:$C&amp;'[1]2025年已发货'!$G:$G&amp;'[1]2025年已发货'!$H:$H,'[1]2025年已发货'!$E:$E,"未发货")</f>
        <v>未发货</v>
      </c>
      <c r="I2913" s="113" t="str">
        <f>VLOOKUP(B2913,辅助信息!E:I,3,FALSE)</f>
        <v>(乐山市校地共建产教融合基地建设项目二标段)四川省乐山市市中区苏稽镇</v>
      </c>
      <c r="J2913" s="113" t="str">
        <f>VLOOKUP(B2913,辅助信息!E:I,4,FALSE)</f>
        <v>彭江涛</v>
      </c>
      <c r="K2913" s="113">
        <f>VLOOKUP(J2913,辅助信息!H:I,2,FALSE)</f>
        <v>13990276572</v>
      </c>
      <c r="L2913" s="115" t="str">
        <f>VLOOKUP(B2913,辅助信息!E:J,6,FALSE)</f>
        <v>联系实际收货人（彭江涛13990276572）现场要求炉批号控制2个以下，超2个不给予签收。提前联系到场规格及数量</v>
      </c>
      <c r="M2913" s="84">
        <v>45870</v>
      </c>
      <c r="N2913" s="55"/>
      <c r="O2913" s="55">
        <f ca="1" t="shared" si="171"/>
        <v>0</v>
      </c>
      <c r="P2913" s="55">
        <f ca="1" t="shared" si="172"/>
        <v>87</v>
      </c>
      <c r="Q2913" s="19" t="str">
        <f>VLOOKUP(B2913,辅助信息!E:M,9,FALSE)</f>
        <v>ZTWM-CDGS-XS-2025-0126-四川机司-乐山市校地共建产教融合基地配套设施项目施工二标段钢筋采购合同</v>
      </c>
      <c r="R2913" s="19" t="str">
        <f>_xlfn._xlws.FILTER(辅助信息!D:D,辅助信息!E:E=B2913)</f>
        <v>乐山市校地共建产教融合基地建设项目二标段</v>
      </c>
    </row>
    <row r="2914" s="19" customFormat="1" hidden="1" spans="1:18">
      <c r="A2914" s="50"/>
      <c r="B2914" s="113" t="s">
        <v>186</v>
      </c>
      <c r="C2914" s="63">
        <v>45890</v>
      </c>
      <c r="D2914" s="113" t="str">
        <f>VLOOKUP(B2914,辅助信息!E:K,7,FALSE)</f>
        <v>JWDDCD2025072900123</v>
      </c>
      <c r="E2914" s="113" t="str">
        <f>VLOOKUP(F2914,辅助信息!A:B,2,FALSE)</f>
        <v>螺纹钢</v>
      </c>
      <c r="F2914" s="113" t="s">
        <v>200</v>
      </c>
      <c r="G2914" s="114">
        <v>10</v>
      </c>
      <c r="H2914" s="127">
        <v>10</v>
      </c>
      <c r="I2914" s="113" t="str">
        <f>VLOOKUP(B2914,辅助信息!E:I,3,FALSE)</f>
        <v>(乐山市校地共建产教融合基地建设项目二标段)四川省乐山市市中区苏稽镇</v>
      </c>
      <c r="J2914" s="113" t="str">
        <f>VLOOKUP(B2914,辅助信息!E:I,4,FALSE)</f>
        <v>彭江涛</v>
      </c>
      <c r="K2914" s="113">
        <f>VLOOKUP(J2914,辅助信息!H:I,2,FALSE)</f>
        <v>13990276572</v>
      </c>
      <c r="L2914" s="115" t="str">
        <f>VLOOKUP(B2914,辅助信息!E:J,6,FALSE)</f>
        <v>联系实际收货人（彭江涛13990276572）现场要求炉批号控制2个以下，超2个不给予签收。提前联系到场规格及数量</v>
      </c>
      <c r="M2914" s="84">
        <v>45870</v>
      </c>
      <c r="N2914" s="55"/>
      <c r="O2914" s="55">
        <f ca="1" t="shared" si="171"/>
        <v>0</v>
      </c>
      <c r="P2914" s="55">
        <f ca="1" t="shared" si="172"/>
        <v>87</v>
      </c>
      <c r="Q2914" s="19" t="str">
        <f>VLOOKUP(B2914,辅助信息!E:M,9,FALSE)</f>
        <v>ZTWM-CDGS-XS-2025-0126-四川机司-乐山市校地共建产教融合基地配套设施项目施工二标段钢筋采购合同</v>
      </c>
      <c r="R2914" s="19" t="str">
        <f>_xlfn._xlws.FILTER(辅助信息!D:D,辅助信息!E:E=B2914)</f>
        <v>乐山市校地共建产教融合基地建设项目二标段</v>
      </c>
    </row>
    <row r="2915" s="19" customFormat="1" hidden="1" spans="1:18">
      <c r="A2915" s="50"/>
      <c r="B2915" s="113" t="s">
        <v>186</v>
      </c>
      <c r="C2915" s="63">
        <v>45890</v>
      </c>
      <c r="D2915" s="113" t="str">
        <f>VLOOKUP(B2915,辅助信息!E:K,7,FALSE)</f>
        <v>JWDDCD2025072900123</v>
      </c>
      <c r="E2915" s="113" t="str">
        <f>VLOOKUP(F2915,辅助信息!A:B,2,FALSE)</f>
        <v>螺纹钢</v>
      </c>
      <c r="F2915" s="113" t="s">
        <v>200</v>
      </c>
      <c r="G2915" s="114">
        <v>10</v>
      </c>
      <c r="H2915" s="127">
        <v>10</v>
      </c>
      <c r="I2915" s="113" t="str">
        <f>VLOOKUP(B2915,辅助信息!E:I,3,FALSE)</f>
        <v>(乐山市校地共建产教融合基地建设项目二标段)四川省乐山市市中区苏稽镇</v>
      </c>
      <c r="J2915" s="113" t="str">
        <f>VLOOKUP(B2915,辅助信息!E:I,4,FALSE)</f>
        <v>彭江涛</v>
      </c>
      <c r="K2915" s="113">
        <f>VLOOKUP(J2915,辅助信息!H:I,2,FALSE)</f>
        <v>13990276572</v>
      </c>
      <c r="L2915" s="115" t="str">
        <f>VLOOKUP(B2915,辅助信息!E:J,6,FALSE)</f>
        <v>联系实际收货人（彭江涛13990276572）现场要求炉批号控制2个以下，超2个不给予签收。提前联系到场规格及数量</v>
      </c>
      <c r="M2915" s="84">
        <v>45870</v>
      </c>
      <c r="N2915" s="55"/>
      <c r="O2915" s="55">
        <f ca="1" t="shared" si="171"/>
        <v>0</v>
      </c>
      <c r="P2915" s="55">
        <f ca="1" t="shared" si="172"/>
        <v>87</v>
      </c>
      <c r="Q2915" s="19" t="str">
        <f>VLOOKUP(B2915,辅助信息!E:M,9,FALSE)</f>
        <v>ZTWM-CDGS-XS-2025-0126-四川机司-乐山市校地共建产教融合基地配套设施项目施工二标段钢筋采购合同</v>
      </c>
      <c r="R2915" s="19" t="str">
        <f>_xlfn._xlws.FILTER(辅助信息!D:D,辅助信息!E:E=B2915)</f>
        <v>乐山市校地共建产教融合基地建设项目二标段</v>
      </c>
    </row>
    <row r="2916" hidden="1" spans="2:18">
      <c r="B2916" s="33" t="s">
        <v>167</v>
      </c>
      <c r="C2916" s="63">
        <v>45890</v>
      </c>
      <c r="D2916" s="33" t="str">
        <f>VLOOKUP(B2916,辅助信息!E:K,7,FALSE)</f>
        <v>JWDDCD2025102100473</v>
      </c>
      <c r="E2916" s="33" t="str">
        <f>VLOOKUP(F2916,辅助信息!A:B,2,FALSE)</f>
        <v>盘螺</v>
      </c>
      <c r="F2916" s="33" t="s">
        <v>49</v>
      </c>
      <c r="G2916" s="29">
        <v>4</v>
      </c>
      <c r="H2916" s="127">
        <v>4</v>
      </c>
      <c r="I2916" s="33" t="str">
        <f>VLOOKUP(B2916,辅助信息!E:I,3,FALSE)</f>
        <v>(五冶建设扩建艺体中学二期工程)四川省成都市双流区光荣路成都艺体中学南200米</v>
      </c>
      <c r="J2916" s="33" t="str">
        <f>VLOOKUP(B2916,辅助信息!E:I,4,FALSE)</f>
        <v>谢序强</v>
      </c>
      <c r="K2916" s="33">
        <f>VLOOKUP(J2916,辅助信息!H:I,2,FALSE)</f>
        <v>13458588232</v>
      </c>
      <c r="L2916" s="102"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84">
        <v>45870</v>
      </c>
      <c r="O2916" s="55">
        <f ca="1" t="shared" si="171"/>
        <v>0</v>
      </c>
      <c r="P2916" s="55">
        <f ca="1" t="shared" si="172"/>
        <v>87</v>
      </c>
      <c r="Q2916" s="22" t="str">
        <f>VLOOKUP(B2916,辅助信息!E:M,9,FALSE)</f>
        <v>ZTWM-CDGS-XS-2025-0073-五冶天府-成都怡心湖片区及龙泉驿医院等项目</v>
      </c>
      <c r="R2916" s="22" t="str">
        <f>_xlfn._xlws.FILTER(辅助信息!D:D,辅助信息!E:E=B2916)</f>
        <v>五冶建设扩建艺体中学二期工程</v>
      </c>
    </row>
    <row r="2917" hidden="1" spans="2:18">
      <c r="B2917" s="33" t="s">
        <v>167</v>
      </c>
      <c r="C2917" s="63">
        <v>45890</v>
      </c>
      <c r="D2917" s="33" t="str">
        <f>VLOOKUP(B2917,辅助信息!E:K,7,FALSE)</f>
        <v>JWDDCD2025102100473</v>
      </c>
      <c r="E2917" s="33" t="str">
        <f>VLOOKUP(F2917,辅助信息!A:B,2,FALSE)</f>
        <v>盘螺</v>
      </c>
      <c r="F2917" s="33" t="s">
        <v>40</v>
      </c>
      <c r="G2917" s="29">
        <v>10</v>
      </c>
      <c r="H2917" s="127">
        <v>10</v>
      </c>
      <c r="I2917" s="33" t="str">
        <f>VLOOKUP(B2917,辅助信息!E:I,3,FALSE)</f>
        <v>(五冶建设扩建艺体中学二期工程)四川省成都市双流区光荣路成都艺体中学南200米</v>
      </c>
      <c r="J2917" s="33" t="str">
        <f>VLOOKUP(B2917,辅助信息!E:I,4,FALSE)</f>
        <v>谢序强</v>
      </c>
      <c r="K2917" s="33">
        <f>VLOOKUP(J2917,辅助信息!H:I,2,FALSE)</f>
        <v>13458588232</v>
      </c>
      <c r="L2917" s="102"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84">
        <v>45870</v>
      </c>
      <c r="O2917" s="55">
        <f ca="1" t="shared" si="171"/>
        <v>0</v>
      </c>
      <c r="P2917" s="55">
        <f ca="1" t="shared" si="172"/>
        <v>87</v>
      </c>
      <c r="Q2917" s="22" t="str">
        <f>VLOOKUP(B2917,辅助信息!E:M,9,FALSE)</f>
        <v>ZTWM-CDGS-XS-2025-0073-五冶天府-成都怡心湖片区及龙泉驿医院等项目</v>
      </c>
      <c r="R2917" s="22" t="str">
        <f>_xlfn._xlws.FILTER(辅助信息!D:D,辅助信息!E:E=B2917)</f>
        <v>五冶建设扩建艺体中学二期工程</v>
      </c>
    </row>
    <row r="2918" hidden="1" spans="2:18">
      <c r="B2918" s="33" t="s">
        <v>167</v>
      </c>
      <c r="C2918" s="63">
        <v>45890</v>
      </c>
      <c r="D2918" s="33" t="str">
        <f>VLOOKUP(B2918,辅助信息!E:K,7,FALSE)</f>
        <v>JWDDCD2025102100473</v>
      </c>
      <c r="E2918" s="33" t="str">
        <f>VLOOKUP(F2918,辅助信息!A:B,2,FALSE)</f>
        <v>盘螺</v>
      </c>
      <c r="F2918" s="33" t="s">
        <v>41</v>
      </c>
      <c r="G2918" s="29">
        <v>20</v>
      </c>
      <c r="H2918" s="127">
        <v>20</v>
      </c>
      <c r="I2918" s="33" t="str">
        <f>VLOOKUP(B2918,辅助信息!E:I,3,FALSE)</f>
        <v>(五冶建设扩建艺体中学二期工程)四川省成都市双流区光荣路成都艺体中学南200米</v>
      </c>
      <c r="J2918" s="33" t="str">
        <f>VLOOKUP(B2918,辅助信息!E:I,4,FALSE)</f>
        <v>谢序强</v>
      </c>
      <c r="K2918" s="33">
        <f>VLOOKUP(J2918,辅助信息!H:I,2,FALSE)</f>
        <v>13458588232</v>
      </c>
      <c r="L2918" s="102"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84">
        <v>45870</v>
      </c>
      <c r="O2918" s="55">
        <f ca="1" t="shared" si="171"/>
        <v>0</v>
      </c>
      <c r="P2918" s="55">
        <f ca="1" t="shared" si="172"/>
        <v>87</v>
      </c>
      <c r="Q2918" s="22" t="str">
        <f>VLOOKUP(B2918,辅助信息!E:M,9,FALSE)</f>
        <v>ZTWM-CDGS-XS-2025-0073-五冶天府-成都怡心湖片区及龙泉驿医院等项目</v>
      </c>
      <c r="R2918" s="22" t="str">
        <f>_xlfn._xlws.FILTER(辅助信息!D:D,辅助信息!E:E=B2918)</f>
        <v>五冶建设扩建艺体中学二期工程</v>
      </c>
    </row>
    <row r="2919" hidden="1" spans="2:18">
      <c r="B2919" s="33" t="s">
        <v>167</v>
      </c>
      <c r="C2919" s="63">
        <v>45890</v>
      </c>
      <c r="D2919" s="33" t="str">
        <f>VLOOKUP(B2919,辅助信息!E:K,7,FALSE)</f>
        <v>JWDDCD2025102100473</v>
      </c>
      <c r="E2919" s="33" t="str">
        <f>VLOOKUP(F2919,辅助信息!A:B,2,FALSE)</f>
        <v>螺纹钢</v>
      </c>
      <c r="F2919" s="33" t="s">
        <v>27</v>
      </c>
      <c r="G2919" s="29">
        <v>15</v>
      </c>
      <c r="H2919" s="127">
        <v>15</v>
      </c>
      <c r="I2919" s="33" t="str">
        <f>VLOOKUP(B2919,辅助信息!E:I,3,FALSE)</f>
        <v>(五冶建设扩建艺体中学二期工程)四川省成都市双流区光荣路成都艺体中学南200米</v>
      </c>
      <c r="J2919" s="33" t="str">
        <f>VLOOKUP(B2919,辅助信息!E:I,4,FALSE)</f>
        <v>谢序强</v>
      </c>
      <c r="K2919" s="33">
        <f>VLOOKUP(J2919,辅助信息!H:I,2,FALSE)</f>
        <v>13458588232</v>
      </c>
      <c r="L2919" s="102"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55" t="str">
        <f ca="1" t="shared" si="171"/>
        <v/>
      </c>
      <c r="P2919" s="55" t="str">
        <f ca="1" t="shared" si="172"/>
        <v/>
      </c>
      <c r="Q2919" s="22" t="str">
        <f>VLOOKUP(B2919,辅助信息!E:M,9,FALSE)</f>
        <v>ZTWM-CDGS-XS-2025-0073-五冶天府-成都怡心湖片区及龙泉驿医院等项目</v>
      </c>
      <c r="R2919" s="22" t="str">
        <f>_xlfn._xlws.FILTER(辅助信息!D:D,辅助信息!E:E=B2919)</f>
        <v>五冶建设扩建艺体中学二期工程</v>
      </c>
    </row>
    <row r="2920" hidden="1" spans="2:18">
      <c r="B2920" s="33" t="s">
        <v>167</v>
      </c>
      <c r="C2920" s="63">
        <v>45890</v>
      </c>
      <c r="D2920" s="33" t="str">
        <f>VLOOKUP(B2920,辅助信息!E:K,7,FALSE)</f>
        <v>JWDDCD2025102100473</v>
      </c>
      <c r="E2920" s="33" t="str">
        <f>VLOOKUP(F2920,辅助信息!A:B,2,FALSE)</f>
        <v>螺纹钢</v>
      </c>
      <c r="F2920" s="33" t="s">
        <v>21</v>
      </c>
      <c r="G2920" s="29">
        <v>5</v>
      </c>
      <c r="H2920" s="127">
        <v>5</v>
      </c>
      <c r="I2920" s="33" t="str">
        <f>VLOOKUP(B2920,辅助信息!E:I,3,FALSE)</f>
        <v>(五冶建设扩建艺体中学二期工程)四川省成都市双流区光荣路成都艺体中学南200米</v>
      </c>
      <c r="J2920" s="33" t="str">
        <f>VLOOKUP(B2920,辅助信息!E:I,4,FALSE)</f>
        <v>谢序强</v>
      </c>
      <c r="K2920" s="33">
        <f>VLOOKUP(J2920,辅助信息!H:I,2,FALSE)</f>
        <v>13458588232</v>
      </c>
      <c r="L2920" s="102"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55" t="str">
        <f ca="1" t="shared" si="171"/>
        <v/>
      </c>
      <c r="P2920" s="55" t="str">
        <f ca="1" t="shared" si="172"/>
        <v/>
      </c>
      <c r="Q2920" s="22" t="str">
        <f>VLOOKUP(B2920,辅助信息!E:M,9,FALSE)</f>
        <v>ZTWM-CDGS-XS-2025-0073-五冶天府-成都怡心湖片区及龙泉驿医院等项目</v>
      </c>
      <c r="R2920" s="22" t="str">
        <f>_xlfn._xlws.FILTER(辅助信息!D:D,辅助信息!E:E=B2920)</f>
        <v>五冶建设扩建艺体中学二期工程</v>
      </c>
    </row>
    <row r="2921" hidden="1" spans="2:18">
      <c r="B2921" s="33" t="s">
        <v>167</v>
      </c>
      <c r="C2921" s="63">
        <v>45890</v>
      </c>
      <c r="D2921" s="33" t="str">
        <f>VLOOKUP(B2921,辅助信息!E:K,7,FALSE)</f>
        <v>JWDDCD2025102100473</v>
      </c>
      <c r="E2921" s="33" t="str">
        <f>VLOOKUP(F2921,辅助信息!A:B,2,FALSE)</f>
        <v>螺纹钢</v>
      </c>
      <c r="F2921" s="33" t="s">
        <v>58</v>
      </c>
      <c r="G2921" s="29">
        <v>5</v>
      </c>
      <c r="H2921" s="127">
        <v>5</v>
      </c>
      <c r="I2921" s="33" t="str">
        <f>VLOOKUP(B2921,辅助信息!E:I,3,FALSE)</f>
        <v>(五冶建设扩建艺体中学二期工程)四川省成都市双流区光荣路成都艺体中学南200米</v>
      </c>
      <c r="J2921" s="33" t="str">
        <f>VLOOKUP(B2921,辅助信息!E:I,4,FALSE)</f>
        <v>谢序强</v>
      </c>
      <c r="K2921" s="33">
        <f>VLOOKUP(J2921,辅助信息!H:I,2,FALSE)</f>
        <v>13458588232</v>
      </c>
      <c r="L2921" s="102"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55" t="str">
        <f ca="1" t="shared" si="171"/>
        <v/>
      </c>
      <c r="P2921" s="55" t="str">
        <f ca="1" t="shared" si="172"/>
        <v/>
      </c>
      <c r="Q2921" s="22" t="str">
        <f>VLOOKUP(B2921,辅助信息!E:M,9,FALSE)</f>
        <v>ZTWM-CDGS-XS-2025-0073-五冶天府-成都怡心湖片区及龙泉驿医院等项目</v>
      </c>
      <c r="R2921" s="22" t="str">
        <f>_xlfn._xlws.FILTER(辅助信息!D:D,辅助信息!E:E=B2921)</f>
        <v>五冶建设扩建艺体中学二期工程</v>
      </c>
    </row>
    <row r="2922" hidden="1" spans="2:18">
      <c r="B2922" s="33" t="s">
        <v>167</v>
      </c>
      <c r="C2922" s="63">
        <v>45890</v>
      </c>
      <c r="D2922" s="33" t="str">
        <f>VLOOKUP(B2922,辅助信息!E:K,7,FALSE)</f>
        <v>JWDDCD2025102100473</v>
      </c>
      <c r="E2922" s="33" t="str">
        <f>VLOOKUP(F2922,辅助信息!A:B,2,FALSE)</f>
        <v>螺纹钢</v>
      </c>
      <c r="F2922" s="33" t="s">
        <v>22</v>
      </c>
      <c r="G2922" s="29">
        <v>46</v>
      </c>
      <c r="H2922" s="127">
        <v>46</v>
      </c>
      <c r="I2922" s="33" t="str">
        <f>VLOOKUP(B2922,辅助信息!E:I,3,FALSE)</f>
        <v>(五冶建设扩建艺体中学二期工程)四川省成都市双流区光荣路成都艺体中学南200米</v>
      </c>
      <c r="J2922" s="33" t="str">
        <f>VLOOKUP(B2922,辅助信息!E:I,4,FALSE)</f>
        <v>谢序强</v>
      </c>
      <c r="K2922" s="33">
        <f>VLOOKUP(J2922,辅助信息!H:I,2,FALSE)</f>
        <v>13458588232</v>
      </c>
      <c r="L2922" s="102"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55" t="str">
        <f ca="1" t="shared" si="171"/>
        <v/>
      </c>
      <c r="P2922" s="55" t="str">
        <f ca="1" t="shared" si="172"/>
        <v/>
      </c>
      <c r="Q2922" s="22" t="str">
        <f>VLOOKUP(B2922,辅助信息!E:M,9,FALSE)</f>
        <v>ZTWM-CDGS-XS-2025-0073-五冶天府-成都怡心湖片区及龙泉驿医院等项目</v>
      </c>
      <c r="R2922" s="22" t="str">
        <f>_xlfn._xlws.FILTER(辅助信息!D:D,辅助信息!E:E=B2922)</f>
        <v>五冶建设扩建艺体中学二期工程</v>
      </c>
    </row>
    <row r="2923" hidden="1" spans="2:18">
      <c r="B2923" s="33" t="s">
        <v>167</v>
      </c>
      <c r="C2923" s="63">
        <v>45890</v>
      </c>
      <c r="D2923" s="33" t="str">
        <f>VLOOKUP(B2923,辅助信息!E:K,7,FALSE)</f>
        <v>JWDDCD2025102100473</v>
      </c>
      <c r="E2923" s="33" t="str">
        <f>VLOOKUP(F2923,辅助信息!A:B,2,FALSE)</f>
        <v>螺纹钢</v>
      </c>
      <c r="F2923" s="33" t="s">
        <v>27</v>
      </c>
      <c r="G2923" s="29">
        <v>50</v>
      </c>
      <c r="H2923" s="127">
        <v>50</v>
      </c>
      <c r="I2923" s="33" t="str">
        <f>VLOOKUP(B2923,辅助信息!E:I,3,FALSE)</f>
        <v>(五冶建设扩建艺体中学二期工程)四川省成都市双流区光荣路成都艺体中学南200米</v>
      </c>
      <c r="J2923" s="33" t="str">
        <f>VLOOKUP(B2923,辅助信息!E:I,4,FALSE)</f>
        <v>谢序强</v>
      </c>
      <c r="K2923" s="33">
        <f>VLOOKUP(J2923,辅助信息!H:I,2,FALSE)</f>
        <v>13458588232</v>
      </c>
      <c r="L2923" s="102"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55" t="str">
        <f ca="1" t="shared" si="171"/>
        <v/>
      </c>
      <c r="P2923" s="55" t="str">
        <f ca="1" t="shared" si="172"/>
        <v/>
      </c>
      <c r="Q2923" s="22" t="str">
        <f>VLOOKUP(B2923,辅助信息!E:M,9,FALSE)</f>
        <v>ZTWM-CDGS-XS-2025-0073-五冶天府-成都怡心湖片区及龙泉驿医院等项目</v>
      </c>
      <c r="R2923" s="22" t="str">
        <f>_xlfn._xlws.FILTER(辅助信息!D:D,辅助信息!E:E=B2923)</f>
        <v>五冶建设扩建艺体中学二期工程</v>
      </c>
    </row>
    <row r="2924" hidden="1" spans="2:18">
      <c r="B2924" s="33" t="s">
        <v>167</v>
      </c>
      <c r="C2924" s="63">
        <v>45890</v>
      </c>
      <c r="D2924" s="33" t="str">
        <f>VLOOKUP(B2924,辅助信息!E:K,7,FALSE)</f>
        <v>JWDDCD2025102100473</v>
      </c>
      <c r="E2924" s="33" t="str">
        <f>VLOOKUP(F2924,辅助信息!A:B,2,FALSE)</f>
        <v>螺纹钢</v>
      </c>
      <c r="F2924" s="33" t="s">
        <v>19</v>
      </c>
      <c r="G2924" s="29">
        <v>20</v>
      </c>
      <c r="H2924" s="127">
        <v>20</v>
      </c>
      <c r="I2924" s="33" t="str">
        <f>VLOOKUP(B2924,辅助信息!E:I,3,FALSE)</f>
        <v>(五冶建设扩建艺体中学二期工程)四川省成都市双流区光荣路成都艺体中学南200米</v>
      </c>
      <c r="J2924" s="33" t="str">
        <f>VLOOKUP(B2924,辅助信息!E:I,4,FALSE)</f>
        <v>谢序强</v>
      </c>
      <c r="K2924" s="33">
        <f>VLOOKUP(J2924,辅助信息!H:I,2,FALSE)</f>
        <v>13458588232</v>
      </c>
      <c r="L2924" s="102"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55" t="str">
        <f ca="1" t="shared" si="171"/>
        <v/>
      </c>
      <c r="P2924" s="55" t="str">
        <f ca="1" t="shared" si="172"/>
        <v/>
      </c>
      <c r="Q2924" s="22" t="str">
        <f>VLOOKUP(B2924,辅助信息!E:M,9,FALSE)</f>
        <v>ZTWM-CDGS-XS-2025-0073-五冶天府-成都怡心湖片区及龙泉驿医院等项目</v>
      </c>
      <c r="R2924" s="22" t="str">
        <f>_xlfn._xlws.FILTER(辅助信息!D:D,辅助信息!E:E=B2924)</f>
        <v>五冶建设扩建艺体中学二期工程</v>
      </c>
    </row>
    <row r="2925" hidden="1" spans="2:18">
      <c r="B2925" s="33" t="s">
        <v>167</v>
      </c>
      <c r="C2925" s="63">
        <v>45890</v>
      </c>
      <c r="D2925" s="33" t="str">
        <f>VLOOKUP(B2925,辅助信息!E:K,7,FALSE)</f>
        <v>JWDDCD2025102100473</v>
      </c>
      <c r="E2925" s="33" t="str">
        <f>VLOOKUP(F2925,辅助信息!A:B,2,FALSE)</f>
        <v>螺纹钢</v>
      </c>
      <c r="F2925" s="33" t="s">
        <v>66</v>
      </c>
      <c r="G2925" s="29">
        <v>5</v>
      </c>
      <c r="H2925" s="127">
        <v>5</v>
      </c>
      <c r="I2925" s="33" t="str">
        <f>VLOOKUP(B2925,辅助信息!E:I,3,FALSE)</f>
        <v>(五冶建设扩建艺体中学二期工程)四川省成都市双流区光荣路成都艺体中学南200米</v>
      </c>
      <c r="J2925" s="33" t="str">
        <f>VLOOKUP(B2925,辅助信息!E:I,4,FALSE)</f>
        <v>谢序强</v>
      </c>
      <c r="K2925" s="33">
        <f>VLOOKUP(J2925,辅助信息!H:I,2,FALSE)</f>
        <v>13458588232</v>
      </c>
      <c r="L2925" s="102"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55" t="str">
        <f ca="1" t="shared" si="171"/>
        <v/>
      </c>
      <c r="P2925" s="55" t="str">
        <f ca="1" t="shared" si="172"/>
        <v/>
      </c>
      <c r="Q2925" s="22" t="str">
        <f>VLOOKUP(B2925,辅助信息!E:M,9,FALSE)</f>
        <v>ZTWM-CDGS-XS-2025-0073-五冶天府-成都怡心湖片区及龙泉驿医院等项目</v>
      </c>
      <c r="R2925" s="22" t="str">
        <f>_xlfn._xlws.FILTER(辅助信息!D:D,辅助信息!E:E=B2925)</f>
        <v>五冶建设扩建艺体中学二期工程</v>
      </c>
    </row>
    <row r="2926" hidden="1" spans="2:18">
      <c r="B2926" s="33" t="s">
        <v>167</v>
      </c>
      <c r="C2926" s="63">
        <v>45890</v>
      </c>
      <c r="D2926" s="33" t="str">
        <f>VLOOKUP(B2926,辅助信息!E:K,7,FALSE)</f>
        <v>JWDDCD2025102100473</v>
      </c>
      <c r="E2926" s="33" t="str">
        <f>VLOOKUP(F2926,辅助信息!A:B,2,FALSE)</f>
        <v>螺纹钢</v>
      </c>
      <c r="F2926" s="33" t="s">
        <v>82</v>
      </c>
      <c r="G2926" s="29">
        <v>5</v>
      </c>
      <c r="H2926" s="127">
        <v>5</v>
      </c>
      <c r="I2926" s="33" t="str">
        <f>VLOOKUP(B2926,辅助信息!E:I,3,FALSE)</f>
        <v>(五冶建设扩建艺体中学二期工程)四川省成都市双流区光荣路成都艺体中学南200米</v>
      </c>
      <c r="J2926" s="33" t="str">
        <f>VLOOKUP(B2926,辅助信息!E:I,4,FALSE)</f>
        <v>谢序强</v>
      </c>
      <c r="K2926" s="33">
        <f>VLOOKUP(J2926,辅助信息!H:I,2,FALSE)</f>
        <v>13458588232</v>
      </c>
      <c r="L2926" s="102"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55" t="str">
        <f ca="1" t="shared" si="171"/>
        <v/>
      </c>
      <c r="P2926" s="55" t="str">
        <f ca="1" t="shared" si="172"/>
        <v/>
      </c>
      <c r="Q2926" s="22" t="str">
        <f>VLOOKUP(B2926,辅助信息!E:M,9,FALSE)</f>
        <v>ZTWM-CDGS-XS-2025-0073-五冶天府-成都怡心湖片区及龙泉驿医院等项目</v>
      </c>
      <c r="R2926" s="22" t="str">
        <f>_xlfn._xlws.FILTER(辅助信息!D:D,辅助信息!E:E=B2926)</f>
        <v>五冶建设扩建艺体中学二期工程</v>
      </c>
    </row>
    <row r="2927" hidden="1" spans="2:18">
      <c r="B2927" s="33" t="s">
        <v>167</v>
      </c>
      <c r="C2927" s="63">
        <v>45890</v>
      </c>
      <c r="D2927" s="33" t="str">
        <f>VLOOKUP(B2927,辅助信息!E:K,7,FALSE)</f>
        <v>JWDDCD2025102100473</v>
      </c>
      <c r="E2927" s="33" t="str">
        <f>VLOOKUP(F2927,辅助信息!A:B,2,FALSE)</f>
        <v>螺纹钢</v>
      </c>
      <c r="F2927" s="33" t="s">
        <v>22</v>
      </c>
      <c r="G2927" s="29">
        <v>60</v>
      </c>
      <c r="H2927" s="127">
        <v>60</v>
      </c>
      <c r="I2927" s="33" t="str">
        <f>VLOOKUP(B2927,辅助信息!E:I,3,FALSE)</f>
        <v>(五冶建设扩建艺体中学二期工程)四川省成都市双流区光荣路成都艺体中学南200米</v>
      </c>
      <c r="J2927" s="33" t="str">
        <f>VLOOKUP(B2927,辅助信息!E:I,4,FALSE)</f>
        <v>谢序强</v>
      </c>
      <c r="K2927" s="33">
        <f>VLOOKUP(J2927,辅助信息!H:I,2,FALSE)</f>
        <v>13458588232</v>
      </c>
      <c r="L2927" s="102"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55" t="str">
        <f ca="1" t="shared" si="171"/>
        <v/>
      </c>
      <c r="P2927" s="55" t="str">
        <f ca="1" t="shared" si="172"/>
        <v/>
      </c>
      <c r="Q2927" s="22" t="str">
        <f>VLOOKUP(B2927,辅助信息!E:M,9,FALSE)</f>
        <v>ZTWM-CDGS-XS-2025-0073-五冶天府-成都怡心湖片区及龙泉驿医院等项目</v>
      </c>
      <c r="R2927" s="22" t="str">
        <f>_xlfn._xlws.FILTER(辅助信息!D:D,辅助信息!E:E=B2927)</f>
        <v>五冶建设扩建艺体中学二期工程</v>
      </c>
    </row>
    <row r="2928" hidden="1" spans="1:18">
      <c r="A2928" s="64" t="s">
        <v>209</v>
      </c>
      <c r="B2928" s="33" t="s">
        <v>208</v>
      </c>
      <c r="C2928" s="63">
        <v>45892</v>
      </c>
      <c r="D2928" s="33" t="str">
        <f>VLOOKUP(B2928,辅助信息!E:K,7,FALSE)</f>
        <v>JWDDCD2025102100480</v>
      </c>
      <c r="E2928" s="33" t="str">
        <f>VLOOKUP(F2928,辅助信息!A:B,2,FALSE)</f>
        <v>高线</v>
      </c>
      <c r="F2928" s="33" t="s">
        <v>51</v>
      </c>
      <c r="G2928" s="29">
        <v>10</v>
      </c>
      <c r="H2928" s="113" t="str">
        <f>_xlfn.XLOOKUP(C2928&amp;F2928&amp;I2928&amp;J2928,'[1]2025年已发货'!$F:$F&amp;'[1]2025年已发货'!$C:$C&amp;'[1]2025年已发货'!$G:$G&amp;'[1]2025年已发货'!$H:$H,'[1]2025年已发货'!$E:$E,"未发货")</f>
        <v>未发货</v>
      </c>
      <c r="I2928" s="33" t="str">
        <f>VLOOKUP(B2928,辅助信息!E:I,3,FALSE)</f>
        <v>(五冶建设锦江区林家坝片区20号地块商业项目)锦江区泰昌路锦江28亩项目部</v>
      </c>
      <c r="J2928" s="33" t="str">
        <f>VLOOKUP(B2928,辅助信息!E:I,4,FALSE)</f>
        <v>陶杰</v>
      </c>
      <c r="K2928" s="33">
        <f>VLOOKUP(J2928,辅助信息!H:I,2,FALSE)</f>
        <v>13980247952</v>
      </c>
      <c r="L2928" s="102" t="str">
        <f>VLOOKUP(B2928,辅助信息!E:J,6,FALSE)</f>
        <v>联系实际收货人（陶杰13980247952）五冶建设送货单,6份材质书,锈货不收，装货前联系收货人核实到场规格,没提前告知进场规格现场不给予接收</v>
      </c>
      <c r="O2928" s="55" t="str">
        <f ca="1" t="shared" si="171"/>
        <v/>
      </c>
      <c r="P2928" s="55" t="str">
        <f ca="1" t="shared" si="172"/>
        <v/>
      </c>
      <c r="Q2928" s="22" t="str">
        <f>VLOOKUP(B2928,辅助信息!E:M,9,FALSE)</f>
        <v>ZTWM-CDGS-XS-2025-0073-五冶天府-成都怡心湖片区及龙泉驿医院等项目</v>
      </c>
      <c r="R2928" s="22" t="str">
        <f>_xlfn._xlws.FILTER(辅助信息!D:D,辅助信息!E:E=B2928)</f>
        <v>五冶建设锦江区林家坝片区20号地块商业项目</v>
      </c>
    </row>
    <row r="2929" hidden="1" spans="1:18">
      <c r="A2929" s="64"/>
      <c r="B2929" s="33" t="s">
        <v>208</v>
      </c>
      <c r="C2929" s="63">
        <v>45892</v>
      </c>
      <c r="D2929" s="33" t="str">
        <f>VLOOKUP(B2929,辅助信息!E:K,7,FALSE)</f>
        <v>JWDDCD2025102100480</v>
      </c>
      <c r="E2929" s="33" t="str">
        <f>VLOOKUP(F2929,辅助信息!A:B,2,FALSE)</f>
        <v>螺纹钢</v>
      </c>
      <c r="F2929" s="33" t="s">
        <v>30</v>
      </c>
      <c r="G2929" s="29">
        <v>2.7</v>
      </c>
      <c r="H2929" s="113">
        <f>_xlfn.XLOOKUP(C2929&amp;F2929&amp;I2929&amp;J2929,'[1]2025年已发货'!$F:$F&amp;'[1]2025年已发货'!$C:$C&amp;'[1]2025年已发货'!$G:$G&amp;'[1]2025年已发货'!$H:$H,'[1]2025年已发货'!$E:$E,"未发货")</f>
        <v>2.7</v>
      </c>
      <c r="I2929" s="33" t="str">
        <f>VLOOKUP(B2929,辅助信息!E:I,3,FALSE)</f>
        <v>(五冶建设锦江区林家坝片区20号地块商业项目)锦江区泰昌路锦江28亩项目部</v>
      </c>
      <c r="J2929" s="33" t="str">
        <f>VLOOKUP(B2929,辅助信息!E:I,4,FALSE)</f>
        <v>陶杰</v>
      </c>
      <c r="K2929" s="33">
        <f>VLOOKUP(J2929,辅助信息!H:I,2,FALSE)</f>
        <v>13980247952</v>
      </c>
      <c r="L2929" s="102" t="str">
        <f>VLOOKUP(B2929,辅助信息!E:J,6,FALSE)</f>
        <v>联系实际收货人（陶杰13980247952）五冶建设送货单,6份材质书,锈货不收，装货前联系收货人核实到场规格,没提前告知进场规格现场不给予接收</v>
      </c>
      <c r="O2929" s="55" t="str">
        <f ca="1" t="shared" si="171"/>
        <v/>
      </c>
      <c r="P2929" s="55" t="str">
        <f ca="1" t="shared" si="172"/>
        <v/>
      </c>
      <c r="Q2929" s="22" t="str">
        <f>VLOOKUP(B2929,辅助信息!E:M,9,FALSE)</f>
        <v>ZTWM-CDGS-XS-2025-0073-五冶天府-成都怡心湖片区及龙泉驿医院等项目</v>
      </c>
      <c r="R2929" s="22" t="str">
        <f>_xlfn._xlws.FILTER(辅助信息!D:D,辅助信息!E:E=B2929)</f>
        <v>五冶建设锦江区林家坝片区20号地块商业项目</v>
      </c>
    </row>
    <row r="2930" hidden="1" spans="1:18">
      <c r="A2930" s="64"/>
      <c r="B2930" s="33" t="s">
        <v>208</v>
      </c>
      <c r="C2930" s="63">
        <v>45892</v>
      </c>
      <c r="D2930" s="33" t="str">
        <f>VLOOKUP(B2930,辅助信息!E:K,7,FALSE)</f>
        <v>JWDDCD2025102100480</v>
      </c>
      <c r="E2930" s="33" t="str">
        <f>VLOOKUP(F2930,辅助信息!A:B,2,FALSE)</f>
        <v>螺纹钢</v>
      </c>
      <c r="F2930" s="33" t="s">
        <v>28</v>
      </c>
      <c r="G2930" s="29">
        <v>50</v>
      </c>
      <c r="H2930" s="113">
        <f>_xlfn.XLOOKUP(C2930&amp;F2930&amp;I2930&amp;J2930,'[1]2025年已发货'!$F:$F&amp;'[1]2025年已发货'!$C:$C&amp;'[1]2025年已发货'!$G:$G&amp;'[1]2025年已发货'!$H:$H,'[1]2025年已发货'!$E:$E,"未发货")</f>
        <v>23</v>
      </c>
      <c r="I2930" s="33" t="str">
        <f>VLOOKUP(B2930,辅助信息!E:I,3,FALSE)</f>
        <v>(五冶建设锦江区林家坝片区20号地块商业项目)锦江区泰昌路锦江28亩项目部</v>
      </c>
      <c r="J2930" s="33" t="str">
        <f>VLOOKUP(B2930,辅助信息!E:I,4,FALSE)</f>
        <v>陶杰</v>
      </c>
      <c r="K2930" s="33">
        <f>VLOOKUP(J2930,辅助信息!H:I,2,FALSE)</f>
        <v>13980247952</v>
      </c>
      <c r="L2930" s="102" t="str">
        <f>VLOOKUP(B2930,辅助信息!E:J,6,FALSE)</f>
        <v>联系实际收货人（陶杰13980247952）五冶建设送货单,6份材质书,锈货不收，装货前联系收货人核实到场规格,没提前告知进场规格现场不给予接收</v>
      </c>
      <c r="O2930" s="55" t="str">
        <f ca="1" t="shared" si="171"/>
        <v/>
      </c>
      <c r="P2930" s="55" t="str">
        <f ca="1" t="shared" si="172"/>
        <v/>
      </c>
      <c r="Q2930" s="22" t="str">
        <f>VLOOKUP(B2930,辅助信息!E:M,9,FALSE)</f>
        <v>ZTWM-CDGS-XS-2025-0073-五冶天府-成都怡心湖片区及龙泉驿医院等项目</v>
      </c>
      <c r="R2930" s="22" t="str">
        <f>_xlfn._xlws.FILTER(辅助信息!D:D,辅助信息!E:E=B2930)</f>
        <v>五冶建设锦江区林家坝片区20号地块商业项目</v>
      </c>
    </row>
    <row r="2931" hidden="1" spans="1:18">
      <c r="A2931" s="64"/>
      <c r="B2931" s="33" t="s">
        <v>208</v>
      </c>
      <c r="C2931" s="63">
        <v>45892</v>
      </c>
      <c r="D2931" s="33" t="str">
        <f>VLOOKUP(B2931,辅助信息!E:K,7,FALSE)</f>
        <v>JWDDCD2025102100480</v>
      </c>
      <c r="E2931" s="33" t="str">
        <f>VLOOKUP(F2931,辅助信息!A:B,2,FALSE)</f>
        <v>螺纹钢</v>
      </c>
      <c r="F2931" s="33" t="s">
        <v>18</v>
      </c>
      <c r="G2931" s="29">
        <v>9.1</v>
      </c>
      <c r="H2931" s="113">
        <f>_xlfn.XLOOKUP(C2931&amp;F2931&amp;I2931&amp;J2931,'[1]2025年已发货'!$F:$F&amp;'[1]2025年已发货'!$C:$C&amp;'[1]2025年已发货'!$G:$G&amp;'[1]2025年已发货'!$H:$H,'[1]2025年已发货'!$E:$E,"未发货")</f>
        <v>9.1</v>
      </c>
      <c r="I2931" s="33" t="str">
        <f>VLOOKUP(B2931,辅助信息!E:I,3,FALSE)</f>
        <v>(五冶建设锦江区林家坝片区20号地块商业项目)锦江区泰昌路锦江28亩项目部</v>
      </c>
      <c r="J2931" s="33" t="str">
        <f>VLOOKUP(B2931,辅助信息!E:I,4,FALSE)</f>
        <v>陶杰</v>
      </c>
      <c r="K2931" s="33">
        <f>VLOOKUP(J2931,辅助信息!H:I,2,FALSE)</f>
        <v>13980247952</v>
      </c>
      <c r="L2931" s="102" t="str">
        <f>VLOOKUP(B2931,辅助信息!E:J,6,FALSE)</f>
        <v>联系实际收货人（陶杰13980247952）五冶建设送货单,6份材质书,锈货不收，装货前联系收货人核实到场规格,没提前告知进场规格现场不给予接收</v>
      </c>
      <c r="O2931" s="55" t="str">
        <f ca="1" t="shared" si="171"/>
        <v/>
      </c>
      <c r="P2931" s="55" t="str">
        <f ca="1" t="shared" si="172"/>
        <v/>
      </c>
      <c r="Q2931" s="22" t="str">
        <f>VLOOKUP(B2931,辅助信息!E:M,9,FALSE)</f>
        <v>ZTWM-CDGS-XS-2025-0073-五冶天府-成都怡心湖片区及龙泉驿医院等项目</v>
      </c>
      <c r="R2931" s="22" t="str">
        <f>_xlfn._xlws.FILTER(辅助信息!D:D,辅助信息!E:E=B2931)</f>
        <v>五冶建设锦江区林家坝片区20号地块商业项目</v>
      </c>
    </row>
    <row r="2932" hidden="1" spans="2:18">
      <c r="B2932" s="33" t="s">
        <v>186</v>
      </c>
      <c r="C2932" s="63">
        <v>45892</v>
      </c>
      <c r="D2932" s="33" t="str">
        <f>VLOOKUP(B2932,辅助信息!E:K,7,FALSE)</f>
        <v>JWDDCD2025072900123</v>
      </c>
      <c r="E2932" s="33" t="str">
        <f>VLOOKUP(F2932,辅助信息!A:B,2,FALSE)</f>
        <v>盘螺</v>
      </c>
      <c r="F2932" s="33" t="s">
        <v>49</v>
      </c>
      <c r="G2932" s="29">
        <v>7</v>
      </c>
      <c r="H2932" s="113">
        <f>_xlfn.XLOOKUP(C2932&amp;F2932&amp;I2932&amp;J2932,'[1]2025年已发货'!$F:$F&amp;'[1]2025年已发货'!$C:$C&amp;'[1]2025年已发货'!$G:$G&amp;'[1]2025年已发货'!$H:$H,'[1]2025年已发货'!$E:$E,"未发货")</f>
        <v>7</v>
      </c>
      <c r="I2932" s="33" t="str">
        <f>VLOOKUP(B2932,辅助信息!E:I,3,FALSE)</f>
        <v>(乐山市校地共建产教融合基地建设项目二标段)四川省乐山市市中区苏稽镇</v>
      </c>
      <c r="J2932" s="33" t="str">
        <f>VLOOKUP(B2932,辅助信息!E:I,4,FALSE)</f>
        <v>彭江涛</v>
      </c>
      <c r="K2932" s="33">
        <f>VLOOKUP(J2932,辅助信息!H:I,2,FALSE)</f>
        <v>13990276572</v>
      </c>
      <c r="L2932" s="102" t="str">
        <f>VLOOKUP(B2932,辅助信息!E:J,6,FALSE)</f>
        <v>联系实际收货人（彭江涛13990276572）现场要求炉批号控制2个以下，超2个不给予签收。提前联系到场规格及数量</v>
      </c>
      <c r="O2932" s="55" t="str">
        <f ca="1" t="shared" si="171"/>
        <v/>
      </c>
      <c r="P2932" s="55" t="str">
        <f ca="1" t="shared" si="172"/>
        <v/>
      </c>
      <c r="Q2932" s="22" t="str">
        <f>VLOOKUP(B2932,辅助信息!E:M,9,FALSE)</f>
        <v>ZTWM-CDGS-XS-2025-0126-四川机司-乐山市校地共建产教融合基地配套设施项目施工二标段钢筋采购合同</v>
      </c>
      <c r="R2932" s="22" t="str">
        <f>_xlfn._xlws.FILTER(辅助信息!D:D,辅助信息!E:E=B2932)</f>
        <v>乐山市校地共建产教融合基地建设项目二标段</v>
      </c>
    </row>
    <row r="2933" hidden="1" spans="2:18">
      <c r="B2933" s="33" t="s">
        <v>186</v>
      </c>
      <c r="C2933" s="63">
        <v>45892</v>
      </c>
      <c r="D2933" s="33" t="str">
        <f>VLOOKUP(B2933,辅助信息!E:K,7,FALSE)</f>
        <v>JWDDCD2025072900123</v>
      </c>
      <c r="E2933" s="33" t="str">
        <f>VLOOKUP(F2933,辅助信息!A:B,2,FALSE)</f>
        <v>盘螺</v>
      </c>
      <c r="F2933" s="33" t="s">
        <v>40</v>
      </c>
      <c r="G2933" s="29">
        <v>27</v>
      </c>
      <c r="H2933" s="113">
        <f>_xlfn.XLOOKUP(C2933&amp;F2933&amp;I2933&amp;J2933,'[1]2025年已发货'!$F:$F&amp;'[1]2025年已发货'!$C:$C&amp;'[1]2025年已发货'!$G:$G&amp;'[1]2025年已发货'!$H:$H,'[1]2025年已发货'!$E:$E,"未发货")</f>
        <v>27</v>
      </c>
      <c r="I2933" s="33" t="str">
        <f>VLOOKUP(B2933,辅助信息!E:I,3,FALSE)</f>
        <v>(乐山市校地共建产教融合基地建设项目二标段)四川省乐山市市中区苏稽镇</v>
      </c>
      <c r="J2933" s="33" t="str">
        <f>VLOOKUP(B2933,辅助信息!E:I,4,FALSE)</f>
        <v>彭江涛</v>
      </c>
      <c r="K2933" s="33">
        <f>VLOOKUP(J2933,辅助信息!H:I,2,FALSE)</f>
        <v>13990276572</v>
      </c>
      <c r="L2933" s="102" t="str">
        <f>VLOOKUP(B2933,辅助信息!E:J,6,FALSE)</f>
        <v>联系实际收货人（彭江涛13990276572）现场要求炉批号控制2个以下，超2个不给予签收。提前联系到场规格及数量</v>
      </c>
      <c r="O2933" s="55" t="str">
        <f ca="1" t="shared" si="171"/>
        <v/>
      </c>
      <c r="P2933" s="55" t="str">
        <f ca="1" t="shared" si="172"/>
        <v/>
      </c>
      <c r="Q2933" s="22" t="str">
        <f>VLOOKUP(B2933,辅助信息!E:M,9,FALSE)</f>
        <v>ZTWM-CDGS-XS-2025-0126-四川机司-乐山市校地共建产教融合基地配套设施项目施工二标段钢筋采购合同</v>
      </c>
      <c r="R2933" s="22" t="str">
        <f>_xlfn._xlws.FILTER(辅助信息!D:D,辅助信息!E:E=B2933)</f>
        <v>乐山市校地共建产教融合基地建设项目二标段</v>
      </c>
    </row>
    <row r="2934" hidden="1" spans="2:18">
      <c r="B2934" s="33" t="s">
        <v>186</v>
      </c>
      <c r="C2934" s="63">
        <v>45892</v>
      </c>
      <c r="D2934" s="33" t="str">
        <f>VLOOKUP(B2934,辅助信息!E:K,7,FALSE)</f>
        <v>JWDDCD2025072900123</v>
      </c>
      <c r="E2934" s="33" t="str">
        <f>VLOOKUP(F2934,辅助信息!A:B,2,FALSE)</f>
        <v>盘螺</v>
      </c>
      <c r="F2934" s="33" t="s">
        <v>41</v>
      </c>
      <c r="G2934" s="29">
        <v>25</v>
      </c>
      <c r="H2934" s="113">
        <f>_xlfn.XLOOKUP(C2934&amp;F2934&amp;I2934&amp;J2934,'[1]2025年已发货'!$F:$F&amp;'[1]2025年已发货'!$C:$C&amp;'[1]2025年已发货'!$G:$G&amp;'[1]2025年已发货'!$H:$H,'[1]2025年已发货'!$E:$E,"未发货")</f>
        <v>25</v>
      </c>
      <c r="I2934" s="33" t="str">
        <f>VLOOKUP(B2934,辅助信息!E:I,3,FALSE)</f>
        <v>(乐山市校地共建产教融合基地建设项目二标段)四川省乐山市市中区苏稽镇</v>
      </c>
      <c r="J2934" s="33" t="str">
        <f>VLOOKUP(B2934,辅助信息!E:I,4,FALSE)</f>
        <v>彭江涛</v>
      </c>
      <c r="K2934" s="33">
        <f>VLOOKUP(J2934,辅助信息!H:I,2,FALSE)</f>
        <v>13990276572</v>
      </c>
      <c r="L2934" s="102" t="str">
        <f>VLOOKUP(B2934,辅助信息!E:J,6,FALSE)</f>
        <v>联系实际收货人（彭江涛13990276572）现场要求炉批号控制2个以下，超2个不给予签收。提前联系到场规格及数量</v>
      </c>
      <c r="O2934" s="55" t="str">
        <f ca="1" t="shared" si="171"/>
        <v/>
      </c>
      <c r="P2934" s="55" t="str">
        <f ca="1" t="shared" si="172"/>
        <v/>
      </c>
      <c r="Q2934" s="22" t="str">
        <f>VLOOKUP(B2934,辅助信息!E:M,9,FALSE)</f>
        <v>ZTWM-CDGS-XS-2025-0126-四川机司-乐山市校地共建产教融合基地配套设施项目施工二标段钢筋采购合同</v>
      </c>
      <c r="R2934" s="22" t="str">
        <f>_xlfn._xlws.FILTER(辅助信息!D:D,辅助信息!E:E=B2934)</f>
        <v>乐山市校地共建产教融合基地建设项目二标段</v>
      </c>
    </row>
    <row r="2935" hidden="1" spans="2:18">
      <c r="B2935" s="33" t="s">
        <v>186</v>
      </c>
      <c r="C2935" s="63">
        <v>45892</v>
      </c>
      <c r="D2935" s="33" t="str">
        <f>VLOOKUP(B2935,辅助信息!E:K,7,FALSE)</f>
        <v>JWDDCD2025072900123</v>
      </c>
      <c r="E2935" s="33" t="str">
        <f>VLOOKUP(F2935,辅助信息!A:B,2,FALSE)</f>
        <v>盘螺</v>
      </c>
      <c r="F2935" s="33" t="s">
        <v>26</v>
      </c>
      <c r="G2935" s="29">
        <v>21</v>
      </c>
      <c r="H2935" s="113">
        <f>_xlfn.XLOOKUP(C2935&amp;F2935&amp;I2935&amp;J2935,'[1]2025年已发货'!$F:$F&amp;'[1]2025年已发货'!$C:$C&amp;'[1]2025年已发货'!$G:$G&amp;'[1]2025年已发货'!$H:$H,'[1]2025年已发货'!$E:$E,"未发货")</f>
        <v>21</v>
      </c>
      <c r="I2935" s="33" t="str">
        <f>VLOOKUP(B2935,辅助信息!E:I,3,FALSE)</f>
        <v>(乐山市校地共建产教融合基地建设项目二标段)四川省乐山市市中区苏稽镇</v>
      </c>
      <c r="J2935" s="33" t="str">
        <f>VLOOKUP(B2935,辅助信息!E:I,4,FALSE)</f>
        <v>彭江涛</v>
      </c>
      <c r="K2935" s="33">
        <f>VLOOKUP(J2935,辅助信息!H:I,2,FALSE)</f>
        <v>13990276572</v>
      </c>
      <c r="L2935" s="102" t="str">
        <f>VLOOKUP(B2935,辅助信息!E:J,6,FALSE)</f>
        <v>联系实际收货人（彭江涛13990276572）现场要求炉批号控制2个以下，超2个不给予签收。提前联系到场规格及数量</v>
      </c>
      <c r="O2935" s="55" t="str">
        <f ca="1" t="shared" si="171"/>
        <v/>
      </c>
      <c r="P2935" s="55" t="str">
        <f ca="1" t="shared" si="172"/>
        <v/>
      </c>
      <c r="Q2935" s="22" t="str">
        <f>VLOOKUP(B2935,辅助信息!E:M,9,FALSE)</f>
        <v>ZTWM-CDGS-XS-2025-0126-四川机司-乐山市校地共建产教融合基地配套设施项目施工二标段钢筋采购合同</v>
      </c>
      <c r="R2935" s="22" t="str">
        <f>_xlfn._xlws.FILTER(辅助信息!D:D,辅助信息!E:E=B2935)</f>
        <v>乐山市校地共建产教融合基地建设项目二标段</v>
      </c>
    </row>
    <row r="2936" hidden="1" spans="2:18">
      <c r="B2936" s="33" t="s">
        <v>186</v>
      </c>
      <c r="C2936" s="63">
        <v>45892</v>
      </c>
      <c r="D2936" s="33" t="str">
        <f>VLOOKUP(B2936,辅助信息!E:K,7,FALSE)</f>
        <v>JWDDCD2025072900123</v>
      </c>
      <c r="E2936" s="33" t="str">
        <f>VLOOKUP(F2936,辅助信息!A:B,2,FALSE)</f>
        <v>螺纹钢</v>
      </c>
      <c r="F2936" s="33" t="s">
        <v>19</v>
      </c>
      <c r="G2936" s="29">
        <v>15</v>
      </c>
      <c r="H2936" s="113">
        <f>_xlfn.XLOOKUP(C2936&amp;F2936&amp;I2936&amp;J2936,'[1]2025年已发货'!$F:$F&amp;'[1]2025年已发货'!$C:$C&amp;'[1]2025年已发货'!$G:$G&amp;'[1]2025年已发货'!$H:$H,'[1]2025年已发货'!$E:$E,"未发货")</f>
        <v>15</v>
      </c>
      <c r="I2936" s="33" t="str">
        <f>VLOOKUP(B2936,辅助信息!E:I,3,FALSE)</f>
        <v>(乐山市校地共建产教融合基地建设项目二标段)四川省乐山市市中区苏稽镇</v>
      </c>
      <c r="J2936" s="33" t="str">
        <f>VLOOKUP(B2936,辅助信息!E:I,4,FALSE)</f>
        <v>彭江涛</v>
      </c>
      <c r="K2936" s="33">
        <f>VLOOKUP(J2936,辅助信息!H:I,2,FALSE)</f>
        <v>13990276572</v>
      </c>
      <c r="L2936" s="102" t="str">
        <f>VLOOKUP(B2936,辅助信息!E:J,6,FALSE)</f>
        <v>联系实际收货人（彭江涛13990276572）现场要求炉批号控制2个以下，超2个不给予签收。提前联系到场规格及数量</v>
      </c>
      <c r="O2936" s="55" t="str">
        <f ca="1" t="shared" si="171"/>
        <v/>
      </c>
      <c r="P2936" s="55" t="str">
        <f ca="1" t="shared" si="172"/>
        <v/>
      </c>
      <c r="Q2936" s="22" t="str">
        <f>VLOOKUP(B2936,辅助信息!E:M,9,FALSE)</f>
        <v>ZTWM-CDGS-XS-2025-0126-四川机司-乐山市校地共建产教融合基地配套设施项目施工二标段钢筋采购合同</v>
      </c>
      <c r="R2936" s="22" t="str">
        <f>_xlfn._xlws.FILTER(辅助信息!D:D,辅助信息!E:E=B2936)</f>
        <v>乐山市校地共建产教融合基地建设项目二标段</v>
      </c>
    </row>
    <row r="2937" hidden="1" spans="2:18">
      <c r="B2937" s="33" t="s">
        <v>186</v>
      </c>
      <c r="C2937" s="63">
        <v>45892</v>
      </c>
      <c r="D2937" s="33" t="str">
        <f>VLOOKUP(B2937,辅助信息!E:K,7,FALSE)</f>
        <v>JWDDCD2025072900123</v>
      </c>
      <c r="E2937" s="33" t="str">
        <f>VLOOKUP(F2937,辅助信息!A:B,2,FALSE)</f>
        <v>螺纹钢</v>
      </c>
      <c r="F2937" s="33" t="s">
        <v>76</v>
      </c>
      <c r="G2937" s="29">
        <v>4</v>
      </c>
      <c r="H2937" s="113">
        <f>_xlfn.XLOOKUP(C2937&amp;F2937&amp;I2937&amp;J2937,'[1]2025年已发货'!$F:$F&amp;'[1]2025年已发货'!$C:$C&amp;'[1]2025年已发货'!$G:$G&amp;'[1]2025年已发货'!$H:$H,'[1]2025年已发货'!$E:$E,"未发货")</f>
        <v>4</v>
      </c>
      <c r="I2937" s="33" t="str">
        <f>VLOOKUP(B2937,辅助信息!E:I,3,FALSE)</f>
        <v>(乐山市校地共建产教融合基地建设项目二标段)四川省乐山市市中区苏稽镇</v>
      </c>
      <c r="J2937" s="33" t="str">
        <f>VLOOKUP(B2937,辅助信息!E:I,4,FALSE)</f>
        <v>彭江涛</v>
      </c>
      <c r="K2937" s="33">
        <f>VLOOKUP(J2937,辅助信息!H:I,2,FALSE)</f>
        <v>13990276572</v>
      </c>
      <c r="L2937" s="102" t="str">
        <f>VLOOKUP(B2937,辅助信息!E:J,6,FALSE)</f>
        <v>联系实际收货人（彭江涛13990276572）现场要求炉批号控制2个以下，超2个不给予签收。提前联系到场规格及数量</v>
      </c>
      <c r="O2937" s="55" t="str">
        <f ca="1" t="shared" si="171"/>
        <v/>
      </c>
      <c r="P2937" s="55" t="str">
        <f ca="1" t="shared" si="172"/>
        <v/>
      </c>
      <c r="Q2937" s="22" t="str">
        <f>VLOOKUP(B2937,辅助信息!E:M,9,FALSE)</f>
        <v>ZTWM-CDGS-XS-2025-0126-四川机司-乐山市校地共建产教融合基地配套设施项目施工二标段钢筋采购合同</v>
      </c>
      <c r="R2937" s="22" t="str">
        <f>_xlfn._xlws.FILTER(辅助信息!D:D,辅助信息!E:E=B2937)</f>
        <v>乐山市校地共建产教融合基地建设项目二标段</v>
      </c>
    </row>
    <row r="2938" hidden="1" spans="2:18">
      <c r="B2938" s="33" t="s">
        <v>186</v>
      </c>
      <c r="C2938" s="63">
        <v>45892</v>
      </c>
      <c r="D2938" s="33" t="str">
        <f>VLOOKUP(B2938,辅助信息!E:K,7,FALSE)</f>
        <v>JWDDCD2025072900123</v>
      </c>
      <c r="E2938" s="33" t="str">
        <f>VLOOKUP(F2938,辅助信息!A:B,2,FALSE)</f>
        <v>螺纹钢</v>
      </c>
      <c r="F2938" s="33" t="s">
        <v>205</v>
      </c>
      <c r="G2938" s="29">
        <v>6</v>
      </c>
      <c r="H2938" s="113">
        <f>_xlfn.XLOOKUP(C2938&amp;F2938&amp;I2938&amp;J2938,'[1]2025年已发货'!$F:$F&amp;'[1]2025年已发货'!$C:$C&amp;'[1]2025年已发货'!$G:$G&amp;'[1]2025年已发货'!$H:$H,'[1]2025年已发货'!$E:$E,"未发货")</f>
        <v>6</v>
      </c>
      <c r="I2938" s="33" t="str">
        <f>VLOOKUP(B2938,辅助信息!E:I,3,FALSE)</f>
        <v>(乐山市校地共建产教融合基地建设项目二标段)四川省乐山市市中区苏稽镇</v>
      </c>
      <c r="J2938" s="33" t="str">
        <f>VLOOKUP(B2938,辅助信息!E:I,4,FALSE)</f>
        <v>彭江涛</v>
      </c>
      <c r="K2938" s="33">
        <f>VLOOKUP(J2938,辅助信息!H:I,2,FALSE)</f>
        <v>13990276572</v>
      </c>
      <c r="L2938" s="102" t="str">
        <f>VLOOKUP(B2938,辅助信息!E:J,6,FALSE)</f>
        <v>联系实际收货人（彭江涛13990276572）现场要求炉批号控制2个以下，超2个不给予签收。提前联系到场规格及数量</v>
      </c>
      <c r="O2938" s="55" t="str">
        <f ca="1" t="shared" si="171"/>
        <v/>
      </c>
      <c r="P2938" s="55" t="str">
        <f ca="1" t="shared" si="172"/>
        <v/>
      </c>
      <c r="Q2938" s="22" t="str">
        <f>VLOOKUP(B2938,辅助信息!E:M,9,FALSE)</f>
        <v>ZTWM-CDGS-XS-2025-0126-四川机司-乐山市校地共建产教融合基地配套设施项目施工二标段钢筋采购合同</v>
      </c>
      <c r="R2938" s="22" t="str">
        <f>_xlfn._xlws.FILTER(辅助信息!D:D,辅助信息!E:E=B2938)</f>
        <v>乐山市校地共建产教融合基地建设项目二标段</v>
      </c>
    </row>
    <row r="2939" hidden="1" spans="2:18">
      <c r="B2939" s="33" t="s">
        <v>186</v>
      </c>
      <c r="C2939" s="63">
        <v>45892</v>
      </c>
      <c r="D2939" s="33" t="str">
        <f>VLOOKUP(B2939,辅助信息!E:K,7,FALSE)</f>
        <v>JWDDCD2025072900123</v>
      </c>
      <c r="E2939" s="33" t="str">
        <f>VLOOKUP(F2939,辅助信息!A:B,2,FALSE)</f>
        <v>螺纹钢</v>
      </c>
      <c r="F2939" s="33" t="s">
        <v>140</v>
      </c>
      <c r="G2939" s="29">
        <v>27</v>
      </c>
      <c r="H2939" s="113">
        <v>27.5</v>
      </c>
      <c r="I2939" s="33" t="str">
        <f>VLOOKUP(B2939,辅助信息!E:I,3,FALSE)</f>
        <v>(乐山市校地共建产教融合基地建设项目二标段)四川省乐山市市中区苏稽镇</v>
      </c>
      <c r="J2939" s="33" t="str">
        <f>VLOOKUP(B2939,辅助信息!E:I,4,FALSE)</f>
        <v>彭江涛</v>
      </c>
      <c r="K2939" s="33">
        <f>VLOOKUP(J2939,辅助信息!H:I,2,FALSE)</f>
        <v>13990276572</v>
      </c>
      <c r="L2939" s="102" t="str">
        <f>VLOOKUP(B2939,辅助信息!E:J,6,FALSE)</f>
        <v>联系实际收货人（彭江涛13990276572）现场要求炉批号控制2个以下，超2个不给予签收。提前联系到场规格及数量</v>
      </c>
      <c r="O2939" s="55" t="str">
        <f ca="1" t="shared" si="171"/>
        <v/>
      </c>
      <c r="P2939" s="55" t="str">
        <f ca="1" t="shared" si="172"/>
        <v/>
      </c>
      <c r="Q2939" s="22" t="str">
        <f>VLOOKUP(B2939,辅助信息!E:M,9,FALSE)</f>
        <v>ZTWM-CDGS-XS-2025-0126-四川机司-乐山市校地共建产教融合基地配套设施项目施工二标段钢筋采购合同</v>
      </c>
      <c r="R2939" s="22" t="str">
        <f>_xlfn._xlws.FILTER(辅助信息!D:D,辅助信息!E:E=B2939)</f>
        <v>乐山市校地共建产教融合基地建设项目二标段</v>
      </c>
    </row>
    <row r="2940" hidden="1" spans="2:18">
      <c r="B2940" s="33" t="s">
        <v>186</v>
      </c>
      <c r="C2940" s="63">
        <v>45892</v>
      </c>
      <c r="D2940" s="33" t="str">
        <f>VLOOKUP(B2940,辅助信息!E:K,7,FALSE)</f>
        <v>JWDDCD2025072900123</v>
      </c>
      <c r="E2940" s="33" t="str">
        <f>VLOOKUP(F2940,辅助信息!A:B,2,FALSE)</f>
        <v>螺纹钢</v>
      </c>
      <c r="F2940" s="33" t="s">
        <v>197</v>
      </c>
      <c r="G2940" s="29">
        <v>2</v>
      </c>
      <c r="H2940" s="113">
        <f>_xlfn.XLOOKUP(C2940&amp;F2940&amp;I2940&amp;J2940,'[1]2025年已发货'!$F:$F&amp;'[1]2025年已发货'!$C:$C&amp;'[1]2025年已发货'!$G:$G&amp;'[1]2025年已发货'!$H:$H,'[1]2025年已发货'!$E:$E,"未发货")</f>
        <v>2</v>
      </c>
      <c r="I2940" s="33" t="str">
        <f>VLOOKUP(B2940,辅助信息!E:I,3,FALSE)</f>
        <v>(乐山市校地共建产教融合基地建设项目二标段)四川省乐山市市中区苏稽镇</v>
      </c>
      <c r="J2940" s="33" t="str">
        <f>VLOOKUP(B2940,辅助信息!E:I,4,FALSE)</f>
        <v>彭江涛</v>
      </c>
      <c r="K2940" s="33">
        <f>VLOOKUP(J2940,辅助信息!H:I,2,FALSE)</f>
        <v>13990276572</v>
      </c>
      <c r="L2940" s="102" t="str">
        <f>VLOOKUP(B2940,辅助信息!E:J,6,FALSE)</f>
        <v>联系实际收货人（彭江涛13990276572）现场要求炉批号控制2个以下，超2个不给予签收。提前联系到场规格及数量</v>
      </c>
      <c r="O2940" s="55" t="str">
        <f ca="1" t="shared" si="171"/>
        <v/>
      </c>
      <c r="P2940" s="55" t="str">
        <f ca="1" t="shared" si="172"/>
        <v/>
      </c>
      <c r="Q2940" s="22" t="str">
        <f>VLOOKUP(B2940,辅助信息!E:M,9,FALSE)</f>
        <v>ZTWM-CDGS-XS-2025-0126-四川机司-乐山市校地共建产教融合基地配套设施项目施工二标段钢筋采购合同</v>
      </c>
      <c r="R2940" s="22" t="str">
        <f>_xlfn._xlws.FILTER(辅助信息!D:D,辅助信息!E:E=B2940)</f>
        <v>乐山市校地共建产教融合基地建设项目二标段</v>
      </c>
    </row>
    <row r="2941" hidden="1" spans="2:18">
      <c r="B2941" s="33" t="s">
        <v>186</v>
      </c>
      <c r="C2941" s="63">
        <v>45892</v>
      </c>
      <c r="D2941" s="33" t="str">
        <f>VLOOKUP(B2941,辅助信息!E:K,7,FALSE)</f>
        <v>JWDDCD2025072900123</v>
      </c>
      <c r="E2941" s="33" t="str">
        <f>VLOOKUP(F2941,辅助信息!A:B,2,FALSE)</f>
        <v>螺纹钢</v>
      </c>
      <c r="F2941" s="33" t="s">
        <v>198</v>
      </c>
      <c r="G2941" s="29">
        <v>5</v>
      </c>
      <c r="H2941" s="113">
        <f>_xlfn.XLOOKUP(C2941&amp;F2941&amp;I2941&amp;J2941,'[1]2025年已发货'!$F:$F&amp;'[1]2025年已发货'!$C:$C&amp;'[1]2025年已发货'!$G:$G&amp;'[1]2025年已发货'!$H:$H,'[1]2025年已发货'!$E:$E,"未发货")</f>
        <v>5</v>
      </c>
      <c r="I2941" s="33" t="str">
        <f>VLOOKUP(B2941,辅助信息!E:I,3,FALSE)</f>
        <v>(乐山市校地共建产教融合基地建设项目二标段)四川省乐山市市中区苏稽镇</v>
      </c>
      <c r="J2941" s="33" t="str">
        <f>VLOOKUP(B2941,辅助信息!E:I,4,FALSE)</f>
        <v>彭江涛</v>
      </c>
      <c r="K2941" s="33">
        <f>VLOOKUP(J2941,辅助信息!H:I,2,FALSE)</f>
        <v>13990276572</v>
      </c>
      <c r="L2941" s="102" t="str">
        <f>VLOOKUP(B2941,辅助信息!E:J,6,FALSE)</f>
        <v>联系实际收货人（彭江涛13990276572）现场要求炉批号控制2个以下，超2个不给予签收。提前联系到场规格及数量</v>
      </c>
      <c r="O2941" s="55" t="str">
        <f ca="1" t="shared" si="171"/>
        <v/>
      </c>
      <c r="P2941" s="55" t="str">
        <f ca="1" t="shared" si="172"/>
        <v/>
      </c>
      <c r="Q2941" s="22" t="str">
        <f>VLOOKUP(B2941,辅助信息!E:M,9,FALSE)</f>
        <v>ZTWM-CDGS-XS-2025-0126-四川机司-乐山市校地共建产教融合基地配套设施项目施工二标段钢筋采购合同</v>
      </c>
      <c r="R2941" s="22" t="str">
        <f>_xlfn._xlws.FILTER(辅助信息!D:D,辅助信息!E:E=B2941)</f>
        <v>乐山市校地共建产教融合基地建设项目二标段</v>
      </c>
    </row>
    <row r="2942" hidden="1" spans="2:18">
      <c r="B2942" s="33" t="s">
        <v>186</v>
      </c>
      <c r="C2942" s="63">
        <v>45892</v>
      </c>
      <c r="D2942" s="33" t="str">
        <f>VLOOKUP(B2942,辅助信息!E:K,7,FALSE)</f>
        <v>JWDDCD2025072900123</v>
      </c>
      <c r="E2942" s="33" t="str">
        <f>VLOOKUP(F2942,辅助信息!A:B,2,FALSE)</f>
        <v>螺纹钢</v>
      </c>
      <c r="F2942" s="33" t="s">
        <v>199</v>
      </c>
      <c r="G2942" s="29">
        <v>6.5</v>
      </c>
      <c r="H2942" s="113">
        <f>_xlfn.XLOOKUP(C2942&amp;F2942&amp;I2942&amp;J2942,'[1]2025年已发货'!$F:$F&amp;'[1]2025年已发货'!$C:$C&amp;'[1]2025年已发货'!$G:$G&amp;'[1]2025年已发货'!$H:$H,'[1]2025年已发货'!$E:$E,"未发货")</f>
        <v>6.5</v>
      </c>
      <c r="I2942" s="33" t="str">
        <f>VLOOKUP(B2942,辅助信息!E:I,3,FALSE)</f>
        <v>(乐山市校地共建产教融合基地建设项目二标段)四川省乐山市市中区苏稽镇</v>
      </c>
      <c r="J2942" s="33" t="str">
        <f>VLOOKUP(B2942,辅助信息!E:I,4,FALSE)</f>
        <v>彭江涛</v>
      </c>
      <c r="K2942" s="33">
        <f>VLOOKUP(J2942,辅助信息!H:I,2,FALSE)</f>
        <v>13990276572</v>
      </c>
      <c r="L2942" s="102" t="str">
        <f>VLOOKUP(B2942,辅助信息!E:J,6,FALSE)</f>
        <v>联系实际收货人（彭江涛13990276572）现场要求炉批号控制2个以下，超2个不给予签收。提前联系到场规格及数量</v>
      </c>
      <c r="O2942" s="55" t="str">
        <f ca="1" t="shared" si="171"/>
        <v/>
      </c>
      <c r="P2942" s="55" t="str">
        <f ca="1" t="shared" si="172"/>
        <v/>
      </c>
      <c r="Q2942" s="22" t="str">
        <f>VLOOKUP(B2942,辅助信息!E:M,9,FALSE)</f>
        <v>ZTWM-CDGS-XS-2025-0126-四川机司-乐山市校地共建产教融合基地配套设施项目施工二标段钢筋采购合同</v>
      </c>
      <c r="R2942" s="22" t="str">
        <f>_xlfn._xlws.FILTER(辅助信息!D:D,辅助信息!E:E=B2942)</f>
        <v>乐山市校地共建产教融合基地建设项目二标段</v>
      </c>
    </row>
    <row r="2943" hidden="1" spans="2:18">
      <c r="B2943" s="33" t="s">
        <v>186</v>
      </c>
      <c r="C2943" s="63">
        <v>45892</v>
      </c>
      <c r="D2943" s="33" t="str">
        <f>VLOOKUP(B2943,辅助信息!E:K,7,FALSE)</f>
        <v>JWDDCD2025072900123</v>
      </c>
      <c r="E2943" s="33" t="str">
        <f>VLOOKUP(F2943,辅助信息!A:B,2,FALSE)</f>
        <v>螺纹钢</v>
      </c>
      <c r="F2943" s="33" t="s">
        <v>46</v>
      </c>
      <c r="G2943" s="29">
        <v>10</v>
      </c>
      <c r="H2943" s="113">
        <f>_xlfn.XLOOKUP(C2943&amp;F2943&amp;I2943&amp;J2943,'[1]2025年已发货'!$F:$F&amp;'[1]2025年已发货'!$C:$C&amp;'[1]2025年已发货'!$G:$G&amp;'[1]2025年已发货'!$H:$H,'[1]2025年已发货'!$E:$E,"未发货")</f>
        <v>10</v>
      </c>
      <c r="I2943" s="33" t="str">
        <f>VLOOKUP(B2943,辅助信息!E:I,3,FALSE)</f>
        <v>(乐山市校地共建产教融合基地建设项目二标段)四川省乐山市市中区苏稽镇</v>
      </c>
      <c r="J2943" s="33" t="str">
        <f>VLOOKUP(B2943,辅助信息!E:I,4,FALSE)</f>
        <v>彭江涛</v>
      </c>
      <c r="K2943" s="33">
        <f>VLOOKUP(J2943,辅助信息!H:I,2,FALSE)</f>
        <v>13990276572</v>
      </c>
      <c r="L2943" s="102" t="str">
        <f>VLOOKUP(B2943,辅助信息!E:J,6,FALSE)</f>
        <v>联系实际收货人（彭江涛13990276572）现场要求炉批号控制2个以下，超2个不给予签收。提前联系到场规格及数量</v>
      </c>
      <c r="O2943" s="55" t="str">
        <f ca="1" t="shared" si="171"/>
        <v/>
      </c>
      <c r="P2943" s="55" t="str">
        <f ca="1" t="shared" si="172"/>
        <v/>
      </c>
      <c r="Q2943" s="22" t="str">
        <f>VLOOKUP(B2943,辅助信息!E:M,9,FALSE)</f>
        <v>ZTWM-CDGS-XS-2025-0126-四川机司-乐山市校地共建产教融合基地配套设施项目施工二标段钢筋采购合同</v>
      </c>
      <c r="R2943" s="22" t="str">
        <f>_xlfn._xlws.FILTER(辅助信息!D:D,辅助信息!E:E=B2943)</f>
        <v>乐山市校地共建产教融合基地建设项目二标段</v>
      </c>
    </row>
    <row r="2944" hidden="1" spans="2:18">
      <c r="B2944" s="33" t="s">
        <v>186</v>
      </c>
      <c r="C2944" s="63">
        <v>45892</v>
      </c>
      <c r="D2944" s="33" t="str">
        <f>VLOOKUP(B2944,辅助信息!E:K,7,FALSE)</f>
        <v>JWDDCD2025072900123</v>
      </c>
      <c r="E2944" s="33" t="str">
        <f>VLOOKUP(F2944,辅助信息!A:B,2,FALSE)</f>
        <v>螺纹钢</v>
      </c>
      <c r="F2944" s="33" t="s">
        <v>141</v>
      </c>
      <c r="G2944" s="29">
        <v>14</v>
      </c>
      <c r="H2944" s="113" t="str">
        <f>_xlfn.XLOOKUP(C2944&amp;F2944&amp;I2944&amp;J2944,'[1]2025年已发货'!$F:$F&amp;'[1]2025年已发货'!$C:$C&amp;'[1]2025年已发货'!$G:$G&amp;'[1]2025年已发货'!$H:$H,'[1]2025年已发货'!$E:$E,"未发货")</f>
        <v>未发货</v>
      </c>
      <c r="I2944" s="33" t="str">
        <f>VLOOKUP(B2944,辅助信息!E:I,3,FALSE)</f>
        <v>(乐山市校地共建产教融合基地建设项目二标段)四川省乐山市市中区苏稽镇</v>
      </c>
      <c r="J2944" s="33" t="str">
        <f>VLOOKUP(B2944,辅助信息!E:I,4,FALSE)</f>
        <v>彭江涛</v>
      </c>
      <c r="K2944" s="33">
        <f>VLOOKUP(J2944,辅助信息!H:I,2,FALSE)</f>
        <v>13990276572</v>
      </c>
      <c r="L2944" s="102" t="str">
        <f>VLOOKUP(B2944,辅助信息!E:J,6,FALSE)</f>
        <v>联系实际收货人（彭江涛13990276572）现场要求炉批号控制2个以下，超2个不给予签收。提前联系到场规格及数量</v>
      </c>
      <c r="O2944" s="55" t="str">
        <f ca="1" t="shared" si="171"/>
        <v/>
      </c>
      <c r="P2944" s="55" t="str">
        <f ca="1" t="shared" si="172"/>
        <v/>
      </c>
      <c r="Q2944" s="22" t="str">
        <f>VLOOKUP(B2944,辅助信息!E:M,9,FALSE)</f>
        <v>ZTWM-CDGS-XS-2025-0126-四川机司-乐山市校地共建产教融合基地配套设施项目施工二标段钢筋采购合同</v>
      </c>
      <c r="R2944" s="22" t="str">
        <f>_xlfn._xlws.FILTER(辅助信息!D:D,辅助信息!E:E=B2944)</f>
        <v>乐山市校地共建产教融合基地建设项目二标段</v>
      </c>
    </row>
    <row r="2945" hidden="1" spans="2:18">
      <c r="B2945" s="33" t="s">
        <v>186</v>
      </c>
      <c r="C2945" s="63">
        <v>45892</v>
      </c>
      <c r="D2945" s="33" t="str">
        <f>VLOOKUP(B2945,辅助信息!E:K,7,FALSE)</f>
        <v>JWDDCD2025072900123</v>
      </c>
      <c r="E2945" s="33" t="str">
        <f>VLOOKUP(F2945,辅助信息!A:B,2,FALSE)</f>
        <v>螺纹钢</v>
      </c>
      <c r="F2945" s="33" t="s">
        <v>22</v>
      </c>
      <c r="G2945" s="29">
        <v>48</v>
      </c>
      <c r="H2945" s="113">
        <v>32.5</v>
      </c>
      <c r="I2945" s="33" t="str">
        <f>VLOOKUP(B2945,辅助信息!E:I,3,FALSE)</f>
        <v>(乐山市校地共建产教融合基地建设项目二标段)四川省乐山市市中区苏稽镇</v>
      </c>
      <c r="J2945" s="33" t="str">
        <f>VLOOKUP(B2945,辅助信息!E:I,4,FALSE)</f>
        <v>彭江涛</v>
      </c>
      <c r="K2945" s="33">
        <f>VLOOKUP(J2945,辅助信息!H:I,2,FALSE)</f>
        <v>13990276572</v>
      </c>
      <c r="L2945" s="102" t="str">
        <f>VLOOKUP(B2945,辅助信息!E:J,6,FALSE)</f>
        <v>联系实际收货人（彭江涛13990276572）现场要求炉批号控制2个以下，超2个不给予签收。提前联系到场规格及数量</v>
      </c>
      <c r="O2945" s="55" t="str">
        <f ca="1" t="shared" si="171"/>
        <v/>
      </c>
      <c r="P2945" s="55" t="str">
        <f ca="1" t="shared" si="172"/>
        <v/>
      </c>
      <c r="Q2945" s="22" t="str">
        <f>VLOOKUP(B2945,辅助信息!E:M,9,FALSE)</f>
        <v>ZTWM-CDGS-XS-2025-0126-四川机司-乐山市校地共建产教融合基地配套设施项目施工二标段钢筋采购合同</v>
      </c>
      <c r="R2945" s="22" t="str">
        <f>_xlfn._xlws.FILTER(辅助信息!D:D,辅助信息!E:E=B2945)</f>
        <v>乐山市校地共建产教融合基地建设项目二标段</v>
      </c>
    </row>
    <row r="2946" hidden="1" spans="2:18">
      <c r="B2946" s="33" t="s">
        <v>186</v>
      </c>
      <c r="C2946" s="63">
        <v>45892</v>
      </c>
      <c r="D2946" s="33" t="str">
        <f>VLOOKUP(B2946,辅助信息!E:K,7,FALSE)</f>
        <v>JWDDCD2025072900123</v>
      </c>
      <c r="E2946" s="33" t="str">
        <f>VLOOKUP(F2946,辅助信息!A:B,2,FALSE)</f>
        <v>螺纹钢</v>
      </c>
      <c r="F2946" s="33" t="s">
        <v>142</v>
      </c>
      <c r="G2946" s="29">
        <v>142</v>
      </c>
      <c r="H2946" s="113">
        <f>_xlfn.XLOOKUP(C2946&amp;F2946&amp;I2946&amp;J2946,'[1]2025年已发货'!$F:$F&amp;'[1]2025年已发货'!$C:$C&amp;'[1]2025年已发货'!$G:$G&amp;'[1]2025年已发货'!$H:$H,'[1]2025年已发货'!$E:$E,"未发货")</f>
        <v>70</v>
      </c>
      <c r="I2946" s="33" t="str">
        <f>VLOOKUP(B2946,辅助信息!E:I,3,FALSE)</f>
        <v>(乐山市校地共建产教融合基地建设项目二标段)四川省乐山市市中区苏稽镇</v>
      </c>
      <c r="J2946" s="33" t="str">
        <f>VLOOKUP(B2946,辅助信息!E:I,4,FALSE)</f>
        <v>彭江涛</v>
      </c>
      <c r="K2946" s="33">
        <f>VLOOKUP(J2946,辅助信息!H:I,2,FALSE)</f>
        <v>13990276572</v>
      </c>
      <c r="L2946" s="102" t="str">
        <f>VLOOKUP(B2946,辅助信息!E:J,6,FALSE)</f>
        <v>联系实际收货人（彭江涛13990276572）现场要求炉批号控制2个以下，超2个不给予签收。提前联系到场规格及数量</v>
      </c>
      <c r="O2946" s="55" t="str">
        <f ca="1" t="shared" si="171"/>
        <v/>
      </c>
      <c r="P2946" s="55" t="str">
        <f ca="1" t="shared" si="172"/>
        <v/>
      </c>
      <c r="Q2946" s="22" t="str">
        <f>VLOOKUP(B2946,辅助信息!E:M,9,FALSE)</f>
        <v>ZTWM-CDGS-XS-2025-0126-四川机司-乐山市校地共建产教融合基地配套设施项目施工二标段钢筋采购合同</v>
      </c>
      <c r="R2946" s="22" t="str">
        <f>_xlfn._xlws.FILTER(辅助信息!D:D,辅助信息!E:E=B2946)</f>
        <v>乐山市校地共建产教融合基地建设项目二标段</v>
      </c>
    </row>
    <row r="2947" hidden="1" spans="2:18">
      <c r="B2947" s="33" t="s">
        <v>186</v>
      </c>
      <c r="C2947" s="63">
        <v>45892</v>
      </c>
      <c r="D2947" s="33" t="str">
        <f>VLOOKUP(B2947,辅助信息!E:K,7,FALSE)</f>
        <v>JWDDCD2025072900123</v>
      </c>
      <c r="E2947" s="33" t="str">
        <f>VLOOKUP(F2947,辅助信息!A:B,2,FALSE)</f>
        <v>螺纹钢</v>
      </c>
      <c r="F2947" s="33" t="s">
        <v>182</v>
      </c>
      <c r="G2947" s="29">
        <v>12</v>
      </c>
      <c r="H2947" s="113">
        <f>_xlfn.XLOOKUP(C2947&amp;F2947&amp;I2947&amp;J2947,'[1]2025年已发货'!$F:$F&amp;'[1]2025年已发货'!$C:$C&amp;'[1]2025年已发货'!$G:$G&amp;'[1]2025年已发货'!$H:$H,'[1]2025年已发货'!$E:$E,"未发货")</f>
        <v>12</v>
      </c>
      <c r="I2947" s="33" t="str">
        <f>VLOOKUP(B2947,辅助信息!E:I,3,FALSE)</f>
        <v>(乐山市校地共建产教融合基地建设项目二标段)四川省乐山市市中区苏稽镇</v>
      </c>
      <c r="J2947" s="33" t="str">
        <f>VLOOKUP(B2947,辅助信息!E:I,4,FALSE)</f>
        <v>彭江涛</v>
      </c>
      <c r="K2947" s="33">
        <f>VLOOKUP(J2947,辅助信息!H:I,2,FALSE)</f>
        <v>13990276572</v>
      </c>
      <c r="L2947" s="102" t="str">
        <f>VLOOKUP(B2947,辅助信息!E:J,6,FALSE)</f>
        <v>联系实际收货人（彭江涛13990276572）现场要求炉批号控制2个以下，超2个不给予签收。提前联系到场规格及数量</v>
      </c>
      <c r="O2947" s="55" t="str">
        <f ca="1" t="shared" si="171"/>
        <v/>
      </c>
      <c r="P2947" s="55" t="str">
        <f ca="1" t="shared" si="172"/>
        <v/>
      </c>
      <c r="Q2947" s="22" t="str">
        <f>VLOOKUP(B2947,辅助信息!E:M,9,FALSE)</f>
        <v>ZTWM-CDGS-XS-2025-0126-四川机司-乐山市校地共建产教融合基地配套设施项目施工二标段钢筋采购合同</v>
      </c>
      <c r="R2947" s="22" t="str">
        <f>_xlfn._xlws.FILTER(辅助信息!D:D,辅助信息!E:E=B2947)</f>
        <v>乐山市校地共建产教融合基地建设项目二标段</v>
      </c>
    </row>
    <row r="2948" hidden="1" spans="2:18">
      <c r="B2948" s="33" t="s">
        <v>186</v>
      </c>
      <c r="C2948" s="63">
        <v>45892</v>
      </c>
      <c r="D2948" s="33" t="str">
        <f>VLOOKUP(B2948,辅助信息!E:K,7,FALSE)</f>
        <v>JWDDCD2025072900123</v>
      </c>
      <c r="E2948" s="33" t="str">
        <f>VLOOKUP(F2948,辅助信息!A:B,2,FALSE)</f>
        <v>螺纹钢</v>
      </c>
      <c r="F2948" s="33" t="s">
        <v>201</v>
      </c>
      <c r="G2948" s="29">
        <v>12.5</v>
      </c>
      <c r="H2948" s="113">
        <f>_xlfn.XLOOKUP(C2948&amp;F2948&amp;I2948&amp;J2948,'[1]2025年已发货'!$F:$F&amp;'[1]2025年已发货'!$C:$C&amp;'[1]2025年已发货'!$G:$G&amp;'[1]2025年已发货'!$H:$H,'[1]2025年已发货'!$E:$E,"未发货")</f>
        <v>12.5</v>
      </c>
      <c r="I2948" s="33" t="str">
        <f>VLOOKUP(B2948,辅助信息!E:I,3,FALSE)</f>
        <v>(乐山市校地共建产教融合基地建设项目二标段)四川省乐山市市中区苏稽镇</v>
      </c>
      <c r="J2948" s="33" t="str">
        <f>VLOOKUP(B2948,辅助信息!E:I,4,FALSE)</f>
        <v>彭江涛</v>
      </c>
      <c r="K2948" s="33">
        <f>VLOOKUP(J2948,辅助信息!H:I,2,FALSE)</f>
        <v>13990276572</v>
      </c>
      <c r="L2948" s="102" t="str">
        <f>VLOOKUP(B2948,辅助信息!E:J,6,FALSE)</f>
        <v>联系实际收货人（彭江涛13990276572）现场要求炉批号控制2个以下，超2个不给予签收。提前联系到场规格及数量</v>
      </c>
      <c r="O2948" s="55" t="str">
        <f ca="1" t="shared" si="171"/>
        <v/>
      </c>
      <c r="P2948" s="55" t="str">
        <f ca="1" t="shared" si="172"/>
        <v/>
      </c>
      <c r="Q2948" s="22" t="str">
        <f>VLOOKUP(B2948,辅助信息!E:M,9,FALSE)</f>
        <v>ZTWM-CDGS-XS-2025-0126-四川机司-乐山市校地共建产教融合基地配套设施项目施工二标段钢筋采购合同</v>
      </c>
      <c r="R2948" s="22" t="str">
        <f>_xlfn._xlws.FILTER(辅助信息!D:D,辅助信息!E:E=B2948)</f>
        <v>乐山市校地共建产教融合基地建设项目二标段</v>
      </c>
    </row>
    <row r="2949" hidden="1" spans="2:18">
      <c r="B2949" s="33" t="s">
        <v>208</v>
      </c>
      <c r="C2949" s="63">
        <v>45893</v>
      </c>
      <c r="D2949" s="33" t="str">
        <f>VLOOKUP(B2949,辅助信息!E:K,7,FALSE)</f>
        <v>JWDDCD2025102100480</v>
      </c>
      <c r="E2949" s="33" t="str">
        <f>VLOOKUP(F2949,辅助信息!A:B,2,FALSE)</f>
        <v>高线</v>
      </c>
      <c r="F2949" s="33" t="s">
        <v>51</v>
      </c>
      <c r="G2949" s="29">
        <v>10</v>
      </c>
      <c r="H2949" s="113">
        <f>_xlfn.XLOOKUP(C2949&amp;F2949&amp;I2949&amp;J2949,'[1]2025年已发货'!$F:$F&amp;'[1]2025年已发货'!$C:$C&amp;'[1]2025年已发货'!$G:$G&amp;'[1]2025年已发货'!$H:$H,'[1]2025年已发货'!$E:$E,"未发货")</f>
        <v>10</v>
      </c>
      <c r="I2949" s="33" t="str">
        <f>VLOOKUP(B2949,辅助信息!E:I,3,FALSE)</f>
        <v>(五冶建设锦江区林家坝片区20号地块商业项目)锦江区泰昌路锦江28亩项目部</v>
      </c>
      <c r="J2949" s="33" t="str">
        <f>VLOOKUP(B2949,辅助信息!E:I,4,FALSE)</f>
        <v>陶杰</v>
      </c>
      <c r="K2949" s="33">
        <f>VLOOKUP(J2949,辅助信息!H:I,2,FALSE)</f>
        <v>13980247952</v>
      </c>
      <c r="L2949" s="102" t="str">
        <f>VLOOKUP(B2949,辅助信息!E:J,6,FALSE)</f>
        <v>联系实际收货人（陶杰13980247952）五冶建设送货单,6份材质书,锈货不收，装货前联系收货人核实到场规格,没提前告知进场规格现场不给予接收</v>
      </c>
      <c r="O2949" s="55" t="str">
        <f ca="1" t="shared" si="171"/>
        <v/>
      </c>
      <c r="P2949" s="55" t="str">
        <f ca="1" t="shared" si="172"/>
        <v/>
      </c>
      <c r="Q2949" s="22" t="str">
        <f>VLOOKUP(B2949,辅助信息!E:M,9,FALSE)</f>
        <v>ZTWM-CDGS-XS-2025-0073-五冶天府-成都怡心湖片区及龙泉驿医院等项目</v>
      </c>
      <c r="R2949" s="22" t="str">
        <f>_xlfn._xlws.FILTER(辅助信息!D:D,辅助信息!E:E=B2949)</f>
        <v>五冶建设锦江区林家坝片区20号地块商业项目</v>
      </c>
    </row>
    <row r="2950" hidden="1" spans="2:18">
      <c r="B2950" s="33" t="s">
        <v>208</v>
      </c>
      <c r="C2950" s="63">
        <v>45893</v>
      </c>
      <c r="D2950" s="33" t="str">
        <f>VLOOKUP(B2950,辅助信息!E:K,7,FALSE)</f>
        <v>JWDDCD2025102100480</v>
      </c>
      <c r="E2950" s="33" t="str">
        <f>VLOOKUP(F2950,辅助信息!A:B,2,FALSE)</f>
        <v>螺纹钢</v>
      </c>
      <c r="F2950" s="33" t="s">
        <v>28</v>
      </c>
      <c r="G2950" s="29">
        <v>27</v>
      </c>
      <c r="H2950" s="113">
        <f>_xlfn.XLOOKUP(C2950&amp;F2950&amp;I2950&amp;J2950,'[1]2025年已发货'!$F:$F&amp;'[1]2025年已发货'!$C:$C&amp;'[1]2025年已发货'!$G:$G&amp;'[1]2025年已发货'!$H:$H,'[1]2025年已发货'!$E:$E,"未发货")</f>
        <v>25</v>
      </c>
      <c r="I2950" s="33" t="str">
        <f>VLOOKUP(B2950,辅助信息!E:I,3,FALSE)</f>
        <v>(五冶建设锦江区林家坝片区20号地块商业项目)锦江区泰昌路锦江28亩项目部</v>
      </c>
      <c r="J2950" s="33" t="str">
        <f>VLOOKUP(B2950,辅助信息!E:I,4,FALSE)</f>
        <v>陶杰</v>
      </c>
      <c r="K2950" s="33">
        <f>VLOOKUP(J2950,辅助信息!H:I,2,FALSE)</f>
        <v>13980247952</v>
      </c>
      <c r="L2950" s="102" t="str">
        <f>VLOOKUP(B2950,辅助信息!E:J,6,FALSE)</f>
        <v>联系实际收货人（陶杰13980247952）五冶建设送货单,6份材质书,锈货不收，装货前联系收货人核实到场规格,没提前告知进场规格现场不给予接收</v>
      </c>
      <c r="O2950" s="55" t="str">
        <f ca="1" t="shared" si="171"/>
        <v/>
      </c>
      <c r="P2950" s="55" t="str">
        <f ca="1" t="shared" si="172"/>
        <v/>
      </c>
      <c r="Q2950" s="22" t="str">
        <f>VLOOKUP(B2950,辅助信息!E:M,9,FALSE)</f>
        <v>ZTWM-CDGS-XS-2025-0073-五冶天府-成都怡心湖片区及龙泉驿医院等项目</v>
      </c>
      <c r="R2950" s="22" t="str">
        <f>_xlfn._xlws.FILTER(辅助信息!D:D,辅助信息!E:E=B2950)</f>
        <v>五冶建设锦江区林家坝片区20号地块商业项目</v>
      </c>
    </row>
    <row r="2951" hidden="1" spans="2:18">
      <c r="B2951" s="33" t="s">
        <v>186</v>
      </c>
      <c r="C2951" s="63">
        <v>45893</v>
      </c>
      <c r="D2951" s="33" t="str">
        <f>VLOOKUP(B2951,辅助信息!E:K,7,FALSE)</f>
        <v>JWDDCD2025072900123</v>
      </c>
      <c r="E2951" s="33" t="str">
        <f>VLOOKUP(F2951,辅助信息!A:B,2,FALSE)</f>
        <v>螺纹钢</v>
      </c>
      <c r="F2951" s="33" t="s">
        <v>141</v>
      </c>
      <c r="G2951" s="29">
        <v>14</v>
      </c>
      <c r="H2951" s="113" t="str">
        <f>_xlfn.XLOOKUP(C2951&amp;F2951&amp;I2951&amp;J2951,'[1]2025年已发货'!$F:$F&amp;'[1]2025年已发货'!$C:$C&amp;'[1]2025年已发货'!$G:$G&amp;'[1]2025年已发货'!$H:$H,'[1]2025年已发货'!$E:$E,"未发货")</f>
        <v>未发货</v>
      </c>
      <c r="I2951" s="33" t="str">
        <f>VLOOKUP(B2951,辅助信息!E:I,3,FALSE)</f>
        <v>(乐山市校地共建产教融合基地建设项目二标段)四川省乐山市市中区苏稽镇</v>
      </c>
      <c r="J2951" s="33" t="str">
        <f>VLOOKUP(B2951,辅助信息!E:I,4,FALSE)</f>
        <v>彭江涛</v>
      </c>
      <c r="K2951" s="33">
        <f>VLOOKUP(J2951,辅助信息!H:I,2,FALSE)</f>
        <v>13990276572</v>
      </c>
      <c r="L2951" s="102" t="str">
        <f>VLOOKUP(B2951,辅助信息!E:J,6,FALSE)</f>
        <v>联系实际收货人（彭江涛13990276572）现场要求炉批号控制2个以下，超2个不给予签收。提前联系到场规格及数量</v>
      </c>
      <c r="O2951" s="55" t="str">
        <f ca="1" t="shared" si="171"/>
        <v/>
      </c>
      <c r="P2951" s="55" t="str">
        <f ca="1" t="shared" si="172"/>
        <v/>
      </c>
      <c r="Q2951" s="22" t="str">
        <f>VLOOKUP(B2951,辅助信息!E:M,9,FALSE)</f>
        <v>ZTWM-CDGS-XS-2025-0126-四川机司-乐山市校地共建产教融合基地配套设施项目施工二标段钢筋采购合同</v>
      </c>
      <c r="R2951" s="22" t="str">
        <f>_xlfn._xlws.FILTER(辅助信息!D:D,辅助信息!E:E=B2951)</f>
        <v>乐山市校地共建产教融合基地建设项目二标段</v>
      </c>
    </row>
    <row r="2952" hidden="1" spans="2:18">
      <c r="B2952" s="33" t="s">
        <v>186</v>
      </c>
      <c r="C2952" s="63">
        <v>45893</v>
      </c>
      <c r="D2952" s="33" t="str">
        <f>VLOOKUP(B2952,辅助信息!E:K,7,FALSE)</f>
        <v>JWDDCD2025072900123</v>
      </c>
      <c r="E2952" s="33" t="str">
        <f>VLOOKUP(F2952,辅助信息!A:B,2,FALSE)</f>
        <v>螺纹钢</v>
      </c>
      <c r="F2952" s="33" t="s">
        <v>22</v>
      </c>
      <c r="G2952" s="29">
        <v>15.5</v>
      </c>
      <c r="H2952" s="113" t="str">
        <f>_xlfn.XLOOKUP(C2952&amp;F2952&amp;I2952&amp;J2952,'[1]2025年已发货'!$F:$F&amp;'[1]2025年已发货'!$C:$C&amp;'[1]2025年已发货'!$G:$G&amp;'[1]2025年已发货'!$H:$H,'[1]2025年已发货'!$E:$E,"未发货")</f>
        <v>未发货</v>
      </c>
      <c r="I2952" s="33" t="str">
        <f>VLOOKUP(B2952,辅助信息!E:I,3,FALSE)</f>
        <v>(乐山市校地共建产教融合基地建设项目二标段)四川省乐山市市中区苏稽镇</v>
      </c>
      <c r="J2952" s="33" t="str">
        <f>VLOOKUP(B2952,辅助信息!E:I,4,FALSE)</f>
        <v>彭江涛</v>
      </c>
      <c r="K2952" s="33">
        <f>VLOOKUP(J2952,辅助信息!H:I,2,FALSE)</f>
        <v>13990276572</v>
      </c>
      <c r="L2952" s="102" t="str">
        <f>VLOOKUP(B2952,辅助信息!E:J,6,FALSE)</f>
        <v>联系实际收货人（彭江涛13990276572）现场要求炉批号控制2个以下，超2个不给予签收。提前联系到场规格及数量</v>
      </c>
      <c r="O2952" s="55" t="str">
        <f ca="1" t="shared" si="171"/>
        <v/>
      </c>
      <c r="P2952" s="55" t="str">
        <f ca="1" t="shared" si="172"/>
        <v/>
      </c>
      <c r="Q2952" s="22" t="str">
        <f>VLOOKUP(B2952,辅助信息!E:M,9,FALSE)</f>
        <v>ZTWM-CDGS-XS-2025-0126-四川机司-乐山市校地共建产教融合基地配套设施项目施工二标段钢筋采购合同</v>
      </c>
      <c r="R2952" s="22" t="str">
        <f>_xlfn._xlws.FILTER(辅助信息!D:D,辅助信息!E:E=B2952)</f>
        <v>乐山市校地共建产教融合基地建设项目二标段</v>
      </c>
    </row>
    <row r="2953" hidden="1" spans="2:18">
      <c r="B2953" s="33" t="s">
        <v>186</v>
      </c>
      <c r="C2953" s="63">
        <v>45893</v>
      </c>
      <c r="D2953" s="33" t="str">
        <f>VLOOKUP(B2953,辅助信息!E:K,7,FALSE)</f>
        <v>JWDDCD2025072900123</v>
      </c>
      <c r="E2953" s="33" t="str">
        <f>VLOOKUP(F2953,辅助信息!A:B,2,FALSE)</f>
        <v>螺纹钢</v>
      </c>
      <c r="F2953" s="33" t="s">
        <v>142</v>
      </c>
      <c r="G2953" s="29">
        <v>72</v>
      </c>
      <c r="H2953" s="113" t="str">
        <f>_xlfn.XLOOKUP(C2953&amp;F2953&amp;I2953&amp;J2953,'[1]2025年已发货'!$F:$F&amp;'[1]2025年已发货'!$C:$C&amp;'[1]2025年已发货'!$G:$G&amp;'[1]2025年已发货'!$H:$H,'[1]2025年已发货'!$E:$E,"未发货")</f>
        <v>未发货</v>
      </c>
      <c r="I2953" s="33" t="str">
        <f>VLOOKUP(B2953,辅助信息!E:I,3,FALSE)</f>
        <v>(乐山市校地共建产教融合基地建设项目二标段)四川省乐山市市中区苏稽镇</v>
      </c>
      <c r="J2953" s="33" t="str">
        <f>VLOOKUP(B2953,辅助信息!E:I,4,FALSE)</f>
        <v>彭江涛</v>
      </c>
      <c r="K2953" s="33">
        <f>VLOOKUP(J2953,辅助信息!H:I,2,FALSE)</f>
        <v>13990276572</v>
      </c>
      <c r="L2953" s="102" t="str">
        <f>VLOOKUP(B2953,辅助信息!E:J,6,FALSE)</f>
        <v>联系实际收货人（彭江涛13990276572）现场要求炉批号控制2个以下，超2个不给予签收。提前联系到场规格及数量</v>
      </c>
      <c r="O2953" s="55" t="str">
        <f ca="1" t="shared" ref="O2953:O3016" si="173">IF(OR(M2953="",N2953&lt;&gt;""),"",MAX(M2953-TODAY(),0))</f>
        <v/>
      </c>
      <c r="P2953" s="55" t="str">
        <f ca="1" t="shared" ref="P2953:P3016" si="174">IF(M2953="","",IF(N2953&lt;&gt;"",MAX(N2953-M2953,0),IF(TODAY()&gt;M2953,TODAY()-M2953,0)))</f>
        <v/>
      </c>
      <c r="Q2953" s="22" t="str">
        <f>VLOOKUP(B2953,辅助信息!E:M,9,FALSE)</f>
        <v>ZTWM-CDGS-XS-2025-0126-四川机司-乐山市校地共建产教融合基地配套设施项目施工二标段钢筋采购合同</v>
      </c>
      <c r="R2953" s="22" t="str">
        <f>_xlfn._xlws.FILTER(辅助信息!D:D,辅助信息!E:E=B2953)</f>
        <v>乐山市校地共建产教融合基地建设项目二标段</v>
      </c>
    </row>
    <row r="2954" hidden="1" spans="2:18">
      <c r="B2954" s="33" t="s">
        <v>167</v>
      </c>
      <c r="C2954" s="63">
        <v>45893</v>
      </c>
      <c r="D2954" s="33" t="str">
        <f>VLOOKUP(B2954,辅助信息!E:K,7,FALSE)</f>
        <v>JWDDCD2025102100473</v>
      </c>
      <c r="E2954" s="33" t="str">
        <f>VLOOKUP(F2954,辅助信息!A:B,2,FALSE)</f>
        <v>螺纹钢</v>
      </c>
      <c r="F2954" s="33" t="s">
        <v>19</v>
      </c>
      <c r="G2954" s="29">
        <v>25</v>
      </c>
      <c r="H2954" s="113">
        <f>_xlfn.XLOOKUP(C2954&amp;F2954&amp;I2954&amp;J2954,'[1]2025年已发货'!$F:$F&amp;'[1]2025年已发货'!$C:$C&amp;'[1]2025年已发货'!$G:$G&amp;'[1]2025年已发货'!$H:$H,'[1]2025年已发货'!$E:$E,"未发货")</f>
        <v>25</v>
      </c>
      <c r="I2954" s="33" t="str">
        <f>VLOOKUP(B2954,辅助信息!E:I,3,FALSE)</f>
        <v>(五冶建设扩建艺体中学二期工程)四川省成都市双流区光荣路成都艺体中学南200米</v>
      </c>
      <c r="J2954" s="33" t="str">
        <f>VLOOKUP(B2954,辅助信息!E:I,4,FALSE)</f>
        <v>谢序强</v>
      </c>
      <c r="K2954" s="33">
        <f>VLOOKUP(J2954,辅助信息!H:I,2,FALSE)</f>
        <v>13458588232</v>
      </c>
      <c r="L2954" s="102"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55" t="str">
        <f ca="1" t="shared" si="173"/>
        <v/>
      </c>
      <c r="P2954" s="55" t="str">
        <f ca="1" t="shared" si="174"/>
        <v/>
      </c>
      <c r="Q2954" s="22" t="str">
        <f>VLOOKUP(B2954,辅助信息!E:M,9,FALSE)</f>
        <v>ZTWM-CDGS-XS-2025-0073-五冶天府-成都怡心湖片区及龙泉驿医院等项目</v>
      </c>
      <c r="R2954" s="22" t="str">
        <f>_xlfn._xlws.FILTER(辅助信息!D:D,辅助信息!E:E=B2954)</f>
        <v>五冶建设扩建艺体中学二期工程</v>
      </c>
    </row>
    <row r="2955" hidden="1" spans="2:18">
      <c r="B2955" s="33" t="s">
        <v>167</v>
      </c>
      <c r="C2955" s="63">
        <v>45893</v>
      </c>
      <c r="D2955" s="33" t="str">
        <f>VLOOKUP(B2955,辅助信息!E:K,7,FALSE)</f>
        <v>JWDDCD2025102100473</v>
      </c>
      <c r="E2955" s="33" t="str">
        <f>VLOOKUP(F2955,辅助信息!A:B,2,FALSE)</f>
        <v>螺纹钢</v>
      </c>
      <c r="F2955" s="33" t="s">
        <v>32</v>
      </c>
      <c r="G2955" s="29">
        <v>20</v>
      </c>
      <c r="H2955" s="113">
        <f>_xlfn.XLOOKUP(C2955&amp;F2955&amp;I2955&amp;J2955,'[1]2025年已发货'!$F:$F&amp;'[1]2025年已发货'!$C:$C&amp;'[1]2025年已发货'!$G:$G&amp;'[1]2025年已发货'!$H:$H,'[1]2025年已发货'!$E:$E,"未发货")</f>
        <v>20</v>
      </c>
      <c r="I2955" s="33" t="str">
        <f>VLOOKUP(B2955,辅助信息!E:I,3,FALSE)</f>
        <v>(五冶建设扩建艺体中学二期工程)四川省成都市双流区光荣路成都艺体中学南200米</v>
      </c>
      <c r="J2955" s="33" t="str">
        <f>VLOOKUP(B2955,辅助信息!E:I,4,FALSE)</f>
        <v>谢序强</v>
      </c>
      <c r="K2955" s="33">
        <f>VLOOKUP(J2955,辅助信息!H:I,2,FALSE)</f>
        <v>13458588232</v>
      </c>
      <c r="L2955" s="102"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55" t="str">
        <f ca="1" t="shared" si="173"/>
        <v/>
      </c>
      <c r="P2955" s="55" t="str">
        <f ca="1" t="shared" si="174"/>
        <v/>
      </c>
      <c r="Q2955" s="22" t="str">
        <f>VLOOKUP(B2955,辅助信息!E:M,9,FALSE)</f>
        <v>ZTWM-CDGS-XS-2025-0073-五冶天府-成都怡心湖片区及龙泉驿医院等项目</v>
      </c>
      <c r="R2955" s="22" t="str">
        <f>_xlfn._xlws.FILTER(辅助信息!D:D,辅助信息!E:E=B2955)</f>
        <v>五冶建设扩建艺体中学二期工程</v>
      </c>
    </row>
    <row r="2956" hidden="1" spans="2:18">
      <c r="B2956" s="33" t="s">
        <v>167</v>
      </c>
      <c r="C2956" s="63">
        <v>45893</v>
      </c>
      <c r="D2956" s="33" t="str">
        <f>VLOOKUP(B2956,辅助信息!E:K,7,FALSE)</f>
        <v>JWDDCD2025102100473</v>
      </c>
      <c r="E2956" s="33" t="str">
        <f>VLOOKUP(F2956,辅助信息!A:B,2,FALSE)</f>
        <v>螺纹钢</v>
      </c>
      <c r="F2956" s="33" t="s">
        <v>30</v>
      </c>
      <c r="G2956" s="29">
        <v>5</v>
      </c>
      <c r="H2956" s="113">
        <f>_xlfn.XLOOKUP(C2956&amp;F2956&amp;I2956&amp;J2956,'[1]2025年已发货'!$F:$F&amp;'[1]2025年已发货'!$C:$C&amp;'[1]2025年已发货'!$G:$G&amp;'[1]2025年已发货'!$H:$H,'[1]2025年已发货'!$E:$E,"未发货")</f>
        <v>5</v>
      </c>
      <c r="I2956" s="33" t="str">
        <f>VLOOKUP(B2956,辅助信息!E:I,3,FALSE)</f>
        <v>(五冶建设扩建艺体中学二期工程)四川省成都市双流区光荣路成都艺体中学南200米</v>
      </c>
      <c r="J2956" s="33" t="str">
        <f>VLOOKUP(B2956,辅助信息!E:I,4,FALSE)</f>
        <v>谢序强</v>
      </c>
      <c r="K2956" s="33">
        <f>VLOOKUP(J2956,辅助信息!H:I,2,FALSE)</f>
        <v>13458588232</v>
      </c>
      <c r="L2956" s="102"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55" t="str">
        <f ca="1" t="shared" si="173"/>
        <v/>
      </c>
      <c r="P2956" s="55" t="str">
        <f ca="1" t="shared" si="174"/>
        <v/>
      </c>
      <c r="Q2956" s="22" t="str">
        <f>VLOOKUP(B2956,辅助信息!E:M,9,FALSE)</f>
        <v>ZTWM-CDGS-XS-2025-0073-五冶天府-成都怡心湖片区及龙泉驿医院等项目</v>
      </c>
      <c r="R2956" s="22" t="str">
        <f>_xlfn._xlws.FILTER(辅助信息!D:D,辅助信息!E:E=B2956)</f>
        <v>五冶建设扩建艺体中学二期工程</v>
      </c>
    </row>
    <row r="2957" hidden="1" spans="2:18">
      <c r="B2957" s="33" t="s">
        <v>167</v>
      </c>
      <c r="C2957" s="63">
        <v>45893</v>
      </c>
      <c r="D2957" s="33" t="str">
        <f>VLOOKUP(B2957,辅助信息!E:K,7,FALSE)</f>
        <v>JWDDCD2025102100473</v>
      </c>
      <c r="E2957" s="33" t="str">
        <f>VLOOKUP(F2957,辅助信息!A:B,2,FALSE)</f>
        <v>螺纹钢</v>
      </c>
      <c r="F2957" s="33" t="s">
        <v>28</v>
      </c>
      <c r="G2957" s="29">
        <v>25</v>
      </c>
      <c r="H2957" s="113">
        <f>_xlfn.XLOOKUP(C2957&amp;F2957&amp;I2957&amp;J2957,'[1]2025年已发货'!$F:$F&amp;'[1]2025年已发货'!$C:$C&amp;'[1]2025年已发货'!$G:$G&amp;'[1]2025年已发货'!$H:$H,'[1]2025年已发货'!$E:$E,"未发货")</f>
        <v>25</v>
      </c>
      <c r="I2957" s="33" t="str">
        <f>VLOOKUP(B2957,辅助信息!E:I,3,FALSE)</f>
        <v>(五冶建设扩建艺体中学二期工程)四川省成都市双流区光荣路成都艺体中学南200米</v>
      </c>
      <c r="J2957" s="33" t="str">
        <f>VLOOKUP(B2957,辅助信息!E:I,4,FALSE)</f>
        <v>谢序强</v>
      </c>
      <c r="K2957" s="33">
        <f>VLOOKUP(J2957,辅助信息!H:I,2,FALSE)</f>
        <v>13458588232</v>
      </c>
      <c r="L2957" s="102"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55" t="str">
        <f ca="1" t="shared" si="173"/>
        <v/>
      </c>
      <c r="P2957" s="55" t="str">
        <f ca="1" t="shared" si="174"/>
        <v/>
      </c>
      <c r="Q2957" s="22" t="str">
        <f>VLOOKUP(B2957,辅助信息!E:M,9,FALSE)</f>
        <v>ZTWM-CDGS-XS-2025-0073-五冶天府-成都怡心湖片区及龙泉驿医院等项目</v>
      </c>
      <c r="R2957" s="22" t="str">
        <f>_xlfn._xlws.FILTER(辅助信息!D:D,辅助信息!E:E=B2957)</f>
        <v>五冶建设扩建艺体中学二期工程</v>
      </c>
    </row>
    <row r="2958" hidden="1" spans="2:18">
      <c r="B2958" s="33" t="s">
        <v>186</v>
      </c>
      <c r="C2958" s="63">
        <v>45894</v>
      </c>
      <c r="D2958" s="33" t="str">
        <f>VLOOKUP(B2958,辅助信息!E:K,7,FALSE)</f>
        <v>JWDDCD2025072900123</v>
      </c>
      <c r="E2958" s="33" t="str">
        <f>VLOOKUP(F2958,辅助信息!A:B,2,FALSE)</f>
        <v>螺纹钢</v>
      </c>
      <c r="F2958" s="33" t="s">
        <v>141</v>
      </c>
      <c r="G2958" s="29">
        <v>14</v>
      </c>
      <c r="H2958" s="134">
        <f>_xlfn.XLOOKUP(C2958&amp;F2958&amp;I2958&amp;J2958,'[1]2025年已发货'!$F:$F&amp;'[1]2025年已发货'!$C:$C&amp;'[1]2025年已发货'!$G:$G&amp;'[1]2025年已发货'!$H:$H,'[1]2025年已发货'!$E:$E,"未发货")</f>
        <v>14</v>
      </c>
      <c r="I2958" s="33" t="str">
        <f>VLOOKUP(B2958,辅助信息!E:I,3,FALSE)</f>
        <v>(乐山市校地共建产教融合基地建设项目二标段)四川省乐山市市中区苏稽镇</v>
      </c>
      <c r="J2958" s="33" t="str">
        <f>VLOOKUP(B2958,辅助信息!E:I,4,FALSE)</f>
        <v>彭江涛</v>
      </c>
      <c r="K2958" s="33">
        <f>VLOOKUP(J2958,辅助信息!H:I,2,FALSE)</f>
        <v>13990276572</v>
      </c>
      <c r="L2958" s="102" t="str">
        <f>VLOOKUP(B2958,辅助信息!E:J,6,FALSE)</f>
        <v>联系实际收货人（彭江涛13990276572）现场要求炉批号控制2个以下，超2个不给予签收。提前联系到场规格及数量</v>
      </c>
      <c r="O2958" s="55" t="str">
        <f ca="1" t="shared" si="173"/>
        <v/>
      </c>
      <c r="P2958" s="55" t="str">
        <f ca="1" t="shared" si="174"/>
        <v/>
      </c>
      <c r="Q2958" s="22" t="str">
        <f>VLOOKUP(B2958,辅助信息!E:M,9,FALSE)</f>
        <v>ZTWM-CDGS-XS-2025-0126-四川机司-乐山市校地共建产教融合基地配套设施项目施工二标段钢筋采购合同</v>
      </c>
      <c r="R2958" s="22" t="str">
        <f>_xlfn._xlws.FILTER(辅助信息!D:D,辅助信息!E:E=B2958)</f>
        <v>乐山市校地共建产教融合基地建设项目二标段</v>
      </c>
    </row>
    <row r="2959" hidden="1" spans="2:18">
      <c r="B2959" s="33" t="s">
        <v>186</v>
      </c>
      <c r="C2959" s="63">
        <v>45894</v>
      </c>
      <c r="D2959" s="33" t="str">
        <f>VLOOKUP(B2959,辅助信息!E:K,7,FALSE)</f>
        <v>JWDDCD2025072900123</v>
      </c>
      <c r="E2959" s="33" t="str">
        <f>VLOOKUP(F2959,辅助信息!A:B,2,FALSE)</f>
        <v>螺纹钢</v>
      </c>
      <c r="F2959" s="33" t="s">
        <v>22</v>
      </c>
      <c r="G2959" s="29">
        <v>15.5</v>
      </c>
      <c r="H2959" s="134">
        <f>_xlfn.XLOOKUP(C2959&amp;F2959&amp;I2959&amp;J2959,'[1]2025年已发货'!$F:$F&amp;'[1]2025年已发货'!$C:$C&amp;'[1]2025年已发货'!$G:$G&amp;'[1]2025年已发货'!$H:$H,'[1]2025年已发货'!$E:$E,"未发货")</f>
        <v>15.5</v>
      </c>
      <c r="I2959" s="33" t="str">
        <f>VLOOKUP(B2959,辅助信息!E:I,3,FALSE)</f>
        <v>(乐山市校地共建产教融合基地建设项目二标段)四川省乐山市市中区苏稽镇</v>
      </c>
      <c r="J2959" s="33" t="str">
        <f>VLOOKUP(B2959,辅助信息!E:I,4,FALSE)</f>
        <v>彭江涛</v>
      </c>
      <c r="K2959" s="33">
        <f>VLOOKUP(J2959,辅助信息!H:I,2,FALSE)</f>
        <v>13990276572</v>
      </c>
      <c r="L2959" s="102" t="str">
        <f>VLOOKUP(B2959,辅助信息!E:J,6,FALSE)</f>
        <v>联系实际收货人（彭江涛13990276572）现场要求炉批号控制2个以下，超2个不给予签收。提前联系到场规格及数量</v>
      </c>
      <c r="O2959" s="55" t="str">
        <f ca="1" t="shared" si="173"/>
        <v/>
      </c>
      <c r="P2959" s="55" t="str">
        <f ca="1" t="shared" si="174"/>
        <v/>
      </c>
      <c r="Q2959" s="22" t="str">
        <f>VLOOKUP(B2959,辅助信息!E:M,9,FALSE)</f>
        <v>ZTWM-CDGS-XS-2025-0126-四川机司-乐山市校地共建产教融合基地配套设施项目施工二标段钢筋采购合同</v>
      </c>
      <c r="R2959" s="22" t="str">
        <f>_xlfn._xlws.FILTER(辅助信息!D:D,辅助信息!E:E=B2959)</f>
        <v>乐山市校地共建产教融合基地建设项目二标段</v>
      </c>
    </row>
    <row r="2960" hidden="1" spans="2:18">
      <c r="B2960" s="33" t="s">
        <v>186</v>
      </c>
      <c r="C2960" s="63">
        <v>45894</v>
      </c>
      <c r="D2960" s="33" t="str">
        <f>VLOOKUP(B2960,辅助信息!E:K,7,FALSE)</f>
        <v>JWDDCD2025072900123</v>
      </c>
      <c r="E2960" s="33" t="str">
        <f>VLOOKUP(F2960,辅助信息!A:B,2,FALSE)</f>
        <v>螺纹钢</v>
      </c>
      <c r="F2960" s="33" t="s">
        <v>142</v>
      </c>
      <c r="G2960" s="29">
        <v>72</v>
      </c>
      <c r="H2960" s="134">
        <f>_xlfn.XLOOKUP(C2960&amp;F2960&amp;I2960&amp;J2960,'[1]2025年已发货'!$F:$F&amp;'[1]2025年已发货'!$C:$C&amp;'[1]2025年已发货'!$G:$G&amp;'[1]2025年已发货'!$H:$H,'[1]2025年已发货'!$E:$E,"未发货")</f>
        <v>72</v>
      </c>
      <c r="I2960" s="33" t="str">
        <f>VLOOKUP(B2960,辅助信息!E:I,3,FALSE)</f>
        <v>(乐山市校地共建产教融合基地建设项目二标段)四川省乐山市市中区苏稽镇</v>
      </c>
      <c r="J2960" s="33" t="str">
        <f>VLOOKUP(B2960,辅助信息!E:I,4,FALSE)</f>
        <v>彭江涛</v>
      </c>
      <c r="K2960" s="33">
        <f>VLOOKUP(J2960,辅助信息!H:I,2,FALSE)</f>
        <v>13990276572</v>
      </c>
      <c r="L2960" s="102" t="str">
        <f>VLOOKUP(B2960,辅助信息!E:J,6,FALSE)</f>
        <v>联系实际收货人（彭江涛13990276572）现场要求炉批号控制2个以下，超2个不给予签收。提前联系到场规格及数量</v>
      </c>
      <c r="O2960" s="55" t="str">
        <f ca="1" t="shared" si="173"/>
        <v/>
      </c>
      <c r="P2960" s="55" t="str">
        <f ca="1" t="shared" si="174"/>
        <v/>
      </c>
      <c r="Q2960" s="22" t="str">
        <f>VLOOKUP(B2960,辅助信息!E:M,9,FALSE)</f>
        <v>ZTWM-CDGS-XS-2025-0126-四川机司-乐山市校地共建产教融合基地配套设施项目施工二标段钢筋采购合同</v>
      </c>
      <c r="R2960" s="22" t="str">
        <f>_xlfn._xlws.FILTER(辅助信息!D:D,辅助信息!E:E=B2960)</f>
        <v>乐山市校地共建产教融合基地建设项目二标段</v>
      </c>
    </row>
    <row r="2961" hidden="1" spans="2:18">
      <c r="B2961" s="33" t="s">
        <v>147</v>
      </c>
      <c r="C2961" s="63">
        <v>45894</v>
      </c>
      <c r="D2961" s="33" t="str">
        <f>VLOOKUP(B2961,辅助信息!E:K,7,FALSE)</f>
        <v>JWDDCD2025052800131</v>
      </c>
      <c r="E2961" s="33" t="str">
        <f>VLOOKUP(F2961,辅助信息!A:B,2,FALSE)</f>
        <v>盘螺</v>
      </c>
      <c r="F2961" s="33" t="s">
        <v>40</v>
      </c>
      <c r="G2961" s="29">
        <v>45</v>
      </c>
      <c r="H2961" s="113" t="str">
        <f>_xlfn.XLOOKUP(C2961&amp;F2961&amp;I2961&amp;J2961,'[1]2025年已发货'!$F:$F&amp;'[1]2025年已发货'!$C:$C&amp;'[1]2025年已发货'!$G:$G&amp;'[1]2025年已发货'!$H:$H,'[1]2025年已发货'!$E:$E,"未发货")</f>
        <v>未发货</v>
      </c>
      <c r="I2961" s="33" t="str">
        <f>VLOOKUP(B2961,辅助信息!E:I,3,FALSE)</f>
        <v>（商投建工达州中医药科技园-4工区-11号楼）达州市通川区达州中医药职业学院犀牛大道北段</v>
      </c>
      <c r="J2961" s="33" t="str">
        <f>VLOOKUP(B2961,辅助信息!E:I,4,FALSE)</f>
        <v>张扬</v>
      </c>
      <c r="K2961" s="33">
        <f>VLOOKUP(J2961,辅助信息!H:I,2,FALSE)</f>
        <v>18381904567</v>
      </c>
      <c r="L2961" s="102" t="str">
        <f>VLOOKUP(B2961,辅助信息!E:J,6,FALSE)</f>
        <v>控制炉批号！多了现场不收！,优先安排达钢,提前联系到场规格及数量</v>
      </c>
      <c r="O2961" s="55" t="str">
        <f ca="1" t="shared" si="173"/>
        <v/>
      </c>
      <c r="P2961" s="55" t="str">
        <f ca="1" t="shared" si="174"/>
        <v/>
      </c>
      <c r="Q2961" s="22" t="str">
        <f>VLOOKUP(B2961,辅助信息!E:M,9,FALSE)</f>
        <v>ZTWM-CDGS-XS-2024-0134-商投建工达州中医药科技成果示范园项目</v>
      </c>
      <c r="R2961" s="22" t="str">
        <f>_xlfn._xlws.FILTER(辅助信息!D:D,辅助信息!E:E=B2961)</f>
        <v>商投建工达州中医药科技园</v>
      </c>
    </row>
    <row r="2962" hidden="1" spans="2:18">
      <c r="B2962" s="33" t="s">
        <v>147</v>
      </c>
      <c r="C2962" s="63">
        <v>45894</v>
      </c>
      <c r="D2962" s="33" t="str">
        <f>VLOOKUP(B2962,辅助信息!E:K,7,FALSE)</f>
        <v>JWDDCD2025052800131</v>
      </c>
      <c r="E2962" s="33" t="str">
        <f>VLOOKUP(F2962,辅助信息!A:B,2,FALSE)</f>
        <v>盘螺</v>
      </c>
      <c r="F2962" s="33" t="s">
        <v>41</v>
      </c>
      <c r="G2962" s="29">
        <v>21</v>
      </c>
      <c r="H2962" s="113">
        <f>_xlfn.XLOOKUP(C2962&amp;F2962&amp;I2962&amp;J2962,'[1]2025年已发货'!$F:$F&amp;'[1]2025年已发货'!$C:$C&amp;'[1]2025年已发货'!$G:$G&amp;'[1]2025年已发货'!$H:$H,'[1]2025年已发货'!$E:$E,"未发货")</f>
        <v>21</v>
      </c>
      <c r="I2962" s="33" t="str">
        <f>VLOOKUP(B2962,辅助信息!E:I,3,FALSE)</f>
        <v>（商投建工达州中医药科技园-4工区-11号楼）达州市通川区达州中医药职业学院犀牛大道北段</v>
      </c>
      <c r="J2962" s="33" t="str">
        <f>VLOOKUP(B2962,辅助信息!E:I,4,FALSE)</f>
        <v>张扬</v>
      </c>
      <c r="K2962" s="33">
        <f>VLOOKUP(J2962,辅助信息!H:I,2,FALSE)</f>
        <v>18381904567</v>
      </c>
      <c r="L2962" s="102" t="str">
        <f>VLOOKUP(B2962,辅助信息!E:J,6,FALSE)</f>
        <v>控制炉批号！多了现场不收！,优先安排达钢,提前联系到场规格及数量</v>
      </c>
      <c r="O2962" s="55" t="str">
        <f ca="1" t="shared" si="173"/>
        <v/>
      </c>
      <c r="P2962" s="55" t="str">
        <f ca="1" t="shared" si="174"/>
        <v/>
      </c>
      <c r="Q2962" s="22" t="str">
        <f>VLOOKUP(B2962,辅助信息!E:M,9,FALSE)</f>
        <v>ZTWM-CDGS-XS-2024-0134-商投建工达州中医药科技成果示范园项目</v>
      </c>
      <c r="R2962" s="22" t="str">
        <f>_xlfn._xlws.FILTER(辅助信息!D:D,辅助信息!E:E=B2962)</f>
        <v>商投建工达州中医药科技园</v>
      </c>
    </row>
    <row r="2963" hidden="1" spans="2:18">
      <c r="B2963" s="33" t="s">
        <v>147</v>
      </c>
      <c r="C2963" s="63">
        <v>45894</v>
      </c>
      <c r="D2963" s="33" t="str">
        <f>VLOOKUP(B2963,辅助信息!E:K,7,FALSE)</f>
        <v>JWDDCD2025052800131</v>
      </c>
      <c r="E2963" s="33" t="str">
        <f>VLOOKUP(F2963,辅助信息!A:B,2,FALSE)</f>
        <v>螺纹钢</v>
      </c>
      <c r="F2963" s="33" t="s">
        <v>32</v>
      </c>
      <c r="G2963" s="29">
        <v>3</v>
      </c>
      <c r="H2963" s="113" t="str">
        <f>_xlfn.XLOOKUP(C2963&amp;F2963&amp;I2963&amp;J2963,'[1]2025年已发货'!$F:$F&amp;'[1]2025年已发货'!$C:$C&amp;'[1]2025年已发货'!$G:$G&amp;'[1]2025年已发货'!$H:$H,'[1]2025年已发货'!$E:$E,"未发货")</f>
        <v>未发货</v>
      </c>
      <c r="I2963" s="33" t="str">
        <f>VLOOKUP(B2963,辅助信息!E:I,3,FALSE)</f>
        <v>（商投建工达州中医药科技园-4工区-11号楼）达州市通川区达州中医药职业学院犀牛大道北段</v>
      </c>
      <c r="J2963" s="33" t="str">
        <f>VLOOKUP(B2963,辅助信息!E:I,4,FALSE)</f>
        <v>张扬</v>
      </c>
      <c r="K2963" s="33">
        <f>VLOOKUP(J2963,辅助信息!H:I,2,FALSE)</f>
        <v>18381904567</v>
      </c>
      <c r="L2963" s="102" t="str">
        <f>VLOOKUP(B2963,辅助信息!E:J,6,FALSE)</f>
        <v>控制炉批号！多了现场不收！,优先安排达钢,提前联系到场规格及数量</v>
      </c>
      <c r="O2963" s="55" t="str">
        <f ca="1" t="shared" si="173"/>
        <v/>
      </c>
      <c r="P2963" s="55" t="str">
        <f ca="1" t="shared" si="174"/>
        <v/>
      </c>
      <c r="Q2963" s="22" t="str">
        <f>VLOOKUP(B2963,辅助信息!E:M,9,FALSE)</f>
        <v>ZTWM-CDGS-XS-2024-0134-商投建工达州中医药科技成果示范园项目</v>
      </c>
      <c r="R2963" s="22" t="str">
        <f>_xlfn._xlws.FILTER(辅助信息!D:D,辅助信息!E:E=B2963)</f>
        <v>商投建工达州中医药科技园</v>
      </c>
    </row>
    <row r="2964" hidden="1" spans="2:18">
      <c r="B2964" s="33" t="s">
        <v>147</v>
      </c>
      <c r="C2964" s="63">
        <v>45894</v>
      </c>
      <c r="D2964" s="33" t="str">
        <f>VLOOKUP(B2964,辅助信息!E:K,7,FALSE)</f>
        <v>JWDDCD2025052800131</v>
      </c>
      <c r="E2964" s="33" t="str">
        <f>VLOOKUP(F2964,辅助信息!A:B,2,FALSE)</f>
        <v>螺纹钢</v>
      </c>
      <c r="F2964" s="33" t="s">
        <v>30</v>
      </c>
      <c r="G2964" s="29">
        <v>6</v>
      </c>
      <c r="H2964" s="113" t="str">
        <f>_xlfn.XLOOKUP(C2964&amp;F2964&amp;I2964&amp;J2964,'[1]2025年已发货'!$F:$F&amp;'[1]2025年已发货'!$C:$C&amp;'[1]2025年已发货'!$G:$G&amp;'[1]2025年已发货'!$H:$H,'[1]2025年已发货'!$E:$E,"未发货")</f>
        <v>未发货</v>
      </c>
      <c r="I2964" s="33" t="str">
        <f>VLOOKUP(B2964,辅助信息!E:I,3,FALSE)</f>
        <v>（商投建工达州中医药科技园-4工区-11号楼）达州市通川区达州中医药职业学院犀牛大道北段</v>
      </c>
      <c r="J2964" s="33" t="str">
        <f>VLOOKUP(B2964,辅助信息!E:I,4,FALSE)</f>
        <v>张扬</v>
      </c>
      <c r="K2964" s="33">
        <f>VLOOKUP(J2964,辅助信息!H:I,2,FALSE)</f>
        <v>18381904567</v>
      </c>
      <c r="L2964" s="102" t="str">
        <f>VLOOKUP(B2964,辅助信息!E:J,6,FALSE)</f>
        <v>控制炉批号！多了现场不收！,优先安排达钢,提前联系到场规格及数量</v>
      </c>
      <c r="O2964" s="55" t="str">
        <f ca="1" t="shared" si="173"/>
        <v/>
      </c>
      <c r="P2964" s="55" t="str">
        <f ca="1" t="shared" si="174"/>
        <v/>
      </c>
      <c r="Q2964" s="22" t="str">
        <f>VLOOKUP(B2964,辅助信息!E:M,9,FALSE)</f>
        <v>ZTWM-CDGS-XS-2024-0134-商投建工达州中医药科技成果示范园项目</v>
      </c>
      <c r="R2964" s="22" t="str">
        <f>_xlfn._xlws.FILTER(辅助信息!D:D,辅助信息!E:E=B2964)</f>
        <v>商投建工达州中医药科技园</v>
      </c>
    </row>
    <row r="2965" hidden="1" spans="2:18">
      <c r="B2965" s="33" t="s">
        <v>147</v>
      </c>
      <c r="C2965" s="63">
        <v>45894</v>
      </c>
      <c r="D2965" s="33" t="str">
        <f>VLOOKUP(B2965,辅助信息!E:K,7,FALSE)</f>
        <v>JWDDCD2025052800131</v>
      </c>
      <c r="E2965" s="33" t="str">
        <f>VLOOKUP(F2965,辅助信息!A:B,2,FALSE)</f>
        <v>螺纹钢</v>
      </c>
      <c r="F2965" s="33" t="s">
        <v>33</v>
      </c>
      <c r="G2965" s="29">
        <v>6</v>
      </c>
      <c r="H2965" s="113">
        <f>_xlfn.XLOOKUP(C2965&amp;F2965&amp;I2965&amp;J2965,'[1]2025年已发货'!$F:$F&amp;'[1]2025年已发货'!$C:$C&amp;'[1]2025年已发货'!$G:$G&amp;'[1]2025年已发货'!$H:$H,'[1]2025年已发货'!$E:$E,"未发货")</f>
        <v>6</v>
      </c>
      <c r="I2965" s="33" t="str">
        <f>VLOOKUP(B2965,辅助信息!E:I,3,FALSE)</f>
        <v>（商投建工达州中医药科技园-4工区-11号楼）达州市通川区达州中医药职业学院犀牛大道北段</v>
      </c>
      <c r="J2965" s="33" t="str">
        <f>VLOOKUP(B2965,辅助信息!E:I,4,FALSE)</f>
        <v>张扬</v>
      </c>
      <c r="K2965" s="33">
        <f>VLOOKUP(J2965,辅助信息!H:I,2,FALSE)</f>
        <v>18381904567</v>
      </c>
      <c r="L2965" s="102" t="str">
        <f>VLOOKUP(B2965,辅助信息!E:J,6,FALSE)</f>
        <v>控制炉批号！多了现场不收！,优先安排达钢,提前联系到场规格及数量</v>
      </c>
      <c r="O2965" s="55" t="str">
        <f ca="1" t="shared" si="173"/>
        <v/>
      </c>
      <c r="P2965" s="55" t="str">
        <f ca="1" t="shared" si="174"/>
        <v/>
      </c>
      <c r="Q2965" s="22" t="str">
        <f>VLOOKUP(B2965,辅助信息!E:M,9,FALSE)</f>
        <v>ZTWM-CDGS-XS-2024-0134-商投建工达州中医药科技成果示范园项目</v>
      </c>
      <c r="R2965" s="22" t="str">
        <f>_xlfn._xlws.FILTER(辅助信息!D:D,辅助信息!E:E=B2965)</f>
        <v>商投建工达州中医药科技园</v>
      </c>
    </row>
    <row r="2966" hidden="1" spans="2:18">
      <c r="B2966" s="33" t="s">
        <v>147</v>
      </c>
      <c r="C2966" s="63">
        <v>45894</v>
      </c>
      <c r="D2966" s="33" t="str">
        <f>VLOOKUP(B2966,辅助信息!E:K,7,FALSE)</f>
        <v>JWDDCD2025052800131</v>
      </c>
      <c r="E2966" s="33" t="str">
        <f>VLOOKUP(F2966,辅助信息!A:B,2,FALSE)</f>
        <v>螺纹钢</v>
      </c>
      <c r="F2966" s="33" t="s">
        <v>18</v>
      </c>
      <c r="G2966" s="29">
        <v>15</v>
      </c>
      <c r="H2966" s="113">
        <f>_xlfn.XLOOKUP(C2966&amp;F2966&amp;I2966&amp;J2966,'[1]2025年已发货'!$F:$F&amp;'[1]2025年已发货'!$C:$C&amp;'[1]2025年已发货'!$G:$G&amp;'[1]2025年已发货'!$H:$H,'[1]2025年已发货'!$E:$E,"未发货")</f>
        <v>15</v>
      </c>
      <c r="I2966" s="33" t="str">
        <f>VLOOKUP(B2966,辅助信息!E:I,3,FALSE)</f>
        <v>（商投建工达州中医药科技园-4工区-11号楼）达州市通川区达州中医药职业学院犀牛大道北段</v>
      </c>
      <c r="J2966" s="33" t="str">
        <f>VLOOKUP(B2966,辅助信息!E:I,4,FALSE)</f>
        <v>张扬</v>
      </c>
      <c r="K2966" s="33">
        <f>VLOOKUP(J2966,辅助信息!H:I,2,FALSE)</f>
        <v>18381904567</v>
      </c>
      <c r="L2966" s="102" t="str">
        <f>VLOOKUP(B2966,辅助信息!E:J,6,FALSE)</f>
        <v>控制炉批号！多了现场不收！,优先安排达钢,提前联系到场规格及数量</v>
      </c>
      <c r="O2966" s="55" t="str">
        <f ca="1" t="shared" si="173"/>
        <v/>
      </c>
      <c r="P2966" s="55" t="str">
        <f ca="1" t="shared" si="174"/>
        <v/>
      </c>
      <c r="Q2966" s="22" t="str">
        <f>VLOOKUP(B2966,辅助信息!E:M,9,FALSE)</f>
        <v>ZTWM-CDGS-XS-2024-0134-商投建工达州中医药科技成果示范园项目</v>
      </c>
      <c r="R2966" s="22" t="str">
        <f>_xlfn._xlws.FILTER(辅助信息!D:D,辅助信息!E:E=B2966)</f>
        <v>商投建工达州中医药科技园</v>
      </c>
    </row>
    <row r="2967" hidden="1" spans="2:18">
      <c r="B2967" s="33" t="s">
        <v>163</v>
      </c>
      <c r="C2967" s="63">
        <v>45894</v>
      </c>
      <c r="D2967" s="33" t="str">
        <f>VLOOKUP(B2967,辅助信息!E:K,7,FALSE)</f>
        <v>JWDDCD2025052800131</v>
      </c>
      <c r="E2967" s="33" t="str">
        <f>VLOOKUP(F2967,辅助信息!A:B,2,FALSE)</f>
        <v>盘螺</v>
      </c>
      <c r="F2967" s="33" t="s">
        <v>40</v>
      </c>
      <c r="G2967" s="29">
        <v>30</v>
      </c>
      <c r="H2967" s="113">
        <f>_xlfn.XLOOKUP(C2967&amp;F2967&amp;I2967&amp;J2967,'[1]2025年已发货'!$F:$F&amp;'[1]2025年已发货'!$C:$C&amp;'[1]2025年已发货'!$G:$G&amp;'[1]2025年已发货'!$H:$H,'[1]2025年已发货'!$E:$E,"未发货")</f>
        <v>17</v>
      </c>
      <c r="I2967" s="33" t="str">
        <f>VLOOKUP(B2967,辅助信息!E:I,3,FALSE)</f>
        <v>（商投建工达州中医药科技园-4工区-9号楼）达州市通川区达州中医药职业学院犀牛大道北段</v>
      </c>
      <c r="J2967" s="33" t="str">
        <f>VLOOKUP(B2967,辅助信息!E:I,4,FALSE)</f>
        <v>张扬</v>
      </c>
      <c r="K2967" s="33">
        <f>VLOOKUP(J2967,辅助信息!H:I,2,FALSE)</f>
        <v>18381904567</v>
      </c>
      <c r="L2967" s="102" t="str">
        <f>VLOOKUP(B2967,辅助信息!E:J,6,FALSE)</f>
        <v>控制炉批号！多了现场不收！,优先安排达钢,提前联系到场规格及数量</v>
      </c>
      <c r="O2967" s="55" t="str">
        <f ca="1" t="shared" si="173"/>
        <v/>
      </c>
      <c r="P2967" s="55" t="str">
        <f ca="1" t="shared" si="174"/>
        <v/>
      </c>
      <c r="Q2967" s="22" t="str">
        <f>VLOOKUP(B2967,辅助信息!E:M,9,FALSE)</f>
        <v>ZTWM-CDGS-XS-2024-0134-商投建工达州中医药科技成果示范园项目</v>
      </c>
      <c r="R2967" s="22" t="str">
        <f>_xlfn._xlws.FILTER(辅助信息!D:D,辅助信息!E:E=B2967)</f>
        <v>商投建工达州中医药科技园</v>
      </c>
    </row>
    <row r="2968" hidden="1" spans="2:18">
      <c r="B2968" s="33" t="s">
        <v>163</v>
      </c>
      <c r="C2968" s="63">
        <v>45894</v>
      </c>
      <c r="D2968" s="33" t="str">
        <f>VLOOKUP(B2968,辅助信息!E:K,7,FALSE)</f>
        <v>JWDDCD2025052800131</v>
      </c>
      <c r="E2968" s="33" t="str">
        <f>VLOOKUP(F2968,辅助信息!A:B,2,FALSE)</f>
        <v>盘螺</v>
      </c>
      <c r="F2968" s="33" t="s">
        <v>41</v>
      </c>
      <c r="G2968" s="29">
        <v>18</v>
      </c>
      <c r="H2968" s="113">
        <f>_xlfn.XLOOKUP(C2968&amp;F2968&amp;I2968&amp;J2968,'[1]2025年已发货'!$F:$F&amp;'[1]2025年已发货'!$C:$C&amp;'[1]2025年已发货'!$G:$G&amp;'[1]2025年已发货'!$H:$H,'[1]2025年已发货'!$E:$E,"未发货")</f>
        <v>18</v>
      </c>
      <c r="I2968" s="33" t="str">
        <f>VLOOKUP(B2968,辅助信息!E:I,3,FALSE)</f>
        <v>（商投建工达州中医药科技园-4工区-9号楼）达州市通川区达州中医药职业学院犀牛大道北段</v>
      </c>
      <c r="J2968" s="33" t="str">
        <f>VLOOKUP(B2968,辅助信息!E:I,4,FALSE)</f>
        <v>张扬</v>
      </c>
      <c r="K2968" s="33">
        <f>VLOOKUP(J2968,辅助信息!H:I,2,FALSE)</f>
        <v>18381904567</v>
      </c>
      <c r="L2968" s="102" t="str">
        <f>VLOOKUP(B2968,辅助信息!E:J,6,FALSE)</f>
        <v>控制炉批号！多了现场不收！,优先安排达钢,提前联系到场规格及数量</v>
      </c>
      <c r="O2968" s="55" t="str">
        <f ca="1" t="shared" si="173"/>
        <v/>
      </c>
      <c r="P2968" s="55" t="str">
        <f ca="1" t="shared" si="174"/>
        <v/>
      </c>
      <c r="Q2968" s="22" t="str">
        <f>VLOOKUP(B2968,辅助信息!E:M,9,FALSE)</f>
        <v>ZTWM-CDGS-XS-2024-0134-商投建工达州中医药科技成果示范园项目</v>
      </c>
      <c r="R2968" s="22" t="str">
        <f>_xlfn._xlws.FILTER(辅助信息!D:D,辅助信息!E:E=B2968)</f>
        <v>商投建工达州中医药科技园</v>
      </c>
    </row>
    <row r="2969" hidden="1" spans="2:18">
      <c r="B2969" s="33" t="s">
        <v>163</v>
      </c>
      <c r="C2969" s="63">
        <v>45894</v>
      </c>
      <c r="D2969" s="33" t="str">
        <f>VLOOKUP(B2969,辅助信息!E:K,7,FALSE)</f>
        <v>JWDDCD2025052800131</v>
      </c>
      <c r="E2969" s="33" t="str">
        <f>VLOOKUP(F2969,辅助信息!A:B,2,FALSE)</f>
        <v>螺纹钢</v>
      </c>
      <c r="F2969" s="33" t="s">
        <v>30</v>
      </c>
      <c r="G2969" s="29">
        <v>6</v>
      </c>
      <c r="H2969" s="113" t="str">
        <f>_xlfn.XLOOKUP(C2969&amp;F2969&amp;I2969&amp;J2969,'[1]2025年已发货'!$F:$F&amp;'[1]2025年已发货'!$C:$C&amp;'[1]2025年已发货'!$G:$G&amp;'[1]2025年已发货'!$H:$H,'[1]2025年已发货'!$E:$E,"未发货")</f>
        <v>未发货</v>
      </c>
      <c r="I2969" s="33" t="str">
        <f>VLOOKUP(B2969,辅助信息!E:I,3,FALSE)</f>
        <v>（商投建工达州中医药科技园-4工区-9号楼）达州市通川区达州中医药职业学院犀牛大道北段</v>
      </c>
      <c r="J2969" s="33" t="str">
        <f>VLOOKUP(B2969,辅助信息!E:I,4,FALSE)</f>
        <v>张扬</v>
      </c>
      <c r="K2969" s="33">
        <f>VLOOKUP(J2969,辅助信息!H:I,2,FALSE)</f>
        <v>18381904567</v>
      </c>
      <c r="L2969" s="102" t="str">
        <f>VLOOKUP(B2969,辅助信息!E:J,6,FALSE)</f>
        <v>控制炉批号！多了现场不收！,优先安排达钢,提前联系到场规格及数量</v>
      </c>
      <c r="O2969" s="55" t="str">
        <f ca="1" t="shared" si="173"/>
        <v/>
      </c>
      <c r="P2969" s="55" t="str">
        <f ca="1" t="shared" si="174"/>
        <v/>
      </c>
      <c r="Q2969" s="22" t="str">
        <f>VLOOKUP(B2969,辅助信息!E:M,9,FALSE)</f>
        <v>ZTWM-CDGS-XS-2024-0134-商投建工达州中医药科技成果示范园项目</v>
      </c>
      <c r="R2969" s="22" t="str">
        <f>_xlfn._xlws.FILTER(辅助信息!D:D,辅助信息!E:E=B2969)</f>
        <v>商投建工达州中医药科技园</v>
      </c>
    </row>
    <row r="2970" hidden="1" spans="2:18">
      <c r="B2970" s="33" t="s">
        <v>163</v>
      </c>
      <c r="C2970" s="63">
        <v>45894</v>
      </c>
      <c r="D2970" s="33" t="str">
        <f>VLOOKUP(B2970,辅助信息!E:K,7,FALSE)</f>
        <v>JWDDCD2025052800131</v>
      </c>
      <c r="E2970" s="33" t="str">
        <f>VLOOKUP(F2970,辅助信息!A:B,2,FALSE)</f>
        <v>螺纹钢</v>
      </c>
      <c r="F2970" s="33" t="s">
        <v>33</v>
      </c>
      <c r="G2970" s="29">
        <v>12</v>
      </c>
      <c r="H2970" s="113">
        <f>_xlfn.XLOOKUP(C2970&amp;F2970&amp;I2970&amp;J2970,'[1]2025年已发货'!$F:$F&amp;'[1]2025年已发货'!$C:$C&amp;'[1]2025年已发货'!$G:$G&amp;'[1]2025年已发货'!$H:$H,'[1]2025年已发货'!$E:$E,"未发货")</f>
        <v>12</v>
      </c>
      <c r="I2970" s="33" t="str">
        <f>VLOOKUP(B2970,辅助信息!E:I,3,FALSE)</f>
        <v>（商投建工达州中医药科技园-4工区-9号楼）达州市通川区达州中医药职业学院犀牛大道北段</v>
      </c>
      <c r="J2970" s="33" t="str">
        <f>VLOOKUP(B2970,辅助信息!E:I,4,FALSE)</f>
        <v>张扬</v>
      </c>
      <c r="K2970" s="33">
        <f>VLOOKUP(J2970,辅助信息!H:I,2,FALSE)</f>
        <v>18381904567</v>
      </c>
      <c r="L2970" s="102" t="str">
        <f>VLOOKUP(B2970,辅助信息!E:J,6,FALSE)</f>
        <v>控制炉批号！多了现场不收！,优先安排达钢,提前联系到场规格及数量</v>
      </c>
      <c r="O2970" s="55" t="str">
        <f ca="1" t="shared" si="173"/>
        <v/>
      </c>
      <c r="P2970" s="55" t="str">
        <f ca="1" t="shared" si="174"/>
        <v/>
      </c>
      <c r="Q2970" s="22" t="str">
        <f>VLOOKUP(B2970,辅助信息!E:M,9,FALSE)</f>
        <v>ZTWM-CDGS-XS-2024-0134-商投建工达州中医药科技成果示范园项目</v>
      </c>
      <c r="R2970" s="22" t="str">
        <f>_xlfn._xlws.FILTER(辅助信息!D:D,辅助信息!E:E=B2970)</f>
        <v>商投建工达州中医药科技园</v>
      </c>
    </row>
    <row r="2971" hidden="1" spans="2:18">
      <c r="B2971" s="33" t="s">
        <v>163</v>
      </c>
      <c r="C2971" s="63">
        <v>45894</v>
      </c>
      <c r="D2971" s="33" t="str">
        <f>VLOOKUP(B2971,辅助信息!E:K,7,FALSE)</f>
        <v>JWDDCD2025052800131</v>
      </c>
      <c r="E2971" s="33" t="str">
        <f>VLOOKUP(F2971,辅助信息!A:B,2,FALSE)</f>
        <v>螺纹钢</v>
      </c>
      <c r="F2971" s="33" t="s">
        <v>18</v>
      </c>
      <c r="G2971" s="29">
        <v>12</v>
      </c>
      <c r="H2971" s="113">
        <f>_xlfn.XLOOKUP(C2971&amp;F2971&amp;I2971&amp;J2971,'[1]2025年已发货'!$F:$F&amp;'[1]2025年已发货'!$C:$C&amp;'[1]2025年已发货'!$G:$G&amp;'[1]2025年已发货'!$H:$H,'[1]2025年已发货'!$E:$E,"未发货")</f>
        <v>12</v>
      </c>
      <c r="I2971" s="33" t="str">
        <f>VLOOKUP(B2971,辅助信息!E:I,3,FALSE)</f>
        <v>（商投建工达州中医药科技园-4工区-9号楼）达州市通川区达州中医药职业学院犀牛大道北段</v>
      </c>
      <c r="J2971" s="33" t="str">
        <f>VLOOKUP(B2971,辅助信息!E:I,4,FALSE)</f>
        <v>张扬</v>
      </c>
      <c r="K2971" s="33">
        <f>VLOOKUP(J2971,辅助信息!H:I,2,FALSE)</f>
        <v>18381904567</v>
      </c>
      <c r="L2971" s="102" t="str">
        <f>VLOOKUP(B2971,辅助信息!E:J,6,FALSE)</f>
        <v>控制炉批号！多了现场不收！,优先安排达钢,提前联系到场规格及数量</v>
      </c>
      <c r="O2971" s="55" t="str">
        <f ca="1" t="shared" si="173"/>
        <v/>
      </c>
      <c r="P2971" s="55" t="str">
        <f ca="1" t="shared" si="174"/>
        <v/>
      </c>
      <c r="Q2971" s="22" t="str">
        <f>VLOOKUP(B2971,辅助信息!E:M,9,FALSE)</f>
        <v>ZTWM-CDGS-XS-2024-0134-商投建工达州中医药科技成果示范园项目</v>
      </c>
      <c r="R2971" s="22" t="str">
        <f>_xlfn._xlws.FILTER(辅助信息!D:D,辅助信息!E:E=B2971)</f>
        <v>商投建工达州中医药科技园</v>
      </c>
    </row>
    <row r="2972" hidden="1" spans="2:18">
      <c r="B2972" s="33" t="s">
        <v>163</v>
      </c>
      <c r="C2972" s="63">
        <v>45894</v>
      </c>
      <c r="D2972" s="33" t="str">
        <f>VLOOKUP(B2972,辅助信息!E:K,7,FALSE)</f>
        <v>JWDDCD2025052800131</v>
      </c>
      <c r="E2972" s="33" t="str">
        <f>VLOOKUP(F2972,辅助信息!A:B,2,FALSE)</f>
        <v>螺纹钢</v>
      </c>
      <c r="F2972" s="33" t="s">
        <v>21</v>
      </c>
      <c r="G2972" s="29">
        <v>6</v>
      </c>
      <c r="H2972" s="113" t="str">
        <f>_xlfn.XLOOKUP(C2972&amp;F2972&amp;I2972&amp;J2972,'[1]2025年已发货'!$F:$F&amp;'[1]2025年已发货'!$C:$C&amp;'[1]2025年已发货'!$G:$G&amp;'[1]2025年已发货'!$H:$H,'[1]2025年已发货'!$E:$E,"未发货")</f>
        <v>未发货</v>
      </c>
      <c r="I2972" s="33" t="str">
        <f>VLOOKUP(B2972,辅助信息!E:I,3,FALSE)</f>
        <v>（商投建工达州中医药科技园-4工区-9号楼）达州市通川区达州中医药职业学院犀牛大道北段</v>
      </c>
      <c r="J2972" s="33" t="str">
        <f>VLOOKUP(B2972,辅助信息!E:I,4,FALSE)</f>
        <v>张扬</v>
      </c>
      <c r="K2972" s="33">
        <f>VLOOKUP(J2972,辅助信息!H:I,2,FALSE)</f>
        <v>18381904567</v>
      </c>
      <c r="L2972" s="102" t="str">
        <f>VLOOKUP(B2972,辅助信息!E:J,6,FALSE)</f>
        <v>控制炉批号！多了现场不收！,优先安排达钢,提前联系到场规格及数量</v>
      </c>
      <c r="O2972" s="55" t="str">
        <f ca="1" t="shared" si="173"/>
        <v/>
      </c>
      <c r="P2972" s="55" t="str">
        <f ca="1" t="shared" si="174"/>
        <v/>
      </c>
      <c r="Q2972" s="22" t="str">
        <f>VLOOKUP(B2972,辅助信息!E:M,9,FALSE)</f>
        <v>ZTWM-CDGS-XS-2024-0134-商投建工达州中医药科技成果示范园项目</v>
      </c>
      <c r="R2972" s="22" t="str">
        <f>_xlfn._xlws.FILTER(辅助信息!D:D,辅助信息!E:E=B2972)</f>
        <v>商投建工达州中医药科技园</v>
      </c>
    </row>
    <row r="2973" hidden="1" spans="2:18">
      <c r="B2973" s="33" t="s">
        <v>163</v>
      </c>
      <c r="C2973" s="63">
        <v>45894</v>
      </c>
      <c r="D2973" s="33" t="str">
        <f>VLOOKUP(B2973,辅助信息!E:K,7,FALSE)</f>
        <v>JWDDCD2025052800131</v>
      </c>
      <c r="E2973" s="33" t="str">
        <f>VLOOKUP(F2973,辅助信息!A:B,2,FALSE)</f>
        <v>螺纹钢</v>
      </c>
      <c r="F2973" s="33" t="s">
        <v>58</v>
      </c>
      <c r="G2973" s="29">
        <v>12</v>
      </c>
      <c r="H2973" s="113" t="str">
        <f>_xlfn.XLOOKUP(C2973&amp;F2973&amp;I2973&amp;J2973,'[1]2025年已发货'!$F:$F&amp;'[1]2025年已发货'!$C:$C&amp;'[1]2025年已发货'!$G:$G&amp;'[1]2025年已发货'!$H:$H,'[1]2025年已发货'!$E:$E,"未发货")</f>
        <v>未发货</v>
      </c>
      <c r="I2973" s="33" t="str">
        <f>VLOOKUP(B2973,辅助信息!E:I,3,FALSE)</f>
        <v>（商投建工达州中医药科技园-4工区-9号楼）达州市通川区达州中医药职业学院犀牛大道北段</v>
      </c>
      <c r="J2973" s="33" t="str">
        <f>VLOOKUP(B2973,辅助信息!E:I,4,FALSE)</f>
        <v>张扬</v>
      </c>
      <c r="K2973" s="33">
        <f>VLOOKUP(J2973,辅助信息!H:I,2,FALSE)</f>
        <v>18381904567</v>
      </c>
      <c r="L2973" s="102" t="str">
        <f>VLOOKUP(B2973,辅助信息!E:J,6,FALSE)</f>
        <v>控制炉批号！多了现场不收！,优先安排达钢,提前联系到场规格及数量</v>
      </c>
      <c r="O2973" s="55" t="str">
        <f ca="1" t="shared" si="173"/>
        <v/>
      </c>
      <c r="P2973" s="55" t="str">
        <f ca="1" t="shared" si="174"/>
        <v/>
      </c>
      <c r="Q2973" s="22" t="str">
        <f>VLOOKUP(B2973,辅助信息!E:M,9,FALSE)</f>
        <v>ZTWM-CDGS-XS-2024-0134-商投建工达州中医药科技成果示范园项目</v>
      </c>
      <c r="R2973" s="22" t="str">
        <f>_xlfn._xlws.FILTER(辅助信息!D:D,辅助信息!E:E=B2973)</f>
        <v>商投建工达州中医药科技园</v>
      </c>
    </row>
    <row r="2974" hidden="1" spans="2:18">
      <c r="B2974" s="33" t="s">
        <v>194</v>
      </c>
      <c r="C2974" s="63">
        <v>45894</v>
      </c>
      <c r="D2974" s="33" t="str">
        <f>VLOOKUP(B2974,辅助信息!E:K,7,FALSE)</f>
        <v>JWDD2025071500089</v>
      </c>
      <c r="E2974" s="33" t="str">
        <f>VLOOKUP(F2974,辅助信息!A:B,2,FALSE)</f>
        <v>盘螺</v>
      </c>
      <c r="F2974" s="33" t="s">
        <v>40</v>
      </c>
      <c r="G2974" s="29">
        <v>35</v>
      </c>
      <c r="H2974" s="134">
        <f>_xlfn.XLOOKUP(C2974&amp;F2974&amp;I2974&amp;J2974,'[1]2025年已发货'!$F:$F&amp;'[1]2025年已发货'!$C:$C&amp;'[1]2025年已发货'!$G:$G&amp;'[1]2025年已发货'!$H:$H,'[1]2025年已发货'!$E:$E,"未发货")</f>
        <v>35</v>
      </c>
      <c r="I2974" s="33" t="str">
        <f>VLOOKUP(B2974,辅助信息!E:I,3,FALSE)</f>
        <v>(宜宾兴港三江新区长江工业园保障性租赁住房建设项目-土建)四川省宜宾市翠屏区永善路南段宜宾市三江新区长江工业园区</v>
      </c>
      <c r="J2974" s="33" t="str">
        <f>VLOOKUP(B2974,辅助信息!E:I,4,FALSE)</f>
        <v>赵元虎</v>
      </c>
      <c r="K2974" s="33">
        <f>VLOOKUP(J2974,辅助信息!H:I,2,FALSE)</f>
        <v>13684167136</v>
      </c>
      <c r="L2974" s="102" t="str">
        <f>VLOOKUP(B2974,辅助信息!E:J,6,FALSE)</f>
        <v>现场要求调度统一联系指定收货人，不单独发司机位置。锈货不收，装货前联系收货人核实到场规格,没提前告知进场规格现场不给予接收</v>
      </c>
      <c r="O2974" s="55" t="str">
        <f ca="1" t="shared" si="173"/>
        <v/>
      </c>
      <c r="P2974" s="55" t="str">
        <f ca="1" t="shared" si="174"/>
        <v/>
      </c>
      <c r="Q2974" s="22" t="str">
        <f>VLOOKUP(B2974,辅助信息!E:M,9,FALSE)</f>
        <v>ZTWM-CDYXGS-XS-2025-0014-宜宾兴港建材-三江新区长江工业园片区保障性租赁住房建设项目</v>
      </c>
      <c r="R2974" s="22" t="str">
        <f>_xlfn._xlws.FILTER(辅助信息!D:D,辅助信息!E:E=B2974)</f>
        <v>宜宾兴港三江新区长江工业园建设项目</v>
      </c>
    </row>
    <row r="2975" hidden="1" spans="2:18">
      <c r="B2975" s="33" t="s">
        <v>194</v>
      </c>
      <c r="C2975" s="63">
        <v>45894</v>
      </c>
      <c r="D2975" s="33" t="str">
        <f>VLOOKUP(B2975,辅助信息!E:K,7,FALSE)</f>
        <v>JWDD2025071500089</v>
      </c>
      <c r="E2975" s="33" t="str">
        <f>VLOOKUP(F2975,辅助信息!A:B,2,FALSE)</f>
        <v>螺纹钢</v>
      </c>
      <c r="F2975" s="33" t="s">
        <v>27</v>
      </c>
      <c r="G2975" s="29">
        <v>5</v>
      </c>
      <c r="H2975" s="134">
        <f>_xlfn.XLOOKUP(C2975&amp;F2975&amp;I2975&amp;J2975,'[1]2025年已发货'!$F:$F&amp;'[1]2025年已发货'!$C:$C&amp;'[1]2025年已发货'!$G:$G&amp;'[1]2025年已发货'!$H:$H,'[1]2025年已发货'!$E:$E,"未发货")</f>
        <v>5</v>
      </c>
      <c r="I2975" s="33" t="str">
        <f>VLOOKUP(B2975,辅助信息!E:I,3,FALSE)</f>
        <v>(宜宾兴港三江新区长江工业园保障性租赁住房建设项目-土建)四川省宜宾市翠屏区永善路南段宜宾市三江新区长江工业园区</v>
      </c>
      <c r="J2975" s="33" t="str">
        <f>VLOOKUP(B2975,辅助信息!E:I,4,FALSE)</f>
        <v>赵元虎</v>
      </c>
      <c r="K2975" s="33">
        <f>VLOOKUP(J2975,辅助信息!H:I,2,FALSE)</f>
        <v>13684167136</v>
      </c>
      <c r="L2975" s="102" t="str">
        <f>VLOOKUP(B2975,辅助信息!E:J,6,FALSE)</f>
        <v>现场要求调度统一联系指定收货人，不单独发司机位置。锈货不收，装货前联系收货人核实到场规格,没提前告知进场规格现场不给予接收</v>
      </c>
      <c r="O2975" s="55" t="str">
        <f ca="1" t="shared" si="173"/>
        <v/>
      </c>
      <c r="P2975" s="55" t="str">
        <f ca="1" t="shared" si="174"/>
        <v/>
      </c>
      <c r="Q2975" s="22" t="str">
        <f>VLOOKUP(B2975,辅助信息!E:M,9,FALSE)</f>
        <v>ZTWM-CDYXGS-XS-2025-0014-宜宾兴港建材-三江新区长江工业园片区保障性租赁住房建设项目</v>
      </c>
      <c r="R2975" s="22" t="str">
        <f>_xlfn._xlws.FILTER(辅助信息!D:D,辅助信息!E:E=B2975)</f>
        <v>宜宾兴港三江新区长江工业园建设项目</v>
      </c>
    </row>
    <row r="2976" hidden="1" spans="2:18">
      <c r="B2976" s="33" t="s">
        <v>194</v>
      </c>
      <c r="C2976" s="63">
        <v>45894</v>
      </c>
      <c r="D2976" s="33" t="str">
        <f>VLOOKUP(B2976,辅助信息!E:K,7,FALSE)</f>
        <v>JWDD2025071500089</v>
      </c>
      <c r="E2976" s="33" t="str">
        <f>VLOOKUP(F2976,辅助信息!A:B,2,FALSE)</f>
        <v>螺纹钢</v>
      </c>
      <c r="F2976" s="33" t="s">
        <v>19</v>
      </c>
      <c r="G2976" s="29">
        <v>40</v>
      </c>
      <c r="H2976" s="134">
        <v>40</v>
      </c>
      <c r="I2976" s="33" t="str">
        <f>VLOOKUP(B2976,辅助信息!E:I,3,FALSE)</f>
        <v>(宜宾兴港三江新区长江工业园保障性租赁住房建设项目-土建)四川省宜宾市翠屏区永善路南段宜宾市三江新区长江工业园区</v>
      </c>
      <c r="J2976" s="33" t="str">
        <f>VLOOKUP(B2976,辅助信息!E:I,4,FALSE)</f>
        <v>赵元虎</v>
      </c>
      <c r="K2976" s="33">
        <f>VLOOKUP(J2976,辅助信息!H:I,2,FALSE)</f>
        <v>13684167136</v>
      </c>
      <c r="L2976" s="102" t="str">
        <f>VLOOKUP(B2976,辅助信息!E:J,6,FALSE)</f>
        <v>现场要求调度统一联系指定收货人，不单独发司机位置。锈货不收，装货前联系收货人核实到场规格,没提前告知进场规格现场不给予接收</v>
      </c>
      <c r="O2976" s="55" t="str">
        <f ca="1" t="shared" si="173"/>
        <v/>
      </c>
      <c r="P2976" s="55" t="str">
        <f ca="1" t="shared" si="174"/>
        <v/>
      </c>
      <c r="Q2976" s="22" t="str">
        <f>VLOOKUP(B2976,辅助信息!E:M,9,FALSE)</f>
        <v>ZTWM-CDYXGS-XS-2025-0014-宜宾兴港建材-三江新区长江工业园片区保障性租赁住房建设项目</v>
      </c>
      <c r="R2976" s="22" t="str">
        <f>_xlfn._xlws.FILTER(辅助信息!D:D,辅助信息!E:E=B2976)</f>
        <v>宜宾兴港三江新区长江工业园建设项目</v>
      </c>
    </row>
    <row r="2977" hidden="1" spans="2:18">
      <c r="B2977" s="33" t="s">
        <v>194</v>
      </c>
      <c r="C2977" s="63">
        <v>45894</v>
      </c>
      <c r="D2977" s="33" t="str">
        <f>VLOOKUP(B2977,辅助信息!E:K,7,FALSE)</f>
        <v>JWDD2025071500089</v>
      </c>
      <c r="E2977" s="33" t="str">
        <f>VLOOKUP(F2977,辅助信息!A:B,2,FALSE)</f>
        <v>螺纹钢</v>
      </c>
      <c r="F2977" s="33" t="s">
        <v>32</v>
      </c>
      <c r="G2977" s="29">
        <v>20</v>
      </c>
      <c r="H2977" s="134">
        <f>_xlfn.XLOOKUP(C2977&amp;F2977&amp;I2977&amp;J2977,'[1]2025年已发货'!$F:$F&amp;'[1]2025年已发货'!$C:$C&amp;'[1]2025年已发货'!$G:$G&amp;'[1]2025年已发货'!$H:$H,'[1]2025年已发货'!$E:$E,"未发货")</f>
        <v>20</v>
      </c>
      <c r="I2977" s="33" t="str">
        <f>VLOOKUP(B2977,辅助信息!E:I,3,FALSE)</f>
        <v>(宜宾兴港三江新区长江工业园保障性租赁住房建设项目-土建)四川省宜宾市翠屏区永善路南段宜宾市三江新区长江工业园区</v>
      </c>
      <c r="J2977" s="33" t="str">
        <f>VLOOKUP(B2977,辅助信息!E:I,4,FALSE)</f>
        <v>赵元虎</v>
      </c>
      <c r="K2977" s="33">
        <f>VLOOKUP(J2977,辅助信息!H:I,2,FALSE)</f>
        <v>13684167136</v>
      </c>
      <c r="L2977" s="102" t="str">
        <f>VLOOKUP(B2977,辅助信息!E:J,6,FALSE)</f>
        <v>现场要求调度统一联系指定收货人，不单独发司机位置。锈货不收，装货前联系收货人核实到场规格,没提前告知进场规格现场不给予接收</v>
      </c>
      <c r="O2977" s="55" t="str">
        <f ca="1" t="shared" si="173"/>
        <v/>
      </c>
      <c r="P2977" s="55" t="str">
        <f ca="1" t="shared" si="174"/>
        <v/>
      </c>
      <c r="Q2977" s="22" t="str">
        <f>VLOOKUP(B2977,辅助信息!E:M,9,FALSE)</f>
        <v>ZTWM-CDYXGS-XS-2025-0014-宜宾兴港建材-三江新区长江工业园片区保障性租赁住房建设项目</v>
      </c>
      <c r="R2977" s="22" t="str">
        <f>_xlfn._xlws.FILTER(辅助信息!D:D,辅助信息!E:E=B2977)</f>
        <v>宜宾兴港三江新区长江工业园建设项目</v>
      </c>
    </row>
    <row r="2978" hidden="1" spans="2:18">
      <c r="B2978" s="33" t="s">
        <v>194</v>
      </c>
      <c r="C2978" s="63">
        <v>45894</v>
      </c>
      <c r="D2978" s="33" t="str">
        <f>VLOOKUP(B2978,辅助信息!E:K,7,FALSE)</f>
        <v>JWDD2025071500089</v>
      </c>
      <c r="E2978" s="33" t="str">
        <f>VLOOKUP(F2978,辅助信息!A:B,2,FALSE)</f>
        <v>螺纹钢</v>
      </c>
      <c r="F2978" s="33" t="s">
        <v>30</v>
      </c>
      <c r="G2978" s="29">
        <v>8</v>
      </c>
      <c r="H2978" s="134">
        <f>_xlfn.XLOOKUP(C2978&amp;F2978&amp;I2978&amp;J2978,'[1]2025年已发货'!$F:$F&amp;'[1]2025年已发货'!$C:$C&amp;'[1]2025年已发货'!$G:$G&amp;'[1]2025年已发货'!$H:$H,'[1]2025年已发货'!$E:$E,"未发货")</f>
        <v>8</v>
      </c>
      <c r="I2978" s="33" t="str">
        <f>VLOOKUP(B2978,辅助信息!E:I,3,FALSE)</f>
        <v>(宜宾兴港三江新区长江工业园保障性租赁住房建设项目-土建)四川省宜宾市翠屏区永善路南段宜宾市三江新区长江工业园区</v>
      </c>
      <c r="J2978" s="33" t="str">
        <f>VLOOKUP(B2978,辅助信息!E:I,4,FALSE)</f>
        <v>赵元虎</v>
      </c>
      <c r="K2978" s="33">
        <f>VLOOKUP(J2978,辅助信息!H:I,2,FALSE)</f>
        <v>13684167136</v>
      </c>
      <c r="L2978" s="102" t="str">
        <f>VLOOKUP(B2978,辅助信息!E:J,6,FALSE)</f>
        <v>现场要求调度统一联系指定收货人，不单独发司机位置。锈货不收，装货前联系收货人核实到场规格,没提前告知进场规格现场不给予接收</v>
      </c>
      <c r="O2978" s="55" t="str">
        <f ca="1" t="shared" si="173"/>
        <v/>
      </c>
      <c r="P2978" s="55" t="str">
        <f ca="1" t="shared" si="174"/>
        <v/>
      </c>
      <c r="Q2978" s="22" t="str">
        <f>VLOOKUP(B2978,辅助信息!E:M,9,FALSE)</f>
        <v>ZTWM-CDYXGS-XS-2025-0014-宜宾兴港建材-三江新区长江工业园片区保障性租赁住房建设项目</v>
      </c>
      <c r="R2978" s="22" t="str">
        <f>_xlfn._xlws.FILTER(辅助信息!D:D,辅助信息!E:E=B2978)</f>
        <v>宜宾兴港三江新区长江工业园建设项目</v>
      </c>
    </row>
    <row r="2979" hidden="1" spans="2:18">
      <c r="B2979" s="33" t="s">
        <v>194</v>
      </c>
      <c r="C2979" s="63">
        <v>45894</v>
      </c>
      <c r="D2979" s="33" t="str">
        <f>VLOOKUP(B2979,辅助信息!E:K,7,FALSE)</f>
        <v>JWDD2025071500089</v>
      </c>
      <c r="E2979" s="33" t="str">
        <f>VLOOKUP(F2979,辅助信息!A:B,2,FALSE)</f>
        <v>螺纹钢</v>
      </c>
      <c r="F2979" s="33" t="s">
        <v>28</v>
      </c>
      <c r="G2979" s="29">
        <v>15</v>
      </c>
      <c r="H2979" s="134">
        <f>_xlfn.XLOOKUP(C2979&amp;F2979&amp;I2979&amp;J2979,'[1]2025年已发货'!$F:$F&amp;'[1]2025年已发货'!$C:$C&amp;'[1]2025年已发货'!$G:$G&amp;'[1]2025年已发货'!$H:$H,'[1]2025年已发货'!$E:$E,"未发货")</f>
        <v>15</v>
      </c>
      <c r="I2979" s="33" t="str">
        <f>VLOOKUP(B2979,辅助信息!E:I,3,FALSE)</f>
        <v>(宜宾兴港三江新区长江工业园保障性租赁住房建设项目-土建)四川省宜宾市翠屏区永善路南段宜宾市三江新区长江工业园区</v>
      </c>
      <c r="J2979" s="33" t="str">
        <f>VLOOKUP(B2979,辅助信息!E:I,4,FALSE)</f>
        <v>赵元虎</v>
      </c>
      <c r="K2979" s="33">
        <f>VLOOKUP(J2979,辅助信息!H:I,2,FALSE)</f>
        <v>13684167136</v>
      </c>
      <c r="L2979" s="102" t="str">
        <f>VLOOKUP(B2979,辅助信息!E:J,6,FALSE)</f>
        <v>现场要求调度统一联系指定收货人，不单独发司机位置。锈货不收，装货前联系收货人核实到场规格,没提前告知进场规格现场不给予接收</v>
      </c>
      <c r="O2979" s="55" t="str">
        <f ca="1" t="shared" si="173"/>
        <v/>
      </c>
      <c r="P2979" s="55" t="str">
        <f ca="1" t="shared" si="174"/>
        <v/>
      </c>
      <c r="Q2979" s="22" t="str">
        <f>VLOOKUP(B2979,辅助信息!E:M,9,FALSE)</f>
        <v>ZTWM-CDYXGS-XS-2025-0014-宜宾兴港建材-三江新区长江工业园片区保障性租赁住房建设项目</v>
      </c>
      <c r="R2979" s="22" t="str">
        <f>_xlfn._xlws.FILTER(辅助信息!D:D,辅助信息!E:E=B2979)</f>
        <v>宜宾兴港三江新区长江工业园建设项目</v>
      </c>
    </row>
    <row r="2980" hidden="1" spans="2:18">
      <c r="B2980" s="33" t="s">
        <v>194</v>
      </c>
      <c r="C2980" s="63">
        <v>45894</v>
      </c>
      <c r="D2980" s="33" t="str">
        <f>VLOOKUP(B2980,辅助信息!E:K,7,FALSE)</f>
        <v>JWDD2025071500089</v>
      </c>
      <c r="E2980" s="33" t="str">
        <f>VLOOKUP(F2980,辅助信息!A:B,2,FALSE)</f>
        <v>螺纹钢</v>
      </c>
      <c r="F2980" s="33" t="s">
        <v>18</v>
      </c>
      <c r="G2980" s="29">
        <v>15</v>
      </c>
      <c r="H2980" s="134">
        <f>_xlfn.XLOOKUP(C2980&amp;F2980&amp;I2980&amp;J2980,'[1]2025年已发货'!$F:$F&amp;'[1]2025年已发货'!$C:$C&amp;'[1]2025年已发货'!$G:$G&amp;'[1]2025年已发货'!$H:$H,'[1]2025年已发货'!$E:$E,"未发货")</f>
        <v>15</v>
      </c>
      <c r="I2980" s="33" t="str">
        <f>VLOOKUP(B2980,辅助信息!E:I,3,FALSE)</f>
        <v>(宜宾兴港三江新区长江工业园保障性租赁住房建设项目-土建)四川省宜宾市翠屏区永善路南段宜宾市三江新区长江工业园区</v>
      </c>
      <c r="J2980" s="33" t="str">
        <f>VLOOKUP(B2980,辅助信息!E:I,4,FALSE)</f>
        <v>赵元虎</v>
      </c>
      <c r="K2980" s="33">
        <f>VLOOKUP(J2980,辅助信息!H:I,2,FALSE)</f>
        <v>13684167136</v>
      </c>
      <c r="L2980" s="102" t="str">
        <f>VLOOKUP(B2980,辅助信息!E:J,6,FALSE)</f>
        <v>现场要求调度统一联系指定收货人，不单独发司机位置。锈货不收，装货前联系收货人核实到场规格,没提前告知进场规格现场不给予接收</v>
      </c>
      <c r="O2980" s="55" t="str">
        <f ca="1" t="shared" si="173"/>
        <v/>
      </c>
      <c r="P2980" s="55" t="str">
        <f ca="1" t="shared" si="174"/>
        <v/>
      </c>
      <c r="Q2980" s="22" t="str">
        <f>VLOOKUP(B2980,辅助信息!E:M,9,FALSE)</f>
        <v>ZTWM-CDYXGS-XS-2025-0014-宜宾兴港建材-三江新区长江工业园片区保障性租赁住房建设项目</v>
      </c>
      <c r="R2980" s="22" t="str">
        <f>_xlfn._xlws.FILTER(辅助信息!D:D,辅助信息!E:E=B2980)</f>
        <v>宜宾兴港三江新区长江工业园建设项目</v>
      </c>
    </row>
    <row r="2981" hidden="1" spans="2:18">
      <c r="B2981" s="33" t="s">
        <v>187</v>
      </c>
      <c r="C2981" s="63">
        <v>45894</v>
      </c>
      <c r="D2981" s="33" t="str">
        <f>VLOOKUP(B2981,辅助信息!E:K,7,FALSE)</f>
        <v>JWDDCD2025072900121</v>
      </c>
      <c r="E2981" s="33" t="str">
        <f>VLOOKUP(F2981,辅助信息!A:B,2,FALSE)</f>
        <v>盘螺</v>
      </c>
      <c r="F2981" s="33" t="s">
        <v>49</v>
      </c>
      <c r="G2981" s="29">
        <v>20</v>
      </c>
      <c r="H2981" s="134">
        <f>_xlfn.XLOOKUP(C2981&amp;F2981&amp;I2981&amp;J2981,'[1]2025年已发货'!$F:$F&amp;'[1]2025年已发货'!$C:$C&amp;'[1]2025年已发货'!$G:$G&amp;'[1]2025年已发货'!$H:$H,'[1]2025年已发货'!$E:$E,"未发货")</f>
        <v>20</v>
      </c>
      <c r="I2981" s="33" t="str">
        <f>VLOOKUP(B2981,辅助信息!E:I,3,FALSE)</f>
        <v>(乐山市校地共建产教融合基地建设项目一标段)四川省乐山市市中区苏稽镇周山嘴</v>
      </c>
      <c r="J2981" s="33" t="str">
        <f>VLOOKUP(B2981,辅助信息!E:I,4,FALSE)</f>
        <v>范增云</v>
      </c>
      <c r="K2981" s="33">
        <f>VLOOKUP(J2981,辅助信息!H:I,2,FALSE)</f>
        <v>13668153241</v>
      </c>
      <c r="L2981" s="102" t="str">
        <f>VLOOKUP(B2981,辅助信息!E:J,6,FALSE)</f>
        <v>联系实际收货人（范增云13668153241）现场要求炉批号控制2个以下，超2个不给予签收。提前联系到场规格及数量</v>
      </c>
      <c r="O2981" s="55" t="str">
        <f ca="1" t="shared" si="173"/>
        <v/>
      </c>
      <c r="P2981" s="55" t="str">
        <f ca="1" t="shared" si="174"/>
        <v/>
      </c>
      <c r="Q2981" s="22" t="str">
        <f>VLOOKUP(B2981,辅助信息!E:M,9,FALSE)</f>
        <v>ZTWM-CDGS-XS-2025-0125-四川机司-乐山市校地共建产教融合基地配套设施项目施工一标段钢筋采购合同</v>
      </c>
      <c r="R2981" s="22" t="str">
        <f>_xlfn._xlws.FILTER(辅助信息!D:D,辅助信息!E:E=B2981)</f>
        <v>乐山市校地共建产教融合基地建设项目一标段</v>
      </c>
    </row>
    <row r="2982" hidden="1" spans="2:18">
      <c r="B2982" s="33" t="s">
        <v>187</v>
      </c>
      <c r="C2982" s="63">
        <v>45894</v>
      </c>
      <c r="D2982" s="33" t="str">
        <f>VLOOKUP(B2982,辅助信息!E:K,7,FALSE)</f>
        <v>JWDDCD2025072900121</v>
      </c>
      <c r="E2982" s="33" t="str">
        <f>VLOOKUP(F2982,辅助信息!A:B,2,FALSE)</f>
        <v>盘螺</v>
      </c>
      <c r="F2982" s="33" t="s">
        <v>40</v>
      </c>
      <c r="G2982" s="29">
        <v>40</v>
      </c>
      <c r="H2982" s="134">
        <f>_xlfn.XLOOKUP(C2982&amp;F2982&amp;I2982&amp;J2982,'[1]2025年已发货'!$F:$F&amp;'[1]2025年已发货'!$C:$C&amp;'[1]2025年已发货'!$G:$G&amp;'[1]2025年已发货'!$H:$H,'[1]2025年已发货'!$E:$E,"未发货")</f>
        <v>40</v>
      </c>
      <c r="I2982" s="33" t="str">
        <f>VLOOKUP(B2982,辅助信息!E:I,3,FALSE)</f>
        <v>(乐山市校地共建产教融合基地建设项目一标段)四川省乐山市市中区苏稽镇周山嘴</v>
      </c>
      <c r="J2982" s="33" t="str">
        <f>VLOOKUP(B2982,辅助信息!E:I,4,FALSE)</f>
        <v>范增云</v>
      </c>
      <c r="K2982" s="33">
        <f>VLOOKUP(J2982,辅助信息!H:I,2,FALSE)</f>
        <v>13668153241</v>
      </c>
      <c r="L2982" s="102" t="str">
        <f>VLOOKUP(B2982,辅助信息!E:J,6,FALSE)</f>
        <v>联系实际收货人（范增云13668153241）现场要求炉批号控制2个以下，超2个不给予签收。提前联系到场规格及数量</v>
      </c>
      <c r="O2982" s="55" t="str">
        <f ca="1" t="shared" si="173"/>
        <v/>
      </c>
      <c r="P2982" s="55" t="str">
        <f ca="1" t="shared" si="174"/>
        <v/>
      </c>
      <c r="Q2982" s="22" t="str">
        <f>VLOOKUP(B2982,辅助信息!E:M,9,FALSE)</f>
        <v>ZTWM-CDGS-XS-2025-0125-四川机司-乐山市校地共建产教融合基地配套设施项目施工一标段钢筋采购合同</v>
      </c>
      <c r="R2982" s="22" t="str">
        <f>_xlfn._xlws.FILTER(辅助信息!D:D,辅助信息!E:E=B2982)</f>
        <v>乐山市校地共建产教融合基地建设项目一标段</v>
      </c>
    </row>
    <row r="2983" hidden="1" spans="2:18">
      <c r="B2983" s="33" t="s">
        <v>187</v>
      </c>
      <c r="C2983" s="63">
        <v>45894</v>
      </c>
      <c r="D2983" s="33" t="str">
        <f>VLOOKUP(B2983,辅助信息!E:K,7,FALSE)</f>
        <v>JWDDCD2025072900121</v>
      </c>
      <c r="E2983" s="33" t="str">
        <f>VLOOKUP(F2983,辅助信息!A:B,2,FALSE)</f>
        <v>盘螺</v>
      </c>
      <c r="F2983" s="33" t="s">
        <v>41</v>
      </c>
      <c r="G2983" s="29">
        <v>30</v>
      </c>
      <c r="H2983" s="134">
        <f>_xlfn.XLOOKUP(C2983&amp;F2983&amp;I2983&amp;J2983,'[1]2025年已发货'!$F:$F&amp;'[1]2025年已发货'!$C:$C&amp;'[1]2025年已发货'!$G:$G&amp;'[1]2025年已发货'!$H:$H,'[1]2025年已发货'!$E:$E,"未发货")</f>
        <v>30</v>
      </c>
      <c r="I2983" s="33" t="str">
        <f>VLOOKUP(B2983,辅助信息!E:I,3,FALSE)</f>
        <v>(乐山市校地共建产教融合基地建设项目一标段)四川省乐山市市中区苏稽镇周山嘴</v>
      </c>
      <c r="J2983" s="33" t="str">
        <f>VLOOKUP(B2983,辅助信息!E:I,4,FALSE)</f>
        <v>范增云</v>
      </c>
      <c r="K2983" s="33">
        <f>VLOOKUP(J2983,辅助信息!H:I,2,FALSE)</f>
        <v>13668153241</v>
      </c>
      <c r="L2983" s="102" t="str">
        <f>VLOOKUP(B2983,辅助信息!E:J,6,FALSE)</f>
        <v>联系实际收货人（范增云13668153241）现场要求炉批号控制2个以下，超2个不给予签收。提前联系到场规格及数量</v>
      </c>
      <c r="O2983" s="55" t="str">
        <f ca="1" t="shared" si="173"/>
        <v/>
      </c>
      <c r="P2983" s="55" t="str">
        <f ca="1" t="shared" si="174"/>
        <v/>
      </c>
      <c r="Q2983" s="22" t="str">
        <f>VLOOKUP(B2983,辅助信息!E:M,9,FALSE)</f>
        <v>ZTWM-CDGS-XS-2025-0125-四川机司-乐山市校地共建产教融合基地配套设施项目施工一标段钢筋采购合同</v>
      </c>
      <c r="R2983" s="22" t="str">
        <f>_xlfn._xlws.FILTER(辅助信息!D:D,辅助信息!E:E=B2983)</f>
        <v>乐山市校地共建产教融合基地建设项目一标段</v>
      </c>
    </row>
    <row r="2984" hidden="1" spans="2:18">
      <c r="B2984" s="33" t="s">
        <v>187</v>
      </c>
      <c r="C2984" s="63">
        <v>45894</v>
      </c>
      <c r="D2984" s="33" t="str">
        <f>VLOOKUP(B2984,辅助信息!E:K,7,FALSE)</f>
        <v>JWDDCD2025072900121</v>
      </c>
      <c r="E2984" s="33" t="str">
        <f>VLOOKUP(F2984,辅助信息!A:B,2,FALSE)</f>
        <v>螺纹钢</v>
      </c>
      <c r="F2984" s="33" t="s">
        <v>19</v>
      </c>
      <c r="G2984" s="29">
        <v>10</v>
      </c>
      <c r="H2984" s="134">
        <f>_xlfn.XLOOKUP(C2984&amp;F2984&amp;I2984&amp;J2984,'[1]2025年已发货'!$F:$F&amp;'[1]2025年已发货'!$C:$C&amp;'[1]2025年已发货'!$G:$G&amp;'[1]2025年已发货'!$H:$H,'[1]2025年已发货'!$E:$E,"未发货")</f>
        <v>3</v>
      </c>
      <c r="I2984" s="33" t="str">
        <f>VLOOKUP(B2984,辅助信息!E:I,3,FALSE)</f>
        <v>(乐山市校地共建产教融合基地建设项目一标段)四川省乐山市市中区苏稽镇周山嘴</v>
      </c>
      <c r="J2984" s="33" t="str">
        <f>VLOOKUP(B2984,辅助信息!E:I,4,FALSE)</f>
        <v>范增云</v>
      </c>
      <c r="K2984" s="33">
        <f>VLOOKUP(J2984,辅助信息!H:I,2,FALSE)</f>
        <v>13668153241</v>
      </c>
      <c r="L2984" s="102" t="str">
        <f>VLOOKUP(B2984,辅助信息!E:J,6,FALSE)</f>
        <v>联系实际收货人（范增云13668153241）现场要求炉批号控制2个以下，超2个不给予签收。提前联系到场规格及数量</v>
      </c>
      <c r="O2984" s="55" t="str">
        <f ca="1" t="shared" si="173"/>
        <v/>
      </c>
      <c r="P2984" s="55" t="str">
        <f ca="1" t="shared" si="174"/>
        <v/>
      </c>
      <c r="Q2984" s="22" t="str">
        <f>VLOOKUP(B2984,辅助信息!E:M,9,FALSE)</f>
        <v>ZTWM-CDGS-XS-2025-0125-四川机司-乐山市校地共建产教融合基地配套设施项目施工一标段钢筋采购合同</v>
      </c>
      <c r="R2984" s="22" t="str">
        <f>_xlfn._xlws.FILTER(辅助信息!D:D,辅助信息!E:E=B2984)</f>
        <v>乐山市校地共建产教融合基地建设项目一标段</v>
      </c>
    </row>
    <row r="2985" hidden="1" spans="2:18">
      <c r="B2985" s="33" t="s">
        <v>187</v>
      </c>
      <c r="C2985" s="63">
        <v>45894</v>
      </c>
      <c r="D2985" s="33" t="str">
        <f>VLOOKUP(B2985,辅助信息!E:K,7,FALSE)</f>
        <v>JWDDCD2025072900121</v>
      </c>
      <c r="E2985" s="33" t="str">
        <f>VLOOKUP(F2985,辅助信息!A:B,2,FALSE)</f>
        <v>螺纹钢</v>
      </c>
      <c r="F2985" s="33" t="s">
        <v>33</v>
      </c>
      <c r="G2985" s="29">
        <v>7</v>
      </c>
      <c r="H2985" s="134">
        <f>_xlfn.XLOOKUP(C2985&amp;F2985&amp;I2985&amp;J2985,'[1]2025年已发货'!$F:$F&amp;'[1]2025年已发货'!$C:$C&amp;'[1]2025年已发货'!$G:$G&amp;'[1]2025年已发货'!$H:$H,'[1]2025年已发货'!$E:$E,"未发货")</f>
        <v>7</v>
      </c>
      <c r="I2985" s="33" t="str">
        <f>VLOOKUP(B2985,辅助信息!E:I,3,FALSE)</f>
        <v>(乐山市校地共建产教融合基地建设项目一标段)四川省乐山市市中区苏稽镇周山嘴</v>
      </c>
      <c r="J2985" s="33" t="str">
        <f>VLOOKUP(B2985,辅助信息!E:I,4,FALSE)</f>
        <v>范增云</v>
      </c>
      <c r="K2985" s="33">
        <f>VLOOKUP(J2985,辅助信息!H:I,2,FALSE)</f>
        <v>13668153241</v>
      </c>
      <c r="L2985" s="102" t="str">
        <f>VLOOKUP(B2985,辅助信息!E:J,6,FALSE)</f>
        <v>联系实际收货人（范增云13668153241）现场要求炉批号控制2个以下，超2个不给予签收。提前联系到场规格及数量</v>
      </c>
      <c r="O2985" s="55" t="str">
        <f ca="1" t="shared" si="173"/>
        <v/>
      </c>
      <c r="P2985" s="55" t="str">
        <f ca="1" t="shared" si="174"/>
        <v/>
      </c>
      <c r="Q2985" s="22" t="str">
        <f>VLOOKUP(B2985,辅助信息!E:M,9,FALSE)</f>
        <v>ZTWM-CDGS-XS-2025-0125-四川机司-乐山市校地共建产教融合基地配套设施项目施工一标段钢筋采购合同</v>
      </c>
      <c r="R2985" s="22" t="str">
        <f>_xlfn._xlws.FILTER(辅助信息!D:D,辅助信息!E:E=B2985)</f>
        <v>乐山市校地共建产教融合基地建设项目一标段</v>
      </c>
    </row>
    <row r="2986" hidden="1" spans="2:18">
      <c r="B2986" s="33" t="s">
        <v>187</v>
      </c>
      <c r="C2986" s="63">
        <v>45894</v>
      </c>
      <c r="D2986" s="33" t="str">
        <f>VLOOKUP(B2986,辅助信息!E:K,7,FALSE)</f>
        <v>JWDDCD2025072900121</v>
      </c>
      <c r="E2986" s="33" t="str">
        <f>VLOOKUP(F2986,辅助信息!A:B,2,FALSE)</f>
        <v>螺纹钢</v>
      </c>
      <c r="F2986" s="33" t="s">
        <v>28</v>
      </c>
      <c r="G2986" s="29">
        <v>3</v>
      </c>
      <c r="H2986" s="134">
        <f>_xlfn.XLOOKUP(C2986&amp;F2986&amp;I2986&amp;J2986,'[1]2025年已发货'!$F:$F&amp;'[1]2025年已发货'!$C:$C&amp;'[1]2025年已发货'!$G:$G&amp;'[1]2025年已发货'!$H:$H,'[1]2025年已发货'!$E:$E,"未发货")</f>
        <v>3</v>
      </c>
      <c r="I2986" s="33" t="str">
        <f>VLOOKUP(B2986,辅助信息!E:I,3,FALSE)</f>
        <v>(乐山市校地共建产教融合基地建设项目一标段)四川省乐山市市中区苏稽镇周山嘴</v>
      </c>
      <c r="J2986" s="33" t="str">
        <f>VLOOKUP(B2986,辅助信息!E:I,4,FALSE)</f>
        <v>范增云</v>
      </c>
      <c r="K2986" s="33">
        <f>VLOOKUP(J2986,辅助信息!H:I,2,FALSE)</f>
        <v>13668153241</v>
      </c>
      <c r="L2986" s="102" t="str">
        <f>VLOOKUP(B2986,辅助信息!E:J,6,FALSE)</f>
        <v>联系实际收货人（范增云13668153241）现场要求炉批号控制2个以下，超2个不给予签收。提前联系到场规格及数量</v>
      </c>
      <c r="O2986" s="55" t="str">
        <f ca="1" t="shared" si="173"/>
        <v/>
      </c>
      <c r="P2986" s="55" t="str">
        <f ca="1" t="shared" si="174"/>
        <v/>
      </c>
      <c r="Q2986" s="22" t="str">
        <f>VLOOKUP(B2986,辅助信息!E:M,9,FALSE)</f>
        <v>ZTWM-CDGS-XS-2025-0125-四川机司-乐山市校地共建产教融合基地配套设施项目施工一标段钢筋采购合同</v>
      </c>
      <c r="R2986" s="22" t="str">
        <f>_xlfn._xlws.FILTER(辅助信息!D:D,辅助信息!E:E=B2986)</f>
        <v>乐山市校地共建产教融合基地建设项目一标段</v>
      </c>
    </row>
    <row r="2987" hidden="1" spans="2:18">
      <c r="B2987" s="33" t="s">
        <v>187</v>
      </c>
      <c r="C2987" s="63">
        <v>45894</v>
      </c>
      <c r="D2987" s="33" t="str">
        <f>VLOOKUP(B2987,辅助信息!E:K,7,FALSE)</f>
        <v>JWDDCD2025072900121</v>
      </c>
      <c r="E2987" s="33" t="str">
        <f>VLOOKUP(F2987,辅助信息!A:B,2,FALSE)</f>
        <v>螺纹钢</v>
      </c>
      <c r="F2987" s="33" t="s">
        <v>18</v>
      </c>
      <c r="G2987" s="29">
        <v>17</v>
      </c>
      <c r="H2987" s="134">
        <f>_xlfn.XLOOKUP(C2987&amp;F2987&amp;I2987&amp;J2987,'[1]2025年已发货'!$F:$F&amp;'[1]2025年已发货'!$C:$C&amp;'[1]2025年已发货'!$G:$G&amp;'[1]2025年已发货'!$H:$H,'[1]2025年已发货'!$E:$E,"未发货")</f>
        <v>17</v>
      </c>
      <c r="I2987" s="33" t="str">
        <f>VLOOKUP(B2987,辅助信息!E:I,3,FALSE)</f>
        <v>(乐山市校地共建产教融合基地建设项目一标段)四川省乐山市市中区苏稽镇周山嘴</v>
      </c>
      <c r="J2987" s="33" t="str">
        <f>VLOOKUP(B2987,辅助信息!E:I,4,FALSE)</f>
        <v>范增云</v>
      </c>
      <c r="K2987" s="33">
        <f>VLOOKUP(J2987,辅助信息!H:I,2,FALSE)</f>
        <v>13668153241</v>
      </c>
      <c r="L2987" s="102" t="str">
        <f>VLOOKUP(B2987,辅助信息!E:J,6,FALSE)</f>
        <v>联系实际收货人（范增云13668153241）现场要求炉批号控制2个以下，超2个不给予签收。提前联系到场规格及数量</v>
      </c>
      <c r="O2987" s="55" t="str">
        <f ca="1" t="shared" si="173"/>
        <v/>
      </c>
      <c r="P2987" s="55" t="str">
        <f ca="1" t="shared" si="174"/>
        <v/>
      </c>
      <c r="Q2987" s="22" t="str">
        <f>VLOOKUP(B2987,辅助信息!E:M,9,FALSE)</f>
        <v>ZTWM-CDGS-XS-2025-0125-四川机司-乐山市校地共建产教融合基地配套设施项目施工一标段钢筋采购合同</v>
      </c>
      <c r="R2987" s="22" t="str">
        <f>_xlfn._xlws.FILTER(辅助信息!D:D,辅助信息!E:E=B2987)</f>
        <v>乐山市校地共建产教融合基地建设项目一标段</v>
      </c>
    </row>
    <row r="2988" hidden="1" spans="2:18">
      <c r="B2988" s="33" t="s">
        <v>187</v>
      </c>
      <c r="C2988" s="63">
        <v>45894</v>
      </c>
      <c r="D2988" s="33" t="str">
        <f>VLOOKUP(B2988,辅助信息!E:K,7,FALSE)</f>
        <v>JWDDCD2025072900121</v>
      </c>
      <c r="E2988" s="33" t="str">
        <f>VLOOKUP(F2988,辅助信息!A:B,2,FALSE)</f>
        <v>螺纹钢</v>
      </c>
      <c r="F2988" s="33" t="s">
        <v>65</v>
      </c>
      <c r="G2988" s="29">
        <v>26</v>
      </c>
      <c r="H2988" s="134">
        <f>_xlfn.XLOOKUP(C2988&amp;F2988&amp;I2988&amp;J2988,'[1]2025年已发货'!$F:$F&amp;'[1]2025年已发货'!$C:$C&amp;'[1]2025年已发货'!$G:$G&amp;'[1]2025年已发货'!$H:$H,'[1]2025年已发货'!$E:$E,"未发货")</f>
        <v>26</v>
      </c>
      <c r="I2988" s="33" t="str">
        <f>VLOOKUP(B2988,辅助信息!E:I,3,FALSE)</f>
        <v>(乐山市校地共建产教融合基地建设项目一标段)四川省乐山市市中区苏稽镇周山嘴</v>
      </c>
      <c r="J2988" s="33" t="str">
        <f>VLOOKUP(B2988,辅助信息!E:I,4,FALSE)</f>
        <v>范增云</v>
      </c>
      <c r="K2988" s="33">
        <f>VLOOKUP(J2988,辅助信息!H:I,2,FALSE)</f>
        <v>13668153241</v>
      </c>
      <c r="L2988" s="102" t="str">
        <f>VLOOKUP(B2988,辅助信息!E:J,6,FALSE)</f>
        <v>联系实际收货人（范增云13668153241）现场要求炉批号控制2个以下，超2个不给予签收。提前联系到场规格及数量</v>
      </c>
      <c r="O2988" s="55" t="str">
        <f ca="1" t="shared" si="173"/>
        <v/>
      </c>
      <c r="P2988" s="55" t="str">
        <f ca="1" t="shared" si="174"/>
        <v/>
      </c>
      <c r="Q2988" s="22" t="str">
        <f>VLOOKUP(B2988,辅助信息!E:M,9,FALSE)</f>
        <v>ZTWM-CDGS-XS-2025-0125-四川机司-乐山市校地共建产教融合基地配套设施项目施工一标段钢筋采购合同</v>
      </c>
      <c r="R2988" s="22" t="str">
        <f>_xlfn._xlws.FILTER(辅助信息!D:D,辅助信息!E:E=B2988)</f>
        <v>乐山市校地共建产教融合基地建设项目一标段</v>
      </c>
    </row>
    <row r="2989" hidden="1" spans="2:18">
      <c r="B2989" s="33" t="s">
        <v>187</v>
      </c>
      <c r="C2989" s="63">
        <v>45894</v>
      </c>
      <c r="D2989" s="33" t="str">
        <f>VLOOKUP(B2989,辅助信息!E:K,7,FALSE)</f>
        <v>JWDDCD2025072900121</v>
      </c>
      <c r="E2989" s="33" t="str">
        <f>VLOOKUP(F2989,辅助信息!A:B,2,FALSE)</f>
        <v>螺纹钢</v>
      </c>
      <c r="F2989" s="33" t="s">
        <v>52</v>
      </c>
      <c r="G2989" s="29">
        <v>3</v>
      </c>
      <c r="H2989" s="134">
        <f>_xlfn.XLOOKUP(C2989&amp;F2989&amp;I2989&amp;J2989,'[1]2025年已发货'!$F:$F&amp;'[1]2025年已发货'!$C:$C&amp;'[1]2025年已发货'!$G:$G&amp;'[1]2025年已发货'!$H:$H,'[1]2025年已发货'!$E:$E,"未发货")</f>
        <v>3</v>
      </c>
      <c r="I2989" s="33" t="str">
        <f>VLOOKUP(B2989,辅助信息!E:I,3,FALSE)</f>
        <v>(乐山市校地共建产教融合基地建设项目一标段)四川省乐山市市中区苏稽镇周山嘴</v>
      </c>
      <c r="J2989" s="33" t="str">
        <f>VLOOKUP(B2989,辅助信息!E:I,4,FALSE)</f>
        <v>范增云</v>
      </c>
      <c r="K2989" s="33">
        <f>VLOOKUP(J2989,辅助信息!H:I,2,FALSE)</f>
        <v>13668153241</v>
      </c>
      <c r="L2989" s="102" t="str">
        <f>VLOOKUP(B2989,辅助信息!E:J,6,FALSE)</f>
        <v>联系实际收货人（范增云13668153241）现场要求炉批号控制2个以下，超2个不给予签收。提前联系到场规格及数量</v>
      </c>
      <c r="O2989" s="55" t="str">
        <f ca="1" t="shared" si="173"/>
        <v/>
      </c>
      <c r="P2989" s="55" t="str">
        <f ca="1" t="shared" si="174"/>
        <v/>
      </c>
      <c r="Q2989" s="22" t="str">
        <f>VLOOKUP(B2989,辅助信息!E:M,9,FALSE)</f>
        <v>ZTWM-CDGS-XS-2025-0125-四川机司-乐山市校地共建产教融合基地配套设施项目施工一标段钢筋采购合同</v>
      </c>
      <c r="R2989" s="22" t="str">
        <f>_xlfn._xlws.FILTER(辅助信息!D:D,辅助信息!E:E=B2989)</f>
        <v>乐山市校地共建产教融合基地建设项目一标段</v>
      </c>
    </row>
    <row r="2990" hidden="1" spans="2:18">
      <c r="B2990" s="33" t="s">
        <v>187</v>
      </c>
      <c r="C2990" s="63">
        <v>45894</v>
      </c>
      <c r="D2990" s="33" t="str">
        <f>VLOOKUP(B2990,辅助信息!E:K,7,FALSE)</f>
        <v>JWDDCD2025072900121</v>
      </c>
      <c r="E2990" s="33" t="str">
        <f>VLOOKUP(F2990,辅助信息!A:B,2,FALSE)</f>
        <v>螺纹钢</v>
      </c>
      <c r="F2990" s="33" t="s">
        <v>82</v>
      </c>
      <c r="G2990" s="29">
        <v>6</v>
      </c>
      <c r="H2990" s="134">
        <f>_xlfn.XLOOKUP(C2990&amp;F2990&amp;I2990&amp;J2990,'[1]2025年已发货'!$F:$F&amp;'[1]2025年已发货'!$C:$C&amp;'[1]2025年已发货'!$G:$G&amp;'[1]2025年已发货'!$H:$H,'[1]2025年已发货'!$E:$E,"未发货")</f>
        <v>6</v>
      </c>
      <c r="I2990" s="33" t="str">
        <f>VLOOKUP(B2990,辅助信息!E:I,3,FALSE)</f>
        <v>(乐山市校地共建产教融合基地建设项目一标段)四川省乐山市市中区苏稽镇周山嘴</v>
      </c>
      <c r="J2990" s="33" t="str">
        <f>VLOOKUP(B2990,辅助信息!E:I,4,FALSE)</f>
        <v>范增云</v>
      </c>
      <c r="K2990" s="33">
        <f>VLOOKUP(J2990,辅助信息!H:I,2,FALSE)</f>
        <v>13668153241</v>
      </c>
      <c r="L2990" s="102" t="str">
        <f>VLOOKUP(B2990,辅助信息!E:J,6,FALSE)</f>
        <v>联系实际收货人（范增云13668153241）现场要求炉批号控制2个以下，超2个不给予签收。提前联系到场规格及数量</v>
      </c>
      <c r="O2990" s="55" t="str">
        <f ca="1" t="shared" si="173"/>
        <v/>
      </c>
      <c r="P2990" s="55" t="str">
        <f ca="1" t="shared" si="174"/>
        <v/>
      </c>
      <c r="Q2990" s="22" t="str">
        <f>VLOOKUP(B2990,辅助信息!E:M,9,FALSE)</f>
        <v>ZTWM-CDGS-XS-2025-0125-四川机司-乐山市校地共建产教融合基地配套设施项目施工一标段钢筋采购合同</v>
      </c>
      <c r="R2990" s="22" t="str">
        <f>_xlfn._xlws.FILTER(辅助信息!D:D,辅助信息!E:E=B2990)</f>
        <v>乐山市校地共建产教融合基地建设项目一标段</v>
      </c>
    </row>
    <row r="2991" hidden="1" spans="2:18">
      <c r="B2991" s="33" t="s">
        <v>187</v>
      </c>
      <c r="C2991" s="63">
        <v>45894</v>
      </c>
      <c r="D2991" s="33" t="str">
        <f>VLOOKUP(B2991,辅助信息!E:K,7,FALSE)</f>
        <v>JWDDCD2025072900121</v>
      </c>
      <c r="E2991" s="33" t="str">
        <f>VLOOKUP(F2991,辅助信息!A:B,2,FALSE)</f>
        <v>螺纹钢</v>
      </c>
      <c r="F2991" s="33" t="s">
        <v>45</v>
      </c>
      <c r="G2991" s="29">
        <v>6</v>
      </c>
      <c r="H2991" s="134">
        <f>_xlfn.XLOOKUP(C2991&amp;F2991&amp;I2991&amp;J2991,'[1]2025年已发货'!$F:$F&amp;'[1]2025年已发货'!$C:$C&amp;'[1]2025年已发货'!$G:$G&amp;'[1]2025年已发货'!$H:$H,'[1]2025年已发货'!$E:$E,"未发货")</f>
        <v>6</v>
      </c>
      <c r="I2991" s="33" t="str">
        <f>VLOOKUP(B2991,辅助信息!E:I,3,FALSE)</f>
        <v>(乐山市校地共建产教融合基地建设项目一标段)四川省乐山市市中区苏稽镇周山嘴</v>
      </c>
      <c r="J2991" s="33" t="str">
        <f>VLOOKUP(B2991,辅助信息!E:I,4,FALSE)</f>
        <v>范增云</v>
      </c>
      <c r="K2991" s="33">
        <f>VLOOKUP(J2991,辅助信息!H:I,2,FALSE)</f>
        <v>13668153241</v>
      </c>
      <c r="L2991" s="102" t="str">
        <f>VLOOKUP(B2991,辅助信息!E:J,6,FALSE)</f>
        <v>联系实际收货人（范增云13668153241）现场要求炉批号控制2个以下，超2个不给予签收。提前联系到场规格及数量</v>
      </c>
      <c r="O2991" s="55" t="str">
        <f ca="1" t="shared" si="173"/>
        <v/>
      </c>
      <c r="P2991" s="55" t="str">
        <f ca="1" t="shared" si="174"/>
        <v/>
      </c>
      <c r="Q2991" s="22" t="str">
        <f>VLOOKUP(B2991,辅助信息!E:M,9,FALSE)</f>
        <v>ZTWM-CDGS-XS-2025-0125-四川机司-乐山市校地共建产教融合基地配套设施项目施工一标段钢筋采购合同</v>
      </c>
      <c r="R2991" s="22" t="str">
        <f>_xlfn._xlws.FILTER(辅助信息!D:D,辅助信息!E:E=B2991)</f>
        <v>乐山市校地共建产教融合基地建设项目一标段</v>
      </c>
    </row>
    <row r="2992" hidden="1" spans="2:18">
      <c r="B2992" s="33" t="s">
        <v>187</v>
      </c>
      <c r="C2992" s="63">
        <v>45894</v>
      </c>
      <c r="D2992" s="33" t="str">
        <f>VLOOKUP(B2992,辅助信息!E:K,7,FALSE)</f>
        <v>JWDDCD2025072900121</v>
      </c>
      <c r="E2992" s="33" t="str">
        <f>VLOOKUP(F2992,辅助信息!A:B,2,FALSE)</f>
        <v>螺纹钢</v>
      </c>
      <c r="F2992" s="33" t="s">
        <v>21</v>
      </c>
      <c r="G2992" s="29">
        <v>3</v>
      </c>
      <c r="H2992" s="134">
        <f>_xlfn.XLOOKUP(C2992&amp;F2992&amp;I2992&amp;J2992,'[1]2025年已发货'!$F:$F&amp;'[1]2025年已发货'!$C:$C&amp;'[1]2025年已发货'!$G:$G&amp;'[1]2025年已发货'!$H:$H,'[1]2025年已发货'!$E:$E,"未发货")</f>
        <v>3</v>
      </c>
      <c r="I2992" s="33" t="str">
        <f>VLOOKUP(B2992,辅助信息!E:I,3,FALSE)</f>
        <v>(乐山市校地共建产教融合基地建设项目一标段)四川省乐山市市中区苏稽镇周山嘴</v>
      </c>
      <c r="J2992" s="33" t="str">
        <f>VLOOKUP(B2992,辅助信息!E:I,4,FALSE)</f>
        <v>范增云</v>
      </c>
      <c r="K2992" s="33">
        <f>VLOOKUP(J2992,辅助信息!H:I,2,FALSE)</f>
        <v>13668153241</v>
      </c>
      <c r="L2992" s="102" t="str">
        <f>VLOOKUP(B2992,辅助信息!E:J,6,FALSE)</f>
        <v>联系实际收货人（范增云13668153241）现场要求炉批号控制2个以下，超2个不给予签收。提前联系到场规格及数量</v>
      </c>
      <c r="O2992" s="55" t="str">
        <f ca="1" t="shared" si="173"/>
        <v/>
      </c>
      <c r="P2992" s="55" t="str">
        <f ca="1" t="shared" si="174"/>
        <v/>
      </c>
      <c r="Q2992" s="22" t="str">
        <f>VLOOKUP(B2992,辅助信息!E:M,9,FALSE)</f>
        <v>ZTWM-CDGS-XS-2025-0125-四川机司-乐山市校地共建产教融合基地配套设施项目施工一标段钢筋采购合同</v>
      </c>
      <c r="R2992" s="22" t="str">
        <f>_xlfn._xlws.FILTER(辅助信息!D:D,辅助信息!E:E=B2992)</f>
        <v>乐山市校地共建产教融合基地建设项目一标段</v>
      </c>
    </row>
    <row r="2993" hidden="1" spans="2:18">
      <c r="B2993" s="33" t="s">
        <v>187</v>
      </c>
      <c r="C2993" s="63">
        <v>45894</v>
      </c>
      <c r="D2993" s="33" t="str">
        <f>VLOOKUP(B2993,辅助信息!E:K,7,FALSE)</f>
        <v>JWDDCD2025072900121</v>
      </c>
      <c r="E2993" s="33" t="str">
        <f>VLOOKUP(F2993,辅助信息!A:B,2,FALSE)</f>
        <v>螺纹钢</v>
      </c>
      <c r="F2993" s="33" t="s">
        <v>46</v>
      </c>
      <c r="G2993" s="29">
        <v>15</v>
      </c>
      <c r="H2993" s="134">
        <f>_xlfn.XLOOKUP(C2993&amp;F2993&amp;I2993&amp;J2993,'[1]2025年已发货'!$F:$F&amp;'[1]2025年已发货'!$C:$C&amp;'[1]2025年已发货'!$G:$G&amp;'[1]2025年已发货'!$H:$H,'[1]2025年已发货'!$E:$E,"未发货")</f>
        <v>15</v>
      </c>
      <c r="I2993" s="33" t="str">
        <f>VLOOKUP(B2993,辅助信息!E:I,3,FALSE)</f>
        <v>(乐山市校地共建产教融合基地建设项目一标段)四川省乐山市市中区苏稽镇周山嘴</v>
      </c>
      <c r="J2993" s="33" t="str">
        <f>VLOOKUP(B2993,辅助信息!E:I,4,FALSE)</f>
        <v>范增云</v>
      </c>
      <c r="K2993" s="33">
        <f>VLOOKUP(J2993,辅助信息!H:I,2,FALSE)</f>
        <v>13668153241</v>
      </c>
      <c r="L2993" s="102" t="str">
        <f>VLOOKUP(B2993,辅助信息!E:J,6,FALSE)</f>
        <v>联系实际收货人（范增云13668153241）现场要求炉批号控制2个以下，超2个不给予签收。提前联系到场规格及数量</v>
      </c>
      <c r="O2993" s="55" t="str">
        <f ca="1" t="shared" si="173"/>
        <v/>
      </c>
      <c r="P2993" s="55" t="str">
        <f ca="1" t="shared" si="174"/>
        <v/>
      </c>
      <c r="Q2993" s="22" t="str">
        <f>VLOOKUP(B2993,辅助信息!E:M,9,FALSE)</f>
        <v>ZTWM-CDGS-XS-2025-0125-四川机司-乐山市校地共建产教融合基地配套设施项目施工一标段钢筋采购合同</v>
      </c>
      <c r="R2993" s="22" t="str">
        <f>_xlfn._xlws.FILTER(辅助信息!D:D,辅助信息!E:E=B2993)</f>
        <v>乐山市校地共建产教融合基地建设项目一标段</v>
      </c>
    </row>
    <row r="2994" hidden="1" spans="2:18">
      <c r="B2994" s="33" t="s">
        <v>187</v>
      </c>
      <c r="C2994" s="63">
        <v>45894</v>
      </c>
      <c r="D2994" s="33" t="str">
        <f>VLOOKUP(B2994,辅助信息!E:K,7,FALSE)</f>
        <v>JWDDCD2025072900121</v>
      </c>
      <c r="E2994" s="33" t="str">
        <f>VLOOKUP(F2994,辅助信息!A:B,2,FALSE)</f>
        <v>螺纹钢</v>
      </c>
      <c r="F2994" s="33" t="s">
        <v>22</v>
      </c>
      <c r="G2994" s="29">
        <v>20</v>
      </c>
      <c r="H2994" s="134">
        <f>_xlfn.XLOOKUP(C2994&amp;F2994&amp;I2994&amp;J2994,'[1]2025年已发货'!$F:$F&amp;'[1]2025年已发货'!$C:$C&amp;'[1]2025年已发货'!$G:$G&amp;'[1]2025年已发货'!$H:$H,'[1]2025年已发货'!$E:$E,"未发货")</f>
        <v>20</v>
      </c>
      <c r="I2994" s="33" t="str">
        <f>VLOOKUP(B2994,辅助信息!E:I,3,FALSE)</f>
        <v>(乐山市校地共建产教融合基地建设项目一标段)四川省乐山市市中区苏稽镇周山嘴</v>
      </c>
      <c r="J2994" s="33" t="str">
        <f>VLOOKUP(B2994,辅助信息!E:I,4,FALSE)</f>
        <v>范增云</v>
      </c>
      <c r="K2994" s="33">
        <f>VLOOKUP(J2994,辅助信息!H:I,2,FALSE)</f>
        <v>13668153241</v>
      </c>
      <c r="L2994" s="102" t="str">
        <f>VLOOKUP(B2994,辅助信息!E:J,6,FALSE)</f>
        <v>联系实际收货人（范增云13668153241）现场要求炉批号控制2个以下，超2个不给予签收。提前联系到场规格及数量</v>
      </c>
      <c r="O2994" s="55" t="str">
        <f ca="1" t="shared" si="173"/>
        <v/>
      </c>
      <c r="P2994" s="55" t="str">
        <f ca="1" t="shared" si="174"/>
        <v/>
      </c>
      <c r="Q2994" s="22" t="str">
        <f>VLOOKUP(B2994,辅助信息!E:M,9,FALSE)</f>
        <v>ZTWM-CDGS-XS-2025-0125-四川机司-乐山市校地共建产教融合基地配套设施项目施工一标段钢筋采购合同</v>
      </c>
      <c r="R2994" s="22" t="str">
        <f>_xlfn._xlws.FILTER(辅助信息!D:D,辅助信息!E:E=B2994)</f>
        <v>乐山市校地共建产教融合基地建设项目一标段</v>
      </c>
    </row>
    <row r="2995" hidden="1" spans="2:18">
      <c r="B2995" s="33" t="s">
        <v>169</v>
      </c>
      <c r="C2995" s="63">
        <v>45894</v>
      </c>
      <c r="D2995" s="33" t="str">
        <f>VLOOKUP(B2995,辅助信息!E:K,7,FALSE)</f>
        <v>JWDDCD2025051800044</v>
      </c>
      <c r="E2995" s="33" t="str">
        <f>VLOOKUP(F2995,辅助信息!A:B,2,FALSE)</f>
        <v>螺纹钢</v>
      </c>
      <c r="F2995" s="33" t="s">
        <v>28</v>
      </c>
      <c r="G2995" s="29">
        <v>35</v>
      </c>
      <c r="H2995" s="134" t="str">
        <f>_xlfn.XLOOKUP(C2995&amp;F2995&amp;I2995&amp;J2995,'[1]2025年已发货'!$F:$F&amp;'[1]2025年已发货'!$C:$C&amp;'[1]2025年已发货'!$G:$G&amp;'[1]2025年已发货'!$H:$H,'[1]2025年已发货'!$E:$E,"未发货")</f>
        <v>未发货</v>
      </c>
      <c r="I2995" s="33" t="str">
        <f>VLOOKUP(B2995,辅助信息!E:I,3,FALSE)</f>
        <v>(五冶建设龙泉芙蓉花语项目-1,3地块)龙泉驿区北川路双堰塘钓鱼东100米(北川路)</v>
      </c>
      <c r="J2995" s="33" t="str">
        <f>VLOOKUP(B2995,辅助信息!E:I,4,FALSE)</f>
        <v>祝斯阳</v>
      </c>
      <c r="K2995" s="33">
        <f>VLOOKUP(J2995,辅助信息!H:I,2,FALSE)</f>
        <v>15583590797</v>
      </c>
      <c r="L2995" s="102"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55" t="str">
        <f ca="1" t="shared" si="173"/>
        <v/>
      </c>
      <c r="P2995" s="55" t="str">
        <f ca="1" t="shared" si="174"/>
        <v/>
      </c>
      <c r="Q2995" s="22" t="str">
        <f>VLOOKUP(B2995,辅助信息!E:M,9,FALSE)</f>
        <v>ZTWM-CDGS-XS-2025-0073-五冶天府-成都怡心湖片区及龙泉驿医院等项目</v>
      </c>
      <c r="R2995" s="22" t="str">
        <f>_xlfn._xlws.FILTER(辅助信息!D:D,辅助信息!E:E=B2995)</f>
        <v>五冶建设龙泉芙蓉花语项目</v>
      </c>
    </row>
    <row r="2996" hidden="1" spans="2:18">
      <c r="B2996" s="33" t="s">
        <v>147</v>
      </c>
      <c r="C2996" s="63">
        <v>45895</v>
      </c>
      <c r="D2996" s="33" t="str">
        <f>VLOOKUP(B2996,辅助信息!E:K,7,FALSE)</f>
        <v>JWDDCD2025052800131</v>
      </c>
      <c r="E2996" s="33" t="str">
        <f>VLOOKUP(F2996,辅助信息!A:B,2,FALSE)</f>
        <v>盘螺</v>
      </c>
      <c r="F2996" s="33" t="s">
        <v>40</v>
      </c>
      <c r="G2996" s="29">
        <v>45</v>
      </c>
      <c r="H2996" s="113">
        <f>_xlfn.XLOOKUP(C2996&amp;F2996&amp;I2996&amp;J2996,'[1]2025年已发货'!$F:$F&amp;'[1]2025年已发货'!$C:$C&amp;'[1]2025年已发货'!$G:$G&amp;'[1]2025年已发货'!$H:$H,'[1]2025年已发货'!$E:$E,"未发货")</f>
        <v>45</v>
      </c>
      <c r="I2996" s="33" t="str">
        <f>VLOOKUP(B2996,辅助信息!E:I,3,FALSE)</f>
        <v>（商投建工达州中医药科技园-4工区-11号楼）达州市通川区达州中医药职业学院犀牛大道北段</v>
      </c>
      <c r="J2996" s="33" t="str">
        <f>VLOOKUP(B2996,辅助信息!E:I,4,FALSE)</f>
        <v>张扬</v>
      </c>
      <c r="K2996" s="33">
        <f>VLOOKUP(J2996,辅助信息!H:I,2,FALSE)</f>
        <v>18381904567</v>
      </c>
      <c r="L2996" s="102" t="str">
        <f>VLOOKUP(B2996,辅助信息!E:J,6,FALSE)</f>
        <v>控制炉批号！多了现场不收！,优先安排达钢,提前联系到场规格及数量</v>
      </c>
      <c r="O2996" s="55" t="str">
        <f ca="1" t="shared" si="173"/>
        <v/>
      </c>
      <c r="P2996" s="55" t="str">
        <f ca="1" t="shared" si="174"/>
        <v/>
      </c>
      <c r="Q2996" s="22" t="str">
        <f>VLOOKUP(B2996,辅助信息!E:M,9,FALSE)</f>
        <v>ZTWM-CDGS-XS-2024-0134-商投建工达州中医药科技成果示范园项目</v>
      </c>
      <c r="R2996" s="22" t="str">
        <f>_xlfn._xlws.FILTER(辅助信息!D:D,辅助信息!E:E=B2996)</f>
        <v>商投建工达州中医药科技园</v>
      </c>
    </row>
    <row r="2997" hidden="1" spans="2:18">
      <c r="B2997" s="33" t="s">
        <v>147</v>
      </c>
      <c r="C2997" s="63">
        <v>45895</v>
      </c>
      <c r="D2997" s="33" t="str">
        <f>VLOOKUP(B2997,辅助信息!E:K,7,FALSE)</f>
        <v>JWDDCD2025052800131</v>
      </c>
      <c r="E2997" s="33" t="str">
        <f>VLOOKUP(F2997,辅助信息!A:B,2,FALSE)</f>
        <v>螺纹钢</v>
      </c>
      <c r="F2997" s="33" t="s">
        <v>32</v>
      </c>
      <c r="G2997" s="29">
        <v>3</v>
      </c>
      <c r="H2997" s="113" t="str">
        <f>_xlfn.XLOOKUP(C2997&amp;F2997&amp;I2997&amp;J2997,'[1]2025年已发货'!$F:$F&amp;'[1]2025年已发货'!$C:$C&amp;'[1]2025年已发货'!$G:$G&amp;'[1]2025年已发货'!$H:$H,'[1]2025年已发货'!$E:$E,"未发货")</f>
        <v>未发货</v>
      </c>
      <c r="I2997" s="33" t="str">
        <f>VLOOKUP(B2997,辅助信息!E:I,3,FALSE)</f>
        <v>（商投建工达州中医药科技园-4工区-11号楼）达州市通川区达州中医药职业学院犀牛大道北段</v>
      </c>
      <c r="J2997" s="33" t="str">
        <f>VLOOKUP(B2997,辅助信息!E:I,4,FALSE)</f>
        <v>张扬</v>
      </c>
      <c r="K2997" s="33">
        <f>VLOOKUP(J2997,辅助信息!H:I,2,FALSE)</f>
        <v>18381904567</v>
      </c>
      <c r="L2997" s="102" t="str">
        <f>VLOOKUP(B2997,辅助信息!E:J,6,FALSE)</f>
        <v>控制炉批号！多了现场不收！,优先安排达钢,提前联系到场规格及数量</v>
      </c>
      <c r="O2997" s="55" t="str">
        <f ca="1" t="shared" si="173"/>
        <v/>
      </c>
      <c r="P2997" s="55" t="str">
        <f ca="1" t="shared" si="174"/>
        <v/>
      </c>
      <c r="Q2997" s="22" t="str">
        <f>VLOOKUP(B2997,辅助信息!E:M,9,FALSE)</f>
        <v>ZTWM-CDGS-XS-2024-0134-商投建工达州中医药科技成果示范园项目</v>
      </c>
      <c r="R2997" s="22" t="str">
        <f>_xlfn._xlws.FILTER(辅助信息!D:D,辅助信息!E:E=B2997)</f>
        <v>商投建工达州中医药科技园</v>
      </c>
    </row>
    <row r="2998" hidden="1" spans="2:18">
      <c r="B2998" s="33" t="s">
        <v>147</v>
      </c>
      <c r="C2998" s="63">
        <v>45895</v>
      </c>
      <c r="D2998" s="33" t="str">
        <f>VLOOKUP(B2998,辅助信息!E:K,7,FALSE)</f>
        <v>JWDDCD2025052800131</v>
      </c>
      <c r="E2998" s="33" t="str">
        <f>VLOOKUP(F2998,辅助信息!A:B,2,FALSE)</f>
        <v>螺纹钢</v>
      </c>
      <c r="F2998" s="33" t="s">
        <v>30</v>
      </c>
      <c r="G2998" s="29">
        <v>6</v>
      </c>
      <c r="H2998" s="113" t="str">
        <f>_xlfn.XLOOKUP(C2998&amp;F2998&amp;I2998&amp;J2998,'[1]2025年已发货'!$F:$F&amp;'[1]2025年已发货'!$C:$C&amp;'[1]2025年已发货'!$G:$G&amp;'[1]2025年已发货'!$H:$H,'[1]2025年已发货'!$E:$E,"未发货")</f>
        <v>未发货</v>
      </c>
      <c r="I2998" s="33" t="str">
        <f>VLOOKUP(B2998,辅助信息!E:I,3,FALSE)</f>
        <v>（商投建工达州中医药科技园-4工区-11号楼）达州市通川区达州中医药职业学院犀牛大道北段</v>
      </c>
      <c r="J2998" s="33" t="str">
        <f>VLOOKUP(B2998,辅助信息!E:I,4,FALSE)</f>
        <v>张扬</v>
      </c>
      <c r="K2998" s="33">
        <f>VLOOKUP(J2998,辅助信息!H:I,2,FALSE)</f>
        <v>18381904567</v>
      </c>
      <c r="L2998" s="102" t="str">
        <f>VLOOKUP(B2998,辅助信息!E:J,6,FALSE)</f>
        <v>控制炉批号！多了现场不收！,优先安排达钢,提前联系到场规格及数量</v>
      </c>
      <c r="O2998" s="55" t="str">
        <f ca="1" t="shared" si="173"/>
        <v/>
      </c>
      <c r="P2998" s="55" t="str">
        <f ca="1" t="shared" si="174"/>
        <v/>
      </c>
      <c r="Q2998" s="22" t="str">
        <f>VLOOKUP(B2998,辅助信息!E:M,9,FALSE)</f>
        <v>ZTWM-CDGS-XS-2024-0134-商投建工达州中医药科技成果示范园项目</v>
      </c>
      <c r="R2998" s="22" t="str">
        <f>_xlfn._xlws.FILTER(辅助信息!D:D,辅助信息!E:E=B2998)</f>
        <v>商投建工达州中医药科技园</v>
      </c>
    </row>
    <row r="2999" hidden="1" spans="2:18">
      <c r="B2999" s="33" t="s">
        <v>163</v>
      </c>
      <c r="C2999" s="63">
        <v>45895</v>
      </c>
      <c r="D2999" s="33" t="str">
        <f>VLOOKUP(B2999,辅助信息!E:K,7,FALSE)</f>
        <v>JWDDCD2025052800131</v>
      </c>
      <c r="E2999" s="33" t="str">
        <f>VLOOKUP(F2999,辅助信息!A:B,2,FALSE)</f>
        <v>盘螺</v>
      </c>
      <c r="F2999" s="33" t="s">
        <v>40</v>
      </c>
      <c r="G2999" s="29">
        <v>13</v>
      </c>
      <c r="H2999" s="113" t="str">
        <f>_xlfn.XLOOKUP(C2999&amp;F2999&amp;I2999&amp;J2999,'[1]2025年已发货'!$F:$F&amp;'[1]2025年已发货'!$C:$C&amp;'[1]2025年已发货'!$G:$G&amp;'[1]2025年已发货'!$H:$H,'[1]2025年已发货'!$E:$E,"未发货")</f>
        <v>未发货</v>
      </c>
      <c r="I2999" s="33" t="str">
        <f>VLOOKUP(B2999,辅助信息!E:I,3,FALSE)</f>
        <v>（商投建工达州中医药科技园-4工区-9号楼）达州市通川区达州中医药职业学院犀牛大道北段</v>
      </c>
      <c r="J2999" s="33" t="str">
        <f>VLOOKUP(B2999,辅助信息!E:I,4,FALSE)</f>
        <v>张扬</v>
      </c>
      <c r="K2999" s="33">
        <f>VLOOKUP(J2999,辅助信息!H:I,2,FALSE)</f>
        <v>18381904567</v>
      </c>
      <c r="L2999" s="102" t="str">
        <f>VLOOKUP(B2999,辅助信息!E:J,6,FALSE)</f>
        <v>控制炉批号！多了现场不收！,优先安排达钢,提前联系到场规格及数量</v>
      </c>
      <c r="O2999" s="55" t="str">
        <f ca="1" t="shared" si="173"/>
        <v/>
      </c>
      <c r="P2999" s="55" t="str">
        <f ca="1" t="shared" si="174"/>
        <v/>
      </c>
      <c r="Q2999" s="22" t="str">
        <f>VLOOKUP(B2999,辅助信息!E:M,9,FALSE)</f>
        <v>ZTWM-CDGS-XS-2024-0134-商投建工达州中医药科技成果示范园项目</v>
      </c>
      <c r="R2999" s="22" t="str">
        <f>_xlfn._xlws.FILTER(辅助信息!D:D,辅助信息!E:E=B2999)</f>
        <v>商投建工达州中医药科技园</v>
      </c>
    </row>
    <row r="3000" hidden="1" spans="2:18">
      <c r="B3000" s="33" t="s">
        <v>163</v>
      </c>
      <c r="C3000" s="63">
        <v>45895</v>
      </c>
      <c r="D3000" s="33" t="str">
        <f>VLOOKUP(B3000,辅助信息!E:K,7,FALSE)</f>
        <v>JWDDCD2025052800131</v>
      </c>
      <c r="E3000" s="33" t="str">
        <f>VLOOKUP(F3000,辅助信息!A:B,2,FALSE)</f>
        <v>螺纹钢</v>
      </c>
      <c r="F3000" s="33" t="s">
        <v>30</v>
      </c>
      <c r="G3000" s="29">
        <v>6</v>
      </c>
      <c r="H3000" s="113" t="str">
        <f>_xlfn.XLOOKUP(C3000&amp;F3000&amp;I3000&amp;J3000,'[1]2025年已发货'!$F:$F&amp;'[1]2025年已发货'!$C:$C&amp;'[1]2025年已发货'!$G:$G&amp;'[1]2025年已发货'!$H:$H,'[1]2025年已发货'!$E:$E,"未发货")</f>
        <v>未发货</v>
      </c>
      <c r="I3000" s="33" t="str">
        <f>VLOOKUP(B3000,辅助信息!E:I,3,FALSE)</f>
        <v>（商投建工达州中医药科技园-4工区-9号楼）达州市通川区达州中医药职业学院犀牛大道北段</v>
      </c>
      <c r="J3000" s="33" t="str">
        <f>VLOOKUP(B3000,辅助信息!E:I,4,FALSE)</f>
        <v>张扬</v>
      </c>
      <c r="K3000" s="33">
        <f>VLOOKUP(J3000,辅助信息!H:I,2,FALSE)</f>
        <v>18381904567</v>
      </c>
      <c r="L3000" s="102" t="str">
        <f>VLOOKUP(B3000,辅助信息!E:J,6,FALSE)</f>
        <v>控制炉批号！多了现场不收！,优先安排达钢,提前联系到场规格及数量</v>
      </c>
      <c r="O3000" s="55" t="str">
        <f ca="1" t="shared" si="173"/>
        <v/>
      </c>
      <c r="P3000" s="55" t="str">
        <f ca="1" t="shared" si="174"/>
        <v/>
      </c>
      <c r="Q3000" s="22" t="str">
        <f>VLOOKUP(B3000,辅助信息!E:M,9,FALSE)</f>
        <v>ZTWM-CDGS-XS-2024-0134-商投建工达州中医药科技成果示范园项目</v>
      </c>
      <c r="R3000" s="22" t="str">
        <f>_xlfn._xlws.FILTER(辅助信息!D:D,辅助信息!E:E=B3000)</f>
        <v>商投建工达州中医药科技园</v>
      </c>
    </row>
    <row r="3001" hidden="1" spans="2:18">
      <c r="B3001" s="33" t="s">
        <v>163</v>
      </c>
      <c r="C3001" s="63">
        <v>45895</v>
      </c>
      <c r="D3001" s="33" t="str">
        <f>VLOOKUP(B3001,辅助信息!E:K,7,FALSE)</f>
        <v>JWDDCD2025052800131</v>
      </c>
      <c r="E3001" s="33" t="str">
        <f>VLOOKUP(F3001,辅助信息!A:B,2,FALSE)</f>
        <v>螺纹钢</v>
      </c>
      <c r="F3001" s="33" t="s">
        <v>21</v>
      </c>
      <c r="G3001" s="29">
        <v>6</v>
      </c>
      <c r="H3001" s="113" t="str">
        <f>_xlfn.XLOOKUP(C3001&amp;F3001&amp;I3001&amp;J3001,'[1]2025年已发货'!$F:$F&amp;'[1]2025年已发货'!$C:$C&amp;'[1]2025年已发货'!$G:$G&amp;'[1]2025年已发货'!$H:$H,'[1]2025年已发货'!$E:$E,"未发货")</f>
        <v>未发货</v>
      </c>
      <c r="I3001" s="33" t="str">
        <f>VLOOKUP(B3001,辅助信息!E:I,3,FALSE)</f>
        <v>（商投建工达州中医药科技园-4工区-9号楼）达州市通川区达州中医药职业学院犀牛大道北段</v>
      </c>
      <c r="J3001" s="33" t="str">
        <f>VLOOKUP(B3001,辅助信息!E:I,4,FALSE)</f>
        <v>张扬</v>
      </c>
      <c r="K3001" s="33">
        <f>VLOOKUP(J3001,辅助信息!H:I,2,FALSE)</f>
        <v>18381904567</v>
      </c>
      <c r="L3001" s="102" t="str">
        <f>VLOOKUP(B3001,辅助信息!E:J,6,FALSE)</f>
        <v>控制炉批号！多了现场不收！,优先安排达钢,提前联系到场规格及数量</v>
      </c>
      <c r="O3001" s="55" t="str">
        <f ca="1" t="shared" si="173"/>
        <v/>
      </c>
      <c r="P3001" s="55" t="str">
        <f ca="1" t="shared" si="174"/>
        <v/>
      </c>
      <c r="Q3001" s="22" t="str">
        <f>VLOOKUP(B3001,辅助信息!E:M,9,FALSE)</f>
        <v>ZTWM-CDGS-XS-2024-0134-商投建工达州中医药科技成果示范园项目</v>
      </c>
      <c r="R3001" s="22" t="str">
        <f>_xlfn._xlws.FILTER(辅助信息!D:D,辅助信息!E:E=B3001)</f>
        <v>商投建工达州中医药科技园</v>
      </c>
    </row>
    <row r="3002" hidden="1" spans="2:18">
      <c r="B3002" s="33" t="s">
        <v>163</v>
      </c>
      <c r="C3002" s="63">
        <v>45895</v>
      </c>
      <c r="D3002" s="33" t="str">
        <f>VLOOKUP(B3002,辅助信息!E:K,7,FALSE)</f>
        <v>JWDDCD2025052800131</v>
      </c>
      <c r="E3002" s="33" t="str">
        <f>VLOOKUP(F3002,辅助信息!A:B,2,FALSE)</f>
        <v>螺纹钢</v>
      </c>
      <c r="F3002" s="33" t="s">
        <v>58</v>
      </c>
      <c r="G3002" s="29">
        <v>12</v>
      </c>
      <c r="H3002" s="113" t="str">
        <f>_xlfn.XLOOKUP(C3002&amp;F3002&amp;I3002&amp;J3002,'[1]2025年已发货'!$F:$F&amp;'[1]2025年已发货'!$C:$C&amp;'[1]2025年已发货'!$G:$G&amp;'[1]2025年已发货'!$H:$H,'[1]2025年已发货'!$E:$E,"未发货")</f>
        <v>未发货</v>
      </c>
      <c r="I3002" s="33" t="str">
        <f>VLOOKUP(B3002,辅助信息!E:I,3,FALSE)</f>
        <v>（商投建工达州中医药科技园-4工区-9号楼）达州市通川区达州中医药职业学院犀牛大道北段</v>
      </c>
      <c r="J3002" s="33" t="str">
        <f>VLOOKUP(B3002,辅助信息!E:I,4,FALSE)</f>
        <v>张扬</v>
      </c>
      <c r="K3002" s="33">
        <f>VLOOKUP(J3002,辅助信息!H:I,2,FALSE)</f>
        <v>18381904567</v>
      </c>
      <c r="L3002" s="102" t="str">
        <f>VLOOKUP(B3002,辅助信息!E:J,6,FALSE)</f>
        <v>控制炉批号！多了现场不收！,优先安排达钢,提前联系到场规格及数量</v>
      </c>
      <c r="O3002" s="55" t="str">
        <f ca="1" t="shared" si="173"/>
        <v/>
      </c>
      <c r="P3002" s="55" t="str">
        <f ca="1" t="shared" si="174"/>
        <v/>
      </c>
      <c r="Q3002" s="22" t="str">
        <f>VLOOKUP(B3002,辅助信息!E:M,9,FALSE)</f>
        <v>ZTWM-CDGS-XS-2024-0134-商投建工达州中医药科技成果示范园项目</v>
      </c>
      <c r="R3002" s="22" t="str">
        <f>_xlfn._xlws.FILTER(辅助信息!D:D,辅助信息!E:E=B3002)</f>
        <v>商投建工达州中医药科技园</v>
      </c>
    </row>
    <row r="3003" hidden="1" spans="2:18">
      <c r="B3003" s="33" t="s">
        <v>208</v>
      </c>
      <c r="C3003" s="63">
        <v>45895</v>
      </c>
      <c r="D3003" s="33" t="str">
        <f>VLOOKUP(B3003,辅助信息!E:K,7,FALSE)</f>
        <v>JWDDCD2025102100480</v>
      </c>
      <c r="E3003" s="33" t="str">
        <f>VLOOKUP(F3003,辅助信息!A:B,2,FALSE)</f>
        <v>高线</v>
      </c>
      <c r="F3003" s="33" t="s">
        <v>61</v>
      </c>
      <c r="G3003" s="29">
        <v>21.6</v>
      </c>
      <c r="H3003" s="113" t="str">
        <f>_xlfn.XLOOKUP(C3003&amp;F3003&amp;I3003&amp;J3003,'[1]2025年已发货'!$F:$F&amp;'[1]2025年已发货'!$C:$C&amp;'[1]2025年已发货'!$G:$G&amp;'[1]2025年已发货'!$H:$H,'[1]2025年已发货'!$E:$E,"未发货")</f>
        <v>未发货</v>
      </c>
      <c r="I3003" s="33" t="str">
        <f>VLOOKUP(B3003,辅助信息!E:I,3,FALSE)</f>
        <v>(五冶建设锦江区林家坝片区20号地块商业项目)锦江区泰昌路锦江28亩项目部</v>
      </c>
      <c r="J3003" s="33" t="str">
        <f>VLOOKUP(B3003,辅助信息!E:I,4,FALSE)</f>
        <v>陶杰</v>
      </c>
      <c r="K3003" s="33">
        <f>VLOOKUP(J3003,辅助信息!H:I,2,FALSE)</f>
        <v>13980247952</v>
      </c>
      <c r="L3003" s="102" t="str">
        <f>VLOOKUP(B3003,辅助信息!E:J,6,FALSE)</f>
        <v>联系实际收货人（陶杰13980247952）五冶建设送货单,6份材质书,锈货不收，装货前联系收货人核实到场规格,没提前告知进场规格现场不给予接收</v>
      </c>
      <c r="O3003" s="55" t="str">
        <f ca="1" t="shared" si="173"/>
        <v/>
      </c>
      <c r="P3003" s="55" t="str">
        <f ca="1" t="shared" si="174"/>
        <v/>
      </c>
      <c r="Q3003" s="22" t="str">
        <f>VLOOKUP(B3003,辅助信息!E:M,9,FALSE)</f>
        <v>ZTWM-CDGS-XS-2025-0073-五冶天府-成都怡心湖片区及龙泉驿医院等项目</v>
      </c>
      <c r="R3003" s="22" t="str">
        <f>_xlfn._xlws.FILTER(辅助信息!D:D,辅助信息!E:E=B3003)</f>
        <v>五冶建设锦江区林家坝片区20号地块商业项目</v>
      </c>
    </row>
    <row r="3004" hidden="1" spans="2:18">
      <c r="B3004" s="33" t="s">
        <v>208</v>
      </c>
      <c r="C3004" s="63">
        <v>45895</v>
      </c>
      <c r="D3004" s="33" t="str">
        <f>VLOOKUP(B3004,辅助信息!E:K,7,FALSE)</f>
        <v>JWDDCD2025102100480</v>
      </c>
      <c r="E3004" s="33" t="str">
        <f>VLOOKUP(F3004,辅助信息!A:B,2,FALSE)</f>
        <v>螺纹钢</v>
      </c>
      <c r="F3004" s="33" t="s">
        <v>30</v>
      </c>
      <c r="G3004" s="29">
        <v>11</v>
      </c>
      <c r="H3004" s="113" t="str">
        <f>_xlfn.XLOOKUP(C3004&amp;F3004&amp;I3004&amp;J3004,'[1]2025年已发货'!$F:$F&amp;'[1]2025年已发货'!$C:$C&amp;'[1]2025年已发货'!$G:$G&amp;'[1]2025年已发货'!$H:$H,'[1]2025年已发货'!$E:$E,"未发货")</f>
        <v>未发货</v>
      </c>
      <c r="I3004" s="33" t="str">
        <f>VLOOKUP(B3004,辅助信息!E:I,3,FALSE)</f>
        <v>(五冶建设锦江区林家坝片区20号地块商业项目)锦江区泰昌路锦江28亩项目部</v>
      </c>
      <c r="J3004" s="33" t="str">
        <f>VLOOKUP(B3004,辅助信息!E:I,4,FALSE)</f>
        <v>陶杰</v>
      </c>
      <c r="K3004" s="33">
        <f>VLOOKUP(J3004,辅助信息!H:I,2,FALSE)</f>
        <v>13980247952</v>
      </c>
      <c r="L3004" s="102" t="str">
        <f>VLOOKUP(B3004,辅助信息!E:J,6,FALSE)</f>
        <v>联系实际收货人（陶杰13980247952）五冶建设送货单,6份材质书,锈货不收，装货前联系收货人核实到场规格,没提前告知进场规格现场不给予接收</v>
      </c>
      <c r="O3004" s="55" t="str">
        <f ca="1" t="shared" si="173"/>
        <v/>
      </c>
      <c r="P3004" s="55" t="str">
        <f ca="1" t="shared" si="174"/>
        <v/>
      </c>
      <c r="Q3004" s="22" t="str">
        <f>VLOOKUP(B3004,辅助信息!E:M,9,FALSE)</f>
        <v>ZTWM-CDGS-XS-2025-0073-五冶天府-成都怡心湖片区及龙泉驿医院等项目</v>
      </c>
      <c r="R3004" s="22" t="str">
        <f>_xlfn._xlws.FILTER(辅助信息!D:D,辅助信息!E:E=B3004)</f>
        <v>五冶建设锦江区林家坝片区20号地块商业项目</v>
      </c>
    </row>
    <row r="3005" hidden="1" spans="2:18">
      <c r="B3005" s="33" t="s">
        <v>208</v>
      </c>
      <c r="C3005" s="63">
        <v>45895</v>
      </c>
      <c r="D3005" s="33" t="str">
        <f>VLOOKUP(B3005,辅助信息!E:K,7,FALSE)</f>
        <v>JWDDCD2025102100480</v>
      </c>
      <c r="E3005" s="33" t="str">
        <f>VLOOKUP(F3005,辅助信息!A:B,2,FALSE)</f>
        <v>螺纹钢</v>
      </c>
      <c r="F3005" s="33" t="s">
        <v>28</v>
      </c>
      <c r="G3005" s="29">
        <v>2.7</v>
      </c>
      <c r="H3005" s="113" t="str">
        <f>_xlfn.XLOOKUP(C3005&amp;F3005&amp;I3005&amp;J3005,'[1]2025年已发货'!$F:$F&amp;'[1]2025年已发货'!$C:$C&amp;'[1]2025年已发货'!$G:$G&amp;'[1]2025年已发货'!$H:$H,'[1]2025年已发货'!$E:$E,"未发货")</f>
        <v>未发货</v>
      </c>
      <c r="I3005" s="33" t="str">
        <f>VLOOKUP(B3005,辅助信息!E:I,3,FALSE)</f>
        <v>(五冶建设锦江区林家坝片区20号地块商业项目)锦江区泰昌路锦江28亩项目部</v>
      </c>
      <c r="J3005" s="33" t="str">
        <f>VLOOKUP(B3005,辅助信息!E:I,4,FALSE)</f>
        <v>陶杰</v>
      </c>
      <c r="K3005" s="33">
        <f>VLOOKUP(J3005,辅助信息!H:I,2,FALSE)</f>
        <v>13980247952</v>
      </c>
      <c r="L3005" s="102" t="str">
        <f>VLOOKUP(B3005,辅助信息!E:J,6,FALSE)</f>
        <v>联系实际收货人（陶杰13980247952）五冶建设送货单,6份材质书,锈货不收，装货前联系收货人核实到场规格,没提前告知进场规格现场不给予接收</v>
      </c>
      <c r="O3005" s="55" t="str">
        <f ca="1" t="shared" si="173"/>
        <v/>
      </c>
      <c r="P3005" s="55" t="str">
        <f ca="1" t="shared" si="174"/>
        <v/>
      </c>
      <c r="Q3005" s="22" t="str">
        <f>VLOOKUP(B3005,辅助信息!E:M,9,FALSE)</f>
        <v>ZTWM-CDGS-XS-2025-0073-五冶天府-成都怡心湖片区及龙泉驿医院等项目</v>
      </c>
      <c r="R3005" s="22" t="str">
        <f>_xlfn._xlws.FILTER(辅助信息!D:D,辅助信息!E:E=B3005)</f>
        <v>五冶建设锦江区林家坝片区20号地块商业项目</v>
      </c>
    </row>
    <row r="3006" hidden="1" spans="2:18">
      <c r="B3006" s="33" t="s">
        <v>192</v>
      </c>
      <c r="C3006" s="63">
        <v>45895</v>
      </c>
      <c r="D3006" s="33" t="str">
        <f>VLOOKUP(B3006,辅助信息!E:K,7,FALSE)</f>
        <v>JWDDCD2025102100475</v>
      </c>
      <c r="E3006" s="33" t="str">
        <f>VLOOKUP(F3006,辅助信息!A:B,2,FALSE)</f>
        <v>盘螺</v>
      </c>
      <c r="F3006" s="33" t="s">
        <v>40</v>
      </c>
      <c r="G3006" s="29">
        <v>9</v>
      </c>
      <c r="H3006" s="113">
        <f>_xlfn.XLOOKUP(C3006&amp;F3006&amp;I3006&amp;J3006,'[1]2025年已发货'!$F:$F&amp;'[1]2025年已发货'!$C:$C&amp;'[1]2025年已发货'!$G:$G&amp;'[1]2025年已发货'!$H:$H,'[1]2025年已发货'!$E:$E,"未发货")</f>
        <v>9</v>
      </c>
      <c r="I3006" s="33" t="str">
        <f>VLOOKUP(B3006,辅助信息!E:I,3,FALSE)</f>
        <v>(五冶建设成都国际铁路港多式联项目)四川省成都市青白江区桂平大道成都中远海运陆港多式联运有限公司</v>
      </c>
      <c r="J3006" s="33" t="str">
        <f>VLOOKUP(B3006,辅助信息!E:I,4,FALSE)</f>
        <v>黄勇杰</v>
      </c>
      <c r="K3006" s="33">
        <f>VLOOKUP(J3006,辅助信息!H:I,2,FALSE)</f>
        <v>13880580196</v>
      </c>
      <c r="L3006" s="102"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55" t="str">
        <f ca="1" t="shared" si="173"/>
        <v/>
      </c>
      <c r="P3006" s="55" t="str">
        <f ca="1" t="shared" si="174"/>
        <v/>
      </c>
      <c r="Q3006" s="22" t="str">
        <f>VLOOKUP(B3006,辅助信息!E:M,9,FALSE)</f>
        <v>ZTWM-CDGS-XS-2025-0073-五冶天府-成都怡心湖片区及龙泉驿医院等项目</v>
      </c>
      <c r="R3006" s="22" t="str">
        <f>_xlfn._xlws.FILTER(辅助信息!D:D,辅助信息!E:E=B3006)</f>
        <v>五冶建设成都国际铁路港多式联项目</v>
      </c>
    </row>
    <row r="3007" hidden="1" spans="2:18">
      <c r="B3007" s="33" t="s">
        <v>192</v>
      </c>
      <c r="C3007" s="63">
        <v>45895</v>
      </c>
      <c r="D3007" s="33" t="str">
        <f>VLOOKUP(B3007,辅助信息!E:K,7,FALSE)</f>
        <v>JWDDCD2025102100475</v>
      </c>
      <c r="E3007" s="33" t="str">
        <f>VLOOKUP(F3007,辅助信息!A:B,2,FALSE)</f>
        <v>盘螺</v>
      </c>
      <c r="F3007" s="33" t="s">
        <v>26</v>
      </c>
      <c r="G3007" s="29">
        <v>9</v>
      </c>
      <c r="H3007" s="113">
        <f>_xlfn.XLOOKUP(C3007&amp;F3007&amp;I3007&amp;J3007,'[1]2025年已发货'!$F:$F&amp;'[1]2025年已发货'!$C:$C&amp;'[1]2025年已发货'!$G:$G&amp;'[1]2025年已发货'!$H:$H,'[1]2025年已发货'!$E:$E,"未发货")</f>
        <v>9</v>
      </c>
      <c r="I3007" s="33" t="str">
        <f>VLOOKUP(B3007,辅助信息!E:I,3,FALSE)</f>
        <v>(五冶建设成都国际铁路港多式联项目)四川省成都市青白江区桂平大道成都中远海运陆港多式联运有限公司</v>
      </c>
      <c r="J3007" s="33" t="str">
        <f>VLOOKUP(B3007,辅助信息!E:I,4,FALSE)</f>
        <v>黄勇杰</v>
      </c>
      <c r="K3007" s="33">
        <f>VLOOKUP(J3007,辅助信息!H:I,2,FALSE)</f>
        <v>13880580196</v>
      </c>
      <c r="L3007" s="102"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55" t="str">
        <f ca="1" t="shared" si="173"/>
        <v/>
      </c>
      <c r="P3007" s="55" t="str">
        <f ca="1" t="shared" si="174"/>
        <v/>
      </c>
      <c r="Q3007" s="22" t="str">
        <f>VLOOKUP(B3007,辅助信息!E:M,9,FALSE)</f>
        <v>ZTWM-CDGS-XS-2025-0073-五冶天府-成都怡心湖片区及龙泉驿医院等项目</v>
      </c>
      <c r="R3007" s="22" t="str">
        <f>_xlfn._xlws.FILTER(辅助信息!D:D,辅助信息!E:E=B3007)</f>
        <v>五冶建设成都国际铁路港多式联项目</v>
      </c>
    </row>
    <row r="3008" hidden="1" spans="2:18">
      <c r="B3008" s="33" t="s">
        <v>192</v>
      </c>
      <c r="C3008" s="63">
        <v>45895</v>
      </c>
      <c r="D3008" s="33" t="str">
        <f>VLOOKUP(B3008,辅助信息!E:K,7,FALSE)</f>
        <v>JWDDCD2025102100475</v>
      </c>
      <c r="E3008" s="33" t="str">
        <f>VLOOKUP(F3008,辅助信息!A:B,2,FALSE)</f>
        <v>螺纹钢</v>
      </c>
      <c r="F3008" s="33" t="s">
        <v>32</v>
      </c>
      <c r="G3008" s="29">
        <v>3</v>
      </c>
      <c r="H3008" s="113">
        <f>_xlfn.XLOOKUP(C3008&amp;F3008&amp;I3008&amp;J3008,'[1]2025年已发货'!$F:$F&amp;'[1]2025年已发货'!$C:$C&amp;'[1]2025年已发货'!$G:$G&amp;'[1]2025年已发货'!$H:$H,'[1]2025年已发货'!$E:$E,"未发货")</f>
        <v>2</v>
      </c>
      <c r="I3008" s="33" t="str">
        <f>VLOOKUP(B3008,辅助信息!E:I,3,FALSE)</f>
        <v>(五冶建设成都国际铁路港多式联项目)四川省成都市青白江区桂平大道成都中远海运陆港多式联运有限公司</v>
      </c>
      <c r="J3008" s="33" t="str">
        <f>VLOOKUP(B3008,辅助信息!E:I,4,FALSE)</f>
        <v>黄勇杰</v>
      </c>
      <c r="K3008" s="33">
        <f>VLOOKUP(J3008,辅助信息!H:I,2,FALSE)</f>
        <v>13880580196</v>
      </c>
      <c r="L3008" s="102"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55" t="str">
        <f ca="1" t="shared" si="173"/>
        <v/>
      </c>
      <c r="P3008" s="55" t="str">
        <f ca="1" t="shared" si="174"/>
        <v/>
      </c>
      <c r="Q3008" s="22" t="str">
        <f>VLOOKUP(B3008,辅助信息!E:M,9,FALSE)</f>
        <v>ZTWM-CDGS-XS-2025-0073-五冶天府-成都怡心湖片区及龙泉驿医院等项目</v>
      </c>
      <c r="R3008" s="22" t="str">
        <f>_xlfn._xlws.FILTER(辅助信息!D:D,辅助信息!E:E=B3008)</f>
        <v>五冶建设成都国际铁路港多式联项目</v>
      </c>
    </row>
    <row r="3009" hidden="1" spans="2:18">
      <c r="B3009" s="33" t="s">
        <v>192</v>
      </c>
      <c r="C3009" s="63">
        <v>45895</v>
      </c>
      <c r="D3009" s="33" t="str">
        <f>VLOOKUP(B3009,辅助信息!E:K,7,FALSE)</f>
        <v>JWDDCD2025102100475</v>
      </c>
      <c r="E3009" s="33" t="str">
        <f>VLOOKUP(F3009,辅助信息!A:B,2,FALSE)</f>
        <v>螺纹钢</v>
      </c>
      <c r="F3009" s="33" t="s">
        <v>30</v>
      </c>
      <c r="G3009" s="29">
        <v>5</v>
      </c>
      <c r="H3009" s="113">
        <f>_xlfn.XLOOKUP(C3009&amp;F3009&amp;I3009&amp;J3009,'[1]2025年已发货'!$F:$F&amp;'[1]2025年已发货'!$C:$C&amp;'[1]2025年已发货'!$G:$G&amp;'[1]2025年已发货'!$H:$H,'[1]2025年已发货'!$E:$E,"未发货")</f>
        <v>5</v>
      </c>
      <c r="I3009" s="33" t="str">
        <f>VLOOKUP(B3009,辅助信息!E:I,3,FALSE)</f>
        <v>(五冶建设成都国际铁路港多式联项目)四川省成都市青白江区桂平大道成都中远海运陆港多式联运有限公司</v>
      </c>
      <c r="J3009" s="33" t="str">
        <f>VLOOKUP(B3009,辅助信息!E:I,4,FALSE)</f>
        <v>黄勇杰</v>
      </c>
      <c r="K3009" s="33">
        <f>VLOOKUP(J3009,辅助信息!H:I,2,FALSE)</f>
        <v>13880580196</v>
      </c>
      <c r="L3009" s="102"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55" t="str">
        <f ca="1" t="shared" si="173"/>
        <v/>
      </c>
      <c r="P3009" s="55" t="str">
        <f ca="1" t="shared" si="174"/>
        <v/>
      </c>
      <c r="Q3009" s="22" t="str">
        <f>VLOOKUP(B3009,辅助信息!E:M,9,FALSE)</f>
        <v>ZTWM-CDGS-XS-2025-0073-五冶天府-成都怡心湖片区及龙泉驿医院等项目</v>
      </c>
      <c r="R3009" s="22" t="str">
        <f>_xlfn._xlws.FILTER(辅助信息!D:D,辅助信息!E:E=B3009)</f>
        <v>五冶建设成都国际铁路港多式联项目</v>
      </c>
    </row>
    <row r="3010" hidden="1" spans="2:18">
      <c r="B3010" s="33" t="s">
        <v>192</v>
      </c>
      <c r="C3010" s="63">
        <v>45895</v>
      </c>
      <c r="D3010" s="33" t="str">
        <f>VLOOKUP(B3010,辅助信息!E:K,7,FALSE)</f>
        <v>JWDDCD2025102100475</v>
      </c>
      <c r="E3010" s="33" t="str">
        <f>VLOOKUP(F3010,辅助信息!A:B,2,FALSE)</f>
        <v>螺纹钢</v>
      </c>
      <c r="F3010" s="33" t="s">
        <v>33</v>
      </c>
      <c r="G3010" s="29">
        <v>9</v>
      </c>
      <c r="H3010" s="113">
        <f>_xlfn.XLOOKUP(C3010&amp;F3010&amp;I3010&amp;J3010,'[1]2025年已发货'!$F:$F&amp;'[1]2025年已发货'!$C:$C&amp;'[1]2025年已发货'!$G:$G&amp;'[1]2025年已发货'!$H:$H,'[1]2025年已发货'!$E:$E,"未发货")</f>
        <v>9</v>
      </c>
      <c r="I3010" s="33" t="str">
        <f>VLOOKUP(B3010,辅助信息!E:I,3,FALSE)</f>
        <v>(五冶建设成都国际铁路港多式联项目)四川省成都市青白江区桂平大道成都中远海运陆港多式联运有限公司</v>
      </c>
      <c r="J3010" s="33" t="str">
        <f>VLOOKUP(B3010,辅助信息!E:I,4,FALSE)</f>
        <v>黄勇杰</v>
      </c>
      <c r="K3010" s="33">
        <f>VLOOKUP(J3010,辅助信息!H:I,2,FALSE)</f>
        <v>13880580196</v>
      </c>
      <c r="L3010" s="102"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55" t="str">
        <f ca="1" t="shared" si="173"/>
        <v/>
      </c>
      <c r="P3010" s="55" t="str">
        <f ca="1" t="shared" si="174"/>
        <v/>
      </c>
      <c r="Q3010" s="22" t="str">
        <f>VLOOKUP(B3010,辅助信息!E:M,9,FALSE)</f>
        <v>ZTWM-CDGS-XS-2025-0073-五冶天府-成都怡心湖片区及龙泉驿医院等项目</v>
      </c>
      <c r="R3010" s="22" t="str">
        <f>_xlfn._xlws.FILTER(辅助信息!D:D,辅助信息!E:E=B3010)</f>
        <v>五冶建设成都国际铁路港多式联项目</v>
      </c>
    </row>
    <row r="3011" hidden="1" spans="2:18">
      <c r="B3011" s="33" t="s">
        <v>186</v>
      </c>
      <c r="C3011" s="63">
        <v>45895</v>
      </c>
      <c r="D3011" s="33" t="str">
        <f>VLOOKUP(B3011,辅助信息!E:K,7,FALSE)</f>
        <v>JWDDCD2025072900123</v>
      </c>
      <c r="E3011" s="33" t="str">
        <f>VLOOKUP(F3011,辅助信息!A:B,2,FALSE)</f>
        <v>螺纹钢</v>
      </c>
      <c r="F3011" s="33" t="s">
        <v>27</v>
      </c>
      <c r="G3011" s="29">
        <v>1.5</v>
      </c>
      <c r="H3011" s="113">
        <f>_xlfn.XLOOKUP(C3011&amp;F3011&amp;I3011&amp;J3011,'[1]2025年已发货'!$F:$F&amp;'[1]2025年已发货'!$C:$C&amp;'[1]2025年已发货'!$G:$G&amp;'[1]2025年已发货'!$H:$H,'[1]2025年已发货'!$E:$E,"未发货")</f>
        <v>2.8</v>
      </c>
      <c r="I3011" s="33" t="str">
        <f>VLOOKUP(B3011,辅助信息!E:I,3,FALSE)</f>
        <v>(乐山市校地共建产教融合基地建设项目二标段)四川省乐山市市中区苏稽镇</v>
      </c>
      <c r="J3011" s="33" t="str">
        <f>VLOOKUP(B3011,辅助信息!E:I,4,FALSE)</f>
        <v>彭江涛</v>
      </c>
      <c r="K3011" s="33">
        <f>VLOOKUP(J3011,辅助信息!H:I,2,FALSE)</f>
        <v>13990276572</v>
      </c>
      <c r="L3011" s="102" t="str">
        <f>VLOOKUP(B3011,辅助信息!E:J,6,FALSE)</f>
        <v>联系实际收货人（彭江涛13990276572）现场要求炉批号控制2个以下，超2个不给予签收。提前联系到场规格及数量</v>
      </c>
      <c r="O3011" s="55" t="str">
        <f ca="1" t="shared" si="173"/>
        <v/>
      </c>
      <c r="P3011" s="55" t="str">
        <f ca="1" t="shared" si="174"/>
        <v/>
      </c>
      <c r="Q3011" s="22" t="str">
        <f>VLOOKUP(B3011,辅助信息!E:M,9,FALSE)</f>
        <v>ZTWM-CDGS-XS-2025-0126-四川机司-乐山市校地共建产教融合基地配套设施项目施工二标段钢筋采购合同</v>
      </c>
      <c r="R3011" s="22" t="str">
        <f>_xlfn._xlws.FILTER(辅助信息!D:D,辅助信息!E:E=B3011)</f>
        <v>乐山市校地共建产教融合基地建设项目二标段</v>
      </c>
    </row>
    <row r="3012" hidden="1" spans="2:18">
      <c r="B3012" s="33" t="s">
        <v>186</v>
      </c>
      <c r="C3012" s="63">
        <v>45895</v>
      </c>
      <c r="D3012" s="33" t="str">
        <f>VLOOKUP(B3012,辅助信息!E:K,7,FALSE)</f>
        <v>JWDDCD2025072900123</v>
      </c>
      <c r="E3012" s="33" t="str">
        <f>VLOOKUP(F3012,辅助信息!A:B,2,FALSE)</f>
        <v>螺纹钢</v>
      </c>
      <c r="F3012" s="33" t="s">
        <v>19</v>
      </c>
      <c r="G3012" s="29">
        <v>1.5</v>
      </c>
      <c r="H3012" s="113">
        <f>_xlfn.XLOOKUP(C3012&amp;F3012&amp;I3012&amp;J3012,'[1]2025年已发货'!$F:$F&amp;'[1]2025年已发货'!$C:$C&amp;'[1]2025年已发货'!$G:$G&amp;'[1]2025年已发货'!$H:$H,'[1]2025年已发货'!$E:$E,"未发货")</f>
        <v>2.8</v>
      </c>
      <c r="I3012" s="33" t="str">
        <f>VLOOKUP(B3012,辅助信息!E:I,3,FALSE)</f>
        <v>(乐山市校地共建产教融合基地建设项目二标段)四川省乐山市市中区苏稽镇</v>
      </c>
      <c r="J3012" s="33" t="str">
        <f>VLOOKUP(B3012,辅助信息!E:I,4,FALSE)</f>
        <v>彭江涛</v>
      </c>
      <c r="K3012" s="33">
        <f>VLOOKUP(J3012,辅助信息!H:I,2,FALSE)</f>
        <v>13990276572</v>
      </c>
      <c r="L3012" s="102" t="str">
        <f>VLOOKUP(B3012,辅助信息!E:J,6,FALSE)</f>
        <v>联系实际收货人（彭江涛13990276572）现场要求炉批号控制2个以下，超2个不给予签收。提前联系到场规格及数量</v>
      </c>
      <c r="O3012" s="55" t="str">
        <f ca="1" t="shared" si="173"/>
        <v/>
      </c>
      <c r="P3012" s="55" t="str">
        <f ca="1" t="shared" si="174"/>
        <v/>
      </c>
      <c r="Q3012" s="22" t="str">
        <f>VLOOKUP(B3012,辅助信息!E:M,9,FALSE)</f>
        <v>ZTWM-CDGS-XS-2025-0126-四川机司-乐山市校地共建产教融合基地配套设施项目施工二标段钢筋采购合同</v>
      </c>
      <c r="R3012" s="22" t="str">
        <f>_xlfn._xlws.FILTER(辅助信息!D:D,辅助信息!E:E=B3012)</f>
        <v>乐山市校地共建产教融合基地建设项目二标段</v>
      </c>
    </row>
    <row r="3013" hidden="1" spans="2:18">
      <c r="B3013" s="33" t="s">
        <v>186</v>
      </c>
      <c r="C3013" s="63">
        <v>45895</v>
      </c>
      <c r="D3013" s="33" t="str">
        <f>VLOOKUP(B3013,辅助信息!E:K,7,FALSE)</f>
        <v>JWDDCD2025072900123</v>
      </c>
      <c r="E3013" s="33" t="str">
        <f>VLOOKUP(F3013,辅助信息!A:B,2,FALSE)</f>
        <v>螺纹钢</v>
      </c>
      <c r="F3013" s="33" t="s">
        <v>32</v>
      </c>
      <c r="G3013" s="29">
        <v>17</v>
      </c>
      <c r="H3013" s="113">
        <f>_xlfn.XLOOKUP(C3013&amp;F3013&amp;I3013&amp;J3013,'[1]2025年已发货'!$F:$F&amp;'[1]2025年已发货'!$C:$C&amp;'[1]2025年已发货'!$G:$G&amp;'[1]2025年已发货'!$H:$H,'[1]2025年已发货'!$E:$E,"未发货")</f>
        <v>12</v>
      </c>
      <c r="I3013" s="33" t="str">
        <f>VLOOKUP(B3013,辅助信息!E:I,3,FALSE)</f>
        <v>(乐山市校地共建产教融合基地建设项目二标段)四川省乐山市市中区苏稽镇</v>
      </c>
      <c r="J3013" s="33" t="str">
        <f>VLOOKUP(B3013,辅助信息!E:I,4,FALSE)</f>
        <v>彭江涛</v>
      </c>
      <c r="K3013" s="33">
        <f>VLOOKUP(J3013,辅助信息!H:I,2,FALSE)</f>
        <v>13990276572</v>
      </c>
      <c r="L3013" s="102" t="str">
        <f>VLOOKUP(B3013,辅助信息!E:J,6,FALSE)</f>
        <v>联系实际收货人（彭江涛13990276572）现场要求炉批号控制2个以下，超2个不给予签收。提前联系到场规格及数量</v>
      </c>
      <c r="O3013" s="55" t="str">
        <f ca="1" t="shared" si="173"/>
        <v/>
      </c>
      <c r="P3013" s="55" t="str">
        <f ca="1" t="shared" si="174"/>
        <v/>
      </c>
      <c r="Q3013" s="22" t="str">
        <f>VLOOKUP(B3013,辅助信息!E:M,9,FALSE)</f>
        <v>ZTWM-CDGS-XS-2025-0126-四川机司-乐山市校地共建产教融合基地配套设施项目施工二标段钢筋采购合同</v>
      </c>
      <c r="R3013" s="22" t="str">
        <f>_xlfn._xlws.FILTER(辅助信息!D:D,辅助信息!E:E=B3013)</f>
        <v>乐山市校地共建产教融合基地建设项目二标段</v>
      </c>
    </row>
    <row r="3014" hidden="1" spans="2:18">
      <c r="B3014" s="33" t="s">
        <v>186</v>
      </c>
      <c r="C3014" s="63">
        <v>45895</v>
      </c>
      <c r="D3014" s="33" t="str">
        <f>VLOOKUP(B3014,辅助信息!E:K,7,FALSE)</f>
        <v>JWDDCD2025072900123</v>
      </c>
      <c r="E3014" s="33" t="str">
        <f>VLOOKUP(F3014,辅助信息!A:B,2,FALSE)</f>
        <v>螺纹钢</v>
      </c>
      <c r="F3014" s="33" t="s">
        <v>30</v>
      </c>
      <c r="G3014" s="29">
        <v>3</v>
      </c>
      <c r="H3014" s="113">
        <f>_xlfn.XLOOKUP(C3014&amp;F3014&amp;I3014&amp;J3014,'[1]2025年已发货'!$F:$F&amp;'[1]2025年已发货'!$C:$C&amp;'[1]2025年已发货'!$G:$G&amp;'[1]2025年已发货'!$H:$H,'[1]2025年已发货'!$E:$E,"未发货")</f>
        <v>3</v>
      </c>
      <c r="I3014" s="33" t="str">
        <f>VLOOKUP(B3014,辅助信息!E:I,3,FALSE)</f>
        <v>(乐山市校地共建产教融合基地建设项目二标段)四川省乐山市市中区苏稽镇</v>
      </c>
      <c r="J3014" s="33" t="str">
        <f>VLOOKUP(B3014,辅助信息!E:I,4,FALSE)</f>
        <v>彭江涛</v>
      </c>
      <c r="K3014" s="33">
        <f>VLOOKUP(J3014,辅助信息!H:I,2,FALSE)</f>
        <v>13990276572</v>
      </c>
      <c r="L3014" s="102" t="str">
        <f>VLOOKUP(B3014,辅助信息!E:J,6,FALSE)</f>
        <v>联系实际收货人（彭江涛13990276572）现场要求炉批号控制2个以下，超2个不给予签收。提前联系到场规格及数量</v>
      </c>
      <c r="O3014" s="55" t="str">
        <f ca="1" t="shared" si="173"/>
        <v/>
      </c>
      <c r="P3014" s="55" t="str">
        <f ca="1" t="shared" si="174"/>
        <v/>
      </c>
      <c r="Q3014" s="22" t="str">
        <f>VLOOKUP(B3014,辅助信息!E:M,9,FALSE)</f>
        <v>ZTWM-CDGS-XS-2025-0126-四川机司-乐山市校地共建产教融合基地配套设施项目施工二标段钢筋采购合同</v>
      </c>
      <c r="R3014" s="22" t="str">
        <f>_xlfn._xlws.FILTER(辅助信息!D:D,辅助信息!E:E=B3014)</f>
        <v>乐山市校地共建产教融合基地建设项目二标段</v>
      </c>
    </row>
    <row r="3015" hidden="1" spans="2:18">
      <c r="B3015" s="33" t="s">
        <v>186</v>
      </c>
      <c r="C3015" s="63">
        <v>45895</v>
      </c>
      <c r="D3015" s="33" t="str">
        <f>VLOOKUP(B3015,辅助信息!E:K,7,FALSE)</f>
        <v>JWDDCD2025072900123</v>
      </c>
      <c r="E3015" s="33" t="str">
        <f>VLOOKUP(F3015,辅助信息!A:B,2,FALSE)</f>
        <v>螺纹钢</v>
      </c>
      <c r="F3015" s="33" t="s">
        <v>33</v>
      </c>
      <c r="G3015" s="29">
        <v>3</v>
      </c>
      <c r="H3015" s="113">
        <f>_xlfn.XLOOKUP(C3015&amp;F3015&amp;I3015&amp;J3015,'[1]2025年已发货'!$F:$F&amp;'[1]2025年已发货'!$C:$C&amp;'[1]2025年已发货'!$G:$G&amp;'[1]2025年已发货'!$H:$H,'[1]2025年已发货'!$E:$E,"未发货")</f>
        <v>3</v>
      </c>
      <c r="I3015" s="33" t="str">
        <f>VLOOKUP(B3015,辅助信息!E:I,3,FALSE)</f>
        <v>(乐山市校地共建产教融合基地建设项目二标段)四川省乐山市市中区苏稽镇</v>
      </c>
      <c r="J3015" s="33" t="str">
        <f>VLOOKUP(B3015,辅助信息!E:I,4,FALSE)</f>
        <v>彭江涛</v>
      </c>
      <c r="K3015" s="33">
        <f>VLOOKUP(J3015,辅助信息!H:I,2,FALSE)</f>
        <v>13990276572</v>
      </c>
      <c r="L3015" s="102" t="str">
        <f>VLOOKUP(B3015,辅助信息!E:J,6,FALSE)</f>
        <v>联系实际收货人（彭江涛13990276572）现场要求炉批号控制2个以下，超2个不给予签收。提前联系到场规格及数量</v>
      </c>
      <c r="O3015" s="55" t="str">
        <f ca="1" t="shared" si="173"/>
        <v/>
      </c>
      <c r="P3015" s="55" t="str">
        <f ca="1" t="shared" si="174"/>
        <v/>
      </c>
      <c r="Q3015" s="22" t="str">
        <f>VLOOKUP(B3015,辅助信息!E:M,9,FALSE)</f>
        <v>ZTWM-CDGS-XS-2025-0126-四川机司-乐山市校地共建产教融合基地配套设施项目施工二标段钢筋采购合同</v>
      </c>
      <c r="R3015" s="22" t="str">
        <f>_xlfn._xlws.FILTER(辅助信息!D:D,辅助信息!E:E=B3015)</f>
        <v>乐山市校地共建产教融合基地建设项目二标段</v>
      </c>
    </row>
    <row r="3016" hidden="1" spans="2:18">
      <c r="B3016" s="33" t="s">
        <v>186</v>
      </c>
      <c r="C3016" s="63">
        <v>45895</v>
      </c>
      <c r="D3016" s="33" t="str">
        <f>VLOOKUP(B3016,辅助信息!E:K,7,FALSE)</f>
        <v>JWDDCD2025072900123</v>
      </c>
      <c r="E3016" s="33" t="str">
        <f>VLOOKUP(F3016,辅助信息!A:B,2,FALSE)</f>
        <v>螺纹钢</v>
      </c>
      <c r="F3016" s="33" t="s">
        <v>28</v>
      </c>
      <c r="G3016" s="29">
        <v>2.5</v>
      </c>
      <c r="H3016" s="113">
        <f>_xlfn.XLOOKUP(C3016&amp;F3016&amp;I3016&amp;J3016,'[1]2025年已发货'!$F:$F&amp;'[1]2025年已发货'!$C:$C&amp;'[1]2025年已发货'!$G:$G&amp;'[1]2025年已发货'!$H:$H,'[1]2025年已发货'!$E:$E,"未发货")</f>
        <v>2.5</v>
      </c>
      <c r="I3016" s="33" t="str">
        <f>VLOOKUP(B3016,辅助信息!E:I,3,FALSE)</f>
        <v>(乐山市校地共建产教融合基地建设项目二标段)四川省乐山市市中区苏稽镇</v>
      </c>
      <c r="J3016" s="33" t="str">
        <f>VLOOKUP(B3016,辅助信息!E:I,4,FALSE)</f>
        <v>彭江涛</v>
      </c>
      <c r="K3016" s="33">
        <f>VLOOKUP(J3016,辅助信息!H:I,2,FALSE)</f>
        <v>13990276572</v>
      </c>
      <c r="L3016" s="102" t="str">
        <f>VLOOKUP(B3016,辅助信息!E:J,6,FALSE)</f>
        <v>联系实际收货人（彭江涛13990276572）现场要求炉批号控制2个以下，超2个不给予签收。提前联系到场规格及数量</v>
      </c>
      <c r="O3016" s="55" t="str">
        <f ca="1" t="shared" si="173"/>
        <v/>
      </c>
      <c r="P3016" s="55" t="str">
        <f ca="1" t="shared" si="174"/>
        <v/>
      </c>
      <c r="Q3016" s="22" t="str">
        <f>VLOOKUP(B3016,辅助信息!E:M,9,FALSE)</f>
        <v>ZTWM-CDGS-XS-2025-0126-四川机司-乐山市校地共建产教融合基地配套设施项目施工二标段钢筋采购合同</v>
      </c>
      <c r="R3016" s="22" t="str">
        <f>_xlfn._xlws.FILTER(辅助信息!D:D,辅助信息!E:E=B3016)</f>
        <v>乐山市校地共建产教融合基地建设项目二标段</v>
      </c>
    </row>
    <row r="3017" hidden="1" spans="2:18">
      <c r="B3017" s="33" t="s">
        <v>186</v>
      </c>
      <c r="C3017" s="63">
        <v>45895</v>
      </c>
      <c r="D3017" s="33" t="str">
        <f>VLOOKUP(B3017,辅助信息!E:K,7,FALSE)</f>
        <v>JWDDCD2025072900123</v>
      </c>
      <c r="E3017" s="33" t="str">
        <f>VLOOKUP(F3017,辅助信息!A:B,2,FALSE)</f>
        <v>螺纹钢</v>
      </c>
      <c r="F3017" s="33" t="s">
        <v>18</v>
      </c>
      <c r="G3017" s="29">
        <v>18</v>
      </c>
      <c r="H3017" s="113" t="str">
        <f>_xlfn.XLOOKUP(C3017&amp;F3017&amp;I3017&amp;J3017,'[1]2025年已发货'!$F:$F&amp;'[1]2025年已发货'!$C:$C&amp;'[1]2025年已发货'!$G:$G&amp;'[1]2025年已发货'!$H:$H,'[1]2025年已发货'!$E:$E,"未发货")</f>
        <v>未发货</v>
      </c>
      <c r="I3017" s="33" t="str">
        <f>VLOOKUP(B3017,辅助信息!E:I,3,FALSE)</f>
        <v>(乐山市校地共建产教融合基地建设项目二标段)四川省乐山市市中区苏稽镇</v>
      </c>
      <c r="J3017" s="33" t="str">
        <f>VLOOKUP(B3017,辅助信息!E:I,4,FALSE)</f>
        <v>彭江涛</v>
      </c>
      <c r="K3017" s="33">
        <f>VLOOKUP(J3017,辅助信息!H:I,2,FALSE)</f>
        <v>13990276572</v>
      </c>
      <c r="L3017" s="102" t="str">
        <f>VLOOKUP(B3017,辅助信息!E:J,6,FALSE)</f>
        <v>联系实际收货人（彭江涛13990276572）现场要求炉批号控制2个以下，超2个不给予签收。提前联系到场规格及数量</v>
      </c>
      <c r="O3017" s="55" t="str">
        <f ca="1" t="shared" ref="O3017:O3080" si="175">IF(OR(M3017="",N3017&lt;&gt;""),"",MAX(M3017-TODAY(),0))</f>
        <v/>
      </c>
      <c r="P3017" s="55" t="str">
        <f ca="1" t="shared" ref="P3017:P3080" si="176">IF(M3017="","",IF(N3017&lt;&gt;"",MAX(N3017-M3017,0),IF(TODAY()&gt;M3017,TODAY()-M3017,0)))</f>
        <v/>
      </c>
      <c r="Q3017" s="22" t="str">
        <f>VLOOKUP(B3017,辅助信息!E:M,9,FALSE)</f>
        <v>ZTWM-CDGS-XS-2025-0126-四川机司-乐山市校地共建产教融合基地配套设施项目施工二标段钢筋采购合同</v>
      </c>
      <c r="R3017" s="22" t="str">
        <f>_xlfn._xlws.FILTER(辅助信息!D:D,辅助信息!E:E=B3017)</f>
        <v>乐山市校地共建产教融合基地建设项目二标段</v>
      </c>
    </row>
    <row r="3018" hidden="1" spans="2:18">
      <c r="B3018" s="33" t="s">
        <v>186</v>
      </c>
      <c r="C3018" s="63">
        <v>45895</v>
      </c>
      <c r="D3018" s="33" t="str">
        <f>VLOOKUP(B3018,辅助信息!E:K,7,FALSE)</f>
        <v>JWDDCD2025072900123</v>
      </c>
      <c r="E3018" s="33" t="str">
        <f>VLOOKUP(F3018,辅助信息!A:B,2,FALSE)</f>
        <v>盘螺</v>
      </c>
      <c r="F3018" s="33" t="s">
        <v>26</v>
      </c>
      <c r="G3018" s="29">
        <v>1.5</v>
      </c>
      <c r="H3018" s="113">
        <f>_xlfn.XLOOKUP(C3018&amp;F3018&amp;I3018&amp;J3018,'[1]2025年已发货'!$F:$F&amp;'[1]2025年已发货'!$C:$C&amp;'[1]2025年已发货'!$G:$G&amp;'[1]2025年已发货'!$H:$H,'[1]2025年已发货'!$E:$E,"未发货")</f>
        <v>2.5</v>
      </c>
      <c r="I3018" s="33" t="str">
        <f>VLOOKUP(B3018,辅助信息!E:I,3,FALSE)</f>
        <v>(乐山市校地共建产教融合基地建设项目二标段)四川省乐山市市中区苏稽镇</v>
      </c>
      <c r="J3018" s="33" t="str">
        <f>VLOOKUP(B3018,辅助信息!E:I,4,FALSE)</f>
        <v>彭江涛</v>
      </c>
      <c r="K3018" s="33">
        <f>VLOOKUP(J3018,辅助信息!H:I,2,FALSE)</f>
        <v>13990276572</v>
      </c>
      <c r="L3018" s="102" t="str">
        <f>VLOOKUP(B3018,辅助信息!E:J,6,FALSE)</f>
        <v>联系实际收货人（彭江涛13990276572）现场要求炉批号控制2个以下，超2个不给予签收。提前联系到场规格及数量</v>
      </c>
      <c r="O3018" s="55" t="str">
        <f ca="1" t="shared" si="175"/>
        <v/>
      </c>
      <c r="P3018" s="55" t="str">
        <f ca="1" t="shared" si="176"/>
        <v/>
      </c>
      <c r="Q3018" s="22" t="str">
        <f>VLOOKUP(B3018,辅助信息!E:M,9,FALSE)</f>
        <v>ZTWM-CDGS-XS-2025-0126-四川机司-乐山市校地共建产教融合基地配套设施项目施工二标段钢筋采购合同</v>
      </c>
      <c r="R3018" s="22" t="str">
        <f>_xlfn._xlws.FILTER(辅助信息!D:D,辅助信息!E:E=B3018)</f>
        <v>乐山市校地共建产教融合基地建设项目二标段</v>
      </c>
    </row>
    <row r="3019" hidden="1" spans="2:18">
      <c r="B3019" s="33" t="s">
        <v>186</v>
      </c>
      <c r="C3019" s="63">
        <v>45895</v>
      </c>
      <c r="D3019" s="33" t="str">
        <f>VLOOKUP(B3019,辅助信息!E:K,7,FALSE)</f>
        <v>JWDDCD2025072900123</v>
      </c>
      <c r="E3019" s="33" t="str">
        <f>VLOOKUP(F3019,辅助信息!A:B,2,FALSE)</f>
        <v>螺纹钢</v>
      </c>
      <c r="F3019" s="33" t="s">
        <v>76</v>
      </c>
      <c r="G3019" s="29">
        <v>36</v>
      </c>
      <c r="H3019" s="113">
        <f>_xlfn.XLOOKUP(C3019&amp;F3019&amp;I3019&amp;J3019,'[1]2025年已发货'!$F:$F&amp;'[1]2025年已发货'!$C:$C&amp;'[1]2025年已发货'!$G:$G&amp;'[1]2025年已发货'!$H:$H,'[1]2025年已发货'!$E:$E,"未发货")</f>
        <v>36</v>
      </c>
      <c r="I3019" s="33" t="str">
        <f>VLOOKUP(B3019,辅助信息!E:I,3,FALSE)</f>
        <v>(乐山市校地共建产教融合基地建设项目二标段)四川省乐山市市中区苏稽镇</v>
      </c>
      <c r="J3019" s="33" t="str">
        <f>VLOOKUP(B3019,辅助信息!E:I,4,FALSE)</f>
        <v>彭江涛</v>
      </c>
      <c r="K3019" s="33">
        <f>VLOOKUP(J3019,辅助信息!H:I,2,FALSE)</f>
        <v>13990276572</v>
      </c>
      <c r="L3019" s="102" t="str">
        <f>VLOOKUP(B3019,辅助信息!E:J,6,FALSE)</f>
        <v>联系实际收货人（彭江涛13990276572）现场要求炉批号控制2个以下，超2个不给予签收。提前联系到场规格及数量</v>
      </c>
      <c r="O3019" s="55" t="str">
        <f ca="1" t="shared" si="175"/>
        <v/>
      </c>
      <c r="P3019" s="55" t="str">
        <f ca="1" t="shared" si="176"/>
        <v/>
      </c>
      <c r="Q3019" s="22" t="str">
        <f>VLOOKUP(B3019,辅助信息!E:M,9,FALSE)</f>
        <v>ZTWM-CDGS-XS-2025-0126-四川机司-乐山市校地共建产教融合基地配套设施项目施工二标段钢筋采购合同</v>
      </c>
      <c r="R3019" s="22" t="str">
        <f>_xlfn._xlws.FILTER(辅助信息!D:D,辅助信息!E:E=B3019)</f>
        <v>乐山市校地共建产教融合基地建设项目二标段</v>
      </c>
    </row>
    <row r="3020" hidden="1" spans="2:18">
      <c r="B3020" s="33" t="s">
        <v>186</v>
      </c>
      <c r="C3020" s="63">
        <v>45895</v>
      </c>
      <c r="D3020" s="33" t="str">
        <f>VLOOKUP(B3020,辅助信息!E:K,7,FALSE)</f>
        <v>JWDDCD2025072900123</v>
      </c>
      <c r="E3020" s="33" t="str">
        <f>VLOOKUP(F3020,辅助信息!A:B,2,FALSE)</f>
        <v>螺纹钢</v>
      </c>
      <c r="F3020" s="33" t="s">
        <v>90</v>
      </c>
      <c r="G3020" s="29">
        <v>36</v>
      </c>
      <c r="H3020" s="113">
        <f>_xlfn.XLOOKUP(C3020&amp;F3020&amp;I3020&amp;J3020,'[1]2025年已发货'!$F:$F&amp;'[1]2025年已发货'!$C:$C&amp;'[1]2025年已发货'!$G:$G&amp;'[1]2025年已发货'!$H:$H,'[1]2025年已发货'!$E:$E,"未发货")</f>
        <v>36</v>
      </c>
      <c r="I3020" s="33" t="str">
        <f>VLOOKUP(B3020,辅助信息!E:I,3,FALSE)</f>
        <v>(乐山市校地共建产教融合基地建设项目二标段)四川省乐山市市中区苏稽镇</v>
      </c>
      <c r="J3020" s="33" t="str">
        <f>VLOOKUP(B3020,辅助信息!E:I,4,FALSE)</f>
        <v>彭江涛</v>
      </c>
      <c r="K3020" s="33">
        <f>VLOOKUP(J3020,辅助信息!H:I,2,FALSE)</f>
        <v>13990276572</v>
      </c>
      <c r="L3020" s="102" t="str">
        <f>VLOOKUP(B3020,辅助信息!E:J,6,FALSE)</f>
        <v>联系实际收货人（彭江涛13990276572）现场要求炉批号控制2个以下，超2个不给予签收。提前联系到场规格及数量</v>
      </c>
      <c r="O3020" s="55" t="str">
        <f ca="1" t="shared" si="175"/>
        <v/>
      </c>
      <c r="P3020" s="55" t="str">
        <f ca="1" t="shared" si="176"/>
        <v/>
      </c>
      <c r="Q3020" s="22" t="str">
        <f>VLOOKUP(B3020,辅助信息!E:M,9,FALSE)</f>
        <v>ZTWM-CDGS-XS-2025-0126-四川机司-乐山市校地共建产教融合基地配套设施项目施工二标段钢筋采购合同</v>
      </c>
      <c r="R3020" s="22" t="str">
        <f>_xlfn._xlws.FILTER(辅助信息!D:D,辅助信息!E:E=B3020)</f>
        <v>乐山市校地共建产教融合基地建设项目二标段</v>
      </c>
    </row>
    <row r="3021" hidden="1" spans="2:18">
      <c r="B3021" s="33" t="s">
        <v>186</v>
      </c>
      <c r="C3021" s="63">
        <v>45895</v>
      </c>
      <c r="D3021" s="33" t="str">
        <f>VLOOKUP(B3021,辅助信息!E:K,7,FALSE)</f>
        <v>JWDDCD2025072900123</v>
      </c>
      <c r="E3021" s="33" t="str">
        <f>VLOOKUP(F3021,辅助信息!A:B,2,FALSE)</f>
        <v>螺纹钢</v>
      </c>
      <c r="F3021" s="33" t="s">
        <v>130</v>
      </c>
      <c r="G3021" s="29">
        <v>3</v>
      </c>
      <c r="H3021" s="113">
        <f>_xlfn.XLOOKUP(C3021&amp;F3021&amp;I3021&amp;J3021,'[1]2025年已发货'!$F:$F&amp;'[1]2025年已发货'!$C:$C&amp;'[1]2025年已发货'!$G:$G&amp;'[1]2025年已发货'!$H:$H,'[1]2025年已发货'!$E:$E,"未发货")</f>
        <v>3</v>
      </c>
      <c r="I3021" s="33" t="str">
        <f>VLOOKUP(B3021,辅助信息!E:I,3,FALSE)</f>
        <v>(乐山市校地共建产教融合基地建设项目二标段)四川省乐山市市中区苏稽镇</v>
      </c>
      <c r="J3021" s="33" t="str">
        <f>VLOOKUP(B3021,辅助信息!E:I,4,FALSE)</f>
        <v>彭江涛</v>
      </c>
      <c r="K3021" s="33">
        <f>VLOOKUP(J3021,辅助信息!H:I,2,FALSE)</f>
        <v>13990276572</v>
      </c>
      <c r="L3021" s="102" t="str">
        <f>VLOOKUP(B3021,辅助信息!E:J,6,FALSE)</f>
        <v>联系实际收货人（彭江涛13990276572）现场要求炉批号控制2个以下，超2个不给予签收。提前联系到场规格及数量</v>
      </c>
      <c r="O3021" s="55" t="str">
        <f ca="1" t="shared" si="175"/>
        <v/>
      </c>
      <c r="P3021" s="55" t="str">
        <f ca="1" t="shared" si="176"/>
        <v/>
      </c>
      <c r="Q3021" s="22" t="str">
        <f>VLOOKUP(B3021,辅助信息!E:M,9,FALSE)</f>
        <v>ZTWM-CDGS-XS-2025-0126-四川机司-乐山市校地共建产教融合基地配套设施项目施工二标段钢筋采购合同</v>
      </c>
      <c r="R3021" s="22" t="str">
        <f>_xlfn._xlws.FILTER(辅助信息!D:D,辅助信息!E:E=B3021)</f>
        <v>乐山市校地共建产教融合基地建设项目二标段</v>
      </c>
    </row>
    <row r="3022" hidden="1" spans="2:18">
      <c r="B3022" s="33" t="s">
        <v>186</v>
      </c>
      <c r="C3022" s="63">
        <v>45895</v>
      </c>
      <c r="D3022" s="33" t="str">
        <f>VLOOKUP(B3022,辅助信息!E:K,7,FALSE)</f>
        <v>JWDDCD2025072900123</v>
      </c>
      <c r="E3022" s="33" t="str">
        <f>VLOOKUP(F3022,辅助信息!A:B,2,FALSE)</f>
        <v>螺纹钢</v>
      </c>
      <c r="F3022" s="33" t="s">
        <v>138</v>
      </c>
      <c r="G3022" s="29">
        <v>3</v>
      </c>
      <c r="H3022" s="113">
        <f>_xlfn.XLOOKUP(C3022&amp;F3022&amp;I3022&amp;J3022,'[1]2025年已发货'!$F:$F&amp;'[1]2025年已发货'!$C:$C&amp;'[1]2025年已发货'!$G:$G&amp;'[1]2025年已发货'!$H:$H,'[1]2025年已发货'!$E:$E,"未发货")</f>
        <v>3</v>
      </c>
      <c r="I3022" s="33" t="str">
        <f>VLOOKUP(B3022,辅助信息!E:I,3,FALSE)</f>
        <v>(乐山市校地共建产教融合基地建设项目二标段)四川省乐山市市中区苏稽镇</v>
      </c>
      <c r="J3022" s="33" t="str">
        <f>VLOOKUP(B3022,辅助信息!E:I,4,FALSE)</f>
        <v>彭江涛</v>
      </c>
      <c r="K3022" s="33">
        <f>VLOOKUP(J3022,辅助信息!H:I,2,FALSE)</f>
        <v>13990276572</v>
      </c>
      <c r="L3022" s="102" t="str">
        <f>VLOOKUP(B3022,辅助信息!E:J,6,FALSE)</f>
        <v>联系实际收货人（彭江涛13990276572）现场要求炉批号控制2个以下，超2个不给予签收。提前联系到场规格及数量</v>
      </c>
      <c r="O3022" s="55" t="str">
        <f ca="1" t="shared" si="175"/>
        <v/>
      </c>
      <c r="P3022" s="55" t="str">
        <f ca="1" t="shared" si="176"/>
        <v/>
      </c>
      <c r="Q3022" s="22" t="str">
        <f>VLOOKUP(B3022,辅助信息!E:M,9,FALSE)</f>
        <v>ZTWM-CDGS-XS-2025-0126-四川机司-乐山市校地共建产教融合基地配套设施项目施工二标段钢筋采购合同</v>
      </c>
      <c r="R3022" s="22" t="str">
        <f>_xlfn._xlws.FILTER(辅助信息!D:D,辅助信息!E:E=B3022)</f>
        <v>乐山市校地共建产教融合基地建设项目二标段</v>
      </c>
    </row>
    <row r="3023" hidden="1" spans="2:18">
      <c r="B3023" s="33" t="s">
        <v>186</v>
      </c>
      <c r="C3023" s="63">
        <v>45895</v>
      </c>
      <c r="D3023" s="33" t="str">
        <f>VLOOKUP(B3023,辅助信息!E:K,7,FALSE)</f>
        <v>JWDDCD2025072900123</v>
      </c>
      <c r="E3023" s="33" t="str">
        <f>VLOOKUP(F3023,辅助信息!A:B,2,FALSE)</f>
        <v>螺纹钢</v>
      </c>
      <c r="F3023" s="33" t="s">
        <v>133</v>
      </c>
      <c r="G3023" s="29">
        <v>2.5</v>
      </c>
      <c r="H3023" s="113">
        <f>_xlfn.XLOOKUP(C3023&amp;F3023&amp;I3023&amp;J3023,'[1]2025年已发货'!$F:$F&amp;'[1]2025年已发货'!$C:$C&amp;'[1]2025年已发货'!$G:$G&amp;'[1]2025年已发货'!$H:$H,'[1]2025年已发货'!$E:$E,"未发货")</f>
        <v>2.5</v>
      </c>
      <c r="I3023" s="33" t="str">
        <f>VLOOKUP(B3023,辅助信息!E:I,3,FALSE)</f>
        <v>(乐山市校地共建产教融合基地建设项目二标段)四川省乐山市市中区苏稽镇</v>
      </c>
      <c r="J3023" s="33" t="str">
        <f>VLOOKUP(B3023,辅助信息!E:I,4,FALSE)</f>
        <v>彭江涛</v>
      </c>
      <c r="K3023" s="33">
        <f>VLOOKUP(J3023,辅助信息!H:I,2,FALSE)</f>
        <v>13990276572</v>
      </c>
      <c r="L3023" s="102" t="str">
        <f>VLOOKUP(B3023,辅助信息!E:J,6,FALSE)</f>
        <v>联系实际收货人（彭江涛13990276572）现场要求炉批号控制2个以下，超2个不给予签收。提前联系到场规格及数量</v>
      </c>
      <c r="O3023" s="55" t="str">
        <f ca="1" t="shared" si="175"/>
        <v/>
      </c>
      <c r="P3023" s="55" t="str">
        <f ca="1" t="shared" si="176"/>
        <v/>
      </c>
      <c r="Q3023" s="22" t="str">
        <f>VLOOKUP(B3023,辅助信息!E:M,9,FALSE)</f>
        <v>ZTWM-CDGS-XS-2025-0126-四川机司-乐山市校地共建产教融合基地配套设施项目施工二标段钢筋采购合同</v>
      </c>
      <c r="R3023" s="22" t="str">
        <f>_xlfn._xlws.FILTER(辅助信息!D:D,辅助信息!E:E=B3023)</f>
        <v>乐山市校地共建产教融合基地建设项目二标段</v>
      </c>
    </row>
    <row r="3024" hidden="1" spans="2:18">
      <c r="B3024" s="33" t="s">
        <v>186</v>
      </c>
      <c r="C3024" s="63">
        <v>45895</v>
      </c>
      <c r="D3024" s="33" t="str">
        <f>VLOOKUP(B3024,辅助信息!E:K,7,FALSE)</f>
        <v>JWDDCD2025072900123</v>
      </c>
      <c r="E3024" s="33" t="str">
        <f>VLOOKUP(F3024,辅助信息!A:B,2,FALSE)</f>
        <v>螺纹钢</v>
      </c>
      <c r="F3024" s="33" t="s">
        <v>18</v>
      </c>
      <c r="G3024" s="29">
        <v>5</v>
      </c>
      <c r="H3024" s="113" t="str">
        <f>_xlfn.XLOOKUP(C3024&amp;F3024&amp;I3024&amp;J3024,'[1]2025年已发货'!$F:$F&amp;'[1]2025年已发货'!$C:$C&amp;'[1]2025年已发货'!$G:$G&amp;'[1]2025年已发货'!$H:$H,'[1]2025年已发货'!$E:$E,"未发货")</f>
        <v>未发货</v>
      </c>
      <c r="I3024" s="33" t="str">
        <f>VLOOKUP(B3024,辅助信息!E:I,3,FALSE)</f>
        <v>(乐山市校地共建产教融合基地建设项目二标段)四川省乐山市市中区苏稽镇</v>
      </c>
      <c r="J3024" s="33" t="str">
        <f>VLOOKUP(B3024,辅助信息!E:I,4,FALSE)</f>
        <v>彭江涛</v>
      </c>
      <c r="K3024" s="33">
        <f>VLOOKUP(J3024,辅助信息!H:I,2,FALSE)</f>
        <v>13990276572</v>
      </c>
      <c r="L3024" s="102" t="str">
        <f>VLOOKUP(B3024,辅助信息!E:J,6,FALSE)</f>
        <v>联系实际收货人（彭江涛13990276572）现场要求炉批号控制2个以下，超2个不给予签收。提前联系到场规格及数量</v>
      </c>
      <c r="O3024" s="55" t="str">
        <f ca="1" t="shared" si="175"/>
        <v/>
      </c>
      <c r="P3024" s="55" t="str">
        <f ca="1" t="shared" si="176"/>
        <v/>
      </c>
      <c r="Q3024" s="22" t="str">
        <f>VLOOKUP(B3024,辅助信息!E:M,9,FALSE)</f>
        <v>ZTWM-CDGS-XS-2025-0126-四川机司-乐山市校地共建产教融合基地配套设施项目施工二标段钢筋采购合同</v>
      </c>
      <c r="R3024" s="22" t="str">
        <f>_xlfn._xlws.FILTER(辅助信息!D:D,辅助信息!E:E=B3024)</f>
        <v>乐山市校地共建产教融合基地建设项目二标段</v>
      </c>
    </row>
    <row r="3025" hidden="1" spans="2:18">
      <c r="B3025" s="33" t="s">
        <v>186</v>
      </c>
      <c r="C3025" s="63">
        <v>45895</v>
      </c>
      <c r="D3025" s="33" t="str">
        <f>VLOOKUP(B3025,辅助信息!E:K,7,FALSE)</f>
        <v>JWDDCD2025072900123</v>
      </c>
      <c r="E3025" s="33" t="str">
        <f>VLOOKUP(F3025,辅助信息!A:B,2,FALSE)</f>
        <v>螺纹钢</v>
      </c>
      <c r="F3025" s="33" t="s">
        <v>91</v>
      </c>
      <c r="G3025" s="29">
        <v>5</v>
      </c>
      <c r="H3025" s="113" t="str">
        <f>_xlfn.XLOOKUP(C3025&amp;F3025&amp;I3025&amp;J3025,'[1]2025年已发货'!$F:$F&amp;'[1]2025年已发货'!$C:$C&amp;'[1]2025年已发货'!$G:$G&amp;'[1]2025年已发货'!$H:$H,'[1]2025年已发货'!$E:$E,"未发货")</f>
        <v>未发货</v>
      </c>
      <c r="I3025" s="33" t="str">
        <f>VLOOKUP(B3025,辅助信息!E:I,3,FALSE)</f>
        <v>(乐山市校地共建产教融合基地建设项目二标段)四川省乐山市市中区苏稽镇</v>
      </c>
      <c r="J3025" s="33" t="str">
        <f>VLOOKUP(B3025,辅助信息!E:I,4,FALSE)</f>
        <v>彭江涛</v>
      </c>
      <c r="K3025" s="33">
        <f>VLOOKUP(J3025,辅助信息!H:I,2,FALSE)</f>
        <v>13990276572</v>
      </c>
      <c r="L3025" s="102" t="str">
        <f>VLOOKUP(B3025,辅助信息!E:J,6,FALSE)</f>
        <v>联系实际收货人（彭江涛13990276572）现场要求炉批号控制2个以下，超2个不给予签收。提前联系到场规格及数量</v>
      </c>
      <c r="O3025" s="55" t="str">
        <f ca="1" t="shared" si="175"/>
        <v/>
      </c>
      <c r="P3025" s="55" t="str">
        <f ca="1" t="shared" si="176"/>
        <v/>
      </c>
      <c r="Q3025" s="22" t="str">
        <f>VLOOKUP(B3025,辅助信息!E:M,9,FALSE)</f>
        <v>ZTWM-CDGS-XS-2025-0126-四川机司-乐山市校地共建产教融合基地配套设施项目施工二标段钢筋采购合同</v>
      </c>
      <c r="R3025" s="22" t="str">
        <f>_xlfn._xlws.FILTER(辅助信息!D:D,辅助信息!E:E=B3025)</f>
        <v>乐山市校地共建产教融合基地建设项目二标段</v>
      </c>
    </row>
    <row r="3026" hidden="1" spans="2:18">
      <c r="B3026" s="33" t="s">
        <v>208</v>
      </c>
      <c r="C3026" s="63">
        <v>45896</v>
      </c>
      <c r="D3026" s="33" t="str">
        <f>VLOOKUP(B3026,辅助信息!E:K,7,FALSE)</f>
        <v>JWDDCD2025102100480</v>
      </c>
      <c r="E3026" s="33" t="str">
        <f>VLOOKUP(F3026,辅助信息!A:B,2,FALSE)</f>
        <v>高线</v>
      </c>
      <c r="F3026" s="33" t="s">
        <v>61</v>
      </c>
      <c r="G3026" s="29">
        <v>21.6</v>
      </c>
      <c r="H3026" s="113">
        <f>_xlfn.XLOOKUP(C3026&amp;F3026&amp;I3026&amp;J3026,'[1]2025年已发货'!$F:$F&amp;'[1]2025年已发货'!$C:$C&amp;'[1]2025年已发货'!$G:$G&amp;'[1]2025年已发货'!$H:$H,'[1]2025年已发货'!$E:$E,"未发货")</f>
        <v>21.6</v>
      </c>
      <c r="I3026" s="33" t="str">
        <f>VLOOKUP(B3026,辅助信息!E:I,3,FALSE)</f>
        <v>(五冶建设锦江区林家坝片区20号地块商业项目)锦江区泰昌路锦江28亩项目部</v>
      </c>
      <c r="J3026" s="33" t="str">
        <f>VLOOKUP(B3026,辅助信息!E:I,4,FALSE)</f>
        <v>陶杰</v>
      </c>
      <c r="K3026" s="33">
        <f>VLOOKUP(J3026,辅助信息!H:I,2,FALSE)</f>
        <v>13980247952</v>
      </c>
      <c r="L3026" s="102" t="str">
        <f>VLOOKUP(B3026,辅助信息!E:J,6,FALSE)</f>
        <v>联系实际收货人（陶杰13980247952）五冶建设送货单,6份材质书,锈货不收，装货前联系收货人核实到场规格,没提前告知进场规格现场不给予接收</v>
      </c>
      <c r="O3026" s="55" t="str">
        <f ca="1" t="shared" si="175"/>
        <v/>
      </c>
      <c r="P3026" s="55" t="str">
        <f ca="1" t="shared" si="176"/>
        <v/>
      </c>
      <c r="Q3026" s="22" t="str">
        <f>VLOOKUP(B3026,辅助信息!E:M,9,FALSE)</f>
        <v>ZTWM-CDGS-XS-2025-0073-五冶天府-成都怡心湖片区及龙泉驿医院等项目</v>
      </c>
      <c r="R3026" s="22" t="str">
        <f>_xlfn._xlws.FILTER(辅助信息!D:D,辅助信息!E:E=B3026)</f>
        <v>五冶建设锦江区林家坝片区20号地块商业项目</v>
      </c>
    </row>
    <row r="3027" hidden="1" spans="2:18">
      <c r="B3027" s="33" t="s">
        <v>208</v>
      </c>
      <c r="C3027" s="63">
        <v>45896</v>
      </c>
      <c r="D3027" s="33" t="str">
        <f>VLOOKUP(B3027,辅助信息!E:K,7,FALSE)</f>
        <v>JWDDCD2025102100480</v>
      </c>
      <c r="E3027" s="33" t="str">
        <f>VLOOKUP(F3027,辅助信息!A:B,2,FALSE)</f>
        <v>螺纹钢</v>
      </c>
      <c r="F3027" s="33" t="s">
        <v>30</v>
      </c>
      <c r="G3027" s="29">
        <v>11</v>
      </c>
      <c r="H3027" s="113">
        <f>_xlfn.XLOOKUP(C3027&amp;F3027&amp;I3027&amp;J3027,'[1]2025年已发货'!$F:$F&amp;'[1]2025年已发货'!$C:$C&amp;'[1]2025年已发货'!$G:$G&amp;'[1]2025年已发货'!$H:$H,'[1]2025年已发货'!$E:$E,"未发货")</f>
        <v>11</v>
      </c>
      <c r="I3027" s="33" t="str">
        <f>VLOOKUP(B3027,辅助信息!E:I,3,FALSE)</f>
        <v>(五冶建设锦江区林家坝片区20号地块商业项目)锦江区泰昌路锦江28亩项目部</v>
      </c>
      <c r="J3027" s="33" t="str">
        <f>VLOOKUP(B3027,辅助信息!E:I,4,FALSE)</f>
        <v>陶杰</v>
      </c>
      <c r="K3027" s="33">
        <f>VLOOKUP(J3027,辅助信息!H:I,2,FALSE)</f>
        <v>13980247952</v>
      </c>
      <c r="L3027" s="102" t="str">
        <f>VLOOKUP(B3027,辅助信息!E:J,6,FALSE)</f>
        <v>联系实际收货人（陶杰13980247952）五冶建设送货单,6份材质书,锈货不收，装货前联系收货人核实到场规格,没提前告知进场规格现场不给予接收</v>
      </c>
      <c r="O3027" s="55" t="str">
        <f ca="1" t="shared" si="175"/>
        <v/>
      </c>
      <c r="P3027" s="55" t="str">
        <f ca="1" t="shared" si="176"/>
        <v/>
      </c>
      <c r="Q3027" s="22" t="str">
        <f>VLOOKUP(B3027,辅助信息!E:M,9,FALSE)</f>
        <v>ZTWM-CDGS-XS-2025-0073-五冶天府-成都怡心湖片区及龙泉驿医院等项目</v>
      </c>
      <c r="R3027" s="22" t="str">
        <f>_xlfn._xlws.FILTER(辅助信息!D:D,辅助信息!E:E=B3027)</f>
        <v>五冶建设锦江区林家坝片区20号地块商业项目</v>
      </c>
    </row>
    <row r="3028" hidden="1" spans="2:18">
      <c r="B3028" s="33" t="s">
        <v>208</v>
      </c>
      <c r="C3028" s="63">
        <v>45896</v>
      </c>
      <c r="D3028" s="33" t="str">
        <f>VLOOKUP(B3028,辅助信息!E:K,7,FALSE)</f>
        <v>JWDDCD2025102100480</v>
      </c>
      <c r="E3028" s="33" t="str">
        <f>VLOOKUP(F3028,辅助信息!A:B,2,FALSE)</f>
        <v>螺纹钢</v>
      </c>
      <c r="F3028" s="33" t="s">
        <v>28</v>
      </c>
      <c r="G3028" s="29">
        <v>2.7</v>
      </c>
      <c r="H3028" s="113">
        <f>_xlfn.XLOOKUP(C3028&amp;F3028&amp;I3028&amp;J3028,'[1]2025年已发货'!$F:$F&amp;'[1]2025年已发货'!$C:$C&amp;'[1]2025年已发货'!$G:$G&amp;'[1]2025年已发货'!$H:$H,'[1]2025年已发货'!$E:$E,"未发货")</f>
        <v>2.7</v>
      </c>
      <c r="I3028" s="33" t="str">
        <f>VLOOKUP(B3028,辅助信息!E:I,3,FALSE)</f>
        <v>(五冶建设锦江区林家坝片区20号地块商业项目)锦江区泰昌路锦江28亩项目部</v>
      </c>
      <c r="J3028" s="33" t="str">
        <f>VLOOKUP(B3028,辅助信息!E:I,4,FALSE)</f>
        <v>陶杰</v>
      </c>
      <c r="K3028" s="33">
        <f>VLOOKUP(J3028,辅助信息!H:I,2,FALSE)</f>
        <v>13980247952</v>
      </c>
      <c r="L3028" s="102" t="str">
        <f>VLOOKUP(B3028,辅助信息!E:J,6,FALSE)</f>
        <v>联系实际收货人（陶杰13980247952）五冶建设送货单,6份材质书,锈货不收，装货前联系收货人核实到场规格,没提前告知进场规格现场不给予接收</v>
      </c>
      <c r="O3028" s="55" t="str">
        <f ca="1" t="shared" si="175"/>
        <v/>
      </c>
      <c r="P3028" s="55" t="str">
        <f ca="1" t="shared" si="176"/>
        <v/>
      </c>
      <c r="Q3028" s="22" t="str">
        <f>VLOOKUP(B3028,辅助信息!E:M,9,FALSE)</f>
        <v>ZTWM-CDGS-XS-2025-0073-五冶天府-成都怡心湖片区及龙泉驿医院等项目</v>
      </c>
      <c r="R3028" s="22" t="str">
        <f>_xlfn._xlws.FILTER(辅助信息!D:D,辅助信息!E:E=B3028)</f>
        <v>五冶建设锦江区林家坝片区20号地块商业项目</v>
      </c>
    </row>
    <row r="3029" hidden="1" spans="2:18">
      <c r="B3029" s="33" t="s">
        <v>81</v>
      </c>
      <c r="C3029" s="63">
        <v>45897</v>
      </c>
      <c r="D3029" s="33" t="str">
        <f>VLOOKUP(B3029,辅助信息!E:K,7,FALSE)</f>
        <v>JWDDCD2025060900080</v>
      </c>
      <c r="E3029" s="33" t="str">
        <f>VLOOKUP(F3029,辅助信息!A:B,2,FALSE)</f>
        <v>盘螺</v>
      </c>
      <c r="F3029" s="33" t="s">
        <v>49</v>
      </c>
      <c r="G3029" s="29">
        <v>2</v>
      </c>
      <c r="H3029" s="113">
        <f>_xlfn.XLOOKUP(C3029&amp;F3029&amp;I3029&amp;J3029,'[1]2025年已发货'!$F:$F&amp;'[1]2025年已发货'!$C:$C&amp;'[1]2025年已发货'!$G:$G&amp;'[1]2025年已发货'!$H:$H,'[1]2025年已发货'!$E:$E,"未发货")</f>
        <v>2</v>
      </c>
      <c r="I3029" s="33" t="str">
        <f>VLOOKUP(B3029,辅助信息!E:I,3,FALSE)</f>
        <v>（华西简阳西城嘉苑）四川省成都市简阳市简城街道高屋村</v>
      </c>
      <c r="J3029" s="33" t="str">
        <f>VLOOKUP(B3029,辅助信息!E:I,4,FALSE)</f>
        <v>张瀚镭</v>
      </c>
      <c r="K3029" s="33">
        <f>VLOOKUP(J3029,辅助信息!H:I,2,FALSE)</f>
        <v>15884666220</v>
      </c>
      <c r="L3029" s="102" t="str">
        <f>VLOOKUP(B3029,辅助信息!E:J,6,FALSE)</f>
        <v>现场禁止使用氢能源挂车！优先威钢发货,我方卸车,新老国标钢厂不加价可直发，因陕钢多次出现磅差，项目拒绝使用</v>
      </c>
      <c r="M3029" s="84">
        <v>45897</v>
      </c>
      <c r="O3029" s="55">
        <f ca="1" t="shared" si="175"/>
        <v>0</v>
      </c>
      <c r="P3029" s="55">
        <f ca="1" t="shared" si="176"/>
        <v>60</v>
      </c>
      <c r="Q3029" s="22" t="str">
        <f>VLOOKUP(B3029,辅助信息!E:M,9,FALSE)</f>
        <v>ZTWM-CDGS-XS-2024-0030-华西集采-简州大道</v>
      </c>
      <c r="R3029" s="22" t="str">
        <f>_xlfn._xlws.FILTER(辅助信息!D:D,辅助信息!E:E=B3029)</f>
        <v>华西简阳西城嘉苑</v>
      </c>
    </row>
    <row r="3030" hidden="1" spans="2:18">
      <c r="B3030" s="33" t="s">
        <v>81</v>
      </c>
      <c r="C3030" s="63">
        <v>45897</v>
      </c>
      <c r="D3030" s="33" t="str">
        <f>VLOOKUP(B3030,辅助信息!E:K,7,FALSE)</f>
        <v>JWDDCD2025060900080</v>
      </c>
      <c r="E3030" s="33" t="str">
        <f>VLOOKUP(F3030,辅助信息!A:B,2,FALSE)</f>
        <v>盘螺</v>
      </c>
      <c r="F3030" s="33" t="s">
        <v>41</v>
      </c>
      <c r="G3030" s="29">
        <v>105</v>
      </c>
      <c r="H3030" s="113">
        <f>_xlfn.XLOOKUP(C3030&amp;F3030&amp;I3030&amp;J3030,'[1]2025年已发货'!$F:$F&amp;'[1]2025年已发货'!$C:$C&amp;'[1]2025年已发货'!$G:$G&amp;'[1]2025年已发货'!$H:$H,'[1]2025年已发货'!$E:$E,"未发货")</f>
        <v>105</v>
      </c>
      <c r="I3030" s="33" t="str">
        <f>VLOOKUP(B3030,辅助信息!E:I,3,FALSE)</f>
        <v>（华西简阳西城嘉苑）四川省成都市简阳市简城街道高屋村</v>
      </c>
      <c r="J3030" s="33" t="str">
        <f>VLOOKUP(B3030,辅助信息!E:I,4,FALSE)</f>
        <v>张瀚镭</v>
      </c>
      <c r="K3030" s="33">
        <f>VLOOKUP(J3030,辅助信息!H:I,2,FALSE)</f>
        <v>15884666220</v>
      </c>
      <c r="L3030" s="102" t="str">
        <f>VLOOKUP(B3030,辅助信息!E:J,6,FALSE)</f>
        <v>现场禁止使用氢能源挂车！优先威钢发货,我方卸车,新老国标钢厂不加价可直发，因陕钢多次出现磅差，项目拒绝使用</v>
      </c>
      <c r="M3030" s="84">
        <v>45897</v>
      </c>
      <c r="O3030" s="55">
        <f ca="1" t="shared" si="175"/>
        <v>0</v>
      </c>
      <c r="P3030" s="55">
        <f ca="1" t="shared" si="176"/>
        <v>60</v>
      </c>
      <c r="Q3030" s="22" t="str">
        <f>VLOOKUP(B3030,辅助信息!E:M,9,FALSE)</f>
        <v>ZTWM-CDGS-XS-2024-0030-华西集采-简州大道</v>
      </c>
      <c r="R3030" s="22" t="str">
        <f>_xlfn._xlws.FILTER(辅助信息!D:D,辅助信息!E:E=B3030)</f>
        <v>华西简阳西城嘉苑</v>
      </c>
    </row>
    <row r="3031" hidden="1" spans="2:18">
      <c r="B3031" s="33" t="s">
        <v>81</v>
      </c>
      <c r="C3031" s="63">
        <v>45897</v>
      </c>
      <c r="D3031" s="33" t="str">
        <f>VLOOKUP(B3031,辅助信息!E:K,7,FALSE)</f>
        <v>JWDDCD2025060900080</v>
      </c>
      <c r="E3031" s="33" t="str">
        <f>VLOOKUP(F3031,辅助信息!A:B,2,FALSE)</f>
        <v>盘螺</v>
      </c>
      <c r="F3031" s="33" t="s">
        <v>26</v>
      </c>
      <c r="G3031" s="29">
        <v>12</v>
      </c>
      <c r="H3031" s="113">
        <f>_xlfn.XLOOKUP(C3031&amp;F3031&amp;I3031&amp;J3031,'[1]2025年已发货'!$F:$F&amp;'[1]2025年已发货'!$C:$C&amp;'[1]2025年已发货'!$G:$G&amp;'[1]2025年已发货'!$H:$H,'[1]2025年已发货'!$E:$E,"未发货")</f>
        <v>12</v>
      </c>
      <c r="I3031" s="33" t="str">
        <f>VLOOKUP(B3031,辅助信息!E:I,3,FALSE)</f>
        <v>（华西简阳西城嘉苑）四川省成都市简阳市简城街道高屋村</v>
      </c>
      <c r="J3031" s="33" t="str">
        <f>VLOOKUP(B3031,辅助信息!E:I,4,FALSE)</f>
        <v>张瀚镭</v>
      </c>
      <c r="K3031" s="33">
        <f>VLOOKUP(J3031,辅助信息!H:I,2,FALSE)</f>
        <v>15884666220</v>
      </c>
      <c r="L3031" s="102" t="str">
        <f>VLOOKUP(B3031,辅助信息!E:J,6,FALSE)</f>
        <v>现场禁止使用氢能源挂车！优先威钢发货,我方卸车,新老国标钢厂不加价可直发，因陕钢多次出现磅差，项目拒绝使用</v>
      </c>
      <c r="M3031" s="84">
        <v>45897</v>
      </c>
      <c r="O3031" s="55">
        <f ca="1" t="shared" si="175"/>
        <v>0</v>
      </c>
      <c r="P3031" s="55">
        <f ca="1" t="shared" si="176"/>
        <v>60</v>
      </c>
      <c r="Q3031" s="22" t="str">
        <f>VLOOKUP(B3031,辅助信息!E:M,9,FALSE)</f>
        <v>ZTWM-CDGS-XS-2024-0030-华西集采-简州大道</v>
      </c>
      <c r="R3031" s="22" t="str">
        <f>_xlfn._xlws.FILTER(辅助信息!D:D,辅助信息!E:E=B3031)</f>
        <v>华西简阳西城嘉苑</v>
      </c>
    </row>
    <row r="3032" hidden="1" spans="2:18">
      <c r="B3032" s="33" t="s">
        <v>81</v>
      </c>
      <c r="C3032" s="63">
        <v>45897</v>
      </c>
      <c r="D3032" s="33" t="str">
        <f>VLOOKUP(B3032,辅助信息!E:K,7,FALSE)</f>
        <v>JWDDCD2025060900080</v>
      </c>
      <c r="E3032" s="33" t="str">
        <f>VLOOKUP(F3032,辅助信息!A:B,2,FALSE)</f>
        <v>螺纹钢</v>
      </c>
      <c r="F3032" s="33" t="s">
        <v>19</v>
      </c>
      <c r="G3032" s="29">
        <v>10</v>
      </c>
      <c r="H3032" s="113">
        <f>_xlfn.XLOOKUP(C3032&amp;F3032&amp;I3032&amp;J3032,'[1]2025年已发货'!$F:$F&amp;'[1]2025年已发货'!$C:$C&amp;'[1]2025年已发货'!$G:$G&amp;'[1]2025年已发货'!$H:$H,'[1]2025年已发货'!$E:$E,"未发货")</f>
        <v>10</v>
      </c>
      <c r="I3032" s="33" t="str">
        <f>VLOOKUP(B3032,辅助信息!E:I,3,FALSE)</f>
        <v>（华西简阳西城嘉苑）四川省成都市简阳市简城街道高屋村</v>
      </c>
      <c r="J3032" s="33" t="str">
        <f>VLOOKUP(B3032,辅助信息!E:I,4,FALSE)</f>
        <v>张瀚镭</v>
      </c>
      <c r="K3032" s="33">
        <f>VLOOKUP(J3032,辅助信息!H:I,2,FALSE)</f>
        <v>15884666220</v>
      </c>
      <c r="L3032" s="102" t="str">
        <f>VLOOKUP(B3032,辅助信息!E:J,6,FALSE)</f>
        <v>现场禁止使用氢能源挂车！优先威钢发货,我方卸车,新老国标钢厂不加价可直发，因陕钢多次出现磅差，项目拒绝使用</v>
      </c>
      <c r="M3032" s="84">
        <v>45897</v>
      </c>
      <c r="O3032" s="55">
        <f ca="1" t="shared" si="175"/>
        <v>0</v>
      </c>
      <c r="P3032" s="55">
        <f ca="1" t="shared" si="176"/>
        <v>60</v>
      </c>
      <c r="Q3032" s="22" t="str">
        <f>VLOOKUP(B3032,辅助信息!E:M,9,FALSE)</f>
        <v>ZTWM-CDGS-XS-2024-0030-华西集采-简州大道</v>
      </c>
      <c r="R3032" s="22" t="str">
        <f>_xlfn._xlws.FILTER(辅助信息!D:D,辅助信息!E:E=B3032)</f>
        <v>华西简阳西城嘉苑</v>
      </c>
    </row>
    <row r="3033" hidden="1" spans="2:18">
      <c r="B3033" s="33" t="s">
        <v>81</v>
      </c>
      <c r="C3033" s="63">
        <v>45897</v>
      </c>
      <c r="D3033" s="33" t="str">
        <f>VLOOKUP(B3033,辅助信息!E:K,7,FALSE)</f>
        <v>JWDDCD2025060900080</v>
      </c>
      <c r="E3033" s="33" t="str">
        <f>VLOOKUP(F3033,辅助信息!A:B,2,FALSE)</f>
        <v>螺纹钢</v>
      </c>
      <c r="F3033" s="33" t="s">
        <v>32</v>
      </c>
      <c r="G3033" s="29">
        <v>14</v>
      </c>
      <c r="H3033" s="113">
        <f>_xlfn.XLOOKUP(C3033&amp;F3033&amp;I3033&amp;J3033,'[1]2025年已发货'!$F:$F&amp;'[1]2025年已发货'!$C:$C&amp;'[1]2025年已发货'!$G:$G&amp;'[1]2025年已发货'!$H:$H,'[1]2025年已发货'!$E:$E,"未发货")</f>
        <v>14</v>
      </c>
      <c r="I3033" s="33" t="str">
        <f>VLOOKUP(B3033,辅助信息!E:I,3,FALSE)</f>
        <v>（华西简阳西城嘉苑）四川省成都市简阳市简城街道高屋村</v>
      </c>
      <c r="J3033" s="33" t="str">
        <f>VLOOKUP(B3033,辅助信息!E:I,4,FALSE)</f>
        <v>张瀚镭</v>
      </c>
      <c r="K3033" s="33">
        <f>VLOOKUP(J3033,辅助信息!H:I,2,FALSE)</f>
        <v>15884666220</v>
      </c>
      <c r="L3033" s="102" t="str">
        <f>VLOOKUP(B3033,辅助信息!E:J,6,FALSE)</f>
        <v>现场禁止使用氢能源挂车！优先威钢发货,我方卸车,新老国标钢厂不加价可直发，因陕钢多次出现磅差，项目拒绝使用</v>
      </c>
      <c r="M3033" s="84">
        <v>45897</v>
      </c>
      <c r="O3033" s="55">
        <f ca="1" t="shared" si="175"/>
        <v>0</v>
      </c>
      <c r="P3033" s="55">
        <f ca="1" t="shared" si="176"/>
        <v>60</v>
      </c>
      <c r="Q3033" s="22" t="str">
        <f>VLOOKUP(B3033,辅助信息!E:M,9,FALSE)</f>
        <v>ZTWM-CDGS-XS-2024-0030-华西集采-简州大道</v>
      </c>
      <c r="R3033" s="22" t="str">
        <f>_xlfn._xlws.FILTER(辅助信息!D:D,辅助信息!E:E=B3033)</f>
        <v>华西简阳西城嘉苑</v>
      </c>
    </row>
    <row r="3034" hidden="1" spans="2:18">
      <c r="B3034" s="33" t="s">
        <v>81</v>
      </c>
      <c r="C3034" s="63">
        <v>45897</v>
      </c>
      <c r="D3034" s="33" t="str">
        <f>VLOOKUP(B3034,辅助信息!E:K,7,FALSE)</f>
        <v>JWDDCD2025060900080</v>
      </c>
      <c r="E3034" s="33" t="str">
        <f>VLOOKUP(F3034,辅助信息!A:B,2,FALSE)</f>
        <v>螺纹钢</v>
      </c>
      <c r="F3034" s="33" t="s">
        <v>30</v>
      </c>
      <c r="G3034" s="29">
        <v>6</v>
      </c>
      <c r="H3034" s="113">
        <f>_xlfn.XLOOKUP(C3034&amp;F3034&amp;I3034&amp;J3034,'[1]2025年已发货'!$F:$F&amp;'[1]2025年已发货'!$C:$C&amp;'[1]2025年已发货'!$G:$G&amp;'[1]2025年已发货'!$H:$H,'[1]2025年已发货'!$E:$E,"未发货")</f>
        <v>6</v>
      </c>
      <c r="I3034" s="33" t="str">
        <f>VLOOKUP(B3034,辅助信息!E:I,3,FALSE)</f>
        <v>（华西简阳西城嘉苑）四川省成都市简阳市简城街道高屋村</v>
      </c>
      <c r="J3034" s="33" t="str">
        <f>VLOOKUP(B3034,辅助信息!E:I,4,FALSE)</f>
        <v>张瀚镭</v>
      </c>
      <c r="K3034" s="33">
        <f>VLOOKUP(J3034,辅助信息!H:I,2,FALSE)</f>
        <v>15884666220</v>
      </c>
      <c r="L3034" s="102" t="str">
        <f>VLOOKUP(B3034,辅助信息!E:J,6,FALSE)</f>
        <v>现场禁止使用氢能源挂车！优先威钢发货,我方卸车,新老国标钢厂不加价可直发，因陕钢多次出现磅差，项目拒绝使用</v>
      </c>
      <c r="M3034" s="84">
        <v>45897</v>
      </c>
      <c r="O3034" s="55">
        <f ca="1" t="shared" si="175"/>
        <v>0</v>
      </c>
      <c r="P3034" s="55">
        <f ca="1" t="shared" si="176"/>
        <v>60</v>
      </c>
      <c r="Q3034" s="22" t="str">
        <f>VLOOKUP(B3034,辅助信息!E:M,9,FALSE)</f>
        <v>ZTWM-CDGS-XS-2024-0030-华西集采-简州大道</v>
      </c>
      <c r="R3034" s="22" t="str">
        <f>_xlfn._xlws.FILTER(辅助信息!D:D,辅助信息!E:E=B3034)</f>
        <v>华西简阳西城嘉苑</v>
      </c>
    </row>
    <row r="3035" hidden="1" spans="2:18">
      <c r="B3035" s="33" t="s">
        <v>81</v>
      </c>
      <c r="C3035" s="63">
        <v>45897</v>
      </c>
      <c r="D3035" s="33" t="str">
        <f>VLOOKUP(B3035,辅助信息!E:K,7,FALSE)</f>
        <v>JWDDCD2025060900080</v>
      </c>
      <c r="E3035" s="33" t="str">
        <f>VLOOKUP(F3035,辅助信息!A:B,2,FALSE)</f>
        <v>螺纹钢</v>
      </c>
      <c r="F3035" s="33" t="s">
        <v>33</v>
      </c>
      <c r="G3035" s="29">
        <v>41</v>
      </c>
      <c r="H3035" s="113">
        <f>_xlfn.XLOOKUP(C3035&amp;F3035&amp;I3035&amp;J3035,'[1]2025年已发货'!$F:$F&amp;'[1]2025年已发货'!$C:$C&amp;'[1]2025年已发货'!$G:$G&amp;'[1]2025年已发货'!$H:$H,'[1]2025年已发货'!$E:$E,"未发货")</f>
        <v>41</v>
      </c>
      <c r="I3035" s="33" t="str">
        <f>VLOOKUP(B3035,辅助信息!E:I,3,FALSE)</f>
        <v>（华西简阳西城嘉苑）四川省成都市简阳市简城街道高屋村</v>
      </c>
      <c r="J3035" s="33" t="str">
        <f>VLOOKUP(B3035,辅助信息!E:I,4,FALSE)</f>
        <v>张瀚镭</v>
      </c>
      <c r="K3035" s="33">
        <f>VLOOKUP(J3035,辅助信息!H:I,2,FALSE)</f>
        <v>15884666220</v>
      </c>
      <c r="L3035" s="102" t="str">
        <f>VLOOKUP(B3035,辅助信息!E:J,6,FALSE)</f>
        <v>现场禁止使用氢能源挂车！优先威钢发货,我方卸车,新老国标钢厂不加价可直发，因陕钢多次出现磅差，项目拒绝使用</v>
      </c>
      <c r="M3035" s="84">
        <v>45897</v>
      </c>
      <c r="O3035" s="55">
        <f ca="1" t="shared" si="175"/>
        <v>0</v>
      </c>
      <c r="P3035" s="55">
        <f ca="1" t="shared" si="176"/>
        <v>60</v>
      </c>
      <c r="Q3035" s="22" t="str">
        <f>VLOOKUP(B3035,辅助信息!E:M,9,FALSE)</f>
        <v>ZTWM-CDGS-XS-2024-0030-华西集采-简州大道</v>
      </c>
      <c r="R3035" s="22" t="str">
        <f>_xlfn._xlws.FILTER(辅助信息!D:D,辅助信息!E:E=B3035)</f>
        <v>华西简阳西城嘉苑</v>
      </c>
    </row>
    <row r="3036" hidden="1" spans="2:18">
      <c r="B3036" s="33" t="s">
        <v>81</v>
      </c>
      <c r="C3036" s="63">
        <v>45897</v>
      </c>
      <c r="D3036" s="33" t="str">
        <f>VLOOKUP(B3036,辅助信息!E:K,7,FALSE)</f>
        <v>JWDDCD2025060900080</v>
      </c>
      <c r="E3036" s="33" t="str">
        <f>VLOOKUP(F3036,辅助信息!A:B,2,FALSE)</f>
        <v>螺纹钢</v>
      </c>
      <c r="F3036" s="33" t="s">
        <v>28</v>
      </c>
      <c r="G3036" s="29">
        <v>3</v>
      </c>
      <c r="H3036" s="113">
        <f>_xlfn.XLOOKUP(C3036&amp;F3036&amp;I3036&amp;J3036,'[1]2025年已发货'!$F:$F&amp;'[1]2025年已发货'!$C:$C&amp;'[1]2025年已发货'!$G:$G&amp;'[1]2025年已发货'!$H:$H,'[1]2025年已发货'!$E:$E,"未发货")</f>
        <v>3</v>
      </c>
      <c r="I3036" s="33" t="str">
        <f>VLOOKUP(B3036,辅助信息!E:I,3,FALSE)</f>
        <v>（华西简阳西城嘉苑）四川省成都市简阳市简城街道高屋村</v>
      </c>
      <c r="J3036" s="33" t="str">
        <f>VLOOKUP(B3036,辅助信息!E:I,4,FALSE)</f>
        <v>张瀚镭</v>
      </c>
      <c r="K3036" s="33">
        <f>VLOOKUP(J3036,辅助信息!H:I,2,FALSE)</f>
        <v>15884666220</v>
      </c>
      <c r="L3036" s="102" t="str">
        <f>VLOOKUP(B3036,辅助信息!E:J,6,FALSE)</f>
        <v>现场禁止使用氢能源挂车！优先威钢发货,我方卸车,新老国标钢厂不加价可直发，因陕钢多次出现磅差，项目拒绝使用</v>
      </c>
      <c r="M3036" s="84">
        <v>45897</v>
      </c>
      <c r="O3036" s="55">
        <f ca="1" t="shared" si="175"/>
        <v>0</v>
      </c>
      <c r="P3036" s="55">
        <f ca="1" t="shared" si="176"/>
        <v>60</v>
      </c>
      <c r="Q3036" s="22" t="str">
        <f>VLOOKUP(B3036,辅助信息!E:M,9,FALSE)</f>
        <v>ZTWM-CDGS-XS-2024-0030-华西集采-简州大道</v>
      </c>
      <c r="R3036" s="22" t="str">
        <f>_xlfn._xlws.FILTER(辅助信息!D:D,辅助信息!E:E=B3036)</f>
        <v>华西简阳西城嘉苑</v>
      </c>
    </row>
    <row r="3037" hidden="1" spans="2:18">
      <c r="B3037" s="33" t="s">
        <v>81</v>
      </c>
      <c r="C3037" s="63">
        <v>45897</v>
      </c>
      <c r="D3037" s="33" t="str">
        <f>VLOOKUP(B3037,辅助信息!E:K,7,FALSE)</f>
        <v>JWDDCD2025060900080</v>
      </c>
      <c r="E3037" s="33" t="str">
        <f>VLOOKUP(F3037,辅助信息!A:B,2,FALSE)</f>
        <v>螺纹钢</v>
      </c>
      <c r="F3037" s="33" t="s">
        <v>18</v>
      </c>
      <c r="G3037" s="29">
        <v>71</v>
      </c>
      <c r="H3037" s="113">
        <f>_xlfn.XLOOKUP(C3037&amp;F3037&amp;I3037&amp;J3037,'[1]2025年已发货'!$F:$F&amp;'[1]2025年已发货'!$C:$C&amp;'[1]2025年已发货'!$G:$G&amp;'[1]2025年已发货'!$H:$H,'[1]2025年已发货'!$E:$E,"未发货")</f>
        <v>71</v>
      </c>
      <c r="I3037" s="33" t="str">
        <f>VLOOKUP(B3037,辅助信息!E:I,3,FALSE)</f>
        <v>（华西简阳西城嘉苑）四川省成都市简阳市简城街道高屋村</v>
      </c>
      <c r="J3037" s="33" t="str">
        <f>VLOOKUP(B3037,辅助信息!E:I,4,FALSE)</f>
        <v>张瀚镭</v>
      </c>
      <c r="K3037" s="33">
        <f>VLOOKUP(J3037,辅助信息!H:I,2,FALSE)</f>
        <v>15884666220</v>
      </c>
      <c r="L3037" s="102" t="str">
        <f>VLOOKUP(B3037,辅助信息!E:J,6,FALSE)</f>
        <v>现场禁止使用氢能源挂车！优先威钢发货,我方卸车,新老国标钢厂不加价可直发，因陕钢多次出现磅差，项目拒绝使用</v>
      </c>
      <c r="M3037" s="84">
        <v>45897</v>
      </c>
      <c r="O3037" s="55">
        <f ca="1" t="shared" si="175"/>
        <v>0</v>
      </c>
      <c r="P3037" s="55">
        <f ca="1" t="shared" si="176"/>
        <v>60</v>
      </c>
      <c r="Q3037" s="22" t="str">
        <f>VLOOKUP(B3037,辅助信息!E:M,9,FALSE)</f>
        <v>ZTWM-CDGS-XS-2024-0030-华西集采-简州大道</v>
      </c>
      <c r="R3037" s="22" t="str">
        <f>_xlfn._xlws.FILTER(辅助信息!D:D,辅助信息!E:E=B3037)</f>
        <v>华西简阳西城嘉苑</v>
      </c>
    </row>
    <row r="3038" hidden="1" spans="2:18">
      <c r="B3038" s="33" t="s">
        <v>81</v>
      </c>
      <c r="C3038" s="63">
        <v>45897</v>
      </c>
      <c r="D3038" s="33" t="str">
        <f>VLOOKUP(B3038,辅助信息!E:K,7,FALSE)</f>
        <v>JWDDCD2025060900080</v>
      </c>
      <c r="E3038" s="33" t="str">
        <f>VLOOKUP(F3038,辅助信息!A:B,2,FALSE)</f>
        <v>螺纹钢</v>
      </c>
      <c r="F3038" s="33" t="s">
        <v>22</v>
      </c>
      <c r="G3038" s="29">
        <v>20</v>
      </c>
      <c r="H3038" s="113">
        <f>_xlfn.XLOOKUP(C3038&amp;F3038&amp;I3038&amp;J3038,'[1]2025年已发货'!$F:$F&amp;'[1]2025年已发货'!$C:$C&amp;'[1]2025年已发货'!$G:$G&amp;'[1]2025年已发货'!$H:$H,'[1]2025年已发货'!$E:$E,"未发货")</f>
        <v>20</v>
      </c>
      <c r="I3038" s="33" t="str">
        <f>VLOOKUP(B3038,辅助信息!E:I,3,FALSE)</f>
        <v>（华西简阳西城嘉苑）四川省成都市简阳市简城街道高屋村</v>
      </c>
      <c r="J3038" s="33" t="str">
        <f>VLOOKUP(B3038,辅助信息!E:I,4,FALSE)</f>
        <v>张瀚镭</v>
      </c>
      <c r="K3038" s="33">
        <f>VLOOKUP(J3038,辅助信息!H:I,2,FALSE)</f>
        <v>15884666220</v>
      </c>
      <c r="L3038" s="102" t="str">
        <f>VLOOKUP(B3038,辅助信息!E:J,6,FALSE)</f>
        <v>现场禁止使用氢能源挂车！优先威钢发货,我方卸车,新老国标钢厂不加价可直发，因陕钢多次出现磅差，项目拒绝使用</v>
      </c>
      <c r="M3038" s="84">
        <v>45897</v>
      </c>
      <c r="O3038" s="55">
        <f ca="1" t="shared" si="175"/>
        <v>0</v>
      </c>
      <c r="P3038" s="55">
        <f ca="1" t="shared" si="176"/>
        <v>60</v>
      </c>
      <c r="Q3038" s="22" t="str">
        <f>VLOOKUP(B3038,辅助信息!E:M,9,FALSE)</f>
        <v>ZTWM-CDGS-XS-2024-0030-华西集采-简州大道</v>
      </c>
      <c r="R3038" s="22" t="str">
        <f>_xlfn._xlws.FILTER(辅助信息!D:D,辅助信息!E:E=B3038)</f>
        <v>华西简阳西城嘉苑</v>
      </c>
    </row>
    <row r="3039" hidden="1" spans="2:18">
      <c r="B3039" s="33" t="s">
        <v>167</v>
      </c>
      <c r="C3039" s="63">
        <v>45896</v>
      </c>
      <c r="D3039" s="33" t="str">
        <f>VLOOKUP(B3039,辅助信息!E:K,7,FALSE)</f>
        <v>JWDDCD2025102100473</v>
      </c>
      <c r="E3039" s="33" t="str">
        <f>VLOOKUP(F3039,辅助信息!A:B,2,FALSE)</f>
        <v>盘螺</v>
      </c>
      <c r="F3039" s="33" t="s">
        <v>40</v>
      </c>
      <c r="G3039" s="29">
        <v>12</v>
      </c>
      <c r="H3039" s="113">
        <f>_xlfn.XLOOKUP(C3039&amp;F3039&amp;I3039&amp;J3039,'[1]2025年已发货'!$F:$F&amp;'[1]2025年已发货'!$C:$C&amp;'[1]2025年已发货'!$G:$G&amp;'[1]2025年已发货'!$H:$H,'[1]2025年已发货'!$E:$E,"未发货")</f>
        <v>12</v>
      </c>
      <c r="I3039" s="33" t="str">
        <f>VLOOKUP(B3039,辅助信息!E:I,3,FALSE)</f>
        <v>(五冶建设扩建艺体中学二期工程)四川省成都市双流区光荣路成都艺体中学南200米</v>
      </c>
      <c r="J3039" s="33" t="str">
        <f>VLOOKUP(B3039,辅助信息!E:I,4,FALSE)</f>
        <v>谢序强</v>
      </c>
      <c r="K3039" s="33">
        <f>VLOOKUP(J3039,辅助信息!H:I,2,FALSE)</f>
        <v>13458588232</v>
      </c>
      <c r="L3039" s="102"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55" t="str">
        <f ca="1" t="shared" si="175"/>
        <v/>
      </c>
      <c r="P3039" s="55" t="str">
        <f ca="1" t="shared" si="176"/>
        <v/>
      </c>
      <c r="Q3039" s="22" t="str">
        <f>VLOOKUP(B3039,辅助信息!E:M,9,FALSE)</f>
        <v>ZTWM-CDGS-XS-2025-0073-五冶天府-成都怡心湖片区及龙泉驿医院等项目</v>
      </c>
      <c r="R3039" s="22" t="str">
        <f>_xlfn._xlws.FILTER(辅助信息!D:D,辅助信息!E:E=B3039)</f>
        <v>五冶建设扩建艺体中学二期工程</v>
      </c>
    </row>
    <row r="3040" hidden="1" spans="2:18">
      <c r="B3040" s="33" t="s">
        <v>167</v>
      </c>
      <c r="C3040" s="63">
        <v>45896</v>
      </c>
      <c r="D3040" s="33" t="str">
        <f>VLOOKUP(B3040,辅助信息!E:K,7,FALSE)</f>
        <v>JWDDCD2025102100473</v>
      </c>
      <c r="E3040" s="33" t="str">
        <f>VLOOKUP(F3040,辅助信息!A:B,2,FALSE)</f>
        <v>盘螺</v>
      </c>
      <c r="F3040" s="33" t="s">
        <v>41</v>
      </c>
      <c r="G3040" s="29">
        <v>10</v>
      </c>
      <c r="H3040" s="113">
        <f>_xlfn.XLOOKUP(C3040&amp;F3040&amp;I3040&amp;J3040,'[1]2025年已发货'!$F:$F&amp;'[1]2025年已发货'!$C:$C&amp;'[1]2025年已发货'!$G:$G&amp;'[1]2025年已发货'!$H:$H,'[1]2025年已发货'!$E:$E,"未发货")</f>
        <v>10</v>
      </c>
      <c r="I3040" s="33" t="str">
        <f>VLOOKUP(B3040,辅助信息!E:I,3,FALSE)</f>
        <v>(五冶建设扩建艺体中学二期工程)四川省成都市双流区光荣路成都艺体中学南200米</v>
      </c>
      <c r="J3040" s="33" t="str">
        <f>VLOOKUP(B3040,辅助信息!E:I,4,FALSE)</f>
        <v>谢序强</v>
      </c>
      <c r="K3040" s="33">
        <f>VLOOKUP(J3040,辅助信息!H:I,2,FALSE)</f>
        <v>13458588232</v>
      </c>
      <c r="L3040" s="102"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55" t="str">
        <f ca="1" t="shared" si="175"/>
        <v/>
      </c>
      <c r="P3040" s="55" t="str">
        <f ca="1" t="shared" si="176"/>
        <v/>
      </c>
      <c r="Q3040" s="22" t="str">
        <f>VLOOKUP(B3040,辅助信息!E:M,9,FALSE)</f>
        <v>ZTWM-CDGS-XS-2025-0073-五冶天府-成都怡心湖片区及龙泉驿医院等项目</v>
      </c>
      <c r="R3040" s="22" t="str">
        <f>_xlfn._xlws.FILTER(辅助信息!D:D,辅助信息!E:E=B3040)</f>
        <v>五冶建设扩建艺体中学二期工程</v>
      </c>
    </row>
    <row r="3041" hidden="1" spans="2:18">
      <c r="B3041" s="33" t="s">
        <v>167</v>
      </c>
      <c r="C3041" s="63">
        <v>45896</v>
      </c>
      <c r="D3041" s="33" t="str">
        <f>VLOOKUP(B3041,辅助信息!E:K,7,FALSE)</f>
        <v>JWDDCD2025102100473</v>
      </c>
      <c r="E3041" s="33" t="str">
        <f>VLOOKUP(F3041,辅助信息!A:B,2,FALSE)</f>
        <v>螺纹钢</v>
      </c>
      <c r="F3041" s="33" t="s">
        <v>22</v>
      </c>
      <c r="G3041" s="29">
        <v>70</v>
      </c>
      <c r="H3041" s="113">
        <f>_xlfn.XLOOKUP(C3041&amp;F3041&amp;I3041&amp;J3041,'[1]2025年已发货'!$F:$F&amp;'[1]2025年已发货'!$C:$C&amp;'[1]2025年已发货'!$G:$G&amp;'[1]2025年已发货'!$H:$H,'[1]2025年已发货'!$E:$E,"未发货")</f>
        <v>50</v>
      </c>
      <c r="I3041" s="33" t="str">
        <f>VLOOKUP(B3041,辅助信息!E:I,3,FALSE)</f>
        <v>(五冶建设扩建艺体中学二期工程)四川省成都市双流区光荣路成都艺体中学南200米</v>
      </c>
      <c r="J3041" s="33" t="str">
        <f>VLOOKUP(B3041,辅助信息!E:I,4,FALSE)</f>
        <v>谢序强</v>
      </c>
      <c r="K3041" s="33">
        <f>VLOOKUP(J3041,辅助信息!H:I,2,FALSE)</f>
        <v>13458588232</v>
      </c>
      <c r="L3041" s="102"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55" t="str">
        <f ca="1" t="shared" si="175"/>
        <v/>
      </c>
      <c r="P3041" s="55" t="str">
        <f ca="1" t="shared" si="176"/>
        <v/>
      </c>
      <c r="Q3041" s="22" t="str">
        <f>VLOOKUP(B3041,辅助信息!E:M,9,FALSE)</f>
        <v>ZTWM-CDGS-XS-2025-0073-五冶天府-成都怡心湖片区及龙泉驿医院等项目</v>
      </c>
      <c r="R3041" s="22" t="str">
        <f>_xlfn._xlws.FILTER(辅助信息!D:D,辅助信息!E:E=B3041)</f>
        <v>五冶建设扩建艺体中学二期工程</v>
      </c>
    </row>
    <row r="3042" hidden="1" spans="2:18">
      <c r="B3042" s="33" t="s">
        <v>169</v>
      </c>
      <c r="C3042" s="63">
        <v>45896</v>
      </c>
      <c r="D3042" s="33" t="str">
        <f>VLOOKUP(B3042,辅助信息!E:K,7,FALSE)</f>
        <v>JWDDCD2025051800044</v>
      </c>
      <c r="E3042" s="33" t="str">
        <f>VLOOKUP(F3042,辅助信息!A:B,2,FALSE)</f>
        <v>螺纹钢</v>
      </c>
      <c r="F3042" s="33" t="s">
        <v>28</v>
      </c>
      <c r="G3042" s="29">
        <v>70</v>
      </c>
      <c r="H3042" s="113" t="str">
        <f>_xlfn.XLOOKUP(C3042&amp;F3042&amp;I3042&amp;J3042,'[1]2025年已发货'!$F:$F&amp;'[1]2025年已发货'!$C:$C&amp;'[1]2025年已发货'!$G:$G&amp;'[1]2025年已发货'!$H:$H,'[1]2025年已发货'!$E:$E,"未发货")</f>
        <v>未发货</v>
      </c>
      <c r="I3042" s="33" t="str">
        <f>VLOOKUP(B3042,辅助信息!E:I,3,FALSE)</f>
        <v>(五冶建设龙泉芙蓉花语项目-1,3地块)龙泉驿区北川路双堰塘钓鱼东100米(北川路)</v>
      </c>
      <c r="J3042" s="33" t="str">
        <f>VLOOKUP(B3042,辅助信息!E:I,4,FALSE)</f>
        <v>祝斯阳</v>
      </c>
      <c r="K3042" s="33">
        <f>VLOOKUP(J3042,辅助信息!H:I,2,FALSE)</f>
        <v>15583590797</v>
      </c>
      <c r="L3042" s="102"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55" t="str">
        <f ca="1" t="shared" si="175"/>
        <v/>
      </c>
      <c r="P3042" s="55" t="str">
        <f ca="1" t="shared" si="176"/>
        <v/>
      </c>
      <c r="Q3042" s="22" t="str">
        <f>VLOOKUP(B3042,辅助信息!E:M,9,FALSE)</f>
        <v>ZTWM-CDGS-XS-2025-0073-五冶天府-成都怡心湖片区及龙泉驿医院等项目</v>
      </c>
      <c r="R3042" s="22" t="str">
        <f>_xlfn._xlws.FILTER(辅助信息!D:D,辅助信息!E:E=B3042)</f>
        <v>五冶建设龙泉芙蓉花语项目</v>
      </c>
    </row>
    <row r="3043" hidden="1" spans="2:18">
      <c r="B3043" s="33" t="s">
        <v>147</v>
      </c>
      <c r="C3043" s="63">
        <v>45899</v>
      </c>
      <c r="D3043" s="33" t="str">
        <f>VLOOKUP(B3043,辅助信息!E:K,7,FALSE)</f>
        <v>JWDDCD2025052800131</v>
      </c>
      <c r="E3043" s="33" t="str">
        <f>VLOOKUP(F3043,辅助信息!A:B,2,FALSE)</f>
        <v>螺纹钢</v>
      </c>
      <c r="F3043" s="33" t="s">
        <v>32</v>
      </c>
      <c r="G3043" s="29">
        <v>3</v>
      </c>
      <c r="H3043" s="113" t="str">
        <f>_xlfn.XLOOKUP(C3043&amp;F3043&amp;I3043&amp;J3043,'[1]2025年已发货'!$F:$F&amp;'[1]2025年已发货'!$C:$C&amp;'[1]2025年已发货'!$G:$G&amp;'[1]2025年已发货'!$H:$H,'[1]2025年已发货'!$E:$E,"未发货")</f>
        <v>未发货</v>
      </c>
      <c r="I3043" s="33" t="str">
        <f>VLOOKUP(B3043,辅助信息!E:I,3,FALSE)</f>
        <v>（商投建工达州中医药科技园-4工区-11号楼）达州市通川区达州中医药职业学院犀牛大道北段</v>
      </c>
      <c r="J3043" s="33" t="str">
        <f>VLOOKUP(B3043,辅助信息!E:I,4,FALSE)</f>
        <v>张扬</v>
      </c>
      <c r="K3043" s="33">
        <f>VLOOKUP(J3043,辅助信息!H:I,2,FALSE)</f>
        <v>18381904567</v>
      </c>
      <c r="L3043" s="102" t="str">
        <f>VLOOKUP(B3043,辅助信息!E:J,6,FALSE)</f>
        <v>控制炉批号！多了现场不收！,优先安排达钢,提前联系到场规格及数量</v>
      </c>
      <c r="M3043" s="84">
        <v>45897</v>
      </c>
      <c r="O3043" s="55">
        <f ca="1" t="shared" si="175"/>
        <v>0</v>
      </c>
      <c r="P3043" s="55">
        <f ca="1" t="shared" si="176"/>
        <v>60</v>
      </c>
      <c r="Q3043" s="22" t="str">
        <f>VLOOKUP(B3043,辅助信息!E:M,9,FALSE)</f>
        <v>ZTWM-CDGS-XS-2024-0134-商投建工达州中医药科技成果示范园项目</v>
      </c>
      <c r="R3043" s="22" t="str">
        <f>_xlfn._xlws.FILTER(辅助信息!D:D,辅助信息!E:E=B3043)</f>
        <v>商投建工达州中医药科技园</v>
      </c>
    </row>
    <row r="3044" hidden="1" spans="2:18">
      <c r="B3044" s="33" t="s">
        <v>147</v>
      </c>
      <c r="C3044" s="63">
        <v>45899</v>
      </c>
      <c r="D3044" s="33" t="str">
        <f>VLOOKUP(B3044,辅助信息!E:K,7,FALSE)</f>
        <v>JWDDCD2025052800131</v>
      </c>
      <c r="E3044" s="33" t="str">
        <f>VLOOKUP(F3044,辅助信息!A:B,2,FALSE)</f>
        <v>螺纹钢</v>
      </c>
      <c r="F3044" s="33" t="s">
        <v>30</v>
      </c>
      <c r="G3044" s="29">
        <v>6</v>
      </c>
      <c r="H3044" s="113" t="str">
        <f>_xlfn.XLOOKUP(C3044&amp;F3044&amp;I3044&amp;J3044,'[1]2025年已发货'!$F:$F&amp;'[1]2025年已发货'!$C:$C&amp;'[1]2025年已发货'!$G:$G&amp;'[1]2025年已发货'!$H:$H,'[1]2025年已发货'!$E:$E,"未发货")</f>
        <v>未发货</v>
      </c>
      <c r="I3044" s="33" t="str">
        <f>VLOOKUP(B3044,辅助信息!E:I,3,FALSE)</f>
        <v>（商投建工达州中医药科技园-4工区-11号楼）达州市通川区达州中医药职业学院犀牛大道北段</v>
      </c>
      <c r="J3044" s="33" t="str">
        <f>VLOOKUP(B3044,辅助信息!E:I,4,FALSE)</f>
        <v>张扬</v>
      </c>
      <c r="K3044" s="33">
        <f>VLOOKUP(J3044,辅助信息!H:I,2,FALSE)</f>
        <v>18381904567</v>
      </c>
      <c r="L3044" s="102" t="str">
        <f>VLOOKUP(B3044,辅助信息!E:J,6,FALSE)</f>
        <v>控制炉批号！多了现场不收！,优先安排达钢,提前联系到场规格及数量</v>
      </c>
      <c r="M3044" s="84">
        <v>45897</v>
      </c>
      <c r="O3044" s="55">
        <f ca="1" t="shared" si="175"/>
        <v>0</v>
      </c>
      <c r="P3044" s="55">
        <f ca="1" t="shared" si="176"/>
        <v>60</v>
      </c>
      <c r="Q3044" s="22" t="str">
        <f>VLOOKUP(B3044,辅助信息!E:M,9,FALSE)</f>
        <v>ZTWM-CDGS-XS-2024-0134-商投建工达州中医药科技成果示范园项目</v>
      </c>
      <c r="R3044" s="22" t="str">
        <f>_xlfn._xlws.FILTER(辅助信息!D:D,辅助信息!E:E=B3044)</f>
        <v>商投建工达州中医药科技园</v>
      </c>
    </row>
    <row r="3045" hidden="1" spans="2:18">
      <c r="B3045" s="33" t="s">
        <v>163</v>
      </c>
      <c r="C3045" s="63">
        <v>45899</v>
      </c>
      <c r="D3045" s="33" t="str">
        <f>VLOOKUP(B3045,辅助信息!E:K,7,FALSE)</f>
        <v>JWDDCD2025052800131</v>
      </c>
      <c r="E3045" s="33" t="str">
        <f>VLOOKUP(F3045,辅助信息!A:B,2,FALSE)</f>
        <v>盘螺</v>
      </c>
      <c r="F3045" s="33" t="s">
        <v>40</v>
      </c>
      <c r="G3045" s="29">
        <v>13</v>
      </c>
      <c r="H3045" s="113">
        <f>_xlfn.XLOOKUP(C3045&amp;F3045&amp;I3045&amp;J3045,'[1]2025年已发货'!$F:$F&amp;'[1]2025年已发货'!$C:$C&amp;'[1]2025年已发货'!$G:$G&amp;'[1]2025年已发货'!$H:$H,'[1]2025年已发货'!$E:$E,"未发货")</f>
        <v>40</v>
      </c>
      <c r="I3045" s="33" t="str">
        <f>VLOOKUP(B3045,辅助信息!E:I,3,FALSE)</f>
        <v>（商投建工达州中医药科技园-4工区-9号楼）达州市通川区达州中医药职业学院犀牛大道北段</v>
      </c>
      <c r="J3045" s="33" t="str">
        <f>VLOOKUP(B3045,辅助信息!E:I,4,FALSE)</f>
        <v>张扬</v>
      </c>
      <c r="K3045" s="33">
        <f>VLOOKUP(J3045,辅助信息!H:I,2,FALSE)</f>
        <v>18381904567</v>
      </c>
      <c r="L3045" s="102" t="str">
        <f>VLOOKUP(B3045,辅助信息!E:J,6,FALSE)</f>
        <v>控制炉批号！多了现场不收！,优先安排达钢,提前联系到场规格及数量</v>
      </c>
      <c r="M3045" s="84">
        <v>45897</v>
      </c>
      <c r="O3045" s="55">
        <f ca="1" t="shared" si="175"/>
        <v>0</v>
      </c>
      <c r="P3045" s="55">
        <f ca="1" t="shared" si="176"/>
        <v>60</v>
      </c>
      <c r="Q3045" s="22" t="str">
        <f>VLOOKUP(B3045,辅助信息!E:M,9,FALSE)</f>
        <v>ZTWM-CDGS-XS-2024-0134-商投建工达州中医药科技成果示范园项目</v>
      </c>
      <c r="R3045" s="22" t="str">
        <f>_xlfn._xlws.FILTER(辅助信息!D:D,辅助信息!E:E=B3045)</f>
        <v>商投建工达州中医药科技园</v>
      </c>
    </row>
    <row r="3046" hidden="1" spans="2:18">
      <c r="B3046" s="33" t="s">
        <v>163</v>
      </c>
      <c r="C3046" s="63">
        <v>45899</v>
      </c>
      <c r="D3046" s="33" t="str">
        <f>VLOOKUP(B3046,辅助信息!E:K,7,FALSE)</f>
        <v>JWDDCD2025052800131</v>
      </c>
      <c r="E3046" s="33" t="str">
        <f>VLOOKUP(F3046,辅助信息!A:B,2,FALSE)</f>
        <v>螺纹钢</v>
      </c>
      <c r="F3046" s="33" t="s">
        <v>30</v>
      </c>
      <c r="G3046" s="29">
        <v>6</v>
      </c>
      <c r="H3046" s="113" t="str">
        <f>_xlfn.XLOOKUP(C3046&amp;F3046&amp;I3046&amp;J3046,'[1]2025年已发货'!$F:$F&amp;'[1]2025年已发货'!$C:$C&amp;'[1]2025年已发货'!$G:$G&amp;'[1]2025年已发货'!$H:$H,'[1]2025年已发货'!$E:$E,"未发货")</f>
        <v>未发货</v>
      </c>
      <c r="I3046" s="33" t="str">
        <f>VLOOKUP(B3046,辅助信息!E:I,3,FALSE)</f>
        <v>（商投建工达州中医药科技园-4工区-9号楼）达州市通川区达州中医药职业学院犀牛大道北段</v>
      </c>
      <c r="J3046" s="33" t="str">
        <f>VLOOKUP(B3046,辅助信息!E:I,4,FALSE)</f>
        <v>张扬</v>
      </c>
      <c r="K3046" s="33">
        <f>VLOOKUP(J3046,辅助信息!H:I,2,FALSE)</f>
        <v>18381904567</v>
      </c>
      <c r="L3046" s="102" t="str">
        <f>VLOOKUP(B3046,辅助信息!E:J,6,FALSE)</f>
        <v>控制炉批号！多了现场不收！,优先安排达钢,提前联系到场规格及数量</v>
      </c>
      <c r="M3046" s="84">
        <v>45897</v>
      </c>
      <c r="O3046" s="55">
        <f ca="1" t="shared" si="175"/>
        <v>0</v>
      </c>
      <c r="P3046" s="55">
        <f ca="1" t="shared" si="176"/>
        <v>60</v>
      </c>
      <c r="Q3046" s="22" t="str">
        <f>VLOOKUP(B3046,辅助信息!E:M,9,FALSE)</f>
        <v>ZTWM-CDGS-XS-2024-0134-商投建工达州中医药科技成果示范园项目</v>
      </c>
      <c r="R3046" s="22" t="str">
        <f>_xlfn._xlws.FILTER(辅助信息!D:D,辅助信息!E:E=B3046)</f>
        <v>商投建工达州中医药科技园</v>
      </c>
    </row>
    <row r="3047" hidden="1" spans="2:18">
      <c r="B3047" s="33" t="s">
        <v>163</v>
      </c>
      <c r="C3047" s="63">
        <v>45899</v>
      </c>
      <c r="D3047" s="33" t="str">
        <f>VLOOKUP(B3047,辅助信息!E:K,7,FALSE)</f>
        <v>JWDDCD2025052800131</v>
      </c>
      <c r="E3047" s="33" t="str">
        <f>VLOOKUP(F3047,辅助信息!A:B,2,FALSE)</f>
        <v>螺纹钢</v>
      </c>
      <c r="F3047" s="33" t="s">
        <v>21</v>
      </c>
      <c r="G3047" s="29">
        <v>6</v>
      </c>
      <c r="H3047" s="113" t="str">
        <f>_xlfn.XLOOKUP(C3047&amp;F3047&amp;I3047&amp;J3047,'[1]2025年已发货'!$F:$F&amp;'[1]2025年已发货'!$C:$C&amp;'[1]2025年已发货'!$G:$G&amp;'[1]2025年已发货'!$H:$H,'[1]2025年已发货'!$E:$E,"未发货")</f>
        <v>未发货</v>
      </c>
      <c r="I3047" s="33" t="str">
        <f>VLOOKUP(B3047,辅助信息!E:I,3,FALSE)</f>
        <v>（商投建工达州中医药科技园-4工区-9号楼）达州市通川区达州中医药职业学院犀牛大道北段</v>
      </c>
      <c r="J3047" s="33" t="str">
        <f>VLOOKUP(B3047,辅助信息!E:I,4,FALSE)</f>
        <v>张扬</v>
      </c>
      <c r="K3047" s="33">
        <f>VLOOKUP(J3047,辅助信息!H:I,2,FALSE)</f>
        <v>18381904567</v>
      </c>
      <c r="L3047" s="102" t="str">
        <f>VLOOKUP(B3047,辅助信息!E:J,6,FALSE)</f>
        <v>控制炉批号！多了现场不收！,优先安排达钢,提前联系到场规格及数量</v>
      </c>
      <c r="M3047" s="84">
        <v>45897</v>
      </c>
      <c r="O3047" s="55">
        <f ca="1" t="shared" si="175"/>
        <v>0</v>
      </c>
      <c r="P3047" s="55">
        <f ca="1" t="shared" si="176"/>
        <v>60</v>
      </c>
      <c r="Q3047" s="22" t="str">
        <f>VLOOKUP(B3047,辅助信息!E:M,9,FALSE)</f>
        <v>ZTWM-CDGS-XS-2024-0134-商投建工达州中医药科技成果示范园项目</v>
      </c>
      <c r="R3047" s="22" t="str">
        <f>_xlfn._xlws.FILTER(辅助信息!D:D,辅助信息!E:E=B3047)</f>
        <v>商投建工达州中医药科技园</v>
      </c>
    </row>
    <row r="3048" hidden="1" spans="2:18">
      <c r="B3048" s="33" t="s">
        <v>163</v>
      </c>
      <c r="C3048" s="63">
        <v>45899</v>
      </c>
      <c r="D3048" s="33" t="str">
        <f>VLOOKUP(B3048,辅助信息!E:K,7,FALSE)</f>
        <v>JWDDCD2025052800131</v>
      </c>
      <c r="E3048" s="33" t="str">
        <f>VLOOKUP(F3048,辅助信息!A:B,2,FALSE)</f>
        <v>螺纹钢</v>
      </c>
      <c r="F3048" s="33" t="s">
        <v>58</v>
      </c>
      <c r="G3048" s="29">
        <v>12</v>
      </c>
      <c r="H3048" s="113" t="str">
        <f>_xlfn.XLOOKUP(C3048&amp;F3048&amp;I3048&amp;J3048,'[1]2025年已发货'!$F:$F&amp;'[1]2025年已发货'!$C:$C&amp;'[1]2025年已发货'!$G:$G&amp;'[1]2025年已发货'!$H:$H,'[1]2025年已发货'!$E:$E,"未发货")</f>
        <v>未发货</v>
      </c>
      <c r="I3048" s="33" t="str">
        <f>VLOOKUP(B3048,辅助信息!E:I,3,FALSE)</f>
        <v>（商投建工达州中医药科技园-4工区-9号楼）达州市通川区达州中医药职业学院犀牛大道北段</v>
      </c>
      <c r="J3048" s="33" t="str">
        <f>VLOOKUP(B3048,辅助信息!E:I,4,FALSE)</f>
        <v>张扬</v>
      </c>
      <c r="K3048" s="33">
        <f>VLOOKUP(J3048,辅助信息!H:I,2,FALSE)</f>
        <v>18381904567</v>
      </c>
      <c r="L3048" s="102" t="str">
        <f>VLOOKUP(B3048,辅助信息!E:J,6,FALSE)</f>
        <v>控制炉批号！多了现场不收！,优先安排达钢,提前联系到场规格及数量</v>
      </c>
      <c r="M3048" s="84">
        <v>45897</v>
      </c>
      <c r="O3048" s="55">
        <f ca="1" t="shared" si="175"/>
        <v>0</v>
      </c>
      <c r="P3048" s="55">
        <f ca="1" t="shared" si="176"/>
        <v>60</v>
      </c>
      <c r="Q3048" s="22" t="str">
        <f>VLOOKUP(B3048,辅助信息!E:M,9,FALSE)</f>
        <v>ZTWM-CDGS-XS-2024-0134-商投建工达州中医药科技成果示范园项目</v>
      </c>
      <c r="R3048" s="22" t="str">
        <f>_xlfn._xlws.FILTER(辅助信息!D:D,辅助信息!E:E=B3048)</f>
        <v>商投建工达州中医药科技园</v>
      </c>
    </row>
    <row r="3049" hidden="1" spans="2:18">
      <c r="B3049" s="33" t="s">
        <v>186</v>
      </c>
      <c r="C3049" s="63">
        <v>45899</v>
      </c>
      <c r="D3049" s="33" t="str">
        <f>VLOOKUP(B3049,辅助信息!E:K,7,FALSE)</f>
        <v>JWDDCD2025072900123</v>
      </c>
      <c r="E3049" s="33" t="str">
        <f>VLOOKUP(F3049,辅助信息!A:B,2,FALSE)</f>
        <v>螺纹钢</v>
      </c>
      <c r="F3049" s="33" t="s">
        <v>18</v>
      </c>
      <c r="G3049" s="29">
        <v>18</v>
      </c>
      <c r="H3049" s="113" t="str">
        <f>_xlfn.XLOOKUP(C3049&amp;F3049&amp;I3049&amp;J3049,'[1]2025年已发货'!$F:$F&amp;'[1]2025年已发货'!$C:$C&amp;'[1]2025年已发货'!$G:$G&amp;'[1]2025年已发货'!$H:$H,'[1]2025年已发货'!$E:$E,"未发货")</f>
        <v>未发货</v>
      </c>
      <c r="I3049" s="33" t="str">
        <f>VLOOKUP(B3049,辅助信息!E:I,3,FALSE)</f>
        <v>(乐山市校地共建产教融合基地建设项目二标段)四川省乐山市市中区苏稽镇</v>
      </c>
      <c r="J3049" s="33" t="str">
        <f>VLOOKUP(B3049,辅助信息!E:I,4,FALSE)</f>
        <v>彭江涛</v>
      </c>
      <c r="K3049" s="33">
        <f>VLOOKUP(J3049,辅助信息!H:I,2,FALSE)</f>
        <v>13990276572</v>
      </c>
      <c r="L3049" s="102" t="str">
        <f>VLOOKUP(B3049,辅助信息!E:J,6,FALSE)</f>
        <v>联系实际收货人（彭江涛13990276572）现场要求炉批号控制2个以下，超2个不给予签收。提前联系到场规格及数量</v>
      </c>
      <c r="O3049" s="55" t="str">
        <f ca="1" t="shared" si="175"/>
        <v/>
      </c>
      <c r="P3049" s="55" t="str">
        <f ca="1" t="shared" si="176"/>
        <v/>
      </c>
      <c r="Q3049" s="22" t="str">
        <f>VLOOKUP(B3049,辅助信息!E:M,9,FALSE)</f>
        <v>ZTWM-CDGS-XS-2025-0126-四川机司-乐山市校地共建产教融合基地配套设施项目施工二标段钢筋采购合同</v>
      </c>
      <c r="R3049" s="22" t="str">
        <f>_xlfn._xlws.FILTER(辅助信息!D:D,辅助信息!E:E=B3049)</f>
        <v>乐山市校地共建产教融合基地建设项目二标段</v>
      </c>
    </row>
    <row r="3050" hidden="1" spans="2:18">
      <c r="B3050" s="33" t="s">
        <v>186</v>
      </c>
      <c r="C3050" s="63">
        <v>45899</v>
      </c>
      <c r="D3050" s="33" t="str">
        <f>VLOOKUP(B3050,辅助信息!E:K,7,FALSE)</f>
        <v>JWDDCD2025072900123</v>
      </c>
      <c r="E3050" s="33" t="str">
        <f>VLOOKUP(F3050,辅助信息!A:B,2,FALSE)</f>
        <v>螺纹钢</v>
      </c>
      <c r="F3050" s="33" t="s">
        <v>18</v>
      </c>
      <c r="G3050" s="29">
        <v>5</v>
      </c>
      <c r="H3050" s="113" t="str">
        <f>_xlfn.XLOOKUP(C3050&amp;F3050&amp;I3050&amp;J3050,'[1]2025年已发货'!$F:$F&amp;'[1]2025年已发货'!$C:$C&amp;'[1]2025年已发货'!$G:$G&amp;'[1]2025年已发货'!$H:$H,'[1]2025年已发货'!$E:$E,"未发货")</f>
        <v>未发货</v>
      </c>
      <c r="I3050" s="33" t="str">
        <f>VLOOKUP(B3050,辅助信息!E:I,3,FALSE)</f>
        <v>(乐山市校地共建产教融合基地建设项目二标段)四川省乐山市市中区苏稽镇</v>
      </c>
      <c r="J3050" s="33" t="str">
        <f>VLOOKUP(B3050,辅助信息!E:I,4,FALSE)</f>
        <v>彭江涛</v>
      </c>
      <c r="K3050" s="33">
        <f>VLOOKUP(J3050,辅助信息!H:I,2,FALSE)</f>
        <v>13990276572</v>
      </c>
      <c r="L3050" s="102" t="str">
        <f>VLOOKUP(B3050,辅助信息!E:J,6,FALSE)</f>
        <v>联系实际收货人（彭江涛13990276572）现场要求炉批号控制2个以下，超2个不给予签收。提前联系到场规格及数量</v>
      </c>
      <c r="O3050" s="55" t="str">
        <f ca="1" t="shared" si="175"/>
        <v/>
      </c>
      <c r="P3050" s="55" t="str">
        <f ca="1" t="shared" si="176"/>
        <v/>
      </c>
      <c r="Q3050" s="22" t="str">
        <f>VLOOKUP(B3050,辅助信息!E:M,9,FALSE)</f>
        <v>ZTWM-CDGS-XS-2025-0126-四川机司-乐山市校地共建产教融合基地配套设施项目施工二标段钢筋采购合同</v>
      </c>
      <c r="R3050" s="22" t="str">
        <f>_xlfn._xlws.FILTER(辅助信息!D:D,辅助信息!E:E=B3050)</f>
        <v>乐山市校地共建产教融合基地建设项目二标段</v>
      </c>
    </row>
    <row r="3051" hidden="1" spans="2:18">
      <c r="B3051" s="33" t="s">
        <v>186</v>
      </c>
      <c r="C3051" s="63">
        <v>45899</v>
      </c>
      <c r="D3051" s="33" t="str">
        <f>VLOOKUP(B3051,辅助信息!E:K,7,FALSE)</f>
        <v>JWDDCD2025072900123</v>
      </c>
      <c r="E3051" s="33" t="str">
        <f>VLOOKUP(F3051,辅助信息!A:B,2,FALSE)</f>
        <v>螺纹钢</v>
      </c>
      <c r="F3051" s="33" t="s">
        <v>91</v>
      </c>
      <c r="G3051" s="29">
        <v>5</v>
      </c>
      <c r="H3051" s="113" t="str">
        <f>_xlfn.XLOOKUP(C3051&amp;F3051&amp;I3051&amp;J3051,'[1]2025年已发货'!$F:$F&amp;'[1]2025年已发货'!$C:$C&amp;'[1]2025年已发货'!$G:$G&amp;'[1]2025年已发货'!$H:$H,'[1]2025年已发货'!$E:$E,"未发货")</f>
        <v>未发货</v>
      </c>
      <c r="I3051" s="33" t="str">
        <f>VLOOKUP(B3051,辅助信息!E:I,3,FALSE)</f>
        <v>(乐山市校地共建产教融合基地建设项目二标段)四川省乐山市市中区苏稽镇</v>
      </c>
      <c r="J3051" s="33" t="str">
        <f>VLOOKUP(B3051,辅助信息!E:I,4,FALSE)</f>
        <v>彭江涛</v>
      </c>
      <c r="K3051" s="33">
        <f>VLOOKUP(J3051,辅助信息!H:I,2,FALSE)</f>
        <v>13990276572</v>
      </c>
      <c r="L3051" s="102" t="str">
        <f>VLOOKUP(B3051,辅助信息!E:J,6,FALSE)</f>
        <v>联系实际收货人（彭江涛13990276572）现场要求炉批号控制2个以下，超2个不给予签收。提前联系到场规格及数量</v>
      </c>
      <c r="O3051" s="55" t="str">
        <f ca="1" t="shared" si="175"/>
        <v/>
      </c>
      <c r="P3051" s="55" t="str">
        <f ca="1" t="shared" si="176"/>
        <v/>
      </c>
      <c r="Q3051" s="22" t="str">
        <f>VLOOKUP(B3051,辅助信息!E:M,9,FALSE)</f>
        <v>ZTWM-CDGS-XS-2025-0126-四川机司-乐山市校地共建产教融合基地配套设施项目施工二标段钢筋采购合同</v>
      </c>
      <c r="R3051" s="22" t="str">
        <f>_xlfn._xlws.FILTER(辅助信息!D:D,辅助信息!E:E=B3051)</f>
        <v>乐山市校地共建产教融合基地建设项目二标段</v>
      </c>
    </row>
    <row r="3052" hidden="1" spans="2:18">
      <c r="B3052" s="33" t="s">
        <v>147</v>
      </c>
      <c r="C3052" s="63">
        <v>45899</v>
      </c>
      <c r="D3052" s="33" t="str">
        <f>VLOOKUP(B3052,辅助信息!E:K,7,FALSE)</f>
        <v>JWDDCD2025052800131</v>
      </c>
      <c r="E3052" s="33" t="str">
        <f>VLOOKUP(F3052,辅助信息!A:B,2,FALSE)</f>
        <v>螺纹钢</v>
      </c>
      <c r="F3052" s="33" t="s">
        <v>21</v>
      </c>
      <c r="G3052" s="29">
        <v>12</v>
      </c>
      <c r="H3052" s="113" t="str">
        <f>_xlfn.XLOOKUP(C3052&amp;F3052&amp;I3052&amp;J3052,'[1]2025年已发货'!$F:$F&amp;'[1]2025年已发货'!$C:$C&amp;'[1]2025年已发货'!$G:$G&amp;'[1]2025年已发货'!$H:$H,'[1]2025年已发货'!$E:$E,"未发货")</f>
        <v>未发货</v>
      </c>
      <c r="I3052" s="33" t="str">
        <f>VLOOKUP(B3052,辅助信息!E:I,3,FALSE)</f>
        <v>（商投建工达州中医药科技园-4工区-11号楼）达州市通川区达州中医药职业学院犀牛大道北段</v>
      </c>
      <c r="J3052" s="33" t="str">
        <f>VLOOKUP(B3052,辅助信息!E:I,4,FALSE)</f>
        <v>张扬</v>
      </c>
      <c r="K3052" s="33">
        <f>VLOOKUP(J3052,辅助信息!H:I,2,FALSE)</f>
        <v>18381904567</v>
      </c>
      <c r="L3052" s="102" t="str">
        <f>VLOOKUP(B3052,辅助信息!E:J,6,FALSE)</f>
        <v>控制炉批号！多了现场不收！,优先安排达钢,提前联系到场规格及数量</v>
      </c>
      <c r="M3052" s="84">
        <v>45897</v>
      </c>
      <c r="O3052" s="55">
        <f ca="1" t="shared" si="175"/>
        <v>0</v>
      </c>
      <c r="P3052" s="55">
        <f ca="1" t="shared" si="176"/>
        <v>60</v>
      </c>
      <c r="Q3052" s="22" t="str">
        <f>VLOOKUP(B3052,辅助信息!E:M,9,FALSE)</f>
        <v>ZTWM-CDGS-XS-2024-0134-商投建工达州中医药科技成果示范园项目</v>
      </c>
      <c r="R3052" s="22" t="str">
        <f>_xlfn._xlws.FILTER(辅助信息!D:D,辅助信息!E:E=B3052)</f>
        <v>商投建工达州中医药科技园</v>
      </c>
    </row>
    <row r="3053" hidden="1" spans="2:18">
      <c r="B3053" s="33" t="s">
        <v>147</v>
      </c>
      <c r="C3053" s="63">
        <v>45899</v>
      </c>
      <c r="D3053" s="33" t="str">
        <f>VLOOKUP(B3053,辅助信息!E:K,7,FALSE)</f>
        <v>JWDDCD2025052800131</v>
      </c>
      <c r="E3053" s="33" t="str">
        <f>VLOOKUP(F3053,辅助信息!A:B,2,FALSE)</f>
        <v>螺纹钢</v>
      </c>
      <c r="F3053" s="33" t="s">
        <v>58</v>
      </c>
      <c r="G3053" s="29">
        <v>12</v>
      </c>
      <c r="H3053" s="113" t="str">
        <f>_xlfn.XLOOKUP(C3053&amp;F3053&amp;I3053&amp;J3053,'[1]2025年已发货'!$F:$F&amp;'[1]2025年已发货'!$C:$C&amp;'[1]2025年已发货'!$G:$G&amp;'[1]2025年已发货'!$H:$H,'[1]2025年已发货'!$E:$E,"未发货")</f>
        <v>未发货</v>
      </c>
      <c r="I3053" s="33" t="str">
        <f>VLOOKUP(B3053,辅助信息!E:I,3,FALSE)</f>
        <v>（商投建工达州中医药科技园-4工区-11号楼）达州市通川区达州中医药职业学院犀牛大道北段</v>
      </c>
      <c r="J3053" s="33" t="str">
        <f>VLOOKUP(B3053,辅助信息!E:I,4,FALSE)</f>
        <v>张扬</v>
      </c>
      <c r="K3053" s="33">
        <f>VLOOKUP(J3053,辅助信息!H:I,2,FALSE)</f>
        <v>18381904567</v>
      </c>
      <c r="L3053" s="102" t="str">
        <f>VLOOKUP(B3053,辅助信息!E:J,6,FALSE)</f>
        <v>控制炉批号！多了现场不收！,优先安排达钢,提前联系到场规格及数量</v>
      </c>
      <c r="M3053" s="84">
        <v>45897</v>
      </c>
      <c r="O3053" s="55">
        <f ca="1" t="shared" si="175"/>
        <v>0</v>
      </c>
      <c r="P3053" s="55">
        <f ca="1" t="shared" si="176"/>
        <v>60</v>
      </c>
      <c r="Q3053" s="22" t="str">
        <f>VLOOKUP(B3053,辅助信息!E:M,9,FALSE)</f>
        <v>ZTWM-CDGS-XS-2024-0134-商投建工达州中医药科技成果示范园项目</v>
      </c>
      <c r="R3053" s="22" t="str">
        <f>_xlfn._xlws.FILTER(辅助信息!D:D,辅助信息!E:E=B3053)</f>
        <v>商投建工达州中医药科技园</v>
      </c>
    </row>
    <row r="3054" hidden="1" spans="2:18">
      <c r="B3054" s="33" t="s">
        <v>180</v>
      </c>
      <c r="C3054" s="63">
        <v>45899</v>
      </c>
      <c r="D3054" s="33" t="str">
        <f>VLOOKUP(B3054,辅助信息!E:K,7,FALSE)</f>
        <v>JWDDCD2025052800131</v>
      </c>
      <c r="E3054" s="33" t="str">
        <f>VLOOKUP(F3054,辅助信息!A:B,2,FALSE)</f>
        <v>螺纹钢</v>
      </c>
      <c r="F3054" s="33" t="s">
        <v>21</v>
      </c>
      <c r="G3054" s="29">
        <v>6</v>
      </c>
      <c r="H3054" s="113" t="str">
        <f>_xlfn.XLOOKUP(C3054&amp;F3054&amp;I3054&amp;J3054,'[1]2025年已发货'!$F:$F&amp;'[1]2025年已发货'!$C:$C&amp;'[1]2025年已发货'!$G:$G&amp;'[1]2025年已发货'!$H:$H,'[1]2025年已发货'!$E:$E,"未发货")</f>
        <v>未发货</v>
      </c>
      <c r="I3054" s="33" t="str">
        <f>VLOOKUP(B3054,辅助信息!E:I,3,FALSE)</f>
        <v>（商投建工达州中医药科技园-4工区-8号楼）达州市通川区达州中医药职业学院犀牛大道北段</v>
      </c>
      <c r="J3054" s="33" t="str">
        <f>VLOOKUP(B3054,辅助信息!E:I,4,FALSE)</f>
        <v>张扬</v>
      </c>
      <c r="K3054" s="33">
        <f>VLOOKUP(J3054,辅助信息!H:I,2,FALSE)</f>
        <v>18381904567</v>
      </c>
      <c r="L3054" s="102" t="str">
        <f>VLOOKUP(B3054,辅助信息!E:J,6,FALSE)</f>
        <v>控制炉批号！多了现场不收！,优先安排达钢,提前联系到场规格及数量</v>
      </c>
      <c r="M3054" s="84">
        <v>45900</v>
      </c>
      <c r="O3054" s="55">
        <f ca="1" t="shared" si="175"/>
        <v>0</v>
      </c>
      <c r="P3054" s="55">
        <f ca="1" t="shared" si="176"/>
        <v>57</v>
      </c>
      <c r="Q3054" s="22" t="str">
        <f>VLOOKUP(B3054,辅助信息!E:M,9,FALSE)</f>
        <v>ZTWM-CDGS-XS-2024-0134-商投建工达州中医药科技成果示范园项目</v>
      </c>
      <c r="R3054" s="22" t="str">
        <f>_xlfn._xlws.FILTER(辅助信息!D:D,辅助信息!E:E=B3054)</f>
        <v>商投建工达州中医药科技园</v>
      </c>
    </row>
    <row r="3055" hidden="1" spans="1:18">
      <c r="A3055" s="64" t="s">
        <v>210</v>
      </c>
      <c r="B3055" s="33" t="s">
        <v>169</v>
      </c>
      <c r="C3055" s="63">
        <v>45901</v>
      </c>
      <c r="D3055" s="33" t="str">
        <f>VLOOKUP(B3055,辅助信息!E:K,7,FALSE)</f>
        <v>JWDDCD2025051800044</v>
      </c>
      <c r="E3055" s="33" t="str">
        <f>VLOOKUP(F3055,辅助信息!A:B,2,FALSE)</f>
        <v>高线</v>
      </c>
      <c r="F3055" s="33" t="s">
        <v>51</v>
      </c>
      <c r="G3055" s="29">
        <v>35</v>
      </c>
      <c r="H3055" s="135"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33" t="str">
        <f>VLOOKUP(B3055,辅助信息!E:I,3,FALSE)</f>
        <v>(五冶建设龙泉芙蓉花语项目-1,3地块)龙泉驿区北川路双堰塘钓鱼东100米(北川路)</v>
      </c>
      <c r="J3055" s="33" t="str">
        <f>VLOOKUP(B3055,辅助信息!E:I,4,FALSE)</f>
        <v>祝斯阳</v>
      </c>
      <c r="K3055" s="33">
        <f>VLOOKUP(J3055,辅助信息!H:I,2,FALSE)</f>
        <v>15583590797</v>
      </c>
      <c r="L3055" s="102"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84">
        <v>45901</v>
      </c>
      <c r="O3055" s="55">
        <f ca="1" t="shared" si="175"/>
        <v>0</v>
      </c>
      <c r="P3055" s="55">
        <f ca="1" t="shared" si="176"/>
        <v>56</v>
      </c>
      <c r="Q3055" s="22" t="str">
        <f>VLOOKUP(B3055,辅助信息!E:M,9,FALSE)</f>
        <v>ZTWM-CDGS-XS-2025-0073-五冶天府-成都怡心湖片区及龙泉驿医院等项目</v>
      </c>
      <c r="R3055" s="22" t="str">
        <f>_xlfn._xlws.FILTER(辅助信息!D:D,辅助信息!E:E=B3055)</f>
        <v>五冶建设龙泉芙蓉花语项目</v>
      </c>
    </row>
    <row r="3056" hidden="1" spans="1:18">
      <c r="A3056" s="64"/>
      <c r="B3056" s="33" t="s">
        <v>169</v>
      </c>
      <c r="C3056" s="63">
        <v>45901</v>
      </c>
      <c r="D3056" s="33" t="str">
        <f>VLOOKUP(B3056,辅助信息!E:K,7,FALSE)</f>
        <v>JWDDCD2025051800044</v>
      </c>
      <c r="E3056" s="33" t="str">
        <f>VLOOKUP(F3056,辅助信息!A:B,2,FALSE)</f>
        <v>螺纹钢</v>
      </c>
      <c r="F3056" s="33" t="s">
        <v>28</v>
      </c>
      <c r="G3056" s="29">
        <v>105</v>
      </c>
      <c r="H3056" s="135"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33" t="str">
        <f>VLOOKUP(B3056,辅助信息!E:I,3,FALSE)</f>
        <v>(五冶建设龙泉芙蓉花语项目-1,3地块)龙泉驿区北川路双堰塘钓鱼东100米(北川路)</v>
      </c>
      <c r="J3056" s="33" t="str">
        <f>VLOOKUP(B3056,辅助信息!E:I,4,FALSE)</f>
        <v>祝斯阳</v>
      </c>
      <c r="K3056" s="33">
        <f>VLOOKUP(J3056,辅助信息!H:I,2,FALSE)</f>
        <v>15583590797</v>
      </c>
      <c r="L3056" s="102"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84">
        <v>45902</v>
      </c>
      <c r="O3056" s="55">
        <f ca="1" t="shared" si="175"/>
        <v>0</v>
      </c>
      <c r="P3056" s="55">
        <f ca="1" t="shared" si="176"/>
        <v>55</v>
      </c>
      <c r="Q3056" s="22" t="str">
        <f>VLOOKUP(B3056,辅助信息!E:M,9,FALSE)</f>
        <v>ZTWM-CDGS-XS-2025-0073-五冶天府-成都怡心湖片区及龙泉驿医院等项目</v>
      </c>
      <c r="R3056" s="22" t="str">
        <f>_xlfn._xlws.FILTER(辅助信息!D:D,辅助信息!E:E=B3056)</f>
        <v>五冶建设龙泉芙蓉花语项目</v>
      </c>
    </row>
    <row r="3057" hidden="1" spans="2:18">
      <c r="B3057" s="33" t="s">
        <v>167</v>
      </c>
      <c r="C3057" s="63">
        <v>45901</v>
      </c>
      <c r="D3057" s="33" t="str">
        <f>VLOOKUP(B3057,辅助信息!E:K,7,FALSE)</f>
        <v>JWDDCD2025102100473</v>
      </c>
      <c r="E3057" s="33" t="str">
        <f>VLOOKUP(F3057,辅助信息!A:B,2,FALSE)</f>
        <v>螺纹钢</v>
      </c>
      <c r="F3057" s="33" t="s">
        <v>22</v>
      </c>
      <c r="G3057" s="29">
        <v>35</v>
      </c>
      <c r="H3057" s="135">
        <f>IF(SUMIFS('[1]2025年已发货'!$E:$E,'[1]2025年已发货'!$F:$F,C3057,'[1]2025年已发货'!$C:$C,F3057,'[1]2025年已发货'!$G:$G,I3057,'[1]2025年已发货'!$H:$H,J3057)=0,"未发货",SUMIFS('[1]2025年已发货'!$E:$E,'[1]2025年已发货'!$F:$F,C3057,'[1]2025年已发货'!$C:$C,F3057,'[1]2025年已发货'!$G:$G,I3057,'[1]2025年已发货'!$H:$H,J3057))</f>
        <v>35</v>
      </c>
      <c r="I3057" s="33" t="str">
        <f>VLOOKUP(B3057,辅助信息!E:I,3,FALSE)</f>
        <v>(五冶建设扩建艺体中学二期工程)四川省成都市双流区光荣路成都艺体中学南200米</v>
      </c>
      <c r="J3057" s="33" t="str">
        <f>VLOOKUP(B3057,辅助信息!E:I,4,FALSE)</f>
        <v>谢序强</v>
      </c>
      <c r="K3057" s="33">
        <f>VLOOKUP(J3057,辅助信息!H:I,2,FALSE)</f>
        <v>13458588232</v>
      </c>
      <c r="L3057" s="102"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84">
        <v>45902</v>
      </c>
      <c r="O3057" s="55">
        <f ca="1" t="shared" si="175"/>
        <v>0</v>
      </c>
      <c r="P3057" s="55">
        <f ca="1" t="shared" si="176"/>
        <v>55</v>
      </c>
      <c r="Q3057" s="22" t="str">
        <f>VLOOKUP(B3057,辅助信息!E:M,9,FALSE)</f>
        <v>ZTWM-CDGS-XS-2025-0073-五冶天府-成都怡心湖片区及龙泉驿医院等项目</v>
      </c>
      <c r="R3057" s="22" t="str">
        <f>_xlfn._xlws.FILTER(辅助信息!D:D,辅助信息!E:E=B3057)</f>
        <v>五冶建设扩建艺体中学二期工程</v>
      </c>
    </row>
    <row r="3058" hidden="1" spans="2:18">
      <c r="B3058" s="33" t="s">
        <v>167</v>
      </c>
      <c r="C3058" s="63">
        <v>45901</v>
      </c>
      <c r="D3058" s="33" t="str">
        <f>VLOOKUP(B3058,辅助信息!E:K,7,FALSE)</f>
        <v>JWDDCD2025102100473</v>
      </c>
      <c r="E3058" s="33" t="str">
        <f>VLOOKUP(F3058,辅助信息!A:B,2,FALSE)</f>
        <v>螺纹钢</v>
      </c>
      <c r="F3058" s="33" t="s">
        <v>27</v>
      </c>
      <c r="G3058" s="29">
        <v>120</v>
      </c>
      <c r="H3058" s="135">
        <f>IF(SUMIFS('[1]2025年已发货'!$E:$E,'[1]2025年已发货'!$F:$F,C3058,'[1]2025年已发货'!$C:$C,F3058,'[1]2025年已发货'!$G:$G,I3058,'[1]2025年已发货'!$H:$H,J3058)=0,"未发货",SUMIFS('[1]2025年已发货'!$E:$E,'[1]2025年已发货'!$F:$F,C3058,'[1]2025年已发货'!$C:$C,F3058,'[1]2025年已发货'!$G:$G,I3058,'[1]2025年已发货'!$H:$H,J3058))</f>
        <v>105</v>
      </c>
      <c r="I3058" s="33" t="str">
        <f>VLOOKUP(B3058,辅助信息!E:I,3,FALSE)</f>
        <v>(五冶建设扩建艺体中学二期工程)四川省成都市双流区光荣路成都艺体中学南200米</v>
      </c>
      <c r="J3058" s="33" t="str">
        <f>VLOOKUP(B3058,辅助信息!E:I,4,FALSE)</f>
        <v>谢序强</v>
      </c>
      <c r="K3058" s="33">
        <f>VLOOKUP(J3058,辅助信息!H:I,2,FALSE)</f>
        <v>13458588232</v>
      </c>
      <c r="L3058" s="102"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84">
        <v>45902</v>
      </c>
      <c r="O3058" s="55">
        <f ca="1" t="shared" si="175"/>
        <v>0</v>
      </c>
      <c r="P3058" s="55">
        <f ca="1" t="shared" si="176"/>
        <v>55</v>
      </c>
      <c r="Q3058" s="22" t="str">
        <f>VLOOKUP(B3058,辅助信息!E:M,9,FALSE)</f>
        <v>ZTWM-CDGS-XS-2025-0073-五冶天府-成都怡心湖片区及龙泉驿医院等项目</v>
      </c>
      <c r="R3058" s="22" t="str">
        <f>_xlfn._xlws.FILTER(辅助信息!D:D,辅助信息!E:E=B3058)</f>
        <v>五冶建设扩建艺体中学二期工程</v>
      </c>
    </row>
    <row r="3059" hidden="1" spans="2:18">
      <c r="B3059" s="33" t="s">
        <v>208</v>
      </c>
      <c r="C3059" s="63">
        <v>45901</v>
      </c>
      <c r="D3059" s="33" t="str">
        <f>VLOOKUP(B3059,辅助信息!E:K,7,FALSE)</f>
        <v>JWDDCD2025102100480</v>
      </c>
      <c r="E3059" s="33" t="str">
        <f>VLOOKUP(F3059,辅助信息!A:B,2,FALSE)</f>
        <v>高线</v>
      </c>
      <c r="F3059" s="33" t="s">
        <v>51</v>
      </c>
      <c r="G3059" s="29">
        <v>12</v>
      </c>
      <c r="H3059" s="135">
        <f>IF(SUMIFS('[1]2025年已发货'!$E:$E,'[1]2025年已发货'!$F:$F,C3059,'[1]2025年已发货'!$C:$C,F3059,'[1]2025年已发货'!$G:$G,I3059,'[1]2025年已发货'!$H:$H,J3059)=0,"未发货",SUMIFS('[1]2025年已发货'!$E:$E,'[1]2025年已发货'!$F:$F,C3059,'[1]2025年已发货'!$C:$C,F3059,'[1]2025年已发货'!$G:$G,I3059,'[1]2025年已发货'!$H:$H,J3059))</f>
        <v>12</v>
      </c>
      <c r="I3059" s="33" t="str">
        <f>VLOOKUP(B3059,辅助信息!E:I,3,FALSE)</f>
        <v>(五冶建设锦江区林家坝片区20号地块商业项目)锦江区泰昌路锦江28亩项目部</v>
      </c>
      <c r="J3059" s="33" t="str">
        <f>VLOOKUP(B3059,辅助信息!E:I,4,FALSE)</f>
        <v>陶杰</v>
      </c>
      <c r="K3059" s="33">
        <f>VLOOKUP(J3059,辅助信息!H:I,2,FALSE)</f>
        <v>13980247952</v>
      </c>
      <c r="L3059" s="102" t="str">
        <f>VLOOKUP(B3059,辅助信息!E:J,6,FALSE)</f>
        <v>联系实际收货人（陶杰13980247952）五冶建设送货单,6份材质书,锈货不收，装货前联系收货人核实到场规格,没提前告知进场规格现场不给予接收</v>
      </c>
      <c r="M3059" s="84">
        <v>45903</v>
      </c>
      <c r="O3059" s="55">
        <f ca="1" t="shared" si="175"/>
        <v>0</v>
      </c>
      <c r="P3059" s="55">
        <f ca="1" t="shared" si="176"/>
        <v>54</v>
      </c>
      <c r="Q3059" s="22" t="str">
        <f>VLOOKUP(B3059,辅助信息!E:M,9,FALSE)</f>
        <v>ZTWM-CDGS-XS-2025-0073-五冶天府-成都怡心湖片区及龙泉驿医院等项目</v>
      </c>
      <c r="R3059" s="22" t="str">
        <f>_xlfn._xlws.FILTER(辅助信息!D:D,辅助信息!E:E=B3059)</f>
        <v>五冶建设锦江区林家坝片区20号地块商业项目</v>
      </c>
    </row>
    <row r="3060" hidden="1" spans="2:18">
      <c r="B3060" s="33" t="s">
        <v>208</v>
      </c>
      <c r="C3060" s="63">
        <v>45901</v>
      </c>
      <c r="D3060" s="33" t="str">
        <f>VLOOKUP(B3060,辅助信息!E:K,7,FALSE)</f>
        <v>JWDDCD2025102100480</v>
      </c>
      <c r="E3060" s="33" t="str">
        <f>VLOOKUP(F3060,辅助信息!A:B,2,FALSE)</f>
        <v>高线</v>
      </c>
      <c r="F3060" s="33" t="s">
        <v>61</v>
      </c>
      <c r="G3060" s="29">
        <v>7.2</v>
      </c>
      <c r="H3060" s="135">
        <f>IF(SUMIFS('[1]2025年已发货'!$E:$E,'[1]2025年已发货'!$F:$F,C3060,'[1]2025年已发货'!$C:$C,F3060,'[1]2025年已发货'!$G:$G,I3060,'[1]2025年已发货'!$H:$H,J3060)=0,"未发货",SUMIFS('[1]2025年已发货'!$E:$E,'[1]2025年已发货'!$F:$F,C3060,'[1]2025年已发货'!$C:$C,F3060,'[1]2025年已发货'!$G:$G,I3060,'[1]2025年已发货'!$H:$H,J3060))</f>
        <v>7.2</v>
      </c>
      <c r="I3060" s="33" t="str">
        <f>VLOOKUP(B3060,辅助信息!E:I,3,FALSE)</f>
        <v>(五冶建设锦江区林家坝片区20号地块商业项目)锦江区泰昌路锦江28亩项目部</v>
      </c>
      <c r="J3060" s="33" t="str">
        <f>VLOOKUP(B3060,辅助信息!E:I,4,FALSE)</f>
        <v>陶杰</v>
      </c>
      <c r="K3060" s="33">
        <f>VLOOKUP(J3060,辅助信息!H:I,2,FALSE)</f>
        <v>13980247952</v>
      </c>
      <c r="L3060" s="102" t="str">
        <f>VLOOKUP(B3060,辅助信息!E:J,6,FALSE)</f>
        <v>联系实际收货人（陶杰13980247952）五冶建设送货单,6份材质书,锈货不收，装货前联系收货人核实到场规格,没提前告知进场规格现场不给予接收</v>
      </c>
      <c r="M3060" s="84">
        <v>45903</v>
      </c>
      <c r="O3060" s="55">
        <f ca="1" t="shared" si="175"/>
        <v>0</v>
      </c>
      <c r="P3060" s="55">
        <f ca="1" t="shared" si="176"/>
        <v>54</v>
      </c>
      <c r="Q3060" s="22" t="str">
        <f>VLOOKUP(B3060,辅助信息!E:M,9,FALSE)</f>
        <v>ZTWM-CDGS-XS-2025-0073-五冶天府-成都怡心湖片区及龙泉驿医院等项目</v>
      </c>
      <c r="R3060" s="22" t="str">
        <f>_xlfn._xlws.FILTER(辅助信息!D:D,辅助信息!E:E=B3060)</f>
        <v>五冶建设锦江区林家坝片区20号地块商业项目</v>
      </c>
    </row>
    <row r="3061" hidden="1" spans="2:18">
      <c r="B3061" s="33" t="s">
        <v>208</v>
      </c>
      <c r="C3061" s="63">
        <v>45901</v>
      </c>
      <c r="D3061" s="33" t="str">
        <f>VLOOKUP(B3061,辅助信息!E:K,7,FALSE)</f>
        <v>JWDDCD2025102100480</v>
      </c>
      <c r="E3061" s="33" t="str">
        <f>VLOOKUP(F3061,辅助信息!A:B,2,FALSE)</f>
        <v>螺纹钢</v>
      </c>
      <c r="F3061" s="33" t="s">
        <v>30</v>
      </c>
      <c r="G3061" s="29">
        <v>2.7</v>
      </c>
      <c r="H3061" s="135"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33" t="str">
        <f>VLOOKUP(B3061,辅助信息!E:I,3,FALSE)</f>
        <v>(五冶建设锦江区林家坝片区20号地块商业项目)锦江区泰昌路锦江28亩项目部</v>
      </c>
      <c r="J3061" s="33" t="str">
        <f>VLOOKUP(B3061,辅助信息!E:I,4,FALSE)</f>
        <v>陶杰</v>
      </c>
      <c r="K3061" s="33">
        <f>VLOOKUP(J3061,辅助信息!H:I,2,FALSE)</f>
        <v>13980247952</v>
      </c>
      <c r="L3061" s="102" t="str">
        <f>VLOOKUP(B3061,辅助信息!E:J,6,FALSE)</f>
        <v>联系实际收货人（陶杰13980247952）五冶建设送货单,6份材质书,锈货不收，装货前联系收货人核实到场规格,没提前告知进场规格现场不给予接收</v>
      </c>
      <c r="M3061" s="84">
        <v>45903</v>
      </c>
      <c r="O3061" s="55">
        <f ca="1" t="shared" si="175"/>
        <v>0</v>
      </c>
      <c r="P3061" s="55">
        <f ca="1" t="shared" si="176"/>
        <v>54</v>
      </c>
      <c r="Q3061" s="22" t="str">
        <f>VLOOKUP(B3061,辅助信息!E:M,9,FALSE)</f>
        <v>ZTWM-CDGS-XS-2025-0073-五冶天府-成都怡心湖片区及龙泉驿医院等项目</v>
      </c>
      <c r="R3061" s="22" t="str">
        <f>_xlfn._xlws.FILTER(辅助信息!D:D,辅助信息!E:E=B3061)</f>
        <v>五冶建设锦江区林家坝片区20号地块商业项目</v>
      </c>
    </row>
    <row r="3062" hidden="1" spans="2:18">
      <c r="B3062" s="33" t="s">
        <v>208</v>
      </c>
      <c r="C3062" s="63">
        <v>45901</v>
      </c>
      <c r="D3062" s="33" t="str">
        <f>VLOOKUP(B3062,辅助信息!E:K,7,FALSE)</f>
        <v>JWDDCD2025102100480</v>
      </c>
      <c r="E3062" s="33" t="str">
        <f>VLOOKUP(F3062,辅助信息!A:B,2,FALSE)</f>
        <v>螺纹钢</v>
      </c>
      <c r="F3062" s="33" t="s">
        <v>28</v>
      </c>
      <c r="G3062" s="29">
        <v>34</v>
      </c>
      <c r="H3062" s="135">
        <f>IF(SUMIFS('[1]2025年已发货'!$E:$E,'[1]2025年已发货'!$F:$F,C3062,'[1]2025年已发货'!$C:$C,F3062,'[1]2025年已发货'!$G:$G,I3062,'[1]2025年已发货'!$H:$H,J3062)=0,"未发货",SUMIFS('[1]2025年已发货'!$E:$E,'[1]2025年已发货'!$F:$F,C3062,'[1]2025年已发货'!$C:$C,F3062,'[1]2025年已发货'!$G:$G,I3062,'[1]2025年已发货'!$H:$H,J3062))</f>
        <v>34</v>
      </c>
      <c r="I3062" s="33" t="str">
        <f>VLOOKUP(B3062,辅助信息!E:I,3,FALSE)</f>
        <v>(五冶建设锦江区林家坝片区20号地块商业项目)锦江区泰昌路锦江28亩项目部</v>
      </c>
      <c r="J3062" s="33" t="str">
        <f>VLOOKUP(B3062,辅助信息!E:I,4,FALSE)</f>
        <v>陶杰</v>
      </c>
      <c r="K3062" s="33">
        <f>VLOOKUP(J3062,辅助信息!H:I,2,FALSE)</f>
        <v>13980247952</v>
      </c>
      <c r="L3062" s="102" t="str">
        <f>VLOOKUP(B3062,辅助信息!E:J,6,FALSE)</f>
        <v>联系实际收货人（陶杰13980247952）五冶建设送货单,6份材质书,锈货不收，装货前联系收货人核实到场规格,没提前告知进场规格现场不给予接收</v>
      </c>
      <c r="M3062" s="84">
        <v>45903</v>
      </c>
      <c r="O3062" s="55">
        <f ca="1" t="shared" si="175"/>
        <v>0</v>
      </c>
      <c r="P3062" s="55">
        <f ca="1" t="shared" si="176"/>
        <v>54</v>
      </c>
      <c r="Q3062" s="22" t="str">
        <f>VLOOKUP(B3062,辅助信息!E:M,9,FALSE)</f>
        <v>ZTWM-CDGS-XS-2025-0073-五冶天府-成都怡心湖片区及龙泉驿医院等项目</v>
      </c>
      <c r="R3062" s="22" t="str">
        <f>_xlfn._xlws.FILTER(辅助信息!D:D,辅助信息!E:E=B3062)</f>
        <v>五冶建设锦江区林家坝片区20号地块商业项目</v>
      </c>
    </row>
    <row r="3063" hidden="1" spans="2:18">
      <c r="B3063" s="33" t="s">
        <v>208</v>
      </c>
      <c r="C3063" s="63">
        <v>45901</v>
      </c>
      <c r="D3063" s="33" t="str">
        <f>VLOOKUP(B3063,辅助信息!E:K,7,FALSE)</f>
        <v>JWDDCD2025102100480</v>
      </c>
      <c r="E3063" s="33" t="str">
        <f>VLOOKUP(F3063,辅助信息!A:B,2,FALSE)</f>
        <v>螺纹钢</v>
      </c>
      <c r="F3063" s="33" t="s">
        <v>18</v>
      </c>
      <c r="G3063" s="29">
        <v>14</v>
      </c>
      <c r="H3063" s="135">
        <f>IF(SUMIFS('[1]2025年已发货'!$E:$E,'[1]2025年已发货'!$F:$F,C3063,'[1]2025年已发货'!$C:$C,F3063,'[1]2025年已发货'!$G:$G,I3063,'[1]2025年已发货'!$H:$H,J3063)=0,"未发货",SUMIFS('[1]2025年已发货'!$E:$E,'[1]2025年已发货'!$F:$F,C3063,'[1]2025年已发货'!$C:$C,F3063,'[1]2025年已发货'!$G:$G,I3063,'[1]2025年已发货'!$H:$H,J3063))</f>
        <v>14</v>
      </c>
      <c r="I3063" s="33" t="str">
        <f>VLOOKUP(B3063,辅助信息!E:I,3,FALSE)</f>
        <v>(五冶建设锦江区林家坝片区20号地块商业项目)锦江区泰昌路锦江28亩项目部</v>
      </c>
      <c r="J3063" s="33" t="str">
        <f>VLOOKUP(B3063,辅助信息!E:I,4,FALSE)</f>
        <v>陶杰</v>
      </c>
      <c r="K3063" s="33">
        <f>VLOOKUP(J3063,辅助信息!H:I,2,FALSE)</f>
        <v>13980247952</v>
      </c>
      <c r="L3063" s="102" t="str">
        <f>VLOOKUP(B3063,辅助信息!E:J,6,FALSE)</f>
        <v>联系实际收货人（陶杰13980247952）五冶建设送货单,6份材质书,锈货不收，装货前联系收货人核实到场规格,没提前告知进场规格现场不给予接收</v>
      </c>
      <c r="M3063" s="84">
        <v>45903</v>
      </c>
      <c r="O3063" s="55">
        <f ca="1" t="shared" si="175"/>
        <v>0</v>
      </c>
      <c r="P3063" s="55">
        <f ca="1" t="shared" si="176"/>
        <v>54</v>
      </c>
      <c r="Q3063" s="22" t="str">
        <f>VLOOKUP(B3063,辅助信息!E:M,9,FALSE)</f>
        <v>ZTWM-CDGS-XS-2025-0073-五冶天府-成都怡心湖片区及龙泉驿医院等项目</v>
      </c>
      <c r="R3063" s="22" t="str">
        <f>_xlfn._xlws.FILTER(辅助信息!D:D,辅助信息!E:E=B3063)</f>
        <v>五冶建设锦江区林家坝片区20号地块商业项目</v>
      </c>
    </row>
    <row r="3064" hidden="1" spans="2:18">
      <c r="B3064" s="33" t="s">
        <v>211</v>
      </c>
      <c r="C3064" s="63">
        <v>45901</v>
      </c>
      <c r="D3064" s="33" t="e">
        <f>VLOOKUP(B3064,辅助信息!E:K,7,FALSE)</f>
        <v>#N/A</v>
      </c>
      <c r="E3064" s="33" t="str">
        <f>VLOOKUP(F3064,辅助信息!A:B,2,FALSE)</f>
        <v>盘螺</v>
      </c>
      <c r="F3064" s="33" t="s">
        <v>49</v>
      </c>
      <c r="G3064" s="29">
        <v>2.5</v>
      </c>
      <c r="H3064" s="135"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33" t="e">
        <f>VLOOKUP(B3064,辅助信息!E:I,3,FALSE)</f>
        <v>#N/A</v>
      </c>
      <c r="J3064" s="33" t="e">
        <f>VLOOKUP(B3064,辅助信息!E:I,4,FALSE)</f>
        <v>#N/A</v>
      </c>
      <c r="K3064" s="33" t="e">
        <f>VLOOKUP(J3064,辅助信息!H:I,2,FALSE)</f>
        <v>#N/A</v>
      </c>
      <c r="L3064" s="102" t="e">
        <f>VLOOKUP(B3064,辅助信息!E:J,6,FALSE)</f>
        <v>#N/A</v>
      </c>
      <c r="M3064" s="84">
        <v>45903</v>
      </c>
      <c r="O3064" s="55">
        <f ca="1" t="shared" si="175"/>
        <v>0</v>
      </c>
      <c r="P3064" s="55">
        <f ca="1" t="shared" si="176"/>
        <v>54</v>
      </c>
      <c r="Q3064" s="22" t="e">
        <f>VLOOKUP(B3064,辅助信息!E:M,9,FALSE)</f>
        <v>#N/A</v>
      </c>
      <c r="R3064" s="22" vm="1" t="e">
        <f>_xlfn._xlws.FILTER(辅助信息!D:D,辅助信息!E:E=B3064)</f>
        <v>#VALUE!</v>
      </c>
    </row>
    <row r="3065" hidden="1" spans="2:18">
      <c r="B3065" s="33" t="s">
        <v>211</v>
      </c>
      <c r="C3065" s="63">
        <v>45901</v>
      </c>
      <c r="D3065" s="33" t="e">
        <f>VLOOKUP(B3065,辅助信息!E:K,7,FALSE)</f>
        <v>#N/A</v>
      </c>
      <c r="E3065" s="33" t="str">
        <f>VLOOKUP(F3065,辅助信息!A:B,2,FALSE)</f>
        <v>盘螺</v>
      </c>
      <c r="F3065" s="33" t="s">
        <v>40</v>
      </c>
      <c r="G3065" s="29">
        <v>2.5</v>
      </c>
      <c r="H3065" s="135"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33" t="e">
        <f>VLOOKUP(B3065,辅助信息!E:I,3,FALSE)</f>
        <v>#N/A</v>
      </c>
      <c r="J3065" s="33" t="e">
        <f>VLOOKUP(B3065,辅助信息!E:I,4,FALSE)</f>
        <v>#N/A</v>
      </c>
      <c r="K3065" s="33" t="e">
        <f>VLOOKUP(J3065,辅助信息!H:I,2,FALSE)</f>
        <v>#N/A</v>
      </c>
      <c r="L3065" s="102" t="e">
        <f>VLOOKUP(B3065,辅助信息!E:J,6,FALSE)</f>
        <v>#N/A</v>
      </c>
      <c r="M3065" s="84">
        <v>45903</v>
      </c>
      <c r="O3065" s="55">
        <f ca="1" t="shared" si="175"/>
        <v>0</v>
      </c>
      <c r="P3065" s="55">
        <f ca="1" t="shared" si="176"/>
        <v>54</v>
      </c>
      <c r="Q3065" s="22" t="e">
        <f>VLOOKUP(B3065,辅助信息!E:M,9,FALSE)</f>
        <v>#N/A</v>
      </c>
      <c r="R3065" s="22" vm="1" t="e">
        <f>_xlfn._xlws.FILTER(辅助信息!D:D,辅助信息!E:E=B3065)</f>
        <v>#VALUE!</v>
      </c>
    </row>
    <row r="3066" hidden="1" spans="2:18">
      <c r="B3066" s="33" t="s">
        <v>211</v>
      </c>
      <c r="C3066" s="63">
        <v>45901</v>
      </c>
      <c r="D3066" s="33" t="e">
        <f>VLOOKUP(B3066,辅助信息!E:K,7,FALSE)</f>
        <v>#N/A</v>
      </c>
      <c r="E3066" s="33" t="str">
        <f>VLOOKUP(F3066,辅助信息!A:B,2,FALSE)</f>
        <v>盘螺</v>
      </c>
      <c r="F3066" s="33" t="s">
        <v>41</v>
      </c>
      <c r="G3066" s="29">
        <v>2.5</v>
      </c>
      <c r="H3066" s="135"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33" t="e">
        <f>VLOOKUP(B3066,辅助信息!E:I,3,FALSE)</f>
        <v>#N/A</v>
      </c>
      <c r="J3066" s="33" t="e">
        <f>VLOOKUP(B3066,辅助信息!E:I,4,FALSE)</f>
        <v>#N/A</v>
      </c>
      <c r="K3066" s="33" t="e">
        <f>VLOOKUP(J3066,辅助信息!H:I,2,FALSE)</f>
        <v>#N/A</v>
      </c>
      <c r="L3066" s="102" t="e">
        <f>VLOOKUP(B3066,辅助信息!E:J,6,FALSE)</f>
        <v>#N/A</v>
      </c>
      <c r="M3066" s="84">
        <v>45903</v>
      </c>
      <c r="O3066" s="55">
        <f ca="1" t="shared" si="175"/>
        <v>0</v>
      </c>
      <c r="P3066" s="55">
        <f ca="1" t="shared" si="176"/>
        <v>54</v>
      </c>
      <c r="Q3066" s="22" t="e">
        <f>VLOOKUP(B3066,辅助信息!E:M,9,FALSE)</f>
        <v>#N/A</v>
      </c>
      <c r="R3066" s="22" vm="1" t="e">
        <f>_xlfn._xlws.FILTER(辅助信息!D:D,辅助信息!E:E=B3066)</f>
        <v>#VALUE!</v>
      </c>
    </row>
    <row r="3067" hidden="1" spans="2:18">
      <c r="B3067" s="33" t="s">
        <v>211</v>
      </c>
      <c r="C3067" s="63">
        <v>45901</v>
      </c>
      <c r="D3067" s="33" t="e">
        <f>VLOOKUP(B3067,辅助信息!E:K,7,FALSE)</f>
        <v>#N/A</v>
      </c>
      <c r="E3067" s="33" t="str">
        <f>VLOOKUP(F3067,辅助信息!A:B,2,FALSE)</f>
        <v>螺纹钢</v>
      </c>
      <c r="F3067" s="33" t="s">
        <v>27</v>
      </c>
      <c r="G3067" s="29">
        <v>6</v>
      </c>
      <c r="H3067" s="135"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33" t="e">
        <f>VLOOKUP(B3067,辅助信息!E:I,3,FALSE)</f>
        <v>#N/A</v>
      </c>
      <c r="J3067" s="33" t="e">
        <f>VLOOKUP(B3067,辅助信息!E:I,4,FALSE)</f>
        <v>#N/A</v>
      </c>
      <c r="K3067" s="33" t="e">
        <f>VLOOKUP(J3067,辅助信息!H:I,2,FALSE)</f>
        <v>#N/A</v>
      </c>
      <c r="L3067" s="102" t="e">
        <f>VLOOKUP(B3067,辅助信息!E:J,6,FALSE)</f>
        <v>#N/A</v>
      </c>
      <c r="M3067" s="84">
        <v>45903</v>
      </c>
      <c r="O3067" s="55">
        <f ca="1" t="shared" si="175"/>
        <v>0</v>
      </c>
      <c r="P3067" s="55">
        <f ca="1" t="shared" si="176"/>
        <v>54</v>
      </c>
      <c r="Q3067" s="22" t="e">
        <f>VLOOKUP(B3067,辅助信息!E:M,9,FALSE)</f>
        <v>#N/A</v>
      </c>
      <c r="R3067" s="22" vm="1" t="e">
        <f>_xlfn._xlws.FILTER(辅助信息!D:D,辅助信息!E:E=B3067)</f>
        <v>#VALUE!</v>
      </c>
    </row>
    <row r="3068" hidden="1" spans="2:18">
      <c r="B3068" s="33" t="s">
        <v>211</v>
      </c>
      <c r="C3068" s="63">
        <v>45901</v>
      </c>
      <c r="D3068" s="33" t="e">
        <f>VLOOKUP(B3068,辅助信息!E:K,7,FALSE)</f>
        <v>#N/A</v>
      </c>
      <c r="E3068" s="33" t="str">
        <f>VLOOKUP(F3068,辅助信息!A:B,2,FALSE)</f>
        <v>螺纹钢</v>
      </c>
      <c r="F3068" s="33" t="s">
        <v>19</v>
      </c>
      <c r="G3068" s="29">
        <v>3</v>
      </c>
      <c r="H3068" s="135"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33" t="e">
        <f>VLOOKUP(B3068,辅助信息!E:I,3,FALSE)</f>
        <v>#N/A</v>
      </c>
      <c r="J3068" s="33" t="e">
        <f>VLOOKUP(B3068,辅助信息!E:I,4,FALSE)</f>
        <v>#N/A</v>
      </c>
      <c r="K3068" s="33" t="e">
        <f>VLOOKUP(J3068,辅助信息!H:I,2,FALSE)</f>
        <v>#N/A</v>
      </c>
      <c r="L3068" s="102" t="e">
        <f>VLOOKUP(B3068,辅助信息!E:J,6,FALSE)</f>
        <v>#N/A</v>
      </c>
      <c r="M3068" s="84">
        <v>45903</v>
      </c>
      <c r="O3068" s="55">
        <f ca="1" t="shared" si="175"/>
        <v>0</v>
      </c>
      <c r="P3068" s="55">
        <f ca="1" t="shared" si="176"/>
        <v>54</v>
      </c>
      <c r="Q3068" s="22" t="e">
        <f>VLOOKUP(B3068,辅助信息!E:M,9,FALSE)</f>
        <v>#N/A</v>
      </c>
      <c r="R3068" s="22" vm="1" t="e">
        <f>_xlfn._xlws.FILTER(辅助信息!D:D,辅助信息!E:E=B3068)</f>
        <v>#VALUE!</v>
      </c>
    </row>
    <row r="3069" hidden="1" spans="2:18">
      <c r="B3069" s="33" t="s">
        <v>211</v>
      </c>
      <c r="C3069" s="63">
        <v>45901</v>
      </c>
      <c r="D3069" s="33" t="e">
        <f>VLOOKUP(B3069,辅助信息!E:K,7,FALSE)</f>
        <v>#N/A</v>
      </c>
      <c r="E3069" s="33" t="str">
        <f>VLOOKUP(F3069,辅助信息!A:B,2,FALSE)</f>
        <v>螺纹钢</v>
      </c>
      <c r="F3069" s="33" t="s">
        <v>32</v>
      </c>
      <c r="G3069" s="29">
        <v>3</v>
      </c>
      <c r="H3069" s="135"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33" t="e">
        <f>VLOOKUP(B3069,辅助信息!E:I,3,FALSE)</f>
        <v>#N/A</v>
      </c>
      <c r="J3069" s="33" t="e">
        <f>VLOOKUP(B3069,辅助信息!E:I,4,FALSE)</f>
        <v>#N/A</v>
      </c>
      <c r="K3069" s="33" t="e">
        <f>VLOOKUP(J3069,辅助信息!H:I,2,FALSE)</f>
        <v>#N/A</v>
      </c>
      <c r="L3069" s="102" t="e">
        <f>VLOOKUP(B3069,辅助信息!E:J,6,FALSE)</f>
        <v>#N/A</v>
      </c>
      <c r="M3069" s="84">
        <v>45903</v>
      </c>
      <c r="O3069" s="55">
        <f ca="1" t="shared" si="175"/>
        <v>0</v>
      </c>
      <c r="P3069" s="55">
        <f ca="1" t="shared" si="176"/>
        <v>54</v>
      </c>
      <c r="Q3069" s="22" t="e">
        <f>VLOOKUP(B3069,辅助信息!E:M,9,FALSE)</f>
        <v>#N/A</v>
      </c>
      <c r="R3069" s="22" vm="1" t="e">
        <f>_xlfn._xlws.FILTER(辅助信息!D:D,辅助信息!E:E=B3069)</f>
        <v>#VALUE!</v>
      </c>
    </row>
    <row r="3070" hidden="1" spans="2:18">
      <c r="B3070" s="33" t="s">
        <v>211</v>
      </c>
      <c r="C3070" s="63">
        <v>45901</v>
      </c>
      <c r="D3070" s="33" t="e">
        <f>VLOOKUP(B3070,辅助信息!E:K,7,FALSE)</f>
        <v>#N/A</v>
      </c>
      <c r="E3070" s="33" t="str">
        <f>VLOOKUP(F3070,辅助信息!A:B,2,FALSE)</f>
        <v>螺纹钢</v>
      </c>
      <c r="F3070" s="33" t="s">
        <v>30</v>
      </c>
      <c r="G3070" s="29">
        <v>3</v>
      </c>
      <c r="H3070" s="135"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33" t="e">
        <f>VLOOKUP(B3070,辅助信息!E:I,3,FALSE)</f>
        <v>#N/A</v>
      </c>
      <c r="J3070" s="33" t="e">
        <f>VLOOKUP(B3070,辅助信息!E:I,4,FALSE)</f>
        <v>#N/A</v>
      </c>
      <c r="K3070" s="33" t="e">
        <f>VLOOKUP(J3070,辅助信息!H:I,2,FALSE)</f>
        <v>#N/A</v>
      </c>
      <c r="L3070" s="102" t="e">
        <f>VLOOKUP(B3070,辅助信息!E:J,6,FALSE)</f>
        <v>#N/A</v>
      </c>
      <c r="M3070" s="84">
        <v>45903</v>
      </c>
      <c r="O3070" s="55">
        <f ca="1" t="shared" si="175"/>
        <v>0</v>
      </c>
      <c r="P3070" s="55">
        <f ca="1" t="shared" si="176"/>
        <v>54</v>
      </c>
      <c r="Q3070" s="22" t="e">
        <f>VLOOKUP(B3070,辅助信息!E:M,9,FALSE)</f>
        <v>#N/A</v>
      </c>
      <c r="R3070" s="22" vm="1" t="e">
        <f>_xlfn._xlws.FILTER(辅助信息!D:D,辅助信息!E:E=B3070)</f>
        <v>#VALUE!</v>
      </c>
    </row>
    <row r="3071" hidden="1" spans="2:18">
      <c r="B3071" s="33" t="s">
        <v>211</v>
      </c>
      <c r="C3071" s="63">
        <v>45901</v>
      </c>
      <c r="D3071" s="33" t="e">
        <f>VLOOKUP(B3071,辅助信息!E:K,7,FALSE)</f>
        <v>#N/A</v>
      </c>
      <c r="E3071" s="33" t="str">
        <f>VLOOKUP(F3071,辅助信息!A:B,2,FALSE)</f>
        <v>螺纹钢</v>
      </c>
      <c r="F3071" s="33" t="s">
        <v>33</v>
      </c>
      <c r="G3071" s="29">
        <v>3</v>
      </c>
      <c r="H3071" s="135"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33" t="e">
        <f>VLOOKUP(B3071,辅助信息!E:I,3,FALSE)</f>
        <v>#N/A</v>
      </c>
      <c r="J3071" s="33" t="e">
        <f>VLOOKUP(B3071,辅助信息!E:I,4,FALSE)</f>
        <v>#N/A</v>
      </c>
      <c r="K3071" s="33" t="e">
        <f>VLOOKUP(J3071,辅助信息!H:I,2,FALSE)</f>
        <v>#N/A</v>
      </c>
      <c r="L3071" s="102" t="e">
        <f>VLOOKUP(B3071,辅助信息!E:J,6,FALSE)</f>
        <v>#N/A</v>
      </c>
      <c r="M3071" s="84">
        <v>45903</v>
      </c>
      <c r="O3071" s="55">
        <f ca="1" t="shared" si="175"/>
        <v>0</v>
      </c>
      <c r="P3071" s="55">
        <f ca="1" t="shared" si="176"/>
        <v>54</v>
      </c>
      <c r="Q3071" s="22" t="e">
        <f>VLOOKUP(B3071,辅助信息!E:M,9,FALSE)</f>
        <v>#N/A</v>
      </c>
      <c r="R3071" s="22" vm="1" t="e">
        <f>_xlfn._xlws.FILTER(辅助信息!D:D,辅助信息!E:E=B3071)</f>
        <v>#VALUE!</v>
      </c>
    </row>
    <row r="3072" hidden="1" spans="2:18">
      <c r="B3072" s="33" t="s">
        <v>211</v>
      </c>
      <c r="C3072" s="63">
        <v>45901</v>
      </c>
      <c r="D3072" s="33" t="e">
        <f>VLOOKUP(B3072,辅助信息!E:K,7,FALSE)</f>
        <v>#N/A</v>
      </c>
      <c r="E3072" s="33" t="str">
        <f>VLOOKUP(F3072,辅助信息!A:B,2,FALSE)</f>
        <v>螺纹钢</v>
      </c>
      <c r="F3072" s="33" t="s">
        <v>28</v>
      </c>
      <c r="G3072" s="29">
        <v>6</v>
      </c>
      <c r="H3072" s="135"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33" t="e">
        <f>VLOOKUP(B3072,辅助信息!E:I,3,FALSE)</f>
        <v>#N/A</v>
      </c>
      <c r="J3072" s="33" t="e">
        <f>VLOOKUP(B3072,辅助信息!E:I,4,FALSE)</f>
        <v>#N/A</v>
      </c>
      <c r="K3072" s="33" t="e">
        <f>VLOOKUP(J3072,辅助信息!H:I,2,FALSE)</f>
        <v>#N/A</v>
      </c>
      <c r="L3072" s="102" t="e">
        <f>VLOOKUP(B3072,辅助信息!E:J,6,FALSE)</f>
        <v>#N/A</v>
      </c>
      <c r="M3072" s="84">
        <v>45903</v>
      </c>
      <c r="O3072" s="55">
        <f ca="1" t="shared" si="175"/>
        <v>0</v>
      </c>
      <c r="P3072" s="55">
        <f ca="1" t="shared" si="176"/>
        <v>54</v>
      </c>
      <c r="Q3072" s="22" t="e">
        <f>VLOOKUP(B3072,辅助信息!E:M,9,FALSE)</f>
        <v>#N/A</v>
      </c>
      <c r="R3072" s="22" vm="1" t="e">
        <f>_xlfn._xlws.FILTER(辅助信息!D:D,辅助信息!E:E=B3072)</f>
        <v>#VALUE!</v>
      </c>
    </row>
    <row r="3073" hidden="1" spans="2:18">
      <c r="B3073" s="33" t="s">
        <v>211</v>
      </c>
      <c r="C3073" s="63">
        <v>45901</v>
      </c>
      <c r="D3073" s="33" t="e">
        <f>VLOOKUP(B3073,辅助信息!E:K,7,FALSE)</f>
        <v>#N/A</v>
      </c>
      <c r="E3073" s="33" t="str">
        <f>VLOOKUP(F3073,辅助信息!A:B,2,FALSE)</f>
        <v>螺纹钢</v>
      </c>
      <c r="F3073" s="33" t="s">
        <v>18</v>
      </c>
      <c r="G3073" s="29">
        <v>3</v>
      </c>
      <c r="H3073" s="135"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33" t="e">
        <f>VLOOKUP(B3073,辅助信息!E:I,3,FALSE)</f>
        <v>#N/A</v>
      </c>
      <c r="J3073" s="33" t="e">
        <f>VLOOKUP(B3073,辅助信息!E:I,4,FALSE)</f>
        <v>#N/A</v>
      </c>
      <c r="K3073" s="33" t="e">
        <f>VLOOKUP(J3073,辅助信息!H:I,2,FALSE)</f>
        <v>#N/A</v>
      </c>
      <c r="L3073" s="102" t="e">
        <f>VLOOKUP(B3073,辅助信息!E:J,6,FALSE)</f>
        <v>#N/A</v>
      </c>
      <c r="M3073" s="84">
        <v>45903</v>
      </c>
      <c r="O3073" s="55">
        <f ca="1" t="shared" si="175"/>
        <v>0</v>
      </c>
      <c r="P3073" s="55">
        <f ca="1" t="shared" si="176"/>
        <v>54</v>
      </c>
      <c r="Q3073" s="22" t="e">
        <f>VLOOKUP(B3073,辅助信息!E:M,9,FALSE)</f>
        <v>#N/A</v>
      </c>
      <c r="R3073" s="22" vm="1" t="e">
        <f>_xlfn._xlws.FILTER(辅助信息!D:D,辅助信息!E:E=B3073)</f>
        <v>#VALUE!</v>
      </c>
    </row>
    <row r="3074" hidden="1" spans="2:18">
      <c r="B3074" s="33" t="s">
        <v>68</v>
      </c>
      <c r="C3074" s="63">
        <v>45901</v>
      </c>
      <c r="D3074" s="33" t="str">
        <f>VLOOKUP(B3074,辅助信息!E:K,7,FALSE)</f>
        <v>JWDDCD2025052800131</v>
      </c>
      <c r="E3074" s="33" t="str">
        <f>VLOOKUP(F3074,辅助信息!A:B,2,FALSE)</f>
        <v>螺纹钢</v>
      </c>
      <c r="F3074" s="33" t="s">
        <v>65</v>
      </c>
      <c r="G3074" s="29">
        <v>60</v>
      </c>
      <c r="H3074" s="135">
        <f>IF(SUMIFS('[1]2025年已发货'!$E:$E,'[1]2025年已发货'!$F:$F,C3074,'[1]2025年已发货'!$C:$C,F3074,'[1]2025年已发货'!$G:$G,I3074,'[1]2025年已发货'!$H:$H,J3074)=0,"未发货",SUMIFS('[1]2025年已发货'!$E:$E,'[1]2025年已发货'!$F:$F,C3074,'[1]2025年已发货'!$C:$C,F3074,'[1]2025年已发货'!$G:$G,I3074,'[1]2025年已发货'!$H:$H,J3074))</f>
        <v>60</v>
      </c>
      <c r="I3074" s="33" t="str">
        <f>VLOOKUP(B3074,辅助信息!E:I,3,FALSE)</f>
        <v>（商投建工达州中医药科技园-2工区-景观桥）达州市通川区达州中医药职业学院犀牛大道北段</v>
      </c>
      <c r="J3074" s="33" t="str">
        <f>VLOOKUP(B3074,辅助信息!E:I,4,FALSE)</f>
        <v>李波</v>
      </c>
      <c r="K3074" s="33">
        <f>VLOOKUP(J3074,辅助信息!H:I,2,FALSE)</f>
        <v>18381899787</v>
      </c>
      <c r="L3074" s="102" t="str">
        <f>VLOOKUP(B3074,辅助信息!E:J,6,FALSE)</f>
        <v>控制炉批号！多了现场不收！,优先安排达钢,提前联系到场规格及数量</v>
      </c>
      <c r="M3074" s="84">
        <v>45904</v>
      </c>
      <c r="O3074" s="55">
        <f ca="1" t="shared" si="175"/>
        <v>0</v>
      </c>
      <c r="P3074" s="55">
        <f ca="1" t="shared" si="176"/>
        <v>53</v>
      </c>
      <c r="Q3074" s="22" t="str">
        <f>VLOOKUP(B3074,辅助信息!E:M,9,FALSE)</f>
        <v>ZTWM-CDGS-XS-2024-0134-商投建工达州中医药科技成果示范园项目</v>
      </c>
      <c r="R3074" s="22" t="str">
        <f>_xlfn._xlws.FILTER(辅助信息!D:D,辅助信息!E:E=B3074)</f>
        <v>商投建工达州中医药科技园</v>
      </c>
    </row>
    <row r="3075" hidden="1" spans="2:18">
      <c r="B3075" s="33" t="s">
        <v>47</v>
      </c>
      <c r="C3075" s="63">
        <v>45901</v>
      </c>
      <c r="D3075" s="33" t="str">
        <f>VLOOKUP(B3075,辅助信息!E:K,7,FALSE)</f>
        <v>JWDDCD2025052800131</v>
      </c>
      <c r="E3075" s="33" t="str">
        <f>VLOOKUP(F3075,辅助信息!A:B,2,FALSE)</f>
        <v>螺纹钢</v>
      </c>
      <c r="F3075" s="33" t="s">
        <v>30</v>
      </c>
      <c r="G3075" s="29">
        <v>6</v>
      </c>
      <c r="H3075" s="135"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33" t="str">
        <f>VLOOKUP(B3075,辅助信息!E:I,3,FALSE)</f>
        <v>（商投建工达州中医药科技园-1工区）达州市通川区达州中医药职业学院犀牛大道北段</v>
      </c>
      <c r="J3075" s="33" t="str">
        <f>VLOOKUP(B3075,辅助信息!E:I,4,FALSE)</f>
        <v>程黄刚</v>
      </c>
      <c r="K3075" s="33">
        <f>VLOOKUP(J3075,辅助信息!H:I,2,FALSE)</f>
        <v>15108211617</v>
      </c>
      <c r="L3075" s="102" t="str">
        <f>VLOOKUP(B3075,辅助信息!E:J,6,FALSE)</f>
        <v>控制炉批号！多了现场不收！,优先安排达钢,提前联系到场规格及数量</v>
      </c>
      <c r="M3075" s="84">
        <v>45904</v>
      </c>
      <c r="O3075" s="55">
        <f ca="1" t="shared" si="175"/>
        <v>0</v>
      </c>
      <c r="P3075" s="55">
        <f ca="1" t="shared" si="176"/>
        <v>53</v>
      </c>
      <c r="Q3075" s="22" t="str">
        <f>VLOOKUP(B3075,辅助信息!E:M,9,FALSE)</f>
        <v>ZTWM-CDGS-XS-2024-0134-商投建工达州中医药科技成果示范园项目</v>
      </c>
      <c r="R3075" s="22" t="str">
        <f>_xlfn._xlws.FILTER(辅助信息!D:D,辅助信息!E:E=B3075)</f>
        <v>商投建工达州中医药科技园</v>
      </c>
    </row>
    <row r="3076" hidden="1" spans="2:18">
      <c r="B3076" s="33" t="s">
        <v>47</v>
      </c>
      <c r="C3076" s="63">
        <v>45901</v>
      </c>
      <c r="D3076" s="33" t="str">
        <f>VLOOKUP(B3076,辅助信息!E:K,7,FALSE)</f>
        <v>JWDDCD2025052800131</v>
      </c>
      <c r="E3076" s="33" t="str">
        <f>VLOOKUP(F3076,辅助信息!A:B,2,FALSE)</f>
        <v>螺纹钢</v>
      </c>
      <c r="F3076" s="33" t="s">
        <v>45</v>
      </c>
      <c r="G3076" s="29">
        <v>3</v>
      </c>
      <c r="H3076" s="135"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33" t="str">
        <f>VLOOKUP(B3076,辅助信息!E:I,3,FALSE)</f>
        <v>（商投建工达州中医药科技园-1工区）达州市通川区达州中医药职业学院犀牛大道北段</v>
      </c>
      <c r="J3076" s="33" t="str">
        <f>VLOOKUP(B3076,辅助信息!E:I,4,FALSE)</f>
        <v>程黄刚</v>
      </c>
      <c r="K3076" s="33">
        <f>VLOOKUP(J3076,辅助信息!H:I,2,FALSE)</f>
        <v>15108211617</v>
      </c>
      <c r="L3076" s="102" t="str">
        <f>VLOOKUP(B3076,辅助信息!E:J,6,FALSE)</f>
        <v>控制炉批号！多了现场不收！,优先安排达钢,提前联系到场规格及数量</v>
      </c>
      <c r="M3076" s="84">
        <v>45904</v>
      </c>
      <c r="O3076" s="55">
        <f ca="1" t="shared" si="175"/>
        <v>0</v>
      </c>
      <c r="P3076" s="55">
        <f ca="1" t="shared" si="176"/>
        <v>53</v>
      </c>
      <c r="Q3076" s="22" t="str">
        <f>VLOOKUP(B3076,辅助信息!E:M,9,FALSE)</f>
        <v>ZTWM-CDGS-XS-2024-0134-商投建工达州中医药科技成果示范园项目</v>
      </c>
      <c r="R3076" s="22" t="str">
        <f>_xlfn._xlws.FILTER(辅助信息!D:D,辅助信息!E:E=B3076)</f>
        <v>商投建工达州中医药科技园</v>
      </c>
    </row>
    <row r="3077" hidden="1" spans="2:18">
      <c r="B3077" s="33" t="s">
        <v>47</v>
      </c>
      <c r="C3077" s="63">
        <v>45901</v>
      </c>
      <c r="D3077" s="33" t="str">
        <f>VLOOKUP(B3077,辅助信息!E:K,7,FALSE)</f>
        <v>JWDDCD2025052800131</v>
      </c>
      <c r="E3077" s="33" t="str">
        <f>VLOOKUP(F3077,辅助信息!A:B,2,FALSE)</f>
        <v>螺纹钢</v>
      </c>
      <c r="F3077" s="33" t="s">
        <v>21</v>
      </c>
      <c r="G3077" s="29">
        <v>6</v>
      </c>
      <c r="H3077" s="135"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33" t="str">
        <f>VLOOKUP(B3077,辅助信息!E:I,3,FALSE)</f>
        <v>（商投建工达州中医药科技园-1工区）达州市通川区达州中医药职业学院犀牛大道北段</v>
      </c>
      <c r="J3077" s="33" t="str">
        <f>VLOOKUP(B3077,辅助信息!E:I,4,FALSE)</f>
        <v>程黄刚</v>
      </c>
      <c r="K3077" s="33">
        <f>VLOOKUP(J3077,辅助信息!H:I,2,FALSE)</f>
        <v>15108211617</v>
      </c>
      <c r="L3077" s="102" t="str">
        <f>VLOOKUP(B3077,辅助信息!E:J,6,FALSE)</f>
        <v>控制炉批号！多了现场不收！,优先安排达钢,提前联系到场规格及数量</v>
      </c>
      <c r="M3077" s="84">
        <v>45904</v>
      </c>
      <c r="O3077" s="55">
        <f ca="1" t="shared" si="175"/>
        <v>0</v>
      </c>
      <c r="P3077" s="55">
        <f ca="1" t="shared" si="176"/>
        <v>53</v>
      </c>
      <c r="Q3077" s="22" t="str">
        <f>VLOOKUP(B3077,辅助信息!E:M,9,FALSE)</f>
        <v>ZTWM-CDGS-XS-2024-0134-商投建工达州中医药科技成果示范园项目</v>
      </c>
      <c r="R3077" s="22" t="str">
        <f>_xlfn._xlws.FILTER(辅助信息!D:D,辅助信息!E:E=B3077)</f>
        <v>商投建工达州中医药科技园</v>
      </c>
    </row>
    <row r="3078" hidden="1" spans="2:18">
      <c r="B3078" s="33" t="s">
        <v>47</v>
      </c>
      <c r="C3078" s="63">
        <v>45901</v>
      </c>
      <c r="D3078" s="33" t="str">
        <f>VLOOKUP(B3078,辅助信息!E:K,7,FALSE)</f>
        <v>JWDDCD2025052800131</v>
      </c>
      <c r="E3078" s="33" t="str">
        <f>VLOOKUP(F3078,辅助信息!A:B,2,FALSE)</f>
        <v>螺纹钢</v>
      </c>
      <c r="F3078" s="33" t="s">
        <v>58</v>
      </c>
      <c r="G3078" s="29">
        <v>12</v>
      </c>
      <c r="H3078" s="135"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33" t="str">
        <f>VLOOKUP(B3078,辅助信息!E:I,3,FALSE)</f>
        <v>（商投建工达州中医药科技园-1工区）达州市通川区达州中医药职业学院犀牛大道北段</v>
      </c>
      <c r="J3078" s="33" t="str">
        <f>VLOOKUP(B3078,辅助信息!E:I,4,FALSE)</f>
        <v>程黄刚</v>
      </c>
      <c r="K3078" s="33">
        <f>VLOOKUP(J3078,辅助信息!H:I,2,FALSE)</f>
        <v>15108211617</v>
      </c>
      <c r="L3078" s="102" t="str">
        <f>VLOOKUP(B3078,辅助信息!E:J,6,FALSE)</f>
        <v>控制炉批号！多了现场不收！,优先安排达钢,提前联系到场规格及数量</v>
      </c>
      <c r="M3078" s="84">
        <v>45904</v>
      </c>
      <c r="O3078" s="55">
        <f ca="1" t="shared" si="175"/>
        <v>0</v>
      </c>
      <c r="P3078" s="55">
        <f ca="1" t="shared" si="176"/>
        <v>53</v>
      </c>
      <c r="Q3078" s="22" t="str">
        <f>VLOOKUP(B3078,辅助信息!E:M,9,FALSE)</f>
        <v>ZTWM-CDGS-XS-2024-0134-商投建工达州中医药科技成果示范园项目</v>
      </c>
      <c r="R3078" s="22" t="str">
        <f>_xlfn._xlws.FILTER(辅助信息!D:D,辅助信息!E:E=B3078)</f>
        <v>商投建工达州中医药科技园</v>
      </c>
    </row>
    <row r="3079" hidden="1" spans="2:18">
      <c r="B3079" s="33" t="s">
        <v>47</v>
      </c>
      <c r="C3079" s="63">
        <v>45901</v>
      </c>
      <c r="D3079" s="33" t="str">
        <f>VLOOKUP(B3079,辅助信息!E:K,7,FALSE)</f>
        <v>JWDDCD2025052800131</v>
      </c>
      <c r="E3079" s="33" t="str">
        <f>VLOOKUP(F3079,辅助信息!A:B,2,FALSE)</f>
        <v>螺纹钢</v>
      </c>
      <c r="F3079" s="33" t="s">
        <v>46</v>
      </c>
      <c r="G3079" s="29">
        <v>6</v>
      </c>
      <c r="H3079" s="135"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33" t="str">
        <f>VLOOKUP(B3079,辅助信息!E:I,3,FALSE)</f>
        <v>（商投建工达州中医药科技园-1工区）达州市通川区达州中医药职业学院犀牛大道北段</v>
      </c>
      <c r="J3079" s="33" t="str">
        <f>VLOOKUP(B3079,辅助信息!E:I,4,FALSE)</f>
        <v>程黄刚</v>
      </c>
      <c r="K3079" s="33">
        <f>VLOOKUP(J3079,辅助信息!H:I,2,FALSE)</f>
        <v>15108211617</v>
      </c>
      <c r="L3079" s="102" t="str">
        <f>VLOOKUP(B3079,辅助信息!E:J,6,FALSE)</f>
        <v>控制炉批号！多了现场不收！,优先安排达钢,提前联系到场规格及数量</v>
      </c>
      <c r="M3079" s="84">
        <v>45904</v>
      </c>
      <c r="O3079" s="55">
        <f ca="1" t="shared" si="175"/>
        <v>0</v>
      </c>
      <c r="P3079" s="55">
        <f ca="1" t="shared" si="176"/>
        <v>53</v>
      </c>
      <c r="Q3079" s="22" t="str">
        <f>VLOOKUP(B3079,辅助信息!E:M,9,FALSE)</f>
        <v>ZTWM-CDGS-XS-2024-0134-商投建工达州中医药科技成果示范园项目</v>
      </c>
      <c r="R3079" s="22" t="str">
        <f>_xlfn._xlws.FILTER(辅助信息!D:D,辅助信息!E:E=B3079)</f>
        <v>商投建工达州中医药科技园</v>
      </c>
    </row>
    <row r="3080" hidden="1" spans="2:18">
      <c r="B3080" s="33" t="s">
        <v>47</v>
      </c>
      <c r="C3080" s="63">
        <v>45901</v>
      </c>
      <c r="D3080" s="33" t="str">
        <f>VLOOKUP(B3080,辅助信息!E:K,7,FALSE)</f>
        <v>JWDDCD2025052800131</v>
      </c>
      <c r="E3080" s="33" t="str">
        <f>VLOOKUP(F3080,辅助信息!A:B,2,FALSE)</f>
        <v>螺纹钢</v>
      </c>
      <c r="F3080" s="33" t="s">
        <v>22</v>
      </c>
      <c r="G3080" s="29">
        <v>6</v>
      </c>
      <c r="H3080" s="135"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33" t="str">
        <f>VLOOKUP(B3080,辅助信息!E:I,3,FALSE)</f>
        <v>（商投建工达州中医药科技园-1工区）达州市通川区达州中医药职业学院犀牛大道北段</v>
      </c>
      <c r="J3080" s="33" t="str">
        <f>VLOOKUP(B3080,辅助信息!E:I,4,FALSE)</f>
        <v>程黄刚</v>
      </c>
      <c r="K3080" s="33">
        <f>VLOOKUP(J3080,辅助信息!H:I,2,FALSE)</f>
        <v>15108211617</v>
      </c>
      <c r="L3080" s="102" t="str">
        <f>VLOOKUP(B3080,辅助信息!E:J,6,FALSE)</f>
        <v>控制炉批号！多了现场不收！,优先安排达钢,提前联系到场规格及数量</v>
      </c>
      <c r="M3080" s="84">
        <v>45904</v>
      </c>
      <c r="O3080" s="55">
        <f ca="1" t="shared" si="175"/>
        <v>0</v>
      </c>
      <c r="P3080" s="55">
        <f ca="1" t="shared" si="176"/>
        <v>53</v>
      </c>
      <c r="Q3080" s="22" t="str">
        <f>VLOOKUP(B3080,辅助信息!E:M,9,FALSE)</f>
        <v>ZTWM-CDGS-XS-2024-0134-商投建工达州中医药科技成果示范园项目</v>
      </c>
      <c r="R3080" s="22" t="str">
        <f>_xlfn._xlws.FILTER(辅助信息!D:D,辅助信息!E:E=B3080)</f>
        <v>商投建工达州中医药科技园</v>
      </c>
    </row>
    <row r="3081" hidden="1" spans="2:18">
      <c r="B3081" s="33" t="s">
        <v>68</v>
      </c>
      <c r="C3081" s="63">
        <v>45901</v>
      </c>
      <c r="D3081" s="33" t="str">
        <f>VLOOKUP(B3081,辅助信息!E:K,7,FALSE)</f>
        <v>JWDDCD2025052800131</v>
      </c>
      <c r="E3081" s="33" t="str">
        <f>VLOOKUP(F3081,辅助信息!A:B,2,FALSE)</f>
        <v>盘螺</v>
      </c>
      <c r="F3081" s="33" t="s">
        <v>40</v>
      </c>
      <c r="G3081" s="29">
        <v>12</v>
      </c>
      <c r="H3081" s="135">
        <f>IF(SUMIFS('[1]2025年已发货'!$E:$E,'[1]2025年已发货'!$F:$F,C3081,'[1]2025年已发货'!$C:$C,F3081,'[1]2025年已发货'!$G:$G,I3081,'[1]2025年已发货'!$H:$H,J3081)=0,"未发货",SUMIFS('[1]2025年已发货'!$E:$E,'[1]2025年已发货'!$F:$F,C3081,'[1]2025年已发货'!$C:$C,F3081,'[1]2025年已发货'!$G:$G,I3081,'[1]2025年已发货'!$H:$H,J3081))</f>
        <v>12</v>
      </c>
      <c r="I3081" s="33" t="str">
        <f>VLOOKUP(B3081,辅助信息!E:I,3,FALSE)</f>
        <v>（商投建工达州中医药科技园-2工区-景观桥）达州市通川区达州中医药职业学院犀牛大道北段</v>
      </c>
      <c r="J3081" s="33" t="str">
        <f>VLOOKUP(B3081,辅助信息!E:I,4,FALSE)</f>
        <v>李波</v>
      </c>
      <c r="K3081" s="33">
        <f>VLOOKUP(J3081,辅助信息!H:I,2,FALSE)</f>
        <v>18381899787</v>
      </c>
      <c r="L3081" s="102" t="str">
        <f>VLOOKUP(B3081,辅助信息!E:J,6,FALSE)</f>
        <v>控制炉批号！多了现场不收！,优先安排达钢,提前联系到场规格及数量</v>
      </c>
      <c r="M3081" s="84">
        <v>45904</v>
      </c>
      <c r="O3081" s="55">
        <f ca="1" t="shared" ref="O3081:O3103" si="177">IF(OR(M3081="",N3081&lt;&gt;""),"",MAX(M3081-TODAY(),0))</f>
        <v>0</v>
      </c>
      <c r="P3081" s="55">
        <f ca="1" t="shared" ref="P3081:P3103" si="178">IF(M3081="","",IF(N3081&lt;&gt;"",MAX(N3081-M3081,0),IF(TODAY()&gt;M3081,TODAY()-M3081,0)))</f>
        <v>53</v>
      </c>
      <c r="Q3081" s="22" t="str">
        <f>VLOOKUP(B3081,辅助信息!E:M,9,FALSE)</f>
        <v>ZTWM-CDGS-XS-2024-0134-商投建工达州中医药科技成果示范园项目</v>
      </c>
      <c r="R3081" s="22" t="str">
        <f>_xlfn._xlws.FILTER(辅助信息!D:D,辅助信息!E:E=B3081)</f>
        <v>商投建工达州中医药科技园</v>
      </c>
    </row>
    <row r="3082" hidden="1" spans="2:18">
      <c r="B3082" s="33" t="s">
        <v>68</v>
      </c>
      <c r="C3082" s="63">
        <v>45901</v>
      </c>
      <c r="D3082" s="33" t="str">
        <f>VLOOKUP(B3082,辅助信息!E:K,7,FALSE)</f>
        <v>JWDDCD2025052800131</v>
      </c>
      <c r="E3082" s="33" t="str">
        <f>VLOOKUP(F3082,辅助信息!A:B,2,FALSE)</f>
        <v>盘螺</v>
      </c>
      <c r="F3082" s="33" t="s">
        <v>41</v>
      </c>
      <c r="G3082" s="29">
        <v>8</v>
      </c>
      <c r="H3082" s="135">
        <f>IF(SUMIFS('[1]2025年已发货'!$E:$E,'[1]2025年已发货'!$F:$F,C3082,'[1]2025年已发货'!$C:$C,F3082,'[1]2025年已发货'!$G:$G,I3082,'[1]2025年已发货'!$H:$H,J3082)=0,"未发货",SUMIFS('[1]2025年已发货'!$E:$E,'[1]2025年已发货'!$F:$F,C3082,'[1]2025年已发货'!$C:$C,F3082,'[1]2025年已发货'!$G:$G,I3082,'[1]2025年已发货'!$H:$H,J3082))</f>
        <v>8</v>
      </c>
      <c r="I3082" s="33" t="str">
        <f>VLOOKUP(B3082,辅助信息!E:I,3,FALSE)</f>
        <v>（商投建工达州中医药科技园-2工区-景观桥）达州市通川区达州中医药职业学院犀牛大道北段</v>
      </c>
      <c r="J3082" s="33" t="str">
        <f>VLOOKUP(B3082,辅助信息!E:I,4,FALSE)</f>
        <v>李波</v>
      </c>
      <c r="K3082" s="33">
        <f>VLOOKUP(J3082,辅助信息!H:I,2,FALSE)</f>
        <v>18381899787</v>
      </c>
      <c r="L3082" s="102" t="str">
        <f>VLOOKUP(B3082,辅助信息!E:J,6,FALSE)</f>
        <v>控制炉批号！多了现场不收！,优先安排达钢,提前联系到场规格及数量</v>
      </c>
      <c r="M3082" s="84">
        <v>45904</v>
      </c>
      <c r="O3082" s="55">
        <f ca="1" t="shared" si="177"/>
        <v>0</v>
      </c>
      <c r="P3082" s="55">
        <f ca="1" t="shared" si="178"/>
        <v>53</v>
      </c>
      <c r="Q3082" s="22" t="str">
        <f>VLOOKUP(B3082,辅助信息!E:M,9,FALSE)</f>
        <v>ZTWM-CDGS-XS-2024-0134-商投建工达州中医药科技成果示范园项目</v>
      </c>
      <c r="R3082" s="22" t="str">
        <f>_xlfn._xlws.FILTER(辅助信息!D:D,辅助信息!E:E=B3082)</f>
        <v>商投建工达州中医药科技园</v>
      </c>
    </row>
    <row r="3083" hidden="1" spans="2:18">
      <c r="B3083" s="33" t="s">
        <v>68</v>
      </c>
      <c r="C3083" s="63">
        <v>45901</v>
      </c>
      <c r="D3083" s="33" t="str">
        <f>VLOOKUP(B3083,辅助信息!E:K,7,FALSE)</f>
        <v>JWDDCD2025052800131</v>
      </c>
      <c r="E3083" s="33" t="str">
        <f>VLOOKUP(F3083,辅助信息!A:B,2,FALSE)</f>
        <v>螺纹钢</v>
      </c>
      <c r="F3083" s="33" t="s">
        <v>27</v>
      </c>
      <c r="G3083" s="29">
        <v>9</v>
      </c>
      <c r="H3083" s="135">
        <f>IF(SUMIFS('[1]2025年已发货'!$E:$E,'[1]2025年已发货'!$F:$F,C3083,'[1]2025年已发货'!$C:$C,F3083,'[1]2025年已发货'!$G:$G,I3083,'[1]2025年已发货'!$H:$H,J3083)=0,"未发货",SUMIFS('[1]2025年已发货'!$E:$E,'[1]2025年已发货'!$F:$F,C3083,'[1]2025年已发货'!$C:$C,F3083,'[1]2025年已发货'!$G:$G,I3083,'[1]2025年已发货'!$H:$H,J3083))</f>
        <v>9</v>
      </c>
      <c r="I3083" s="33" t="str">
        <f>VLOOKUP(B3083,辅助信息!E:I,3,FALSE)</f>
        <v>（商投建工达州中医药科技园-2工区-景观桥）达州市通川区达州中医药职业学院犀牛大道北段</v>
      </c>
      <c r="J3083" s="33" t="str">
        <f>VLOOKUP(B3083,辅助信息!E:I,4,FALSE)</f>
        <v>李波</v>
      </c>
      <c r="K3083" s="33">
        <f>VLOOKUP(J3083,辅助信息!H:I,2,FALSE)</f>
        <v>18381899787</v>
      </c>
      <c r="L3083" s="102" t="str">
        <f>VLOOKUP(B3083,辅助信息!E:J,6,FALSE)</f>
        <v>控制炉批号！多了现场不收！,优先安排达钢,提前联系到场规格及数量</v>
      </c>
      <c r="M3083" s="84">
        <v>45904</v>
      </c>
      <c r="O3083" s="55">
        <f ca="1" t="shared" si="177"/>
        <v>0</v>
      </c>
      <c r="P3083" s="55">
        <f ca="1" t="shared" si="178"/>
        <v>53</v>
      </c>
      <c r="Q3083" s="22" t="str">
        <f>VLOOKUP(B3083,辅助信息!E:M,9,FALSE)</f>
        <v>ZTWM-CDGS-XS-2024-0134-商投建工达州中医药科技成果示范园项目</v>
      </c>
      <c r="R3083" s="22" t="str">
        <f>_xlfn._xlws.FILTER(辅助信息!D:D,辅助信息!E:E=B3083)</f>
        <v>商投建工达州中医药科技园</v>
      </c>
    </row>
    <row r="3084" hidden="1" spans="2:18">
      <c r="B3084" s="33" t="s">
        <v>68</v>
      </c>
      <c r="C3084" s="63">
        <v>45901</v>
      </c>
      <c r="D3084" s="33" t="str">
        <f>VLOOKUP(B3084,辅助信息!E:K,7,FALSE)</f>
        <v>JWDDCD2025052800131</v>
      </c>
      <c r="E3084" s="33" t="str">
        <f>VLOOKUP(F3084,辅助信息!A:B,2,FALSE)</f>
        <v>螺纹钢</v>
      </c>
      <c r="F3084" s="33" t="s">
        <v>19</v>
      </c>
      <c r="G3084" s="29">
        <v>30</v>
      </c>
      <c r="H3084" s="135">
        <f>IF(SUMIFS('[1]2025年已发货'!$E:$E,'[1]2025年已发货'!$F:$F,C3084,'[1]2025年已发货'!$C:$C,F3084,'[1]2025年已发货'!$G:$G,I3084,'[1]2025年已发货'!$H:$H,J3084)=0,"未发货",SUMIFS('[1]2025年已发货'!$E:$E,'[1]2025年已发货'!$F:$F,C3084,'[1]2025年已发货'!$C:$C,F3084,'[1]2025年已发货'!$G:$G,I3084,'[1]2025年已发货'!$H:$H,J3084))</f>
        <v>30</v>
      </c>
      <c r="I3084" s="33" t="str">
        <f>VLOOKUP(B3084,辅助信息!E:I,3,FALSE)</f>
        <v>（商投建工达州中医药科技园-2工区-景观桥）达州市通川区达州中医药职业学院犀牛大道北段</v>
      </c>
      <c r="J3084" s="33" t="str">
        <f>VLOOKUP(B3084,辅助信息!E:I,4,FALSE)</f>
        <v>李波</v>
      </c>
      <c r="K3084" s="33">
        <f>VLOOKUP(J3084,辅助信息!H:I,2,FALSE)</f>
        <v>18381899787</v>
      </c>
      <c r="L3084" s="102" t="str">
        <f>VLOOKUP(B3084,辅助信息!E:J,6,FALSE)</f>
        <v>控制炉批号！多了现场不收！,优先安排达钢,提前联系到场规格及数量</v>
      </c>
      <c r="M3084" s="84">
        <v>45904</v>
      </c>
      <c r="O3084" s="55">
        <f ca="1" t="shared" si="177"/>
        <v>0</v>
      </c>
      <c r="P3084" s="55">
        <f ca="1" t="shared" si="178"/>
        <v>53</v>
      </c>
      <c r="Q3084" s="22" t="str">
        <f>VLOOKUP(B3084,辅助信息!E:M,9,FALSE)</f>
        <v>ZTWM-CDGS-XS-2024-0134-商投建工达州中医药科技成果示范园项目</v>
      </c>
      <c r="R3084" s="22" t="str">
        <f>_xlfn._xlws.FILTER(辅助信息!D:D,辅助信息!E:E=B3084)</f>
        <v>商投建工达州中医药科技园</v>
      </c>
    </row>
    <row r="3085" hidden="1" spans="2:18">
      <c r="B3085" s="33" t="s">
        <v>68</v>
      </c>
      <c r="C3085" s="63">
        <v>45901</v>
      </c>
      <c r="D3085" s="33" t="str">
        <f>VLOOKUP(B3085,辅助信息!E:K,7,FALSE)</f>
        <v>JWDDCD2025052800131</v>
      </c>
      <c r="E3085" s="33" t="str">
        <f>VLOOKUP(F3085,辅助信息!A:B,2,FALSE)</f>
        <v>螺纹钢</v>
      </c>
      <c r="F3085" s="33" t="s">
        <v>32</v>
      </c>
      <c r="G3085" s="29">
        <v>12</v>
      </c>
      <c r="H3085" s="135"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33" t="str">
        <f>VLOOKUP(B3085,辅助信息!E:I,3,FALSE)</f>
        <v>（商投建工达州中医药科技园-2工区-景观桥）达州市通川区达州中医药职业学院犀牛大道北段</v>
      </c>
      <c r="J3085" s="33" t="str">
        <f>VLOOKUP(B3085,辅助信息!E:I,4,FALSE)</f>
        <v>李波</v>
      </c>
      <c r="K3085" s="33">
        <f>VLOOKUP(J3085,辅助信息!H:I,2,FALSE)</f>
        <v>18381899787</v>
      </c>
      <c r="L3085" s="102" t="str">
        <f>VLOOKUP(B3085,辅助信息!E:J,6,FALSE)</f>
        <v>控制炉批号！多了现场不收！,优先安排达钢,提前联系到场规格及数量</v>
      </c>
      <c r="M3085" s="84">
        <v>45904</v>
      </c>
      <c r="O3085" s="55">
        <f ca="1" t="shared" si="177"/>
        <v>0</v>
      </c>
      <c r="P3085" s="55">
        <f ca="1" t="shared" si="178"/>
        <v>53</v>
      </c>
      <c r="Q3085" s="22" t="str">
        <f>VLOOKUP(B3085,辅助信息!E:M,9,FALSE)</f>
        <v>ZTWM-CDGS-XS-2024-0134-商投建工达州中医药科技成果示范园项目</v>
      </c>
      <c r="R3085" s="22" t="str">
        <f>_xlfn._xlws.FILTER(辅助信息!D:D,辅助信息!E:E=B3085)</f>
        <v>商投建工达州中医药科技园</v>
      </c>
    </row>
    <row r="3086" hidden="1" spans="2:18">
      <c r="B3086" s="33" t="s">
        <v>68</v>
      </c>
      <c r="C3086" s="63">
        <v>45901</v>
      </c>
      <c r="D3086" s="33" t="str">
        <f>VLOOKUP(B3086,辅助信息!E:K,7,FALSE)</f>
        <v>JWDDCD2025052800131</v>
      </c>
      <c r="E3086" s="33" t="str">
        <f>VLOOKUP(F3086,辅助信息!A:B,2,FALSE)</f>
        <v>螺纹钢</v>
      </c>
      <c r="F3086" s="33" t="s">
        <v>30</v>
      </c>
      <c r="G3086" s="29">
        <v>42</v>
      </c>
      <c r="H3086" s="135"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33" t="str">
        <f>VLOOKUP(B3086,辅助信息!E:I,3,FALSE)</f>
        <v>（商投建工达州中医药科技园-2工区-景观桥）达州市通川区达州中医药职业学院犀牛大道北段</v>
      </c>
      <c r="J3086" s="33" t="str">
        <f>VLOOKUP(B3086,辅助信息!E:I,4,FALSE)</f>
        <v>李波</v>
      </c>
      <c r="K3086" s="33">
        <f>VLOOKUP(J3086,辅助信息!H:I,2,FALSE)</f>
        <v>18381899787</v>
      </c>
      <c r="L3086" s="102" t="str">
        <f>VLOOKUP(B3086,辅助信息!E:J,6,FALSE)</f>
        <v>控制炉批号！多了现场不收！,优先安排达钢,提前联系到场规格及数量</v>
      </c>
      <c r="M3086" s="84">
        <v>45904</v>
      </c>
      <c r="O3086" s="55">
        <f ca="1" t="shared" si="177"/>
        <v>0</v>
      </c>
      <c r="P3086" s="55">
        <f ca="1" t="shared" si="178"/>
        <v>53</v>
      </c>
      <c r="Q3086" s="22" t="str">
        <f>VLOOKUP(B3086,辅助信息!E:M,9,FALSE)</f>
        <v>ZTWM-CDGS-XS-2024-0134-商投建工达州中医药科技成果示范园项目</v>
      </c>
      <c r="R3086" s="22" t="str">
        <f>_xlfn._xlws.FILTER(辅助信息!D:D,辅助信息!E:E=B3086)</f>
        <v>商投建工达州中医药科技园</v>
      </c>
    </row>
    <row r="3087" hidden="1" spans="2:18">
      <c r="B3087" s="33" t="s">
        <v>68</v>
      </c>
      <c r="C3087" s="63">
        <v>45901</v>
      </c>
      <c r="D3087" s="33" t="str">
        <f>VLOOKUP(B3087,辅助信息!E:K,7,FALSE)</f>
        <v>JWDDCD2025052800131</v>
      </c>
      <c r="E3087" s="33" t="str">
        <f>VLOOKUP(F3087,辅助信息!A:B,2,FALSE)</f>
        <v>螺纹钢</v>
      </c>
      <c r="F3087" s="33" t="s">
        <v>28</v>
      </c>
      <c r="G3087" s="29">
        <v>50</v>
      </c>
      <c r="H3087" s="135"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33" t="str">
        <f>VLOOKUP(B3087,辅助信息!E:I,3,FALSE)</f>
        <v>（商投建工达州中医药科技园-2工区-景观桥）达州市通川区达州中医药职业学院犀牛大道北段</v>
      </c>
      <c r="J3087" s="33" t="str">
        <f>VLOOKUP(B3087,辅助信息!E:I,4,FALSE)</f>
        <v>李波</v>
      </c>
      <c r="K3087" s="33">
        <f>VLOOKUP(J3087,辅助信息!H:I,2,FALSE)</f>
        <v>18381899787</v>
      </c>
      <c r="L3087" s="102" t="str">
        <f>VLOOKUP(B3087,辅助信息!E:J,6,FALSE)</f>
        <v>控制炉批号！多了现场不收！,优先安排达钢,提前联系到场规格及数量</v>
      </c>
      <c r="M3087" s="84">
        <v>45904</v>
      </c>
      <c r="O3087" s="55">
        <f ca="1" t="shared" si="177"/>
        <v>0</v>
      </c>
      <c r="P3087" s="55">
        <f ca="1" t="shared" si="178"/>
        <v>53</v>
      </c>
      <c r="Q3087" s="22" t="str">
        <f>VLOOKUP(B3087,辅助信息!E:M,9,FALSE)</f>
        <v>ZTWM-CDGS-XS-2024-0134-商投建工达州中医药科技成果示范园项目</v>
      </c>
      <c r="R3087" s="22" t="str">
        <f>_xlfn._xlws.FILTER(辅助信息!D:D,辅助信息!E:E=B3087)</f>
        <v>商投建工达州中医药科技园</v>
      </c>
    </row>
    <row r="3088" hidden="1" spans="2:18">
      <c r="B3088" s="33" t="s">
        <v>68</v>
      </c>
      <c r="C3088" s="63">
        <v>45901</v>
      </c>
      <c r="D3088" s="33" t="str">
        <f>VLOOKUP(B3088,辅助信息!E:K,7,FALSE)</f>
        <v>JWDDCD2025052800131</v>
      </c>
      <c r="E3088" s="33" t="str">
        <f>VLOOKUP(F3088,辅助信息!A:B,2,FALSE)</f>
        <v>螺纹钢</v>
      </c>
      <c r="F3088" s="33" t="s">
        <v>18</v>
      </c>
      <c r="G3088" s="29">
        <v>44</v>
      </c>
      <c r="H3088" s="135"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33" t="str">
        <f>VLOOKUP(B3088,辅助信息!E:I,3,FALSE)</f>
        <v>（商投建工达州中医药科技园-2工区-景观桥）达州市通川区达州中医药职业学院犀牛大道北段</v>
      </c>
      <c r="J3088" s="33" t="str">
        <f>VLOOKUP(B3088,辅助信息!E:I,4,FALSE)</f>
        <v>李波</v>
      </c>
      <c r="K3088" s="33">
        <f>VLOOKUP(J3088,辅助信息!H:I,2,FALSE)</f>
        <v>18381899787</v>
      </c>
      <c r="L3088" s="102" t="str">
        <f>VLOOKUP(B3088,辅助信息!E:J,6,FALSE)</f>
        <v>控制炉批号！多了现场不收！,优先安排达钢,提前联系到场规格及数量</v>
      </c>
      <c r="M3088" s="84">
        <v>45904</v>
      </c>
      <c r="O3088" s="55">
        <f ca="1" t="shared" si="177"/>
        <v>0</v>
      </c>
      <c r="P3088" s="55">
        <f ca="1" t="shared" si="178"/>
        <v>53</v>
      </c>
      <c r="Q3088" s="22" t="str">
        <f>VLOOKUP(B3088,辅助信息!E:M,9,FALSE)</f>
        <v>ZTWM-CDGS-XS-2024-0134-商投建工达州中医药科技成果示范园项目</v>
      </c>
      <c r="R3088" s="22" t="str">
        <f>_xlfn._xlws.FILTER(辅助信息!D:D,辅助信息!E:E=B3088)</f>
        <v>商投建工达州中医药科技园</v>
      </c>
    </row>
    <row r="3089" hidden="1" spans="2:18">
      <c r="B3089" s="33" t="s">
        <v>31</v>
      </c>
      <c r="C3089" s="63">
        <v>45901</v>
      </c>
      <c r="D3089" s="33" t="str">
        <f>VLOOKUP(B3089,辅助信息!E:K,7,FALSE)</f>
        <v>JWDDCD2024121000136</v>
      </c>
      <c r="E3089" s="33" t="str">
        <f>VLOOKUP(F3089,辅助信息!A:B,2,FALSE)</f>
        <v>盘螺</v>
      </c>
      <c r="F3089" s="33" t="s">
        <v>49</v>
      </c>
      <c r="G3089" s="29">
        <v>35</v>
      </c>
      <c r="H3089" s="135"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33" t="str">
        <f>VLOOKUP(B3089,辅助信息!E:I,3,FALSE)</f>
        <v>（四川商建-射洪城乡一体化项目）遂宁市射洪市忠新幼儿园北侧约220米新溪小区</v>
      </c>
      <c r="J3089" s="33" t="str">
        <f>VLOOKUP(B3089,辅助信息!E:I,4,FALSE)</f>
        <v>柏子刚</v>
      </c>
      <c r="K3089" s="33">
        <f>VLOOKUP(J3089,辅助信息!H:I,2,FALSE)</f>
        <v>15692885305</v>
      </c>
      <c r="L3089" s="102" t="str">
        <f>VLOOKUP(B3089,辅助信息!E:J,6,FALSE)</f>
        <v>提前联系到场规格及数量</v>
      </c>
      <c r="M3089" s="84">
        <v>45902</v>
      </c>
      <c r="O3089" s="55">
        <f ca="1" t="shared" si="177"/>
        <v>0</v>
      </c>
      <c r="P3089" s="55">
        <f ca="1" t="shared" si="178"/>
        <v>55</v>
      </c>
      <c r="Q3089" s="22" t="str">
        <f>VLOOKUP(B3089,辅助信息!E:M,9,FALSE)</f>
        <v>ZTWM-CDGS-XS-2024-0179-四川商投-射洪城乡一体化建设项目</v>
      </c>
      <c r="R3089" s="22" t="str">
        <f>_xlfn._xlws.FILTER(辅助信息!D:D,辅助信息!E:E=B3089)</f>
        <v>四川商建
射洪城乡一体化项目</v>
      </c>
    </row>
    <row r="3090" hidden="1" spans="2:18">
      <c r="B3090" s="33" t="s">
        <v>81</v>
      </c>
      <c r="C3090" s="63">
        <v>45901</v>
      </c>
      <c r="D3090" s="33" t="str">
        <f>VLOOKUP(B3090,辅助信息!E:K,7,FALSE)</f>
        <v>JWDDCD2025060900080</v>
      </c>
      <c r="E3090" s="33" t="str">
        <f>VLOOKUP(F3090,辅助信息!A:B,2,FALSE)</f>
        <v>盘螺</v>
      </c>
      <c r="F3090" s="33" t="s">
        <v>26</v>
      </c>
      <c r="G3090" s="29">
        <v>48</v>
      </c>
      <c r="H3090" s="135">
        <f>IF(SUMIFS('[1]2025年已发货'!$E:$E,'[1]2025年已发货'!$F:$F,C3090,'[1]2025年已发货'!$C:$C,F3090,'[1]2025年已发货'!$G:$G,I3090,'[1]2025年已发货'!$H:$H,J3090)=0,"未发货",SUMIFS('[1]2025年已发货'!$E:$E,'[1]2025年已发货'!$F:$F,C3090,'[1]2025年已发货'!$C:$C,F3090,'[1]2025年已发货'!$G:$G,I3090,'[1]2025年已发货'!$H:$H,J3090))</f>
        <v>48</v>
      </c>
      <c r="I3090" s="33" t="str">
        <f>VLOOKUP(B3090,辅助信息!E:I,3,FALSE)</f>
        <v>（华西简阳西城嘉苑）四川省成都市简阳市简城街道高屋村</v>
      </c>
      <c r="J3090" s="33" t="str">
        <f>VLOOKUP(B3090,辅助信息!E:I,4,FALSE)</f>
        <v>张瀚镭</v>
      </c>
      <c r="K3090" s="33">
        <f>VLOOKUP(J3090,辅助信息!H:I,2,FALSE)</f>
        <v>15884666220</v>
      </c>
      <c r="L3090" s="102" t="str">
        <f>VLOOKUP(B3090,辅助信息!E:J,6,FALSE)</f>
        <v>现场禁止使用氢能源挂车！优先威钢发货,我方卸车,新老国标钢厂不加价可直发，因陕钢多次出现磅差，项目拒绝使用</v>
      </c>
      <c r="M3090" s="84">
        <v>45902</v>
      </c>
      <c r="O3090" s="55">
        <f ca="1" t="shared" si="177"/>
        <v>0</v>
      </c>
      <c r="P3090" s="55">
        <f ca="1" t="shared" si="178"/>
        <v>55</v>
      </c>
      <c r="Q3090" s="22" t="str">
        <f>VLOOKUP(B3090,辅助信息!E:M,9,FALSE)</f>
        <v>ZTWM-CDGS-XS-2024-0030-华西集采-简州大道</v>
      </c>
      <c r="R3090" s="22" t="str">
        <f>_xlfn._xlws.FILTER(辅助信息!D:D,辅助信息!E:E=B3090)</f>
        <v>华西简阳西城嘉苑</v>
      </c>
    </row>
    <row r="3091" hidden="1" spans="2:18">
      <c r="B3091" s="33" t="s">
        <v>81</v>
      </c>
      <c r="C3091" s="63">
        <v>45901</v>
      </c>
      <c r="D3091" s="33" t="str">
        <f>VLOOKUP(B3091,辅助信息!E:K,7,FALSE)</f>
        <v>JWDDCD2025060900080</v>
      </c>
      <c r="E3091" s="33" t="str">
        <f>VLOOKUP(F3091,辅助信息!A:B,2,FALSE)</f>
        <v>螺纹钢</v>
      </c>
      <c r="F3091" s="33" t="s">
        <v>19</v>
      </c>
      <c r="G3091" s="29">
        <v>222</v>
      </c>
      <c r="H3091" s="135">
        <f>IF(SUMIFS('[1]2025年已发货'!$E:$E,'[1]2025年已发货'!$F:$F,C3091,'[1]2025年已发货'!$C:$C,F3091,'[1]2025年已发货'!$G:$G,I3091,'[1]2025年已发货'!$H:$H,J3091)=0,"未发货",SUMIFS('[1]2025年已发货'!$E:$E,'[1]2025年已发货'!$F:$F,C3091,'[1]2025年已发货'!$C:$C,F3091,'[1]2025年已发货'!$G:$G,I3091,'[1]2025年已发货'!$H:$H,J3091))</f>
        <v>54.75</v>
      </c>
      <c r="I3091" s="33" t="str">
        <f>VLOOKUP(B3091,辅助信息!E:I,3,FALSE)</f>
        <v>（华西简阳西城嘉苑）四川省成都市简阳市简城街道高屋村</v>
      </c>
      <c r="J3091" s="33" t="str">
        <f>VLOOKUP(B3091,辅助信息!E:I,4,FALSE)</f>
        <v>张瀚镭</v>
      </c>
      <c r="K3091" s="33">
        <f>VLOOKUP(J3091,辅助信息!H:I,2,FALSE)</f>
        <v>15884666220</v>
      </c>
      <c r="L3091" s="102" t="str">
        <f>VLOOKUP(B3091,辅助信息!E:J,6,FALSE)</f>
        <v>现场禁止使用氢能源挂车！优先威钢发货,我方卸车,新老国标钢厂不加价可直发，因陕钢多次出现磅差，项目拒绝使用</v>
      </c>
      <c r="M3091" s="84">
        <v>45902</v>
      </c>
      <c r="O3091" s="55">
        <f ca="1" t="shared" si="177"/>
        <v>0</v>
      </c>
      <c r="P3091" s="55">
        <f ca="1" t="shared" si="178"/>
        <v>55</v>
      </c>
      <c r="Q3091" s="22" t="str">
        <f>VLOOKUP(B3091,辅助信息!E:M,9,FALSE)</f>
        <v>ZTWM-CDGS-XS-2024-0030-华西集采-简州大道</v>
      </c>
      <c r="R3091" s="22" t="str">
        <f>_xlfn._xlws.FILTER(辅助信息!D:D,辅助信息!E:E=B3091)</f>
        <v>华西简阳西城嘉苑</v>
      </c>
    </row>
    <row r="3092" hidden="1" spans="2:18">
      <c r="B3092" s="33" t="s">
        <v>81</v>
      </c>
      <c r="C3092" s="136">
        <v>45901</v>
      </c>
      <c r="D3092" s="33" t="str">
        <f>VLOOKUP(B3092,辅助信息!E:K,7,FALSE)</f>
        <v>JWDDCD2025060900080</v>
      </c>
      <c r="E3092" s="128" t="str">
        <f>VLOOKUP(F3092,辅助信息!A:B,2,FALSE)</f>
        <v>螺纹钢</v>
      </c>
      <c r="F3092" s="128" t="s">
        <v>32</v>
      </c>
      <c r="G3092" s="29">
        <v>7.5</v>
      </c>
      <c r="H3092" s="135">
        <f>IF(SUMIFS('[1]2025年已发货'!$E:$E,'[1]2025年已发货'!$F:$F,C3092,'[1]2025年已发货'!$C:$C,F3092,'[1]2025年已发货'!$G:$G,I3092,'[1]2025年已发货'!$H:$H,J3092)=0,"未发货",SUMIFS('[1]2025年已发货'!$E:$E,'[1]2025年已发货'!$F:$F,C3092,'[1]2025年已发货'!$C:$C,F3092,'[1]2025年已发货'!$G:$G,I3092,'[1]2025年已发货'!$H:$H,J3092))</f>
        <v>7.5</v>
      </c>
      <c r="I3092" s="33" t="str">
        <f>VLOOKUP(B3092,辅助信息!E:I,3,FALSE)</f>
        <v>（华西简阳西城嘉苑）四川省成都市简阳市简城街道高屋村</v>
      </c>
      <c r="J3092" s="33" t="str">
        <f>VLOOKUP(B3092,辅助信息!E:I,4,FALSE)</f>
        <v>张瀚镭</v>
      </c>
      <c r="K3092" s="33">
        <f>VLOOKUP(J3092,辅助信息!H:I,2,FALSE)</f>
        <v>15884666220</v>
      </c>
      <c r="L3092" s="102" t="str">
        <f>VLOOKUP(B3092,辅助信息!E:J,6,FALSE)</f>
        <v>现场禁止使用氢能源挂车！优先威钢发货,我方卸车,新老国标钢厂不加价可直发，因陕钢多次出现磅差，项目拒绝使用</v>
      </c>
      <c r="M3092" s="84">
        <v>45902</v>
      </c>
      <c r="O3092" s="55">
        <f ca="1" t="shared" si="177"/>
        <v>0</v>
      </c>
      <c r="P3092" s="55">
        <f ca="1" t="shared" si="178"/>
        <v>55</v>
      </c>
      <c r="Q3092" s="22" t="str">
        <f>VLOOKUP(B3092,辅助信息!E:M,9,FALSE)</f>
        <v>ZTWM-CDGS-XS-2024-0030-华西集采-简州大道</v>
      </c>
      <c r="R3092" s="22" t="str">
        <f>_xlfn._xlws.FILTER(辅助信息!D:D,辅助信息!E:E=B3092)</f>
        <v>华西简阳西城嘉苑</v>
      </c>
    </row>
    <row r="3093" hidden="1" spans="2:18">
      <c r="B3093" s="33" t="s">
        <v>81</v>
      </c>
      <c r="C3093" s="63">
        <v>45901</v>
      </c>
      <c r="D3093" s="33" t="str">
        <f>VLOOKUP(B3093,辅助信息!E:K,7,FALSE)</f>
        <v>JWDDCD2025060900080</v>
      </c>
      <c r="E3093" s="33" t="str">
        <f>VLOOKUP(F3093,辅助信息!A:B,2,FALSE)</f>
        <v>螺纹钢</v>
      </c>
      <c r="F3093" s="33" t="s">
        <v>30</v>
      </c>
      <c r="G3093" s="29">
        <v>27.5</v>
      </c>
      <c r="H3093" s="135"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33" t="str">
        <f>VLOOKUP(B3093,辅助信息!E:I,3,FALSE)</f>
        <v>（华西简阳西城嘉苑）四川省成都市简阳市简城街道高屋村</v>
      </c>
      <c r="J3093" s="33" t="str">
        <f>VLOOKUP(B3093,辅助信息!E:I,4,FALSE)</f>
        <v>张瀚镭</v>
      </c>
      <c r="K3093" s="33">
        <f>VLOOKUP(J3093,辅助信息!H:I,2,FALSE)</f>
        <v>15884666220</v>
      </c>
      <c r="L3093" s="102" t="str">
        <f>VLOOKUP(B3093,辅助信息!E:J,6,FALSE)</f>
        <v>现场禁止使用氢能源挂车！优先威钢发货,我方卸车,新老国标钢厂不加价可直发，因陕钢多次出现磅差，项目拒绝使用</v>
      </c>
      <c r="M3093" s="84">
        <v>45902</v>
      </c>
      <c r="O3093" s="55">
        <f ca="1" t="shared" si="177"/>
        <v>0</v>
      </c>
      <c r="P3093" s="55">
        <f ca="1" t="shared" si="178"/>
        <v>55</v>
      </c>
      <c r="Q3093" s="22" t="str">
        <f>VLOOKUP(B3093,辅助信息!E:M,9,FALSE)</f>
        <v>ZTWM-CDGS-XS-2024-0030-华西集采-简州大道</v>
      </c>
      <c r="R3093" s="22" t="str">
        <f>_xlfn._xlws.FILTER(辅助信息!D:D,辅助信息!E:E=B3093)</f>
        <v>华西简阳西城嘉苑</v>
      </c>
    </row>
    <row r="3094" hidden="1" spans="2:18">
      <c r="B3094" s="33" t="s">
        <v>81</v>
      </c>
      <c r="C3094" s="63">
        <v>45901</v>
      </c>
      <c r="D3094" s="33" t="str">
        <f>VLOOKUP(B3094,辅助信息!E:K,7,FALSE)</f>
        <v>JWDDCD2025060900080</v>
      </c>
      <c r="E3094" s="33" t="str">
        <f>VLOOKUP(F3094,辅助信息!A:B,2,FALSE)</f>
        <v>螺纹钢</v>
      </c>
      <c r="F3094" s="33" t="s">
        <v>28</v>
      </c>
      <c r="G3094" s="29">
        <v>5</v>
      </c>
      <c r="H3094" s="135">
        <f>IF(SUMIFS('[1]2025年已发货'!$E:$E,'[1]2025年已发货'!$F:$F,C3094,'[1]2025年已发货'!$C:$C,F3094,'[1]2025年已发货'!$G:$G,I3094,'[1]2025年已发货'!$H:$H,J3094)=0,"未发货",SUMIFS('[1]2025年已发货'!$E:$E,'[1]2025年已发货'!$F:$F,C3094,'[1]2025年已发货'!$C:$C,F3094,'[1]2025年已发货'!$G:$G,I3094,'[1]2025年已发货'!$H:$H,J3094))</f>
        <v>5</v>
      </c>
      <c r="I3094" s="33" t="str">
        <f>VLOOKUP(B3094,辅助信息!E:I,3,FALSE)</f>
        <v>（华西简阳西城嘉苑）四川省成都市简阳市简城街道高屋村</v>
      </c>
      <c r="J3094" s="33" t="str">
        <f>VLOOKUP(B3094,辅助信息!E:I,4,FALSE)</f>
        <v>张瀚镭</v>
      </c>
      <c r="K3094" s="33">
        <f>VLOOKUP(J3094,辅助信息!H:I,2,FALSE)</f>
        <v>15884666220</v>
      </c>
      <c r="L3094" s="102" t="str">
        <f>VLOOKUP(B3094,辅助信息!E:J,6,FALSE)</f>
        <v>现场禁止使用氢能源挂车！优先威钢发货,我方卸车,新老国标钢厂不加价可直发，因陕钢多次出现磅差，项目拒绝使用</v>
      </c>
      <c r="M3094" s="84">
        <v>45902</v>
      </c>
      <c r="O3094" s="55">
        <f ca="1" t="shared" si="177"/>
        <v>0</v>
      </c>
      <c r="P3094" s="55">
        <f ca="1" t="shared" si="178"/>
        <v>55</v>
      </c>
      <c r="Q3094" s="22" t="str">
        <f>VLOOKUP(B3094,辅助信息!E:M,9,FALSE)</f>
        <v>ZTWM-CDGS-XS-2024-0030-华西集采-简州大道</v>
      </c>
      <c r="R3094" s="22" t="str">
        <f>_xlfn._xlws.FILTER(辅助信息!D:D,辅助信息!E:E=B3094)</f>
        <v>华西简阳西城嘉苑</v>
      </c>
    </row>
    <row r="3095" hidden="1" spans="2:18">
      <c r="B3095" s="33" t="s">
        <v>81</v>
      </c>
      <c r="C3095" s="63">
        <v>45901</v>
      </c>
      <c r="D3095" s="33" t="str">
        <f>VLOOKUP(B3095,辅助信息!E:K,7,FALSE)</f>
        <v>JWDDCD2025060900080</v>
      </c>
      <c r="E3095" s="33" t="str">
        <f>VLOOKUP(F3095,辅助信息!A:B,2,FALSE)</f>
        <v>螺纹钢</v>
      </c>
      <c r="F3095" s="33" t="s">
        <v>65</v>
      </c>
      <c r="G3095" s="29">
        <v>17</v>
      </c>
      <c r="H3095" s="135">
        <f>IF(SUMIFS('[1]2025年已发货'!$E:$E,'[1]2025年已发货'!$F:$F,C3095,'[1]2025年已发货'!$C:$C,F3095,'[1]2025年已发货'!$G:$G,I3095,'[1]2025年已发货'!$H:$H,J3095)=0,"未发货",SUMIFS('[1]2025年已发货'!$E:$E,'[1]2025年已发货'!$F:$F,C3095,'[1]2025年已发货'!$C:$C,F3095,'[1]2025年已发货'!$G:$G,I3095,'[1]2025年已发货'!$H:$H,J3095))</f>
        <v>17</v>
      </c>
      <c r="I3095" s="33" t="str">
        <f>VLOOKUP(B3095,辅助信息!E:I,3,FALSE)</f>
        <v>（华西简阳西城嘉苑）四川省成都市简阳市简城街道高屋村</v>
      </c>
      <c r="J3095" s="33" t="str">
        <f>VLOOKUP(B3095,辅助信息!E:I,4,FALSE)</f>
        <v>张瀚镭</v>
      </c>
      <c r="K3095" s="33">
        <f>VLOOKUP(J3095,辅助信息!H:I,2,FALSE)</f>
        <v>15884666220</v>
      </c>
      <c r="L3095" s="102" t="str">
        <f>VLOOKUP(B3095,辅助信息!E:J,6,FALSE)</f>
        <v>现场禁止使用氢能源挂车！优先威钢发货,我方卸车,新老国标钢厂不加价可直发，因陕钢多次出现磅差，项目拒绝使用</v>
      </c>
      <c r="M3095" s="84">
        <v>45902</v>
      </c>
      <c r="O3095" s="55">
        <f ca="1" t="shared" si="177"/>
        <v>0</v>
      </c>
      <c r="P3095" s="55">
        <f ca="1" t="shared" si="178"/>
        <v>55</v>
      </c>
      <c r="Q3095" s="22" t="str">
        <f>VLOOKUP(B3095,辅助信息!E:M,9,FALSE)</f>
        <v>ZTWM-CDGS-XS-2024-0030-华西集采-简州大道</v>
      </c>
      <c r="R3095" s="22" t="str">
        <f>_xlfn._xlws.FILTER(辅助信息!D:D,辅助信息!E:E=B3095)</f>
        <v>华西简阳西城嘉苑</v>
      </c>
    </row>
    <row r="3096" hidden="1" spans="2:18">
      <c r="B3096" s="33" t="s">
        <v>81</v>
      </c>
      <c r="C3096" s="63">
        <v>45901</v>
      </c>
      <c r="D3096" s="33" t="str">
        <f>VLOOKUP(B3096,辅助信息!E:K,7,FALSE)</f>
        <v>JWDDCD2025060900080</v>
      </c>
      <c r="E3096" s="33" t="str">
        <f>VLOOKUP(F3096,辅助信息!A:B,2,FALSE)</f>
        <v>螺纹钢</v>
      </c>
      <c r="F3096" s="33" t="s">
        <v>52</v>
      </c>
      <c r="G3096" s="29">
        <v>9</v>
      </c>
      <c r="H3096" s="135">
        <f>IF(SUMIFS('[1]2025年已发货'!$E:$E,'[1]2025年已发货'!$F:$F,C3096,'[1]2025年已发货'!$C:$C,F3096,'[1]2025年已发货'!$G:$G,I3096,'[1]2025年已发货'!$H:$H,J3096)=0,"未发货",SUMIFS('[1]2025年已发货'!$E:$E,'[1]2025年已发货'!$F:$F,C3096,'[1]2025年已发货'!$C:$C,F3096,'[1]2025年已发货'!$G:$G,I3096,'[1]2025年已发货'!$H:$H,J3096))</f>
        <v>9</v>
      </c>
      <c r="I3096" s="33" t="str">
        <f>VLOOKUP(B3096,辅助信息!E:I,3,FALSE)</f>
        <v>（华西简阳西城嘉苑）四川省成都市简阳市简城街道高屋村</v>
      </c>
      <c r="J3096" s="33" t="str">
        <f>VLOOKUP(B3096,辅助信息!E:I,4,FALSE)</f>
        <v>张瀚镭</v>
      </c>
      <c r="K3096" s="33">
        <f>VLOOKUP(J3096,辅助信息!H:I,2,FALSE)</f>
        <v>15884666220</v>
      </c>
      <c r="L3096" s="102" t="str">
        <f>VLOOKUP(B3096,辅助信息!E:J,6,FALSE)</f>
        <v>现场禁止使用氢能源挂车！优先威钢发货,我方卸车,新老国标钢厂不加价可直发，因陕钢多次出现磅差，项目拒绝使用</v>
      </c>
      <c r="M3096" s="84">
        <v>45902</v>
      </c>
      <c r="O3096" s="55">
        <f ca="1" t="shared" si="177"/>
        <v>0</v>
      </c>
      <c r="P3096" s="55">
        <f ca="1" t="shared" si="178"/>
        <v>55</v>
      </c>
      <c r="Q3096" s="22" t="str">
        <f>VLOOKUP(B3096,辅助信息!E:M,9,FALSE)</f>
        <v>ZTWM-CDGS-XS-2024-0030-华西集采-简州大道</v>
      </c>
      <c r="R3096" s="22" t="str">
        <f>_xlfn._xlws.FILTER(辅助信息!D:D,辅助信息!E:E=B3096)</f>
        <v>华西简阳西城嘉苑</v>
      </c>
    </row>
    <row r="3097" hidden="1" spans="2:18">
      <c r="B3097" s="33" t="s">
        <v>187</v>
      </c>
      <c r="C3097" s="63">
        <v>45901</v>
      </c>
      <c r="D3097" s="33" t="str">
        <f>VLOOKUP(B3097,辅助信息!E:K,7,FALSE)</f>
        <v>JWDDCD2025072900121</v>
      </c>
      <c r="E3097" s="33" t="str">
        <f>VLOOKUP(F3097,辅助信息!A:B,2,FALSE)</f>
        <v>螺纹钢</v>
      </c>
      <c r="F3097" s="33" t="s">
        <v>19</v>
      </c>
      <c r="G3097" s="29">
        <v>35</v>
      </c>
      <c r="H3097" s="135">
        <f>IF(SUMIFS('[1]2025年已发货'!$E:$E,'[1]2025年已发货'!$F:$F,C3097,'[1]2025年已发货'!$C:$C,F3097,'[1]2025年已发货'!$G:$G,I3097,'[1]2025年已发货'!$H:$H,J3097)=0,"未发货",SUMIFS('[1]2025年已发货'!$E:$E,'[1]2025年已发货'!$F:$F,C3097,'[1]2025年已发货'!$C:$C,F3097,'[1]2025年已发货'!$G:$G,I3097,'[1]2025年已发货'!$H:$H,J3097))</f>
        <v>35</v>
      </c>
      <c r="I3097" s="33" t="str">
        <f>VLOOKUP(B3097,辅助信息!E:I,3,FALSE)</f>
        <v>(乐山市校地共建产教融合基地建设项目一标段)四川省乐山市市中区苏稽镇周山嘴</v>
      </c>
      <c r="J3097" s="33" t="str">
        <f>VLOOKUP(B3097,辅助信息!E:I,4,FALSE)</f>
        <v>范增云</v>
      </c>
      <c r="K3097" s="33">
        <f>VLOOKUP(J3097,辅助信息!H:I,2,FALSE)</f>
        <v>13668153241</v>
      </c>
      <c r="L3097" s="102" t="str">
        <f>VLOOKUP(B3097,辅助信息!E:J,6,FALSE)</f>
        <v>联系实际收货人（范增云13668153241）现场要求炉批号控制2个以下，超2个不给予签收。提前联系到场规格及数量</v>
      </c>
      <c r="M3097" s="84">
        <v>45901</v>
      </c>
      <c r="O3097" s="55">
        <f ca="1" t="shared" si="177"/>
        <v>0</v>
      </c>
      <c r="P3097" s="55">
        <f ca="1" t="shared" si="178"/>
        <v>56</v>
      </c>
      <c r="Q3097" s="22" t="str">
        <f>VLOOKUP(B3097,辅助信息!E:M,9,FALSE)</f>
        <v>ZTWM-CDGS-XS-2025-0125-四川机司-乐山市校地共建产教融合基地配套设施项目施工一标段钢筋采购合同</v>
      </c>
      <c r="R3097" s="22" t="str">
        <f>_xlfn._xlws.FILTER(辅助信息!D:D,辅助信息!E:E=B3097)</f>
        <v>乐山市校地共建产教融合基地建设项目一标段</v>
      </c>
    </row>
    <row r="3098" hidden="1" spans="2:18">
      <c r="B3098" s="33" t="s">
        <v>187</v>
      </c>
      <c r="C3098" s="63">
        <v>45901</v>
      </c>
      <c r="D3098" s="33" t="str">
        <f>VLOOKUP(B3098,辅助信息!E:K,7,FALSE)</f>
        <v>JWDDCD2025072900121</v>
      </c>
      <c r="E3098" s="33" t="str">
        <f>VLOOKUP(F3098,辅助信息!A:B,2,FALSE)</f>
        <v>螺纹钢</v>
      </c>
      <c r="F3098" s="33" t="s">
        <v>199</v>
      </c>
      <c r="G3098" s="29">
        <v>6</v>
      </c>
      <c r="H3098" s="135">
        <f>IF(SUMIFS('[1]2025年已发货'!$E:$E,'[1]2025年已发货'!$F:$F,C3098,'[1]2025年已发货'!$C:$C,F3098,'[1]2025年已发货'!$G:$G,I3098,'[1]2025年已发货'!$H:$H,J3098)=0,"未发货",SUMIFS('[1]2025年已发货'!$E:$E,'[1]2025年已发货'!$F:$F,C3098,'[1]2025年已发货'!$C:$C,F3098,'[1]2025年已发货'!$G:$G,I3098,'[1]2025年已发货'!$H:$H,J3098))</f>
        <v>6</v>
      </c>
      <c r="I3098" s="33" t="str">
        <f>VLOOKUP(B3098,辅助信息!E:I,3,FALSE)</f>
        <v>(乐山市校地共建产教融合基地建设项目一标段)四川省乐山市市中区苏稽镇周山嘴</v>
      </c>
      <c r="J3098" s="33" t="str">
        <f>VLOOKUP(B3098,辅助信息!E:I,4,FALSE)</f>
        <v>范增云</v>
      </c>
      <c r="K3098" s="33">
        <f>VLOOKUP(J3098,辅助信息!H:I,2,FALSE)</f>
        <v>13668153241</v>
      </c>
      <c r="L3098" s="102" t="str">
        <f>VLOOKUP(B3098,辅助信息!E:J,6,FALSE)</f>
        <v>联系实际收货人（范增云13668153241）现场要求炉批号控制2个以下，超2个不给予签收。提前联系到场规格及数量</v>
      </c>
      <c r="M3098" s="84">
        <v>45901</v>
      </c>
      <c r="O3098" s="55">
        <f ca="1" t="shared" si="177"/>
        <v>0</v>
      </c>
      <c r="P3098" s="55">
        <f ca="1" t="shared" si="178"/>
        <v>56</v>
      </c>
      <c r="Q3098" s="22" t="str">
        <f>VLOOKUP(B3098,辅助信息!E:M,9,FALSE)</f>
        <v>ZTWM-CDGS-XS-2025-0125-四川机司-乐山市校地共建产教融合基地配套设施项目施工一标段钢筋采购合同</v>
      </c>
      <c r="R3098" s="22" t="str">
        <f>_xlfn._xlws.FILTER(辅助信息!D:D,辅助信息!E:E=B3098)</f>
        <v>乐山市校地共建产教融合基地建设项目一标段</v>
      </c>
    </row>
    <row r="3099" hidden="1" spans="2:18">
      <c r="B3099" s="33" t="s">
        <v>187</v>
      </c>
      <c r="C3099" s="63">
        <v>45901</v>
      </c>
      <c r="D3099" s="33" t="str">
        <f>VLOOKUP(B3099,辅助信息!E:K,7,FALSE)</f>
        <v>JWDDCD2025072900121</v>
      </c>
      <c r="E3099" s="33" t="str">
        <f>VLOOKUP(F3099,辅助信息!A:B,2,FALSE)</f>
        <v>螺纹钢</v>
      </c>
      <c r="F3099" s="33" t="s">
        <v>141</v>
      </c>
      <c r="G3099" s="29">
        <v>6</v>
      </c>
      <c r="H3099" s="135">
        <f>IF(SUMIFS('[1]2025年已发货'!$E:$E,'[1]2025年已发货'!$F:$F,C3099,'[1]2025年已发货'!$C:$C,F3099,'[1]2025年已发货'!$G:$G,I3099,'[1]2025年已发货'!$H:$H,J3099)=0,"未发货",SUMIFS('[1]2025年已发货'!$E:$E,'[1]2025年已发货'!$F:$F,C3099,'[1]2025年已发货'!$C:$C,F3099,'[1]2025年已发货'!$G:$G,I3099,'[1]2025年已发货'!$H:$H,J3099))</f>
        <v>6</v>
      </c>
      <c r="I3099" s="33" t="str">
        <f>VLOOKUP(B3099,辅助信息!E:I,3,FALSE)</f>
        <v>(乐山市校地共建产教融合基地建设项目一标段)四川省乐山市市中区苏稽镇周山嘴</v>
      </c>
      <c r="J3099" s="33" t="str">
        <f>VLOOKUP(B3099,辅助信息!E:I,4,FALSE)</f>
        <v>范增云</v>
      </c>
      <c r="K3099" s="33">
        <f>VLOOKUP(J3099,辅助信息!H:I,2,FALSE)</f>
        <v>13668153241</v>
      </c>
      <c r="L3099" s="102" t="str">
        <f>VLOOKUP(B3099,辅助信息!E:J,6,FALSE)</f>
        <v>联系实际收货人（范增云13668153241）现场要求炉批号控制2个以下，超2个不给予签收。提前联系到场规格及数量</v>
      </c>
      <c r="M3099" s="84">
        <v>45901</v>
      </c>
      <c r="O3099" s="55">
        <f ca="1" t="shared" si="177"/>
        <v>0</v>
      </c>
      <c r="P3099" s="55">
        <f ca="1" t="shared" si="178"/>
        <v>56</v>
      </c>
      <c r="Q3099" s="22" t="str">
        <f>VLOOKUP(B3099,辅助信息!E:M,9,FALSE)</f>
        <v>ZTWM-CDGS-XS-2025-0125-四川机司-乐山市校地共建产教融合基地配套设施项目施工一标段钢筋采购合同</v>
      </c>
      <c r="R3099" s="22" t="str">
        <f>_xlfn._xlws.FILTER(辅助信息!D:D,辅助信息!E:E=B3099)</f>
        <v>乐山市校地共建产教融合基地建设项目一标段</v>
      </c>
    </row>
    <row r="3100" hidden="1" spans="2:18">
      <c r="B3100" s="33" t="s">
        <v>187</v>
      </c>
      <c r="C3100" s="63">
        <v>45901</v>
      </c>
      <c r="D3100" s="33" t="str">
        <f>VLOOKUP(B3100,辅助信息!E:K,7,FALSE)</f>
        <v>JWDDCD2025072900121</v>
      </c>
      <c r="E3100" s="33" t="str">
        <f>VLOOKUP(F3100,辅助信息!A:B,2,FALSE)</f>
        <v>螺纹钢</v>
      </c>
      <c r="F3100" s="33" t="s">
        <v>142</v>
      </c>
      <c r="G3100" s="29">
        <v>35</v>
      </c>
      <c r="H3100" s="135">
        <f>IF(SUMIFS('[1]2025年已发货'!$E:$E,'[1]2025年已发货'!$F:$F,C3100,'[1]2025年已发货'!$C:$C,F3100,'[1]2025年已发货'!$G:$G,I3100,'[1]2025年已发货'!$H:$H,J3100)=0,"未发货",SUMIFS('[1]2025年已发货'!$E:$E,'[1]2025年已发货'!$F:$F,C3100,'[1]2025年已发货'!$C:$C,F3100,'[1]2025年已发货'!$G:$G,I3100,'[1]2025年已发货'!$H:$H,J3100))</f>
        <v>35</v>
      </c>
      <c r="I3100" s="33" t="str">
        <f>VLOOKUP(B3100,辅助信息!E:I,3,FALSE)</f>
        <v>(乐山市校地共建产教融合基地建设项目一标段)四川省乐山市市中区苏稽镇周山嘴</v>
      </c>
      <c r="J3100" s="33" t="str">
        <f>VLOOKUP(B3100,辅助信息!E:I,4,FALSE)</f>
        <v>范增云</v>
      </c>
      <c r="K3100" s="33">
        <f>VLOOKUP(J3100,辅助信息!H:I,2,FALSE)</f>
        <v>13668153241</v>
      </c>
      <c r="L3100" s="102" t="str">
        <f>VLOOKUP(B3100,辅助信息!E:J,6,FALSE)</f>
        <v>联系实际收货人（范增云13668153241）现场要求炉批号控制2个以下，超2个不给予签收。提前联系到场规格及数量</v>
      </c>
      <c r="M3100" s="84">
        <v>45901</v>
      </c>
      <c r="O3100" s="55">
        <f ca="1" t="shared" si="177"/>
        <v>0</v>
      </c>
      <c r="P3100" s="55">
        <f ca="1" t="shared" si="178"/>
        <v>56</v>
      </c>
      <c r="Q3100" s="22" t="str">
        <f>VLOOKUP(B3100,辅助信息!E:M,9,FALSE)</f>
        <v>ZTWM-CDGS-XS-2025-0125-四川机司-乐山市校地共建产教融合基地配套设施项目施工一标段钢筋采购合同</v>
      </c>
      <c r="R3100" s="22" t="str">
        <f>_xlfn._xlws.FILTER(辅助信息!D:D,辅助信息!E:E=B3100)</f>
        <v>乐山市校地共建产教融合基地建设项目一标段</v>
      </c>
    </row>
    <row r="3101" hidden="1" spans="2:18">
      <c r="B3101" s="33" t="s">
        <v>187</v>
      </c>
      <c r="C3101" s="63">
        <v>45901</v>
      </c>
      <c r="D3101" s="33" t="str">
        <f>VLOOKUP(B3101,辅助信息!E:K,7,FALSE)</f>
        <v>JWDDCD2025072900121</v>
      </c>
      <c r="E3101" s="33" t="str">
        <f>VLOOKUP(F3101,辅助信息!A:B,2,FALSE)</f>
        <v>螺纹钢</v>
      </c>
      <c r="F3101" s="33" t="s">
        <v>182</v>
      </c>
      <c r="G3101" s="29">
        <v>9</v>
      </c>
      <c r="H3101" s="135">
        <f>IF(SUMIFS('[1]2025年已发货'!$E:$E,'[1]2025年已发货'!$F:$F,C3101,'[1]2025年已发货'!$C:$C,F3101,'[1]2025年已发货'!$G:$G,I3101,'[1]2025年已发货'!$H:$H,J3101)=0,"未发货",SUMIFS('[1]2025年已发货'!$E:$E,'[1]2025年已发货'!$F:$F,C3101,'[1]2025年已发货'!$C:$C,F3101,'[1]2025年已发货'!$G:$G,I3101,'[1]2025年已发货'!$H:$H,J3101))</f>
        <v>9</v>
      </c>
      <c r="I3101" s="33" t="str">
        <f>VLOOKUP(B3101,辅助信息!E:I,3,FALSE)</f>
        <v>(乐山市校地共建产教融合基地建设项目一标段)四川省乐山市市中区苏稽镇周山嘴</v>
      </c>
      <c r="J3101" s="33" t="str">
        <f>VLOOKUP(B3101,辅助信息!E:I,4,FALSE)</f>
        <v>范增云</v>
      </c>
      <c r="K3101" s="33">
        <f>VLOOKUP(J3101,辅助信息!H:I,2,FALSE)</f>
        <v>13668153241</v>
      </c>
      <c r="L3101" s="102" t="str">
        <f>VLOOKUP(B3101,辅助信息!E:J,6,FALSE)</f>
        <v>联系实际收货人（范增云13668153241）现场要求炉批号控制2个以下，超2个不给予签收。提前联系到场规格及数量</v>
      </c>
      <c r="M3101" s="84">
        <v>45901</v>
      </c>
      <c r="O3101" s="55">
        <f ca="1" t="shared" si="177"/>
        <v>0</v>
      </c>
      <c r="P3101" s="55">
        <f ca="1" t="shared" si="178"/>
        <v>56</v>
      </c>
      <c r="Q3101" s="22" t="str">
        <f>VLOOKUP(B3101,辅助信息!E:M,9,FALSE)</f>
        <v>ZTWM-CDGS-XS-2025-0125-四川机司-乐山市校地共建产教融合基地配套设施项目施工一标段钢筋采购合同</v>
      </c>
      <c r="R3101" s="22" t="str">
        <f>_xlfn._xlws.FILTER(辅助信息!D:D,辅助信息!E:E=B3101)</f>
        <v>乐山市校地共建产教融合基地建设项目一标段</v>
      </c>
    </row>
    <row r="3102" hidden="1" spans="2:18">
      <c r="B3102" s="33" t="s">
        <v>187</v>
      </c>
      <c r="C3102" s="63">
        <v>45901</v>
      </c>
      <c r="D3102" s="33" t="str">
        <f>VLOOKUP(B3102,辅助信息!E:K,7,FALSE)</f>
        <v>JWDDCD2025072900121</v>
      </c>
      <c r="E3102" s="33" t="str">
        <f>VLOOKUP(F3102,辅助信息!A:B,2,FALSE)</f>
        <v>螺纹钢</v>
      </c>
      <c r="F3102" s="33" t="s">
        <v>201</v>
      </c>
      <c r="G3102" s="29">
        <v>14</v>
      </c>
      <c r="H3102" s="135">
        <f>IF(SUMIFS('[1]2025年已发货'!$E:$E,'[1]2025年已发货'!$F:$F,C3102,'[1]2025年已发货'!$C:$C,F3102,'[1]2025年已发货'!$G:$G,I3102,'[1]2025年已发货'!$H:$H,J3102)=0,"未发货",SUMIFS('[1]2025年已发货'!$E:$E,'[1]2025年已发货'!$F:$F,C3102,'[1]2025年已发货'!$C:$C,F3102,'[1]2025年已发货'!$G:$G,I3102,'[1]2025年已发货'!$H:$H,J3102))</f>
        <v>14</v>
      </c>
      <c r="I3102" s="33" t="str">
        <f>VLOOKUP(B3102,辅助信息!E:I,3,FALSE)</f>
        <v>(乐山市校地共建产教融合基地建设项目一标段)四川省乐山市市中区苏稽镇周山嘴</v>
      </c>
      <c r="J3102" s="33" t="str">
        <f>VLOOKUP(B3102,辅助信息!E:I,4,FALSE)</f>
        <v>范增云</v>
      </c>
      <c r="K3102" s="33">
        <f>VLOOKUP(J3102,辅助信息!H:I,2,FALSE)</f>
        <v>13668153241</v>
      </c>
      <c r="L3102" s="102" t="str">
        <f>VLOOKUP(B3102,辅助信息!E:J,6,FALSE)</f>
        <v>联系实际收货人（范增云13668153241）现场要求炉批号控制2个以下，超2个不给予签收。提前联系到场规格及数量</v>
      </c>
      <c r="M3102" s="84">
        <v>45901</v>
      </c>
      <c r="O3102" s="55">
        <f ca="1" t="shared" si="177"/>
        <v>0</v>
      </c>
      <c r="P3102" s="55">
        <f ca="1" t="shared" si="178"/>
        <v>56</v>
      </c>
      <c r="Q3102" s="22" t="str">
        <f>VLOOKUP(B3102,辅助信息!E:M,9,FALSE)</f>
        <v>ZTWM-CDGS-XS-2025-0125-四川机司-乐山市校地共建产教融合基地配套设施项目施工一标段钢筋采购合同</v>
      </c>
      <c r="R3102" s="22" t="str">
        <f>_xlfn._xlws.FILTER(辅助信息!D:D,辅助信息!E:E=B3102)</f>
        <v>乐山市校地共建产教融合基地建设项目一标段</v>
      </c>
    </row>
    <row r="3103" hidden="1" spans="2:18">
      <c r="B3103" s="113" t="s">
        <v>211</v>
      </c>
      <c r="C3103" s="63">
        <v>45902</v>
      </c>
      <c r="D3103" s="113" t="e">
        <f>VLOOKUP(B3103,辅助信息!E:K,7,FALSE)</f>
        <v>#N/A</v>
      </c>
      <c r="E3103" s="113" t="str">
        <f>VLOOKUP(F3103,辅助信息!A:B,2,FALSE)</f>
        <v>盘螺</v>
      </c>
      <c r="F3103" s="113" t="s">
        <v>40</v>
      </c>
      <c r="G3103" s="114">
        <v>2.5</v>
      </c>
      <c r="H3103" s="127"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13" t="e">
        <f>VLOOKUP(B3103,辅助信息!E:I,3,FALSE)</f>
        <v>#N/A</v>
      </c>
      <c r="J3103" s="113" t="e">
        <f>VLOOKUP(B3103,辅助信息!E:I,4,FALSE)</f>
        <v>#N/A</v>
      </c>
      <c r="K3103" s="113" t="e">
        <f>VLOOKUP(J3103,辅助信息!H:I,2,FALSE)</f>
        <v>#N/A</v>
      </c>
      <c r="L3103" s="115" t="e">
        <f>VLOOKUP(B3103,辅助信息!E:J,6,FALSE)</f>
        <v>#N/A</v>
      </c>
      <c r="M3103" s="84">
        <v>45903</v>
      </c>
      <c r="N3103" s="55" t="e">
        <f ca="1" t="shared" ref="N3103:N3124" si="179">IF(OR(L3103="",M3103&lt;&gt;""),"",MAX(L3103-TODAY(),0))</f>
        <v>#N/A</v>
      </c>
      <c r="O3103" s="55" t="e">
        <f ca="1" t="shared" si="177"/>
        <v>#N/A</v>
      </c>
      <c r="P3103" s="137" t="e">
        <f ca="1" t="shared" si="178"/>
        <v>#N/A</v>
      </c>
      <c r="Q3103" s="22" t="e">
        <f>VLOOKUP(B3103,辅助信息!E:M,9,FALSE)</f>
        <v>#N/A</v>
      </c>
      <c r="R3103" s="138" vm="1" t="e">
        <f>_xlfn._xlws.FILTER(辅助信息!D:D,辅助信息!E:E=B3103)</f>
        <v>#VALUE!</v>
      </c>
    </row>
    <row r="3104" hidden="1" spans="2:18">
      <c r="B3104" s="113" t="s">
        <v>211</v>
      </c>
      <c r="C3104" s="63">
        <v>45902</v>
      </c>
      <c r="D3104" s="113" t="e">
        <f>VLOOKUP(B3104,辅助信息!E:K,7,FALSE)</f>
        <v>#N/A</v>
      </c>
      <c r="E3104" s="113" t="str">
        <f>VLOOKUP(F3104,辅助信息!A:B,2,FALSE)</f>
        <v>盘螺</v>
      </c>
      <c r="F3104" s="113" t="s">
        <v>41</v>
      </c>
      <c r="G3104" s="114">
        <v>2.5</v>
      </c>
      <c r="H3104" s="127"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13" t="e">
        <f>VLOOKUP(B3104,辅助信息!E:I,3,FALSE)</f>
        <v>#N/A</v>
      </c>
      <c r="J3104" s="113" t="e">
        <f>VLOOKUP(B3104,辅助信息!E:I,4,FALSE)</f>
        <v>#N/A</v>
      </c>
      <c r="K3104" s="113" t="e">
        <f>VLOOKUP(J3104,辅助信息!H:I,2,FALSE)</f>
        <v>#N/A</v>
      </c>
      <c r="L3104" s="115" t="e">
        <f>VLOOKUP(B3104,辅助信息!E:J,6,FALSE)</f>
        <v>#N/A</v>
      </c>
      <c r="M3104" s="84">
        <v>45903</v>
      </c>
      <c r="N3104" s="55" t="e">
        <f ca="1" t="shared" si="179"/>
        <v>#N/A</v>
      </c>
      <c r="O3104" s="55" t="e">
        <f ca="1" t="shared" ref="O3103:O3167" si="180">IF(OR(M3104="",N3104&lt;&gt;""),"",MAX(M3104-TODAY(),0))</f>
        <v>#N/A</v>
      </c>
      <c r="P3104" s="137" t="e">
        <f ca="1" t="shared" ref="P3103:P3167" si="181">IF(M3104="","",IF(N3104&lt;&gt;"",MAX(N3104-M3104,0),IF(TODAY()&gt;M3104,TODAY()-M3104,0)))</f>
        <v>#N/A</v>
      </c>
      <c r="Q3104" s="22" t="e">
        <f>VLOOKUP(B3104,辅助信息!E:M,9,FALSE)</f>
        <v>#N/A</v>
      </c>
      <c r="R3104" s="138" vm="1" t="e">
        <f>_xlfn._xlws.FILTER(辅助信息!D:D,辅助信息!E:E=B3104)</f>
        <v>#VALUE!</v>
      </c>
    </row>
    <row r="3105" hidden="1" spans="2:18">
      <c r="B3105" s="113" t="s">
        <v>211</v>
      </c>
      <c r="C3105" s="63">
        <v>45902</v>
      </c>
      <c r="D3105" s="113" t="e">
        <f>VLOOKUP(B3105,辅助信息!E:K,7,FALSE)</f>
        <v>#N/A</v>
      </c>
      <c r="E3105" s="113" t="str">
        <f>VLOOKUP(F3105,辅助信息!A:B,2,FALSE)</f>
        <v>螺纹钢</v>
      </c>
      <c r="F3105" s="113" t="s">
        <v>27</v>
      </c>
      <c r="G3105" s="114">
        <v>6</v>
      </c>
      <c r="H3105" s="127"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13" t="e">
        <f>VLOOKUP(B3105,辅助信息!E:I,3,FALSE)</f>
        <v>#N/A</v>
      </c>
      <c r="J3105" s="113" t="e">
        <f>VLOOKUP(B3105,辅助信息!E:I,4,FALSE)</f>
        <v>#N/A</v>
      </c>
      <c r="K3105" s="113" t="e">
        <f>VLOOKUP(J3105,辅助信息!H:I,2,FALSE)</f>
        <v>#N/A</v>
      </c>
      <c r="L3105" s="115" t="e">
        <f>VLOOKUP(B3105,辅助信息!E:J,6,FALSE)</f>
        <v>#N/A</v>
      </c>
      <c r="M3105" s="84">
        <v>45903</v>
      </c>
      <c r="N3105" s="55" t="e">
        <f ca="1" t="shared" si="179"/>
        <v>#N/A</v>
      </c>
      <c r="O3105" s="55" t="e">
        <f ca="1" t="shared" si="180"/>
        <v>#N/A</v>
      </c>
      <c r="P3105" s="137" t="e">
        <f ca="1" t="shared" si="181"/>
        <v>#N/A</v>
      </c>
      <c r="Q3105" s="22" t="e">
        <f>VLOOKUP(B3105,辅助信息!E:M,9,FALSE)</f>
        <v>#N/A</v>
      </c>
      <c r="R3105" s="138" vm="1" t="e">
        <f>_xlfn._xlws.FILTER(辅助信息!D:D,辅助信息!E:E=B3105)</f>
        <v>#VALUE!</v>
      </c>
    </row>
    <row r="3106" hidden="1" spans="2:18">
      <c r="B3106" s="113" t="s">
        <v>211</v>
      </c>
      <c r="C3106" s="63">
        <v>45902</v>
      </c>
      <c r="D3106" s="113" t="e">
        <f>VLOOKUP(B3106,辅助信息!E:K,7,FALSE)</f>
        <v>#N/A</v>
      </c>
      <c r="E3106" s="113" t="str">
        <f>VLOOKUP(F3106,辅助信息!A:B,2,FALSE)</f>
        <v>螺纹钢</v>
      </c>
      <c r="F3106" s="113" t="s">
        <v>19</v>
      </c>
      <c r="G3106" s="114">
        <v>3</v>
      </c>
      <c r="H3106" s="127"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13" t="e">
        <f>VLOOKUP(B3106,辅助信息!E:I,3,FALSE)</f>
        <v>#N/A</v>
      </c>
      <c r="J3106" s="113" t="e">
        <f>VLOOKUP(B3106,辅助信息!E:I,4,FALSE)</f>
        <v>#N/A</v>
      </c>
      <c r="K3106" s="113" t="e">
        <f>VLOOKUP(J3106,辅助信息!H:I,2,FALSE)</f>
        <v>#N/A</v>
      </c>
      <c r="L3106" s="115" t="e">
        <f>VLOOKUP(B3106,辅助信息!E:J,6,FALSE)</f>
        <v>#N/A</v>
      </c>
      <c r="M3106" s="84">
        <v>45903</v>
      </c>
      <c r="N3106" s="55" t="e">
        <f ca="1" t="shared" si="179"/>
        <v>#N/A</v>
      </c>
      <c r="O3106" s="55" t="e">
        <f ca="1" t="shared" si="180"/>
        <v>#N/A</v>
      </c>
      <c r="P3106" s="137" t="e">
        <f ca="1" t="shared" si="181"/>
        <v>#N/A</v>
      </c>
      <c r="Q3106" s="22" t="e">
        <f>VLOOKUP(B3106,辅助信息!E:M,9,FALSE)</f>
        <v>#N/A</v>
      </c>
      <c r="R3106" s="138" vm="1" t="e">
        <f>_xlfn._xlws.FILTER(辅助信息!D:D,辅助信息!E:E=B3106)</f>
        <v>#VALUE!</v>
      </c>
    </row>
    <row r="3107" hidden="1" spans="2:18">
      <c r="B3107" s="113" t="s">
        <v>211</v>
      </c>
      <c r="C3107" s="63">
        <v>45902</v>
      </c>
      <c r="D3107" s="113" t="e">
        <f>VLOOKUP(B3107,辅助信息!E:K,7,FALSE)</f>
        <v>#N/A</v>
      </c>
      <c r="E3107" s="113" t="str">
        <f>VLOOKUP(F3107,辅助信息!A:B,2,FALSE)</f>
        <v>螺纹钢</v>
      </c>
      <c r="F3107" s="113" t="s">
        <v>32</v>
      </c>
      <c r="G3107" s="114">
        <v>3</v>
      </c>
      <c r="H3107" s="127"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13" t="e">
        <f>VLOOKUP(B3107,辅助信息!E:I,3,FALSE)</f>
        <v>#N/A</v>
      </c>
      <c r="J3107" s="113" t="e">
        <f>VLOOKUP(B3107,辅助信息!E:I,4,FALSE)</f>
        <v>#N/A</v>
      </c>
      <c r="K3107" s="113" t="e">
        <f>VLOOKUP(J3107,辅助信息!H:I,2,FALSE)</f>
        <v>#N/A</v>
      </c>
      <c r="L3107" s="115" t="e">
        <f>VLOOKUP(B3107,辅助信息!E:J,6,FALSE)</f>
        <v>#N/A</v>
      </c>
      <c r="M3107" s="84">
        <v>45903</v>
      </c>
      <c r="N3107" s="55" t="e">
        <f ca="1" t="shared" si="179"/>
        <v>#N/A</v>
      </c>
      <c r="O3107" s="55" t="e">
        <f ca="1" t="shared" si="180"/>
        <v>#N/A</v>
      </c>
      <c r="P3107" s="137" t="e">
        <f ca="1" t="shared" si="181"/>
        <v>#N/A</v>
      </c>
      <c r="Q3107" s="22" t="e">
        <f>VLOOKUP(B3107,辅助信息!E:M,9,FALSE)</f>
        <v>#N/A</v>
      </c>
      <c r="R3107" s="138" vm="1" t="e">
        <f>_xlfn._xlws.FILTER(辅助信息!D:D,辅助信息!E:E=B3107)</f>
        <v>#VALUE!</v>
      </c>
    </row>
    <row r="3108" hidden="1" spans="2:18">
      <c r="B3108" s="113" t="s">
        <v>211</v>
      </c>
      <c r="C3108" s="63">
        <v>45902</v>
      </c>
      <c r="D3108" s="113" t="e">
        <f>VLOOKUP(B3108,辅助信息!E:K,7,FALSE)</f>
        <v>#N/A</v>
      </c>
      <c r="E3108" s="113" t="str">
        <f>VLOOKUP(F3108,辅助信息!A:B,2,FALSE)</f>
        <v>螺纹钢</v>
      </c>
      <c r="F3108" s="113" t="s">
        <v>30</v>
      </c>
      <c r="G3108" s="114">
        <v>6</v>
      </c>
      <c r="H3108" s="127"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13" t="e">
        <f>VLOOKUP(B3108,辅助信息!E:I,3,FALSE)</f>
        <v>#N/A</v>
      </c>
      <c r="J3108" s="113" t="e">
        <f>VLOOKUP(B3108,辅助信息!E:I,4,FALSE)</f>
        <v>#N/A</v>
      </c>
      <c r="K3108" s="113" t="e">
        <f>VLOOKUP(J3108,辅助信息!H:I,2,FALSE)</f>
        <v>#N/A</v>
      </c>
      <c r="L3108" s="115" t="e">
        <f>VLOOKUP(B3108,辅助信息!E:J,6,FALSE)</f>
        <v>#N/A</v>
      </c>
      <c r="M3108" s="84">
        <v>45903</v>
      </c>
      <c r="N3108" s="55" t="e">
        <f ca="1" t="shared" si="179"/>
        <v>#N/A</v>
      </c>
      <c r="O3108" s="55" t="e">
        <f ca="1" t="shared" si="180"/>
        <v>#N/A</v>
      </c>
      <c r="P3108" s="137" t="e">
        <f ca="1" t="shared" si="181"/>
        <v>#N/A</v>
      </c>
      <c r="Q3108" s="22" t="e">
        <f>VLOOKUP(B3108,辅助信息!E:M,9,FALSE)</f>
        <v>#N/A</v>
      </c>
      <c r="R3108" s="138" vm="1" t="e">
        <f>_xlfn._xlws.FILTER(辅助信息!D:D,辅助信息!E:E=B3108)</f>
        <v>#VALUE!</v>
      </c>
    </row>
    <row r="3109" hidden="1" spans="2:18">
      <c r="B3109" s="113" t="s">
        <v>211</v>
      </c>
      <c r="C3109" s="63">
        <v>45902</v>
      </c>
      <c r="D3109" s="113" t="e">
        <f>VLOOKUP(B3109,辅助信息!E:K,7,FALSE)</f>
        <v>#N/A</v>
      </c>
      <c r="E3109" s="113" t="str">
        <f>VLOOKUP(F3109,辅助信息!A:B,2,FALSE)</f>
        <v>螺纹钢</v>
      </c>
      <c r="F3109" s="113" t="s">
        <v>33</v>
      </c>
      <c r="G3109" s="114">
        <v>3</v>
      </c>
      <c r="H3109" s="127"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13" t="e">
        <f>VLOOKUP(B3109,辅助信息!E:I,3,FALSE)</f>
        <v>#N/A</v>
      </c>
      <c r="J3109" s="113" t="e">
        <f>VLOOKUP(B3109,辅助信息!E:I,4,FALSE)</f>
        <v>#N/A</v>
      </c>
      <c r="K3109" s="113" t="e">
        <f>VLOOKUP(J3109,辅助信息!H:I,2,FALSE)</f>
        <v>#N/A</v>
      </c>
      <c r="L3109" s="115" t="e">
        <f>VLOOKUP(B3109,辅助信息!E:J,6,FALSE)</f>
        <v>#N/A</v>
      </c>
      <c r="M3109" s="84">
        <v>45903</v>
      </c>
      <c r="N3109" s="55" t="e">
        <f ca="1" t="shared" si="179"/>
        <v>#N/A</v>
      </c>
      <c r="O3109" s="55" t="e">
        <f ca="1" t="shared" si="180"/>
        <v>#N/A</v>
      </c>
      <c r="P3109" s="137" t="e">
        <f ca="1" t="shared" si="181"/>
        <v>#N/A</v>
      </c>
      <c r="Q3109" s="22" t="e">
        <f>VLOOKUP(B3109,辅助信息!E:M,9,FALSE)</f>
        <v>#N/A</v>
      </c>
      <c r="R3109" s="138" vm="1" t="e">
        <f>_xlfn._xlws.FILTER(辅助信息!D:D,辅助信息!E:E=B3109)</f>
        <v>#VALUE!</v>
      </c>
    </row>
    <row r="3110" hidden="1" spans="2:18">
      <c r="B3110" s="113" t="s">
        <v>211</v>
      </c>
      <c r="C3110" s="63">
        <v>45902</v>
      </c>
      <c r="D3110" s="113" t="e">
        <f>VLOOKUP(B3110,辅助信息!E:K,7,FALSE)</f>
        <v>#N/A</v>
      </c>
      <c r="E3110" s="113" t="str">
        <f>VLOOKUP(F3110,辅助信息!A:B,2,FALSE)</f>
        <v>螺纹钢</v>
      </c>
      <c r="F3110" s="113" t="s">
        <v>28</v>
      </c>
      <c r="G3110" s="114">
        <v>6</v>
      </c>
      <c r="H3110" s="127"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13" t="e">
        <f>VLOOKUP(B3110,辅助信息!E:I,3,FALSE)</f>
        <v>#N/A</v>
      </c>
      <c r="J3110" s="113" t="e">
        <f>VLOOKUP(B3110,辅助信息!E:I,4,FALSE)</f>
        <v>#N/A</v>
      </c>
      <c r="K3110" s="113" t="e">
        <f>VLOOKUP(J3110,辅助信息!H:I,2,FALSE)</f>
        <v>#N/A</v>
      </c>
      <c r="L3110" s="115" t="e">
        <f>VLOOKUP(B3110,辅助信息!E:J,6,FALSE)</f>
        <v>#N/A</v>
      </c>
      <c r="M3110" s="84">
        <v>45903</v>
      </c>
      <c r="N3110" s="55" t="e">
        <f ca="1" t="shared" si="179"/>
        <v>#N/A</v>
      </c>
      <c r="O3110" s="55" t="e">
        <f ca="1" t="shared" si="180"/>
        <v>#N/A</v>
      </c>
      <c r="P3110" s="137" t="e">
        <f ca="1" t="shared" si="181"/>
        <v>#N/A</v>
      </c>
      <c r="Q3110" s="22" t="e">
        <f>VLOOKUP(B3110,辅助信息!E:M,9,FALSE)</f>
        <v>#N/A</v>
      </c>
      <c r="R3110" s="138" vm="1" t="e">
        <f>_xlfn._xlws.FILTER(辅助信息!D:D,辅助信息!E:E=B3110)</f>
        <v>#VALUE!</v>
      </c>
    </row>
    <row r="3111" hidden="1" spans="2:18">
      <c r="B3111" s="113" t="s">
        <v>211</v>
      </c>
      <c r="C3111" s="63">
        <v>45902</v>
      </c>
      <c r="D3111" s="113" t="e">
        <f>VLOOKUP(B3111,辅助信息!E:K,7,FALSE)</f>
        <v>#N/A</v>
      </c>
      <c r="E3111" s="113" t="str">
        <f>VLOOKUP(F3111,辅助信息!A:B,2,FALSE)</f>
        <v>螺纹钢</v>
      </c>
      <c r="F3111" s="113" t="s">
        <v>18</v>
      </c>
      <c r="G3111" s="114">
        <v>3</v>
      </c>
      <c r="H3111" s="127"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13" t="e">
        <f>VLOOKUP(B3111,辅助信息!E:I,3,FALSE)</f>
        <v>#N/A</v>
      </c>
      <c r="J3111" s="113" t="e">
        <f>VLOOKUP(B3111,辅助信息!E:I,4,FALSE)</f>
        <v>#N/A</v>
      </c>
      <c r="K3111" s="113" t="e">
        <f>VLOOKUP(J3111,辅助信息!H:I,2,FALSE)</f>
        <v>#N/A</v>
      </c>
      <c r="L3111" s="115" t="e">
        <f>VLOOKUP(B3111,辅助信息!E:J,6,FALSE)</f>
        <v>#N/A</v>
      </c>
      <c r="M3111" s="84">
        <v>45903</v>
      </c>
      <c r="N3111" s="55" t="e">
        <f ca="1" t="shared" si="179"/>
        <v>#N/A</v>
      </c>
      <c r="O3111" s="55" t="e">
        <f ca="1" t="shared" si="180"/>
        <v>#N/A</v>
      </c>
      <c r="P3111" s="137" t="e">
        <f ca="1" t="shared" si="181"/>
        <v>#N/A</v>
      </c>
      <c r="Q3111" s="22" t="e">
        <f>VLOOKUP(B3111,辅助信息!E:M,9,FALSE)</f>
        <v>#N/A</v>
      </c>
      <c r="R3111" s="138" vm="1" t="e">
        <f>_xlfn._xlws.FILTER(辅助信息!D:D,辅助信息!E:E=B3111)</f>
        <v>#VALUE!</v>
      </c>
    </row>
    <row r="3112" hidden="1" spans="2:18">
      <c r="B3112" s="113" t="s">
        <v>47</v>
      </c>
      <c r="C3112" s="63">
        <v>45902</v>
      </c>
      <c r="D3112" s="113" t="str">
        <f>VLOOKUP(B3112,辅助信息!E:K,7,FALSE)</f>
        <v>JWDDCD2025052800131</v>
      </c>
      <c r="E3112" s="113" t="str">
        <f>VLOOKUP(F3112,辅助信息!A:B,2,FALSE)</f>
        <v>螺纹钢</v>
      </c>
      <c r="F3112" s="113" t="s">
        <v>30</v>
      </c>
      <c r="G3112" s="114">
        <v>6</v>
      </c>
      <c r="H3112" s="127"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13" t="str">
        <f>VLOOKUP(B3112,辅助信息!E:I,3,FALSE)</f>
        <v>（商投建工达州中医药科技园-1工区）达州市通川区达州中医药职业学院犀牛大道北段</v>
      </c>
      <c r="J3112" s="113" t="str">
        <f>VLOOKUP(B3112,辅助信息!E:I,4,FALSE)</f>
        <v>程黄刚</v>
      </c>
      <c r="K3112" s="113">
        <f>VLOOKUP(J3112,辅助信息!H:I,2,FALSE)</f>
        <v>15108211617</v>
      </c>
      <c r="L3112" s="115" t="str">
        <f>VLOOKUP(B3112,辅助信息!E:J,6,FALSE)</f>
        <v>控制炉批号！多了现场不收！,优先安排达钢,提前联系到场规格及数量</v>
      </c>
      <c r="M3112" s="84">
        <v>45904</v>
      </c>
      <c r="N3112" s="55" t="str">
        <f ca="1" t="shared" si="179"/>
        <v/>
      </c>
      <c r="O3112" s="55">
        <f ca="1" t="shared" si="180"/>
        <v>0</v>
      </c>
      <c r="P3112" s="137">
        <f ca="1" t="shared" si="181"/>
        <v>53</v>
      </c>
      <c r="Q3112" s="22" t="str">
        <f>VLOOKUP(B3112,辅助信息!E:M,9,FALSE)</f>
        <v>ZTWM-CDGS-XS-2024-0134-商投建工达州中医药科技成果示范园项目</v>
      </c>
      <c r="R3112" s="138" t="str">
        <f>_xlfn._xlws.FILTER(辅助信息!D:D,辅助信息!E:E=B3112)</f>
        <v>商投建工达州中医药科技园</v>
      </c>
    </row>
    <row r="3113" hidden="1" spans="2:18">
      <c r="B3113" s="113" t="s">
        <v>47</v>
      </c>
      <c r="C3113" s="63">
        <v>45902</v>
      </c>
      <c r="D3113" s="113" t="str">
        <f>VLOOKUP(B3113,辅助信息!E:K,7,FALSE)</f>
        <v>JWDDCD2025052800131</v>
      </c>
      <c r="E3113" s="113" t="str">
        <f>VLOOKUP(F3113,辅助信息!A:B,2,FALSE)</f>
        <v>螺纹钢</v>
      </c>
      <c r="F3113" s="113" t="s">
        <v>45</v>
      </c>
      <c r="G3113" s="114">
        <v>3</v>
      </c>
      <c r="H3113" s="127"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13" t="str">
        <f>VLOOKUP(B3113,辅助信息!E:I,3,FALSE)</f>
        <v>（商投建工达州中医药科技园-1工区）达州市通川区达州中医药职业学院犀牛大道北段</v>
      </c>
      <c r="J3113" s="113" t="str">
        <f>VLOOKUP(B3113,辅助信息!E:I,4,FALSE)</f>
        <v>程黄刚</v>
      </c>
      <c r="K3113" s="113">
        <f>VLOOKUP(J3113,辅助信息!H:I,2,FALSE)</f>
        <v>15108211617</v>
      </c>
      <c r="L3113" s="115" t="str">
        <f>VLOOKUP(B3113,辅助信息!E:J,6,FALSE)</f>
        <v>控制炉批号！多了现场不收！,优先安排达钢,提前联系到场规格及数量</v>
      </c>
      <c r="M3113" s="84">
        <v>45904</v>
      </c>
      <c r="N3113" s="55" t="str">
        <f ca="1" t="shared" si="179"/>
        <v/>
      </c>
      <c r="O3113" s="55">
        <f ca="1" t="shared" si="180"/>
        <v>0</v>
      </c>
      <c r="P3113" s="137">
        <f ca="1" t="shared" si="181"/>
        <v>53</v>
      </c>
      <c r="Q3113" s="22" t="str">
        <f>VLOOKUP(B3113,辅助信息!E:M,9,FALSE)</f>
        <v>ZTWM-CDGS-XS-2024-0134-商投建工达州中医药科技成果示范园项目</v>
      </c>
      <c r="R3113" s="138" t="str">
        <f>_xlfn._xlws.FILTER(辅助信息!D:D,辅助信息!E:E=B3113)</f>
        <v>商投建工达州中医药科技园</v>
      </c>
    </row>
    <row r="3114" hidden="1" spans="2:18">
      <c r="B3114" s="113" t="s">
        <v>47</v>
      </c>
      <c r="C3114" s="63">
        <v>45902</v>
      </c>
      <c r="D3114" s="113" t="str">
        <f>VLOOKUP(B3114,辅助信息!E:K,7,FALSE)</f>
        <v>JWDDCD2025052800131</v>
      </c>
      <c r="E3114" s="113" t="str">
        <f>VLOOKUP(F3114,辅助信息!A:B,2,FALSE)</f>
        <v>螺纹钢</v>
      </c>
      <c r="F3114" s="113" t="s">
        <v>21</v>
      </c>
      <c r="G3114" s="114">
        <v>6</v>
      </c>
      <c r="H3114" s="127"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13" t="str">
        <f>VLOOKUP(B3114,辅助信息!E:I,3,FALSE)</f>
        <v>（商投建工达州中医药科技园-1工区）达州市通川区达州中医药职业学院犀牛大道北段</v>
      </c>
      <c r="J3114" s="113" t="str">
        <f>VLOOKUP(B3114,辅助信息!E:I,4,FALSE)</f>
        <v>程黄刚</v>
      </c>
      <c r="K3114" s="113">
        <f>VLOOKUP(J3114,辅助信息!H:I,2,FALSE)</f>
        <v>15108211617</v>
      </c>
      <c r="L3114" s="115" t="str">
        <f>VLOOKUP(B3114,辅助信息!E:J,6,FALSE)</f>
        <v>控制炉批号！多了现场不收！,优先安排达钢,提前联系到场规格及数量</v>
      </c>
      <c r="M3114" s="84">
        <v>45904</v>
      </c>
      <c r="N3114" s="55" t="str">
        <f ca="1" t="shared" si="179"/>
        <v/>
      </c>
      <c r="O3114" s="55">
        <f ca="1" t="shared" si="180"/>
        <v>0</v>
      </c>
      <c r="P3114" s="137">
        <f ca="1" t="shared" si="181"/>
        <v>53</v>
      </c>
      <c r="Q3114" s="22" t="str">
        <f>VLOOKUP(B3114,辅助信息!E:M,9,FALSE)</f>
        <v>ZTWM-CDGS-XS-2024-0134-商投建工达州中医药科技成果示范园项目</v>
      </c>
      <c r="R3114" s="138" t="str">
        <f>_xlfn._xlws.FILTER(辅助信息!D:D,辅助信息!E:E=B3114)</f>
        <v>商投建工达州中医药科技园</v>
      </c>
    </row>
    <row r="3115" hidden="1" spans="2:18">
      <c r="B3115" s="113" t="s">
        <v>47</v>
      </c>
      <c r="C3115" s="63">
        <v>45902</v>
      </c>
      <c r="D3115" s="113" t="str">
        <f>VLOOKUP(B3115,辅助信息!E:K,7,FALSE)</f>
        <v>JWDDCD2025052800131</v>
      </c>
      <c r="E3115" s="113" t="str">
        <f>VLOOKUP(F3115,辅助信息!A:B,2,FALSE)</f>
        <v>螺纹钢</v>
      </c>
      <c r="F3115" s="113" t="s">
        <v>58</v>
      </c>
      <c r="G3115" s="114">
        <v>12</v>
      </c>
      <c r="H3115" s="127"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13" t="str">
        <f>VLOOKUP(B3115,辅助信息!E:I,3,FALSE)</f>
        <v>（商投建工达州中医药科技园-1工区）达州市通川区达州中医药职业学院犀牛大道北段</v>
      </c>
      <c r="J3115" s="113" t="str">
        <f>VLOOKUP(B3115,辅助信息!E:I,4,FALSE)</f>
        <v>程黄刚</v>
      </c>
      <c r="K3115" s="113">
        <f>VLOOKUP(J3115,辅助信息!H:I,2,FALSE)</f>
        <v>15108211617</v>
      </c>
      <c r="L3115" s="115" t="str">
        <f>VLOOKUP(B3115,辅助信息!E:J,6,FALSE)</f>
        <v>控制炉批号！多了现场不收！,优先安排达钢,提前联系到场规格及数量</v>
      </c>
      <c r="M3115" s="84">
        <v>45904</v>
      </c>
      <c r="N3115" s="55" t="str">
        <f ca="1" t="shared" si="179"/>
        <v/>
      </c>
      <c r="O3115" s="55">
        <f ca="1" t="shared" si="180"/>
        <v>0</v>
      </c>
      <c r="P3115" s="137">
        <f ca="1" t="shared" si="181"/>
        <v>53</v>
      </c>
      <c r="Q3115" s="22" t="str">
        <f>VLOOKUP(B3115,辅助信息!E:M,9,FALSE)</f>
        <v>ZTWM-CDGS-XS-2024-0134-商投建工达州中医药科技成果示范园项目</v>
      </c>
      <c r="R3115" s="138" t="str">
        <f>_xlfn._xlws.FILTER(辅助信息!D:D,辅助信息!E:E=B3115)</f>
        <v>商投建工达州中医药科技园</v>
      </c>
    </row>
    <row r="3116" hidden="1" spans="2:18">
      <c r="B3116" s="113" t="s">
        <v>47</v>
      </c>
      <c r="C3116" s="63">
        <v>45902</v>
      </c>
      <c r="D3116" s="113" t="str">
        <f>VLOOKUP(B3116,辅助信息!E:K,7,FALSE)</f>
        <v>JWDDCD2025052800131</v>
      </c>
      <c r="E3116" s="113" t="str">
        <f>VLOOKUP(F3116,辅助信息!A:B,2,FALSE)</f>
        <v>螺纹钢</v>
      </c>
      <c r="F3116" s="113" t="s">
        <v>46</v>
      </c>
      <c r="G3116" s="114">
        <v>6</v>
      </c>
      <c r="H3116" s="127"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13" t="str">
        <f>VLOOKUP(B3116,辅助信息!E:I,3,FALSE)</f>
        <v>（商投建工达州中医药科技园-1工区）达州市通川区达州中医药职业学院犀牛大道北段</v>
      </c>
      <c r="J3116" s="113" t="str">
        <f>VLOOKUP(B3116,辅助信息!E:I,4,FALSE)</f>
        <v>程黄刚</v>
      </c>
      <c r="K3116" s="113">
        <f>VLOOKUP(J3116,辅助信息!H:I,2,FALSE)</f>
        <v>15108211617</v>
      </c>
      <c r="L3116" s="115" t="str">
        <f>VLOOKUP(B3116,辅助信息!E:J,6,FALSE)</f>
        <v>控制炉批号！多了现场不收！,优先安排达钢,提前联系到场规格及数量</v>
      </c>
      <c r="M3116" s="84">
        <v>45904</v>
      </c>
      <c r="N3116" s="55" t="str">
        <f ca="1" t="shared" si="179"/>
        <v/>
      </c>
      <c r="O3116" s="55">
        <f ca="1" t="shared" si="180"/>
        <v>0</v>
      </c>
      <c r="P3116" s="137">
        <f ca="1" t="shared" si="181"/>
        <v>53</v>
      </c>
      <c r="Q3116" s="22" t="str">
        <f>VLOOKUP(B3116,辅助信息!E:M,9,FALSE)</f>
        <v>ZTWM-CDGS-XS-2024-0134-商投建工达州中医药科技成果示范园项目</v>
      </c>
      <c r="R3116" s="138" t="str">
        <f>_xlfn._xlws.FILTER(辅助信息!D:D,辅助信息!E:E=B3116)</f>
        <v>商投建工达州中医药科技园</v>
      </c>
    </row>
    <row r="3117" hidden="1" spans="2:18">
      <c r="B3117" s="113" t="s">
        <v>47</v>
      </c>
      <c r="C3117" s="63">
        <v>45902</v>
      </c>
      <c r="D3117" s="113" t="str">
        <f>VLOOKUP(B3117,辅助信息!E:K,7,FALSE)</f>
        <v>JWDDCD2025052800131</v>
      </c>
      <c r="E3117" s="113" t="str">
        <f>VLOOKUP(F3117,辅助信息!A:B,2,FALSE)</f>
        <v>螺纹钢</v>
      </c>
      <c r="F3117" s="113" t="s">
        <v>22</v>
      </c>
      <c r="G3117" s="114">
        <v>6</v>
      </c>
      <c r="H3117" s="127"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13" t="str">
        <f>VLOOKUP(B3117,辅助信息!E:I,3,FALSE)</f>
        <v>（商投建工达州中医药科技园-1工区）达州市通川区达州中医药职业学院犀牛大道北段</v>
      </c>
      <c r="J3117" s="113" t="str">
        <f>VLOOKUP(B3117,辅助信息!E:I,4,FALSE)</f>
        <v>程黄刚</v>
      </c>
      <c r="K3117" s="113">
        <f>VLOOKUP(J3117,辅助信息!H:I,2,FALSE)</f>
        <v>15108211617</v>
      </c>
      <c r="L3117" s="115" t="str">
        <f>VLOOKUP(B3117,辅助信息!E:J,6,FALSE)</f>
        <v>控制炉批号！多了现场不收！,优先安排达钢,提前联系到场规格及数量</v>
      </c>
      <c r="M3117" s="84">
        <v>45904</v>
      </c>
      <c r="N3117" s="55" t="str">
        <f ca="1" t="shared" si="179"/>
        <v/>
      </c>
      <c r="O3117" s="55">
        <f ca="1" t="shared" si="180"/>
        <v>0</v>
      </c>
      <c r="P3117" s="137">
        <f ca="1" t="shared" si="181"/>
        <v>53</v>
      </c>
      <c r="Q3117" s="22" t="str">
        <f>VLOOKUP(B3117,辅助信息!E:M,9,FALSE)</f>
        <v>ZTWM-CDGS-XS-2024-0134-商投建工达州中医药科技成果示范园项目</v>
      </c>
      <c r="R3117" s="138" t="str">
        <f>_xlfn._xlws.FILTER(辅助信息!D:D,辅助信息!E:E=B3117)</f>
        <v>商投建工达州中医药科技园</v>
      </c>
    </row>
    <row r="3118" hidden="1" spans="2:18">
      <c r="B3118" s="113" t="s">
        <v>68</v>
      </c>
      <c r="C3118" s="63">
        <v>45902</v>
      </c>
      <c r="D3118" s="113" t="str">
        <f>VLOOKUP(B3118,辅助信息!E:K,7,FALSE)</f>
        <v>JWDDCD2025052800131</v>
      </c>
      <c r="E3118" s="113" t="str">
        <f>VLOOKUP(F3118,辅助信息!A:B,2,FALSE)</f>
        <v>螺纹钢</v>
      </c>
      <c r="F3118" s="113" t="s">
        <v>32</v>
      </c>
      <c r="G3118" s="114">
        <v>12</v>
      </c>
      <c r="H3118" s="127">
        <f>IF(SUMIFS('[1]2025年已发货'!$E:$E,'[1]2025年已发货'!$F:$F,C3118,'[1]2025年已发货'!$C:$C,F3118,'[1]2025年已发货'!$G:$G,I3118,'[1]2025年已发货'!$H:$H,J3118)=0,"未发货",SUMIFS('[1]2025年已发货'!$E:$E,'[1]2025年已发货'!$F:$F,C3118,'[1]2025年已发货'!$C:$C,F3118,'[1]2025年已发货'!$G:$G,I3118,'[1]2025年已发货'!$H:$H,J3118))</f>
        <v>12</v>
      </c>
      <c r="I3118" s="113" t="str">
        <f>VLOOKUP(B3118,辅助信息!E:I,3,FALSE)</f>
        <v>（商投建工达州中医药科技园-2工区-景观桥）达州市通川区达州中医药职业学院犀牛大道北段</v>
      </c>
      <c r="J3118" s="113" t="str">
        <f>VLOOKUP(B3118,辅助信息!E:I,4,FALSE)</f>
        <v>李波</v>
      </c>
      <c r="K3118" s="113">
        <f>VLOOKUP(J3118,辅助信息!H:I,2,FALSE)</f>
        <v>18381899787</v>
      </c>
      <c r="L3118" s="115" t="str">
        <f>VLOOKUP(B3118,辅助信息!E:J,6,FALSE)</f>
        <v>控制炉批号！多了现场不收！,优先安排达钢,提前联系到场规格及数量</v>
      </c>
      <c r="M3118" s="84">
        <v>45904</v>
      </c>
      <c r="N3118" s="55" t="str">
        <f ca="1" t="shared" si="179"/>
        <v/>
      </c>
      <c r="O3118" s="55">
        <f ca="1" t="shared" si="180"/>
        <v>0</v>
      </c>
      <c r="P3118" s="137">
        <f ca="1" t="shared" si="181"/>
        <v>53</v>
      </c>
      <c r="Q3118" s="22" t="str">
        <f>VLOOKUP(B3118,辅助信息!E:M,9,FALSE)</f>
        <v>ZTWM-CDGS-XS-2024-0134-商投建工达州中医药科技成果示范园项目</v>
      </c>
      <c r="R3118" s="138" t="str">
        <f>_xlfn._xlws.FILTER(辅助信息!D:D,辅助信息!E:E=B3118)</f>
        <v>商投建工达州中医药科技园</v>
      </c>
    </row>
    <row r="3119" hidden="1" spans="2:18">
      <c r="B3119" s="113" t="s">
        <v>68</v>
      </c>
      <c r="C3119" s="63">
        <v>45902</v>
      </c>
      <c r="D3119" s="113" t="str">
        <f>VLOOKUP(B3119,辅助信息!E:K,7,FALSE)</f>
        <v>JWDDCD2025052800131</v>
      </c>
      <c r="E3119" s="113" t="str">
        <f>VLOOKUP(F3119,辅助信息!A:B,2,FALSE)</f>
        <v>螺纹钢</v>
      </c>
      <c r="F3119" s="113" t="s">
        <v>30</v>
      </c>
      <c r="G3119" s="114">
        <v>42</v>
      </c>
      <c r="H3119" s="127"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13" t="str">
        <f>VLOOKUP(B3119,辅助信息!E:I,3,FALSE)</f>
        <v>（商投建工达州中医药科技园-2工区-景观桥）达州市通川区达州中医药职业学院犀牛大道北段</v>
      </c>
      <c r="J3119" s="113" t="str">
        <f>VLOOKUP(B3119,辅助信息!E:I,4,FALSE)</f>
        <v>李波</v>
      </c>
      <c r="K3119" s="113">
        <f>VLOOKUP(J3119,辅助信息!H:I,2,FALSE)</f>
        <v>18381899787</v>
      </c>
      <c r="L3119" s="115" t="str">
        <f>VLOOKUP(B3119,辅助信息!E:J,6,FALSE)</f>
        <v>控制炉批号！多了现场不收！,优先安排达钢,提前联系到场规格及数量</v>
      </c>
      <c r="M3119" s="84">
        <v>45904</v>
      </c>
      <c r="N3119" s="55" t="str">
        <f ca="1" t="shared" si="179"/>
        <v/>
      </c>
      <c r="O3119" s="55">
        <f ca="1" t="shared" si="180"/>
        <v>0</v>
      </c>
      <c r="P3119" s="137">
        <f ca="1" t="shared" si="181"/>
        <v>53</v>
      </c>
      <c r="Q3119" s="22" t="str">
        <f>VLOOKUP(B3119,辅助信息!E:M,9,FALSE)</f>
        <v>ZTWM-CDGS-XS-2024-0134-商投建工达州中医药科技成果示范园项目</v>
      </c>
      <c r="R3119" s="138" t="str">
        <f>_xlfn._xlws.FILTER(辅助信息!D:D,辅助信息!E:E=B3119)</f>
        <v>商投建工达州中医药科技园</v>
      </c>
    </row>
    <row r="3120" hidden="1" spans="2:18">
      <c r="B3120" s="113" t="s">
        <v>68</v>
      </c>
      <c r="C3120" s="63">
        <v>45902</v>
      </c>
      <c r="D3120" s="113" t="str">
        <f>VLOOKUP(B3120,辅助信息!E:K,7,FALSE)</f>
        <v>JWDDCD2025052800131</v>
      </c>
      <c r="E3120" s="113" t="str">
        <f>VLOOKUP(F3120,辅助信息!A:B,2,FALSE)</f>
        <v>螺纹钢</v>
      </c>
      <c r="F3120" s="113" t="s">
        <v>28</v>
      </c>
      <c r="G3120" s="114">
        <v>50</v>
      </c>
      <c r="H3120" s="127">
        <f>IF(SUMIFS('[1]2025年已发货'!$E:$E,'[1]2025年已发货'!$F:$F,C3120,'[1]2025年已发货'!$C:$C,F3120,'[1]2025年已发货'!$G:$G,I3120,'[1]2025年已发货'!$H:$H,J3120)=0,"未发货",SUMIFS('[1]2025年已发货'!$E:$E,'[1]2025年已发货'!$F:$F,C3120,'[1]2025年已发货'!$C:$C,F3120,'[1]2025年已发货'!$G:$G,I3120,'[1]2025年已发货'!$H:$H,J3120))</f>
        <v>35</v>
      </c>
      <c r="I3120" s="113" t="str">
        <f>VLOOKUP(B3120,辅助信息!E:I,3,FALSE)</f>
        <v>（商投建工达州中医药科技园-2工区-景观桥）达州市通川区达州中医药职业学院犀牛大道北段</v>
      </c>
      <c r="J3120" s="113" t="str">
        <f>VLOOKUP(B3120,辅助信息!E:I,4,FALSE)</f>
        <v>李波</v>
      </c>
      <c r="K3120" s="113">
        <f>VLOOKUP(J3120,辅助信息!H:I,2,FALSE)</f>
        <v>18381899787</v>
      </c>
      <c r="L3120" s="115" t="str">
        <f>VLOOKUP(B3120,辅助信息!E:J,6,FALSE)</f>
        <v>控制炉批号！多了现场不收！,优先安排达钢,提前联系到场规格及数量</v>
      </c>
      <c r="M3120" s="84">
        <v>45904</v>
      </c>
      <c r="N3120" s="55" t="str">
        <f ca="1" t="shared" si="179"/>
        <v/>
      </c>
      <c r="O3120" s="55">
        <f ca="1" t="shared" si="180"/>
        <v>0</v>
      </c>
      <c r="P3120" s="137">
        <f ca="1" t="shared" si="181"/>
        <v>53</v>
      </c>
      <c r="Q3120" s="22" t="str">
        <f>VLOOKUP(B3120,辅助信息!E:M,9,FALSE)</f>
        <v>ZTWM-CDGS-XS-2024-0134-商投建工达州中医药科技成果示范园项目</v>
      </c>
      <c r="R3120" s="138" t="str">
        <f>_xlfn._xlws.FILTER(辅助信息!D:D,辅助信息!E:E=B3120)</f>
        <v>商投建工达州中医药科技园</v>
      </c>
    </row>
    <row r="3121" hidden="1" spans="2:18">
      <c r="B3121" s="113" t="s">
        <v>68</v>
      </c>
      <c r="C3121" s="63">
        <v>45902</v>
      </c>
      <c r="D3121" s="113" t="str">
        <f>VLOOKUP(B3121,辅助信息!E:K,7,FALSE)</f>
        <v>JWDDCD2025052800131</v>
      </c>
      <c r="E3121" s="113" t="str">
        <f>VLOOKUP(F3121,辅助信息!A:B,2,FALSE)</f>
        <v>螺纹钢</v>
      </c>
      <c r="F3121" s="113" t="s">
        <v>18</v>
      </c>
      <c r="G3121" s="114">
        <v>44</v>
      </c>
      <c r="H3121" s="127">
        <f>IF(SUMIFS('[1]2025年已发货'!$E:$E,'[1]2025年已发货'!$F:$F,C3121,'[1]2025年已发货'!$C:$C,F3121,'[1]2025年已发货'!$G:$G,I3121,'[1]2025年已发货'!$H:$H,J3121)=0,"未发货",SUMIFS('[1]2025年已发货'!$E:$E,'[1]2025年已发货'!$F:$F,C3121,'[1]2025年已发货'!$C:$C,F3121,'[1]2025年已发货'!$G:$G,I3121,'[1]2025年已发货'!$H:$H,J3121))</f>
        <v>44</v>
      </c>
      <c r="I3121" s="113" t="str">
        <f>VLOOKUP(B3121,辅助信息!E:I,3,FALSE)</f>
        <v>（商投建工达州中医药科技园-2工区-景观桥）达州市通川区达州中医药职业学院犀牛大道北段</v>
      </c>
      <c r="J3121" s="113" t="str">
        <f>VLOOKUP(B3121,辅助信息!E:I,4,FALSE)</f>
        <v>李波</v>
      </c>
      <c r="K3121" s="113">
        <f>VLOOKUP(J3121,辅助信息!H:I,2,FALSE)</f>
        <v>18381899787</v>
      </c>
      <c r="L3121" s="115" t="str">
        <f>VLOOKUP(B3121,辅助信息!E:J,6,FALSE)</f>
        <v>控制炉批号！多了现场不收！,优先安排达钢,提前联系到场规格及数量</v>
      </c>
      <c r="M3121" s="84">
        <v>45904</v>
      </c>
      <c r="N3121" s="55" t="str">
        <f ca="1" t="shared" si="179"/>
        <v/>
      </c>
      <c r="O3121" s="55">
        <f ca="1" t="shared" si="180"/>
        <v>0</v>
      </c>
      <c r="P3121" s="137">
        <f ca="1" t="shared" si="181"/>
        <v>53</v>
      </c>
      <c r="Q3121" s="22" t="str">
        <f>VLOOKUP(B3121,辅助信息!E:M,9,FALSE)</f>
        <v>ZTWM-CDGS-XS-2024-0134-商投建工达州中医药科技成果示范园项目</v>
      </c>
      <c r="R3121" s="138" t="str">
        <f>_xlfn._xlws.FILTER(辅助信息!D:D,辅助信息!E:E=B3121)</f>
        <v>商投建工达州中医药科技园</v>
      </c>
    </row>
    <row r="3122" hidden="1" spans="2:18">
      <c r="B3122" s="113" t="s">
        <v>31</v>
      </c>
      <c r="C3122" s="63">
        <v>45902</v>
      </c>
      <c r="D3122" s="113" t="str">
        <f>VLOOKUP(B3122,辅助信息!E:K,7,FALSE)</f>
        <v>JWDDCD2024121000136</v>
      </c>
      <c r="E3122" s="113" t="str">
        <f>VLOOKUP(F3122,辅助信息!A:B,2,FALSE)</f>
        <v>盘螺</v>
      </c>
      <c r="F3122" s="113" t="s">
        <v>49</v>
      </c>
      <c r="G3122" s="114">
        <v>35</v>
      </c>
      <c r="H3122" s="127">
        <f>IF(SUMIFS('[1]2025年已发货'!$E:$E,'[1]2025年已发货'!$F:$F,C3122,'[1]2025年已发货'!$C:$C,F3122,'[1]2025年已发货'!$G:$G,I3122,'[1]2025年已发货'!$H:$H,J3122)=0,"未发货",SUMIFS('[1]2025年已发货'!$E:$E,'[1]2025年已发货'!$F:$F,C3122,'[1]2025年已发货'!$C:$C,F3122,'[1]2025年已发货'!$G:$G,I3122,'[1]2025年已发货'!$H:$H,J3122))</f>
        <v>35</v>
      </c>
      <c r="I3122" s="113" t="str">
        <f>VLOOKUP(B3122,辅助信息!E:I,3,FALSE)</f>
        <v>（四川商建-射洪城乡一体化项目）遂宁市射洪市忠新幼儿园北侧约220米新溪小区</v>
      </c>
      <c r="J3122" s="113" t="str">
        <f>VLOOKUP(B3122,辅助信息!E:I,4,FALSE)</f>
        <v>柏子刚</v>
      </c>
      <c r="K3122" s="113">
        <f>VLOOKUP(J3122,辅助信息!H:I,2,FALSE)</f>
        <v>15692885305</v>
      </c>
      <c r="L3122" s="115" t="str">
        <f>VLOOKUP(B3122,辅助信息!E:J,6,FALSE)</f>
        <v>提前联系到场规格及数量</v>
      </c>
      <c r="M3122" s="84">
        <v>45902</v>
      </c>
      <c r="N3122" s="55" t="str">
        <f ca="1" t="shared" si="179"/>
        <v/>
      </c>
      <c r="O3122" s="55">
        <f ca="1" t="shared" si="180"/>
        <v>0</v>
      </c>
      <c r="P3122" s="137">
        <f ca="1" t="shared" si="181"/>
        <v>55</v>
      </c>
      <c r="Q3122" s="22" t="str">
        <f>VLOOKUP(B3122,辅助信息!E:M,9,FALSE)</f>
        <v>ZTWM-CDGS-XS-2024-0179-四川商投-射洪城乡一体化建设项目</v>
      </c>
      <c r="R3122" s="138" t="str">
        <f>_xlfn._xlws.FILTER(辅助信息!D:D,辅助信息!E:E=B3122)</f>
        <v>四川商建
射洪城乡一体化项目</v>
      </c>
    </row>
    <row r="3123" hidden="1" spans="2:18">
      <c r="B3123" s="113" t="s">
        <v>81</v>
      </c>
      <c r="C3123" s="63">
        <v>45902</v>
      </c>
      <c r="D3123" s="113" t="str">
        <f>VLOOKUP(B3123,辅助信息!E:K,7,FALSE)</f>
        <v>JWDDCD2025060900080</v>
      </c>
      <c r="E3123" s="113" t="str">
        <f>VLOOKUP(F3123,辅助信息!A:B,2,FALSE)</f>
        <v>螺纹钢</v>
      </c>
      <c r="F3123" s="113" t="s">
        <v>19</v>
      </c>
      <c r="G3123" s="114">
        <f>222-54.75</f>
        <v>167.25</v>
      </c>
      <c r="H3123" s="127">
        <f>IF(SUMIFS('[1]2025年已发货'!$E:$E,'[1]2025年已发货'!$F:$F,C3123,'[1]2025年已发货'!$C:$C,F3123,'[1]2025年已发货'!$G:$G,I3123,'[1]2025年已发货'!$H:$H,J3123)=0,"未发货",SUMIFS('[1]2025年已发货'!$E:$E,'[1]2025年已发货'!$F:$F,C3123,'[1]2025年已发货'!$C:$C,F3123,'[1]2025年已发货'!$G:$G,I3123,'[1]2025年已发货'!$H:$H,J3123))</f>
        <v>167.25</v>
      </c>
      <c r="I3123" s="113" t="str">
        <f>VLOOKUP(B3123,辅助信息!E:I,3,FALSE)</f>
        <v>（华西简阳西城嘉苑）四川省成都市简阳市简城街道高屋村</v>
      </c>
      <c r="J3123" s="113" t="str">
        <f>VLOOKUP(B3123,辅助信息!E:I,4,FALSE)</f>
        <v>张瀚镭</v>
      </c>
      <c r="K3123" s="113">
        <f>VLOOKUP(J3123,辅助信息!H:I,2,FALSE)</f>
        <v>15884666220</v>
      </c>
      <c r="L3123" s="115" t="str">
        <f>VLOOKUP(B3123,辅助信息!E:J,6,FALSE)</f>
        <v>现场禁止使用氢能源挂车！优先威钢发货,我方卸车,新老国标钢厂不加价可直发，因陕钢多次出现磅差，项目拒绝使用</v>
      </c>
      <c r="M3123" s="84">
        <v>45902</v>
      </c>
      <c r="N3123" s="55" t="str">
        <f ca="1" t="shared" si="179"/>
        <v/>
      </c>
      <c r="O3123" s="55">
        <f ca="1" t="shared" si="180"/>
        <v>0</v>
      </c>
      <c r="P3123" s="137">
        <f ca="1" t="shared" si="181"/>
        <v>55</v>
      </c>
      <c r="Q3123" s="22" t="str">
        <f>VLOOKUP(B3123,辅助信息!E:M,9,FALSE)</f>
        <v>ZTWM-CDGS-XS-2024-0030-华西集采-简州大道</v>
      </c>
      <c r="R3123" s="138" t="str">
        <f>_xlfn._xlws.FILTER(辅助信息!D:D,辅助信息!E:E=B3123)</f>
        <v>华西简阳西城嘉苑</v>
      </c>
    </row>
    <row r="3124" hidden="1" spans="2:18">
      <c r="B3124" s="113" t="s">
        <v>81</v>
      </c>
      <c r="C3124" s="63">
        <v>45902</v>
      </c>
      <c r="D3124" s="113" t="str">
        <f>VLOOKUP(B3124,辅助信息!E:K,7,FALSE)</f>
        <v>JWDDCD2025060900080</v>
      </c>
      <c r="E3124" s="113" t="str">
        <f>VLOOKUP(F3124,辅助信息!A:B,2,FALSE)</f>
        <v>螺纹钢</v>
      </c>
      <c r="F3124" s="113" t="s">
        <v>30</v>
      </c>
      <c r="G3124" s="114">
        <v>27.5</v>
      </c>
      <c r="H3124" s="127">
        <f>IF(SUMIFS('[1]2025年已发货'!$E:$E,'[1]2025年已发货'!$F:$F,C3124,'[1]2025年已发货'!$C:$C,F3124,'[1]2025年已发货'!$G:$G,I3124,'[1]2025年已发货'!$H:$H,J3124)=0,"未发货",SUMIFS('[1]2025年已发货'!$E:$E,'[1]2025年已发货'!$F:$F,C3124,'[1]2025年已发货'!$C:$C,F3124,'[1]2025年已发货'!$G:$G,I3124,'[1]2025年已发货'!$H:$H,J3124))</f>
        <v>27.5</v>
      </c>
      <c r="I3124" s="113" t="str">
        <f>VLOOKUP(B3124,辅助信息!E:I,3,FALSE)</f>
        <v>（华西简阳西城嘉苑）四川省成都市简阳市简城街道高屋村</v>
      </c>
      <c r="J3124" s="113" t="str">
        <f>VLOOKUP(B3124,辅助信息!E:I,4,FALSE)</f>
        <v>张瀚镭</v>
      </c>
      <c r="K3124" s="113">
        <f>VLOOKUP(J3124,辅助信息!H:I,2,FALSE)</f>
        <v>15884666220</v>
      </c>
      <c r="L3124" s="115" t="str">
        <f>VLOOKUP(B3124,辅助信息!E:J,6,FALSE)</f>
        <v>现场禁止使用氢能源挂车！优先威钢发货,我方卸车,新老国标钢厂不加价可直发，因陕钢多次出现磅差，项目拒绝使用</v>
      </c>
      <c r="M3124" s="84">
        <v>45902</v>
      </c>
      <c r="N3124" s="55" t="str">
        <f ca="1" t="shared" si="179"/>
        <v/>
      </c>
      <c r="O3124" s="55">
        <f ca="1" t="shared" si="180"/>
        <v>0</v>
      </c>
      <c r="P3124" s="137">
        <f ca="1" t="shared" si="181"/>
        <v>55</v>
      </c>
      <c r="Q3124" s="22" t="str">
        <f>VLOOKUP(B3124,辅助信息!E:M,9,FALSE)</f>
        <v>ZTWM-CDGS-XS-2024-0030-华西集采-简州大道</v>
      </c>
      <c r="R3124" s="138" t="str">
        <f>_xlfn._xlws.FILTER(辅助信息!D:D,辅助信息!E:E=B3124)</f>
        <v>华西简阳西城嘉苑</v>
      </c>
    </row>
    <row r="3125" hidden="1" spans="2:18">
      <c r="B3125" s="33" t="s">
        <v>187</v>
      </c>
      <c r="C3125" s="63">
        <v>45902</v>
      </c>
      <c r="D3125" s="33" t="str">
        <f>VLOOKUP(B3125,辅助信息!E:K,7,FALSE)</f>
        <v>JWDDCD2025072900121</v>
      </c>
      <c r="E3125" s="33" t="str">
        <f>VLOOKUP(F3125,辅助信息!A:B,2,FALSE)</f>
        <v>螺纹钢</v>
      </c>
      <c r="F3125" s="33" t="s">
        <v>27</v>
      </c>
      <c r="G3125" s="29">
        <v>35</v>
      </c>
      <c r="H3125" s="127">
        <f>IF(SUMIFS('[1]2025年已发货'!$E:$E,'[1]2025年已发货'!$F:$F,C3125,'[1]2025年已发货'!$C:$C,F3125,'[1]2025年已发货'!$G:$G,I3125,'[1]2025年已发货'!$H:$H,J3125)=0,"未发货",SUMIFS('[1]2025年已发货'!$E:$E,'[1]2025年已发货'!$F:$F,C3125,'[1]2025年已发货'!$C:$C,F3125,'[1]2025年已发货'!$G:$G,I3125,'[1]2025年已发货'!$H:$H,J3125))</f>
        <v>35</v>
      </c>
      <c r="I3125" s="33" t="str">
        <f>VLOOKUP(B3125,辅助信息!E:I,3,FALSE)</f>
        <v>(乐山市校地共建产教融合基地建设项目一标段)四川省乐山市市中区苏稽镇周山嘴</v>
      </c>
      <c r="J3125" s="33" t="str">
        <f>VLOOKUP(B3125,辅助信息!E:I,4,FALSE)</f>
        <v>范增云</v>
      </c>
      <c r="K3125" s="33">
        <f>VLOOKUP(J3125,辅助信息!H:I,2,FALSE)</f>
        <v>13668153241</v>
      </c>
      <c r="L3125" s="102" t="str">
        <f>VLOOKUP(B3125,辅助信息!E:J,6,FALSE)</f>
        <v>联系实际收货人（范增云13668153241）现场要求炉批号控制2个以下，超2个不给予签收。提前联系到场规格及数量</v>
      </c>
      <c r="M3125" s="84">
        <v>45903</v>
      </c>
      <c r="O3125" s="55">
        <f ca="1" t="shared" si="180"/>
        <v>0</v>
      </c>
      <c r="P3125" s="55">
        <f ca="1" t="shared" si="181"/>
        <v>54</v>
      </c>
      <c r="Q3125" s="22" t="str">
        <f>VLOOKUP(B3125,辅助信息!E:M,9,FALSE)</f>
        <v>ZTWM-CDGS-XS-2025-0125-四川机司-乐山市校地共建产教融合基地配套设施项目施工一标段钢筋采购合同</v>
      </c>
      <c r="R3125" s="22" t="str">
        <f>_xlfn._xlws.FILTER(辅助信息!D:D,辅助信息!E:E=B3125)</f>
        <v>乐山市校地共建产教融合基地建设项目一标段</v>
      </c>
    </row>
    <row r="3126" hidden="1" spans="2:18">
      <c r="B3126" s="33" t="s">
        <v>187</v>
      </c>
      <c r="C3126" s="63">
        <v>45902</v>
      </c>
      <c r="D3126" s="33" t="str">
        <f>VLOOKUP(B3126,辅助信息!E:K,7,FALSE)</f>
        <v>JWDDCD2025072900121</v>
      </c>
      <c r="E3126" s="33" t="str">
        <f>VLOOKUP(F3126,辅助信息!A:B,2,FALSE)</f>
        <v>螺纹钢</v>
      </c>
      <c r="F3126" s="33" t="s">
        <v>66</v>
      </c>
      <c r="G3126" s="29">
        <v>8</v>
      </c>
      <c r="H3126" s="127">
        <f>IF(SUMIFS('[1]2025年已发货'!$E:$E,'[1]2025年已发货'!$F:$F,C3126,'[1]2025年已发货'!$C:$C,F3126,'[1]2025年已发货'!$G:$G,I3126,'[1]2025年已发货'!$H:$H,J3126)=0,"未发货",SUMIFS('[1]2025年已发货'!$E:$E,'[1]2025年已发货'!$F:$F,C3126,'[1]2025年已发货'!$C:$C,F3126,'[1]2025年已发货'!$G:$G,I3126,'[1]2025年已发货'!$H:$H,J3126))</f>
        <v>8</v>
      </c>
      <c r="I3126" s="33" t="str">
        <f>VLOOKUP(B3126,辅助信息!E:I,3,FALSE)</f>
        <v>(乐山市校地共建产教融合基地建设项目一标段)四川省乐山市市中区苏稽镇周山嘴</v>
      </c>
      <c r="J3126" s="33" t="str">
        <f>VLOOKUP(B3126,辅助信息!E:I,4,FALSE)</f>
        <v>范增云</v>
      </c>
      <c r="K3126" s="33">
        <f>VLOOKUP(J3126,辅助信息!H:I,2,FALSE)</f>
        <v>13668153241</v>
      </c>
      <c r="L3126" s="102" t="str">
        <f>VLOOKUP(B3126,辅助信息!E:J,6,FALSE)</f>
        <v>联系实际收货人（范增云13668153241）现场要求炉批号控制2个以下，超2个不给予签收。提前联系到场规格及数量</v>
      </c>
      <c r="M3126" s="84">
        <v>45903</v>
      </c>
      <c r="O3126" s="55">
        <f ca="1" t="shared" si="180"/>
        <v>0</v>
      </c>
      <c r="P3126" s="55">
        <f ca="1" t="shared" si="181"/>
        <v>54</v>
      </c>
      <c r="Q3126" s="22" t="str">
        <f>VLOOKUP(B3126,辅助信息!E:M,9,FALSE)</f>
        <v>ZTWM-CDGS-XS-2025-0125-四川机司-乐山市校地共建产教融合基地配套设施项目施工一标段钢筋采购合同</v>
      </c>
      <c r="R3126" s="22" t="str">
        <f>_xlfn._xlws.FILTER(辅助信息!D:D,辅助信息!E:E=B3126)</f>
        <v>乐山市校地共建产教融合基地建设项目一标段</v>
      </c>
    </row>
    <row r="3127" hidden="1" spans="2:18">
      <c r="B3127" s="33" t="s">
        <v>187</v>
      </c>
      <c r="C3127" s="63">
        <v>45902</v>
      </c>
      <c r="D3127" s="33" t="str">
        <f>VLOOKUP(B3127,辅助信息!E:K,7,FALSE)</f>
        <v>JWDDCD2025072900121</v>
      </c>
      <c r="E3127" s="33" t="str">
        <f>VLOOKUP(F3127,辅助信息!A:B,2,FALSE)</f>
        <v>螺纹钢</v>
      </c>
      <c r="F3127" s="33" t="s">
        <v>82</v>
      </c>
      <c r="G3127" s="29">
        <v>8</v>
      </c>
      <c r="H3127" s="127">
        <f>IF(SUMIFS('[1]2025年已发货'!$E:$E,'[1]2025年已发货'!$F:$F,C3127,'[1]2025年已发货'!$C:$C,F3127,'[1]2025年已发货'!$G:$G,I3127,'[1]2025年已发货'!$H:$H,J3127)=0,"未发货",SUMIFS('[1]2025年已发货'!$E:$E,'[1]2025年已发货'!$F:$F,C3127,'[1]2025年已发货'!$C:$C,F3127,'[1]2025年已发货'!$G:$G,I3127,'[1]2025年已发货'!$H:$H,J3127))</f>
        <v>8</v>
      </c>
      <c r="I3127" s="33" t="str">
        <f>VLOOKUP(B3127,辅助信息!E:I,3,FALSE)</f>
        <v>(乐山市校地共建产教融合基地建设项目一标段)四川省乐山市市中区苏稽镇周山嘴</v>
      </c>
      <c r="J3127" s="33" t="str">
        <f>VLOOKUP(B3127,辅助信息!E:I,4,FALSE)</f>
        <v>范增云</v>
      </c>
      <c r="K3127" s="33">
        <f>VLOOKUP(J3127,辅助信息!H:I,2,FALSE)</f>
        <v>13668153241</v>
      </c>
      <c r="L3127" s="102" t="str">
        <f>VLOOKUP(B3127,辅助信息!E:J,6,FALSE)</f>
        <v>联系实际收货人（范增云13668153241）现场要求炉批号控制2个以下，超2个不给予签收。提前联系到场规格及数量</v>
      </c>
      <c r="M3127" s="84">
        <v>45903</v>
      </c>
      <c r="O3127" s="55">
        <f ca="1" t="shared" si="180"/>
        <v>0</v>
      </c>
      <c r="P3127" s="55">
        <f ca="1" t="shared" si="181"/>
        <v>54</v>
      </c>
      <c r="Q3127" s="22" t="str">
        <f>VLOOKUP(B3127,辅助信息!E:M,9,FALSE)</f>
        <v>ZTWM-CDGS-XS-2025-0125-四川机司-乐山市校地共建产教融合基地配套设施项目施工一标段钢筋采购合同</v>
      </c>
      <c r="R3127" s="22" t="str">
        <f>_xlfn._xlws.FILTER(辅助信息!D:D,辅助信息!E:E=B3127)</f>
        <v>乐山市校地共建产教融合基地建设项目一标段</v>
      </c>
    </row>
    <row r="3128" hidden="1" spans="2:18">
      <c r="B3128" s="33" t="s">
        <v>187</v>
      </c>
      <c r="C3128" s="63">
        <v>45902</v>
      </c>
      <c r="D3128" s="33" t="str">
        <f>VLOOKUP(B3128,辅助信息!E:K,7,FALSE)</f>
        <v>JWDDCD2025072900121</v>
      </c>
      <c r="E3128" s="33" t="str">
        <f>VLOOKUP(F3128,辅助信息!A:B,2,FALSE)</f>
        <v>螺纹钢</v>
      </c>
      <c r="F3128" s="33" t="s">
        <v>45</v>
      </c>
      <c r="G3128" s="29">
        <v>8</v>
      </c>
      <c r="H3128" s="127">
        <f>IF(SUMIFS('[1]2025年已发货'!$E:$E,'[1]2025年已发货'!$F:$F,C3128,'[1]2025年已发货'!$C:$C,F3128,'[1]2025年已发货'!$G:$G,I3128,'[1]2025年已发货'!$H:$H,J3128)=0,"未发货",SUMIFS('[1]2025年已发货'!$E:$E,'[1]2025年已发货'!$F:$F,C3128,'[1]2025年已发货'!$C:$C,F3128,'[1]2025年已发货'!$G:$G,I3128,'[1]2025年已发货'!$H:$H,J3128))</f>
        <v>8</v>
      </c>
      <c r="I3128" s="33" t="str">
        <f>VLOOKUP(B3128,辅助信息!E:I,3,FALSE)</f>
        <v>(乐山市校地共建产教融合基地建设项目一标段)四川省乐山市市中区苏稽镇周山嘴</v>
      </c>
      <c r="J3128" s="33" t="str">
        <f>VLOOKUP(B3128,辅助信息!E:I,4,FALSE)</f>
        <v>范增云</v>
      </c>
      <c r="K3128" s="33">
        <f>VLOOKUP(J3128,辅助信息!H:I,2,FALSE)</f>
        <v>13668153241</v>
      </c>
      <c r="L3128" s="102" t="str">
        <f>VLOOKUP(B3128,辅助信息!E:J,6,FALSE)</f>
        <v>联系实际收货人（范增云13668153241）现场要求炉批号控制2个以下，超2个不给予签收。提前联系到场规格及数量</v>
      </c>
      <c r="M3128" s="84">
        <v>45903</v>
      </c>
      <c r="O3128" s="55">
        <f ca="1" t="shared" si="180"/>
        <v>0</v>
      </c>
      <c r="P3128" s="55">
        <f ca="1" t="shared" si="181"/>
        <v>54</v>
      </c>
      <c r="Q3128" s="22" t="str">
        <f>VLOOKUP(B3128,辅助信息!E:M,9,FALSE)</f>
        <v>ZTWM-CDGS-XS-2025-0125-四川机司-乐山市校地共建产教融合基地配套设施项目施工一标段钢筋采购合同</v>
      </c>
      <c r="R3128" s="22" t="str">
        <f>_xlfn._xlws.FILTER(辅助信息!D:D,辅助信息!E:E=B3128)</f>
        <v>乐山市校地共建产教融合基地建设项目一标段</v>
      </c>
    </row>
    <row r="3129" hidden="1" spans="2:18">
      <c r="B3129" s="33" t="s">
        <v>187</v>
      </c>
      <c r="C3129" s="63">
        <v>45902</v>
      </c>
      <c r="D3129" s="33" t="str">
        <f>VLOOKUP(B3129,辅助信息!E:K,7,FALSE)</f>
        <v>JWDDCD2025072900121</v>
      </c>
      <c r="E3129" s="33" t="str">
        <f>VLOOKUP(F3129,辅助信息!A:B,2,FALSE)</f>
        <v>螺纹钢</v>
      </c>
      <c r="F3129" s="33" t="s">
        <v>21</v>
      </c>
      <c r="G3129" s="29">
        <v>8</v>
      </c>
      <c r="H3129" s="127">
        <f>IF(SUMIFS('[1]2025年已发货'!$E:$E,'[1]2025年已发货'!$F:$F,C3129,'[1]2025年已发货'!$C:$C,F3129,'[1]2025年已发货'!$G:$G,I3129,'[1]2025年已发货'!$H:$H,J3129)=0,"未发货",SUMIFS('[1]2025年已发货'!$E:$E,'[1]2025年已发货'!$F:$F,C3129,'[1]2025年已发货'!$C:$C,F3129,'[1]2025年已发货'!$G:$G,I3129,'[1]2025年已发货'!$H:$H,J3129))</f>
        <v>8</v>
      </c>
      <c r="I3129" s="33" t="str">
        <f>VLOOKUP(B3129,辅助信息!E:I,3,FALSE)</f>
        <v>(乐山市校地共建产教融合基地建设项目一标段)四川省乐山市市中区苏稽镇周山嘴</v>
      </c>
      <c r="J3129" s="33" t="str">
        <f>VLOOKUP(B3129,辅助信息!E:I,4,FALSE)</f>
        <v>范增云</v>
      </c>
      <c r="K3129" s="33">
        <f>VLOOKUP(J3129,辅助信息!H:I,2,FALSE)</f>
        <v>13668153241</v>
      </c>
      <c r="L3129" s="102" t="str">
        <f>VLOOKUP(B3129,辅助信息!E:J,6,FALSE)</f>
        <v>联系实际收货人（范增云13668153241）现场要求炉批号控制2个以下，超2个不给予签收。提前联系到场规格及数量</v>
      </c>
      <c r="M3129" s="84">
        <v>45903</v>
      </c>
      <c r="O3129" s="55">
        <f ca="1" t="shared" si="180"/>
        <v>0</v>
      </c>
      <c r="P3129" s="55">
        <f ca="1" t="shared" si="181"/>
        <v>54</v>
      </c>
      <c r="Q3129" s="22" t="str">
        <f>VLOOKUP(B3129,辅助信息!E:M,9,FALSE)</f>
        <v>ZTWM-CDGS-XS-2025-0125-四川机司-乐山市校地共建产教融合基地配套设施项目施工一标段钢筋采购合同</v>
      </c>
      <c r="R3129" s="22" t="str">
        <f>_xlfn._xlws.FILTER(辅助信息!D:D,辅助信息!E:E=B3129)</f>
        <v>乐山市校地共建产教融合基地建设项目一标段</v>
      </c>
    </row>
    <row r="3130" hidden="1" spans="2:18">
      <c r="B3130" s="33" t="s">
        <v>187</v>
      </c>
      <c r="C3130" s="63">
        <v>45902</v>
      </c>
      <c r="D3130" s="33" t="str">
        <f>VLOOKUP(B3130,辅助信息!E:K,7,FALSE)</f>
        <v>JWDDCD2025072900121</v>
      </c>
      <c r="E3130" s="33" t="str">
        <f>VLOOKUP(F3130,辅助信息!A:B,2,FALSE)</f>
        <v>螺纹钢</v>
      </c>
      <c r="F3130" s="33" t="s">
        <v>58</v>
      </c>
      <c r="G3130" s="29">
        <v>11</v>
      </c>
      <c r="H3130" s="127">
        <f>IF(SUMIFS('[1]2025年已发货'!$E:$E,'[1]2025年已发货'!$F:$F,C3130,'[1]2025年已发货'!$C:$C,F3130,'[1]2025年已发货'!$G:$G,I3130,'[1]2025年已发货'!$H:$H,J3130)=0,"未发货",SUMIFS('[1]2025年已发货'!$E:$E,'[1]2025年已发货'!$F:$F,C3130,'[1]2025年已发货'!$C:$C,F3130,'[1]2025年已发货'!$G:$G,I3130,'[1]2025年已发货'!$H:$H,J3130))</f>
        <v>11</v>
      </c>
      <c r="I3130" s="33" t="str">
        <f>VLOOKUP(B3130,辅助信息!E:I,3,FALSE)</f>
        <v>(乐山市校地共建产教融合基地建设项目一标段)四川省乐山市市中区苏稽镇周山嘴</v>
      </c>
      <c r="J3130" s="33" t="str">
        <f>VLOOKUP(B3130,辅助信息!E:I,4,FALSE)</f>
        <v>范增云</v>
      </c>
      <c r="K3130" s="33">
        <f>VLOOKUP(J3130,辅助信息!H:I,2,FALSE)</f>
        <v>13668153241</v>
      </c>
      <c r="L3130" s="102" t="str">
        <f>VLOOKUP(B3130,辅助信息!E:J,6,FALSE)</f>
        <v>联系实际收货人（范增云13668153241）现场要求炉批号控制2个以下，超2个不给予签收。提前联系到场规格及数量</v>
      </c>
      <c r="M3130" s="84">
        <v>45903</v>
      </c>
      <c r="O3130" s="55">
        <f ca="1" t="shared" si="180"/>
        <v>0</v>
      </c>
      <c r="P3130" s="55">
        <f ca="1" t="shared" si="181"/>
        <v>54</v>
      </c>
      <c r="Q3130" s="22" t="str">
        <f>VLOOKUP(B3130,辅助信息!E:M,9,FALSE)</f>
        <v>ZTWM-CDGS-XS-2025-0125-四川机司-乐山市校地共建产教融合基地配套设施项目施工一标段钢筋采购合同</v>
      </c>
      <c r="R3130" s="22" t="str">
        <f>_xlfn._xlws.FILTER(辅助信息!D:D,辅助信息!E:E=B3130)</f>
        <v>乐山市校地共建产教融合基地建设项目一标段</v>
      </c>
    </row>
    <row r="3131" hidden="1" spans="2:18">
      <c r="B3131" s="33" t="s">
        <v>187</v>
      </c>
      <c r="C3131" s="63">
        <v>45902</v>
      </c>
      <c r="D3131" s="33" t="str">
        <f>VLOOKUP(B3131,辅助信息!E:K,7,FALSE)</f>
        <v>JWDDCD2025072900121</v>
      </c>
      <c r="E3131" s="33" t="str">
        <f>VLOOKUP(F3131,辅助信息!A:B,2,FALSE)</f>
        <v>螺纹钢</v>
      </c>
      <c r="F3131" s="33" t="s">
        <v>46</v>
      </c>
      <c r="G3131" s="29">
        <v>8</v>
      </c>
      <c r="H3131" s="127">
        <f>IF(SUMIFS('[1]2025年已发货'!$E:$E,'[1]2025年已发货'!$F:$F,C3131,'[1]2025年已发货'!$C:$C,F3131,'[1]2025年已发货'!$G:$G,I3131,'[1]2025年已发货'!$H:$H,J3131)=0,"未发货",SUMIFS('[1]2025年已发货'!$E:$E,'[1]2025年已发货'!$F:$F,C3131,'[1]2025年已发货'!$C:$C,F3131,'[1]2025年已发货'!$G:$G,I3131,'[1]2025年已发货'!$H:$H,J3131))</f>
        <v>8</v>
      </c>
      <c r="I3131" s="33" t="str">
        <f>VLOOKUP(B3131,辅助信息!E:I,3,FALSE)</f>
        <v>(乐山市校地共建产教融合基地建设项目一标段)四川省乐山市市中区苏稽镇周山嘴</v>
      </c>
      <c r="J3131" s="33" t="str">
        <f>VLOOKUP(B3131,辅助信息!E:I,4,FALSE)</f>
        <v>范增云</v>
      </c>
      <c r="K3131" s="33">
        <f>VLOOKUP(J3131,辅助信息!H:I,2,FALSE)</f>
        <v>13668153241</v>
      </c>
      <c r="L3131" s="102" t="str">
        <f>VLOOKUP(B3131,辅助信息!E:J,6,FALSE)</f>
        <v>联系实际收货人（范增云13668153241）现场要求炉批号控制2个以下，超2个不给予签收。提前联系到场规格及数量</v>
      </c>
      <c r="M3131" s="84">
        <v>45903</v>
      </c>
      <c r="O3131" s="55">
        <f ca="1" t="shared" si="180"/>
        <v>0</v>
      </c>
      <c r="P3131" s="55">
        <f ca="1" t="shared" si="181"/>
        <v>54</v>
      </c>
      <c r="Q3131" s="22" t="str">
        <f>VLOOKUP(B3131,辅助信息!E:M,9,FALSE)</f>
        <v>ZTWM-CDGS-XS-2025-0125-四川机司-乐山市校地共建产教融合基地配套设施项目施工一标段钢筋采购合同</v>
      </c>
      <c r="R3131" s="22" t="str">
        <f>_xlfn._xlws.FILTER(辅助信息!D:D,辅助信息!E:E=B3131)</f>
        <v>乐山市校地共建产教融合基地建设项目一标段</v>
      </c>
    </row>
    <row r="3132" hidden="1" spans="2:18">
      <c r="B3132" s="33" t="s">
        <v>187</v>
      </c>
      <c r="C3132" s="63">
        <v>45902</v>
      </c>
      <c r="D3132" s="33" t="str">
        <f>VLOOKUP(B3132,辅助信息!E:K,7,FALSE)</f>
        <v>JWDDCD2025072900121</v>
      </c>
      <c r="E3132" s="33" t="str">
        <f>VLOOKUP(F3132,辅助信息!A:B,2,FALSE)</f>
        <v>螺纹钢</v>
      </c>
      <c r="F3132" s="33" t="s">
        <v>22</v>
      </c>
      <c r="G3132" s="29">
        <v>11</v>
      </c>
      <c r="H3132" s="127">
        <f>IF(SUMIFS('[1]2025年已发货'!$E:$E,'[1]2025年已发货'!$F:$F,C3132,'[1]2025年已发货'!$C:$C,F3132,'[1]2025年已发货'!$G:$G,I3132,'[1]2025年已发货'!$H:$H,J3132)=0,"未发货",SUMIFS('[1]2025年已发货'!$E:$E,'[1]2025年已发货'!$F:$F,C3132,'[1]2025年已发货'!$C:$C,F3132,'[1]2025年已发货'!$G:$G,I3132,'[1]2025年已发货'!$H:$H,J3132))</f>
        <v>11</v>
      </c>
      <c r="I3132" s="33" t="str">
        <f>VLOOKUP(B3132,辅助信息!E:I,3,FALSE)</f>
        <v>(乐山市校地共建产教融合基地建设项目一标段)四川省乐山市市中区苏稽镇周山嘴</v>
      </c>
      <c r="J3132" s="33" t="str">
        <f>VLOOKUP(B3132,辅助信息!E:I,4,FALSE)</f>
        <v>范增云</v>
      </c>
      <c r="K3132" s="33">
        <f>VLOOKUP(J3132,辅助信息!H:I,2,FALSE)</f>
        <v>13668153241</v>
      </c>
      <c r="L3132" s="102" t="str">
        <f>VLOOKUP(B3132,辅助信息!E:J,6,FALSE)</f>
        <v>联系实际收货人（范增云13668153241）现场要求炉批号控制2个以下，超2个不给予签收。提前联系到场规格及数量</v>
      </c>
      <c r="M3132" s="84">
        <v>45903</v>
      </c>
      <c r="O3132" s="55">
        <f ca="1" t="shared" si="180"/>
        <v>0</v>
      </c>
      <c r="P3132" s="55">
        <f ca="1" t="shared" si="181"/>
        <v>54</v>
      </c>
      <c r="Q3132" s="22" t="str">
        <f>VLOOKUP(B3132,辅助信息!E:M,9,FALSE)</f>
        <v>ZTWM-CDGS-XS-2025-0125-四川机司-乐山市校地共建产教融合基地配套设施项目施工一标段钢筋采购合同</v>
      </c>
      <c r="R3132" s="22" t="str">
        <f>_xlfn._xlws.FILTER(辅助信息!D:D,辅助信息!E:E=B3132)</f>
        <v>乐山市校地共建产教融合基地建设项目一标段</v>
      </c>
    </row>
    <row r="3133" hidden="1" spans="2:18">
      <c r="B3133" s="33" t="s">
        <v>187</v>
      </c>
      <c r="C3133" s="63">
        <v>45902</v>
      </c>
      <c r="D3133" s="33" t="str">
        <f>VLOOKUP(B3133,辅助信息!E:K,7,FALSE)</f>
        <v>JWDDCD2025072900121</v>
      </c>
      <c r="E3133" s="33" t="str">
        <f>VLOOKUP(F3133,辅助信息!A:B,2,FALSE)</f>
        <v>螺纹钢</v>
      </c>
      <c r="F3133" s="33" t="s">
        <v>200</v>
      </c>
      <c r="G3133" s="29">
        <v>8</v>
      </c>
      <c r="H3133" s="127">
        <f>IF(SUMIFS('[1]2025年已发货'!$E:$E,'[1]2025年已发货'!$F:$F,C3133,'[1]2025年已发货'!$C:$C,F3133,'[1]2025年已发货'!$G:$G,I3133,'[1]2025年已发货'!$H:$H,J3133)=0,"未发货",SUMIFS('[1]2025年已发货'!$E:$E,'[1]2025年已发货'!$F:$F,C3133,'[1]2025年已发货'!$C:$C,F3133,'[1]2025年已发货'!$G:$G,I3133,'[1]2025年已发货'!$H:$H,J3133))</f>
        <v>8</v>
      </c>
      <c r="I3133" s="33" t="str">
        <f>VLOOKUP(B3133,辅助信息!E:I,3,FALSE)</f>
        <v>(乐山市校地共建产教融合基地建设项目一标段)四川省乐山市市中区苏稽镇周山嘴</v>
      </c>
      <c r="J3133" s="33" t="str">
        <f>VLOOKUP(B3133,辅助信息!E:I,4,FALSE)</f>
        <v>范增云</v>
      </c>
      <c r="K3133" s="33">
        <f>VLOOKUP(J3133,辅助信息!H:I,2,FALSE)</f>
        <v>13668153241</v>
      </c>
      <c r="L3133" s="102" t="str">
        <f>VLOOKUP(B3133,辅助信息!E:J,6,FALSE)</f>
        <v>联系实际收货人（范增云13668153241）现场要求炉批号控制2个以下，超2个不给予签收。提前联系到场规格及数量</v>
      </c>
      <c r="M3133" s="84">
        <v>45903</v>
      </c>
      <c r="O3133" s="55">
        <f ca="1" t="shared" si="180"/>
        <v>0</v>
      </c>
      <c r="P3133" s="55">
        <f ca="1" t="shared" si="181"/>
        <v>54</v>
      </c>
      <c r="Q3133" s="22" t="str">
        <f>VLOOKUP(B3133,辅助信息!E:M,9,FALSE)</f>
        <v>ZTWM-CDGS-XS-2025-0125-四川机司-乐山市校地共建产教融合基地配套设施项目施工一标段钢筋采购合同</v>
      </c>
      <c r="R3133" s="22" t="str">
        <f>_xlfn._xlws.FILTER(辅助信息!D:D,辅助信息!E:E=B3133)</f>
        <v>乐山市校地共建产教融合基地建设项目一标段</v>
      </c>
    </row>
    <row r="3134" hidden="1" spans="2:18">
      <c r="B3134" s="33" t="s">
        <v>180</v>
      </c>
      <c r="C3134" s="63">
        <v>45902</v>
      </c>
      <c r="D3134" s="33" t="str">
        <f>VLOOKUP(B3134,辅助信息!E:K,7,FALSE)</f>
        <v>JWDDCD2025052800131</v>
      </c>
      <c r="E3134" s="33" t="str">
        <f>VLOOKUP(F3134,辅助信息!A:B,2,FALSE)</f>
        <v>盘螺</v>
      </c>
      <c r="F3134" s="33" t="s">
        <v>40</v>
      </c>
      <c r="G3134" s="29">
        <v>10</v>
      </c>
      <c r="H3134" s="127"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33" t="str">
        <f>VLOOKUP(B3134,辅助信息!E:I,3,FALSE)</f>
        <v>（商投建工达州中医药科技园-4工区-8号楼）达州市通川区达州中医药职业学院犀牛大道北段</v>
      </c>
      <c r="J3134" s="33" t="str">
        <f>VLOOKUP(B3134,辅助信息!E:I,4,FALSE)</f>
        <v>张扬</v>
      </c>
      <c r="K3134" s="33">
        <f>VLOOKUP(J3134,辅助信息!H:I,2,FALSE)</f>
        <v>18381904567</v>
      </c>
      <c r="L3134" s="102" t="str">
        <f>VLOOKUP(B3134,辅助信息!E:J,6,FALSE)</f>
        <v>控制炉批号！多了现场不收！,优先安排达钢,提前联系到场规格及数量</v>
      </c>
      <c r="M3134" s="84">
        <v>45903</v>
      </c>
      <c r="O3134" s="55">
        <f ca="1" t="shared" si="180"/>
        <v>0</v>
      </c>
      <c r="P3134" s="55">
        <f ca="1" t="shared" si="181"/>
        <v>54</v>
      </c>
      <c r="Q3134" s="22" t="str">
        <f>VLOOKUP(B3134,辅助信息!E:M,9,FALSE)</f>
        <v>ZTWM-CDGS-XS-2024-0134-商投建工达州中医药科技成果示范园项目</v>
      </c>
      <c r="R3134" s="22" t="str">
        <f>_xlfn._xlws.FILTER(辅助信息!D:D,辅助信息!E:E=B3134)</f>
        <v>商投建工达州中医药科技园</v>
      </c>
    </row>
    <row r="3135" hidden="1" spans="2:18">
      <c r="B3135" s="33" t="s">
        <v>180</v>
      </c>
      <c r="C3135" s="63">
        <v>45902</v>
      </c>
      <c r="D3135" s="33" t="str">
        <f>VLOOKUP(B3135,辅助信息!E:K,7,FALSE)</f>
        <v>JWDDCD2025052800131</v>
      </c>
      <c r="E3135" s="33" t="str">
        <f>VLOOKUP(F3135,辅助信息!A:B,2,FALSE)</f>
        <v>螺纹钢</v>
      </c>
      <c r="F3135" s="33" t="s">
        <v>58</v>
      </c>
      <c r="G3135" s="29">
        <v>12</v>
      </c>
      <c r="H3135" s="127"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33" t="str">
        <f>VLOOKUP(B3135,辅助信息!E:I,3,FALSE)</f>
        <v>（商投建工达州中医药科技园-4工区-8号楼）达州市通川区达州中医药职业学院犀牛大道北段</v>
      </c>
      <c r="J3135" s="33" t="str">
        <f>VLOOKUP(B3135,辅助信息!E:I,4,FALSE)</f>
        <v>张扬</v>
      </c>
      <c r="K3135" s="33">
        <f>VLOOKUP(J3135,辅助信息!H:I,2,FALSE)</f>
        <v>18381904567</v>
      </c>
      <c r="L3135" s="102" t="str">
        <f>VLOOKUP(B3135,辅助信息!E:J,6,FALSE)</f>
        <v>控制炉批号！多了现场不收！,优先安排达钢,提前联系到场规格及数量</v>
      </c>
      <c r="M3135" s="84">
        <v>45903</v>
      </c>
      <c r="O3135" s="55">
        <f ca="1" t="shared" si="180"/>
        <v>0</v>
      </c>
      <c r="P3135" s="55">
        <f ca="1" t="shared" si="181"/>
        <v>54</v>
      </c>
      <c r="Q3135" s="22" t="str">
        <f>VLOOKUP(B3135,辅助信息!E:M,9,FALSE)</f>
        <v>ZTWM-CDGS-XS-2024-0134-商投建工达州中医药科技成果示范园项目</v>
      </c>
      <c r="R3135" s="22" t="str">
        <f>_xlfn._xlws.FILTER(辅助信息!D:D,辅助信息!E:E=B3135)</f>
        <v>商投建工达州中医药科技园</v>
      </c>
    </row>
    <row r="3136" hidden="1" spans="2:18">
      <c r="B3136" s="33" t="s">
        <v>180</v>
      </c>
      <c r="C3136" s="63">
        <v>45902</v>
      </c>
      <c r="D3136" s="33" t="str">
        <f>VLOOKUP(B3136,辅助信息!E:K,7,FALSE)</f>
        <v>JWDDCD2025052800131</v>
      </c>
      <c r="E3136" s="33" t="str">
        <f>VLOOKUP(F3136,辅助信息!A:B,2,FALSE)</f>
        <v>螺纹钢</v>
      </c>
      <c r="F3136" s="33" t="s">
        <v>22</v>
      </c>
      <c r="G3136" s="29">
        <v>13</v>
      </c>
      <c r="H3136" s="127"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33" t="str">
        <f>VLOOKUP(B3136,辅助信息!E:I,3,FALSE)</f>
        <v>（商投建工达州中医药科技园-4工区-8号楼）达州市通川区达州中医药职业学院犀牛大道北段</v>
      </c>
      <c r="J3136" s="33" t="str">
        <f>VLOOKUP(B3136,辅助信息!E:I,4,FALSE)</f>
        <v>张扬</v>
      </c>
      <c r="K3136" s="33">
        <f>VLOOKUP(J3136,辅助信息!H:I,2,FALSE)</f>
        <v>18381904567</v>
      </c>
      <c r="L3136" s="102" t="str">
        <f>VLOOKUP(B3136,辅助信息!E:J,6,FALSE)</f>
        <v>控制炉批号！多了现场不收！,优先安排达钢,提前联系到场规格及数量</v>
      </c>
      <c r="M3136" s="84">
        <v>45903</v>
      </c>
      <c r="O3136" s="55">
        <f ca="1" t="shared" si="180"/>
        <v>0</v>
      </c>
      <c r="P3136" s="55">
        <f ca="1" t="shared" si="181"/>
        <v>54</v>
      </c>
      <c r="Q3136" s="22" t="str">
        <f>VLOOKUP(B3136,辅助信息!E:M,9,FALSE)</f>
        <v>ZTWM-CDGS-XS-2024-0134-商投建工达州中医药科技成果示范园项目</v>
      </c>
      <c r="R3136" s="22" t="str">
        <f>_xlfn._xlws.FILTER(辅助信息!D:D,辅助信息!E:E=B3136)</f>
        <v>商投建工达州中医药科技园</v>
      </c>
    </row>
    <row r="3137" hidden="1" spans="2:18">
      <c r="B3137" s="33" t="s">
        <v>163</v>
      </c>
      <c r="C3137" s="63">
        <v>45902</v>
      </c>
      <c r="D3137" s="33" t="str">
        <f>VLOOKUP(B3137,辅助信息!E:K,7,FALSE)</f>
        <v>JWDDCD2025052800131</v>
      </c>
      <c r="E3137" s="33" t="str">
        <f>VLOOKUP(F3137,辅助信息!A:B,2,FALSE)</f>
        <v>盘螺</v>
      </c>
      <c r="F3137" s="33" t="s">
        <v>40</v>
      </c>
      <c r="G3137" s="29">
        <v>15</v>
      </c>
      <c r="H3137" s="127"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33" t="str">
        <f>VLOOKUP(B3137,辅助信息!E:I,3,FALSE)</f>
        <v>（商投建工达州中医药科技园-4工区-9号楼）达州市通川区达州中医药职业学院犀牛大道北段</v>
      </c>
      <c r="J3137" s="33" t="str">
        <f>VLOOKUP(B3137,辅助信息!E:I,4,FALSE)</f>
        <v>张扬</v>
      </c>
      <c r="K3137" s="33">
        <f>VLOOKUP(J3137,辅助信息!H:I,2,FALSE)</f>
        <v>18381904567</v>
      </c>
      <c r="L3137" s="102" t="str">
        <f>VLOOKUP(B3137,辅助信息!E:J,6,FALSE)</f>
        <v>控制炉批号！多了现场不收！,优先安排达钢,提前联系到场规格及数量</v>
      </c>
      <c r="M3137" s="84">
        <v>45903</v>
      </c>
      <c r="O3137" s="55">
        <f ca="1" t="shared" si="180"/>
        <v>0</v>
      </c>
      <c r="P3137" s="55">
        <f ca="1" t="shared" si="181"/>
        <v>54</v>
      </c>
      <c r="Q3137" s="22" t="str">
        <f>VLOOKUP(B3137,辅助信息!E:M,9,FALSE)</f>
        <v>ZTWM-CDGS-XS-2024-0134-商投建工达州中医药科技成果示范园项目</v>
      </c>
      <c r="R3137" s="22" t="str">
        <f>_xlfn._xlws.FILTER(辅助信息!D:D,辅助信息!E:E=B3137)</f>
        <v>商投建工达州中医药科技园</v>
      </c>
    </row>
    <row r="3138" hidden="1" spans="2:18">
      <c r="B3138" s="33" t="s">
        <v>163</v>
      </c>
      <c r="C3138" s="63">
        <v>45902</v>
      </c>
      <c r="D3138" s="33" t="str">
        <f>VLOOKUP(B3138,辅助信息!E:K,7,FALSE)</f>
        <v>JWDDCD2025052800131</v>
      </c>
      <c r="E3138" s="33" t="str">
        <f>VLOOKUP(F3138,辅助信息!A:B,2,FALSE)</f>
        <v>螺纹钢</v>
      </c>
      <c r="F3138" s="33" t="s">
        <v>33</v>
      </c>
      <c r="G3138" s="29">
        <v>10</v>
      </c>
      <c r="H3138" s="127"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33" t="str">
        <f>VLOOKUP(B3138,辅助信息!E:I,3,FALSE)</f>
        <v>（商投建工达州中医药科技园-4工区-9号楼）达州市通川区达州中医药职业学院犀牛大道北段</v>
      </c>
      <c r="J3138" s="33" t="str">
        <f>VLOOKUP(B3138,辅助信息!E:I,4,FALSE)</f>
        <v>张扬</v>
      </c>
      <c r="K3138" s="33">
        <f>VLOOKUP(J3138,辅助信息!H:I,2,FALSE)</f>
        <v>18381904567</v>
      </c>
      <c r="L3138" s="102" t="str">
        <f>VLOOKUP(B3138,辅助信息!E:J,6,FALSE)</f>
        <v>控制炉批号！多了现场不收！,优先安排达钢,提前联系到场规格及数量</v>
      </c>
      <c r="M3138" s="84">
        <v>45903</v>
      </c>
      <c r="O3138" s="55">
        <f ca="1" t="shared" si="180"/>
        <v>0</v>
      </c>
      <c r="P3138" s="55">
        <f ca="1" t="shared" si="181"/>
        <v>54</v>
      </c>
      <c r="Q3138" s="22" t="str">
        <f>VLOOKUP(B3138,辅助信息!E:M,9,FALSE)</f>
        <v>ZTWM-CDGS-XS-2024-0134-商投建工达州中医药科技成果示范园项目</v>
      </c>
      <c r="R3138" s="22" t="str">
        <f>_xlfn._xlws.FILTER(辅助信息!D:D,辅助信息!E:E=B3138)</f>
        <v>商投建工达州中医药科技园</v>
      </c>
    </row>
    <row r="3139" hidden="1" spans="2:18">
      <c r="B3139" s="33" t="s">
        <v>163</v>
      </c>
      <c r="C3139" s="63">
        <v>45902</v>
      </c>
      <c r="D3139" s="33" t="str">
        <f>VLOOKUP(B3139,辅助信息!E:K,7,FALSE)</f>
        <v>JWDDCD2025052800131</v>
      </c>
      <c r="E3139" s="33" t="str">
        <f>VLOOKUP(F3139,辅助信息!A:B,2,FALSE)</f>
        <v>螺纹钢</v>
      </c>
      <c r="F3139" s="33" t="s">
        <v>18</v>
      </c>
      <c r="G3139" s="29">
        <v>10</v>
      </c>
      <c r="H3139" s="127"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33" t="str">
        <f>VLOOKUP(B3139,辅助信息!E:I,3,FALSE)</f>
        <v>（商投建工达州中医药科技园-4工区-9号楼）达州市通川区达州中医药职业学院犀牛大道北段</v>
      </c>
      <c r="J3139" s="33" t="str">
        <f>VLOOKUP(B3139,辅助信息!E:I,4,FALSE)</f>
        <v>张扬</v>
      </c>
      <c r="K3139" s="33">
        <f>VLOOKUP(J3139,辅助信息!H:I,2,FALSE)</f>
        <v>18381904567</v>
      </c>
      <c r="L3139" s="102" t="str">
        <f>VLOOKUP(B3139,辅助信息!E:J,6,FALSE)</f>
        <v>控制炉批号！多了现场不收！,优先安排达钢,提前联系到场规格及数量</v>
      </c>
      <c r="M3139" s="84">
        <v>45903</v>
      </c>
      <c r="O3139" s="55">
        <f ca="1" t="shared" si="180"/>
        <v>0</v>
      </c>
      <c r="P3139" s="55">
        <f ca="1" t="shared" si="181"/>
        <v>54</v>
      </c>
      <c r="Q3139" s="22" t="str">
        <f>VLOOKUP(B3139,辅助信息!E:M,9,FALSE)</f>
        <v>ZTWM-CDGS-XS-2024-0134-商投建工达州中医药科技成果示范园项目</v>
      </c>
      <c r="R3139" s="22" t="str">
        <f>_xlfn._xlws.FILTER(辅助信息!D:D,辅助信息!E:E=B3139)</f>
        <v>商投建工达州中医药科技园</v>
      </c>
    </row>
    <row r="3140" hidden="1" spans="1:18">
      <c r="A3140" s="75" t="s">
        <v>212</v>
      </c>
      <c r="B3140" s="33" t="s">
        <v>167</v>
      </c>
      <c r="C3140" s="63">
        <v>45902</v>
      </c>
      <c r="D3140" s="33" t="str">
        <f>VLOOKUP(B3140,辅助信息!E:K,7,FALSE)</f>
        <v>JWDDCD2025102100473</v>
      </c>
      <c r="E3140" s="33" t="str">
        <f>VLOOKUP(F3140,辅助信息!A:B,2,FALSE)</f>
        <v>盘螺</v>
      </c>
      <c r="F3140" s="33" t="s">
        <v>40</v>
      </c>
      <c r="G3140" s="29">
        <v>24</v>
      </c>
      <c r="H3140" s="127">
        <f>IF(SUMIFS('[1]2025年已发货'!$E:$E,'[1]2025年已发货'!$F:$F,C3140,'[1]2025年已发货'!$C:$C,F3140,'[1]2025年已发货'!$G:$G,I3140,'[1]2025年已发货'!$H:$H,J3140)=0,"未发货",SUMIFS('[1]2025年已发货'!$E:$E,'[1]2025年已发货'!$F:$F,C3140,'[1]2025年已发货'!$C:$C,F3140,'[1]2025年已发货'!$G:$G,I3140,'[1]2025年已发货'!$H:$H,J3140))</f>
        <v>24</v>
      </c>
      <c r="I3140" s="33" t="str">
        <f>VLOOKUP(B3140,辅助信息!E:I,3,FALSE)</f>
        <v>(五冶建设扩建艺体中学二期工程)四川省成都市双流区光荣路成都艺体中学南200米</v>
      </c>
      <c r="J3140" s="33" t="str">
        <f>VLOOKUP(B3140,辅助信息!E:I,4,FALSE)</f>
        <v>谢序强</v>
      </c>
      <c r="K3140" s="33">
        <f>VLOOKUP(J3140,辅助信息!H:I,2,FALSE)</f>
        <v>13458588232</v>
      </c>
      <c r="L3140" s="102"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84">
        <v>45904</v>
      </c>
      <c r="O3140" s="55">
        <f ca="1" t="shared" si="180"/>
        <v>0</v>
      </c>
      <c r="P3140" s="55">
        <f ca="1" t="shared" si="181"/>
        <v>53</v>
      </c>
      <c r="Q3140" s="22" t="str">
        <f>VLOOKUP(B3140,辅助信息!E:M,9,FALSE)</f>
        <v>ZTWM-CDGS-XS-2025-0073-五冶天府-成都怡心湖片区及龙泉驿医院等项目</v>
      </c>
      <c r="R3140" s="22" t="str">
        <f>_xlfn._xlws.FILTER(辅助信息!D:D,辅助信息!E:E=B3140)</f>
        <v>五冶建设扩建艺体中学二期工程</v>
      </c>
    </row>
    <row r="3141" hidden="1" spans="1:18">
      <c r="A3141" s="75"/>
      <c r="B3141" s="33" t="s">
        <v>167</v>
      </c>
      <c r="C3141" s="63">
        <v>45902</v>
      </c>
      <c r="D3141" s="33" t="str">
        <f>VLOOKUP(B3141,辅助信息!E:K,7,FALSE)</f>
        <v>JWDDCD2025102100473</v>
      </c>
      <c r="E3141" s="33" t="str">
        <f>VLOOKUP(F3141,辅助信息!A:B,2,FALSE)</f>
        <v>盘螺</v>
      </c>
      <c r="F3141" s="33" t="s">
        <v>41</v>
      </c>
      <c r="G3141" s="29">
        <v>10</v>
      </c>
      <c r="H3141" s="127">
        <f>IF(SUMIFS('[1]2025年已发货'!$E:$E,'[1]2025年已发货'!$F:$F,C3141,'[1]2025年已发货'!$C:$C,F3141,'[1]2025年已发货'!$G:$G,I3141,'[1]2025年已发货'!$H:$H,J3141)=0,"未发货",SUMIFS('[1]2025年已发货'!$E:$E,'[1]2025年已发货'!$F:$F,C3141,'[1]2025年已发货'!$C:$C,F3141,'[1]2025年已发货'!$G:$G,I3141,'[1]2025年已发货'!$H:$H,J3141))</f>
        <v>10</v>
      </c>
      <c r="I3141" s="33" t="str">
        <f>VLOOKUP(B3141,辅助信息!E:I,3,FALSE)</f>
        <v>(五冶建设扩建艺体中学二期工程)四川省成都市双流区光荣路成都艺体中学南200米</v>
      </c>
      <c r="J3141" s="33" t="str">
        <f>VLOOKUP(B3141,辅助信息!E:I,4,FALSE)</f>
        <v>谢序强</v>
      </c>
      <c r="K3141" s="33">
        <f>VLOOKUP(J3141,辅助信息!H:I,2,FALSE)</f>
        <v>13458588232</v>
      </c>
      <c r="L3141" s="102"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84">
        <v>45904</v>
      </c>
      <c r="O3141" s="55">
        <f ca="1" t="shared" si="180"/>
        <v>0</v>
      </c>
      <c r="P3141" s="55">
        <f ca="1" t="shared" si="181"/>
        <v>53</v>
      </c>
      <c r="Q3141" s="22" t="str">
        <f>VLOOKUP(B3141,辅助信息!E:M,9,FALSE)</f>
        <v>ZTWM-CDGS-XS-2025-0073-五冶天府-成都怡心湖片区及龙泉驿医院等项目</v>
      </c>
      <c r="R3141" s="22" t="str">
        <f>_xlfn._xlws.FILTER(辅助信息!D:D,辅助信息!E:E=B3141)</f>
        <v>五冶建设扩建艺体中学二期工程</v>
      </c>
    </row>
    <row r="3142" hidden="1" spans="1:18">
      <c r="A3142" s="75"/>
      <c r="B3142" s="33" t="s">
        <v>167</v>
      </c>
      <c r="C3142" s="63">
        <v>45902</v>
      </c>
      <c r="D3142" s="33" t="str">
        <f>VLOOKUP(B3142,辅助信息!E:K,7,FALSE)</f>
        <v>JWDDCD2025102100473</v>
      </c>
      <c r="E3142" s="33" t="str">
        <f>VLOOKUP(F3142,辅助信息!A:B,2,FALSE)</f>
        <v>螺纹钢</v>
      </c>
      <c r="F3142" s="33" t="s">
        <v>27</v>
      </c>
      <c r="G3142" s="29">
        <v>35</v>
      </c>
      <c r="H3142" s="127">
        <f>IF(SUMIFS('[1]2025年已发货'!$E:$E,'[1]2025年已发货'!$F:$F,C3142,'[1]2025年已发货'!$C:$C,F3142,'[1]2025年已发货'!$G:$G,I3142,'[1]2025年已发货'!$H:$H,J3142)=0,"未发货",SUMIFS('[1]2025年已发货'!$E:$E,'[1]2025年已发货'!$F:$F,C3142,'[1]2025年已发货'!$C:$C,F3142,'[1]2025年已发货'!$G:$G,I3142,'[1]2025年已发货'!$H:$H,J3142))</f>
        <v>35</v>
      </c>
      <c r="I3142" s="33" t="str">
        <f>VLOOKUP(B3142,辅助信息!E:I,3,FALSE)</f>
        <v>(五冶建设扩建艺体中学二期工程)四川省成都市双流区光荣路成都艺体中学南200米</v>
      </c>
      <c r="J3142" s="33" t="str">
        <f>VLOOKUP(B3142,辅助信息!E:I,4,FALSE)</f>
        <v>谢序强</v>
      </c>
      <c r="K3142" s="33">
        <f>VLOOKUP(J3142,辅助信息!H:I,2,FALSE)</f>
        <v>13458588232</v>
      </c>
      <c r="L3142" s="102"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84">
        <v>45904</v>
      </c>
      <c r="O3142" s="55">
        <f ca="1" t="shared" si="180"/>
        <v>0</v>
      </c>
      <c r="P3142" s="55">
        <f ca="1" t="shared" si="181"/>
        <v>53</v>
      </c>
      <c r="Q3142" s="22" t="str">
        <f>VLOOKUP(B3142,辅助信息!E:M,9,FALSE)</f>
        <v>ZTWM-CDGS-XS-2025-0073-五冶天府-成都怡心湖片区及龙泉驿医院等项目</v>
      </c>
      <c r="R3142" s="22" t="str">
        <f>_xlfn._xlws.FILTER(辅助信息!D:D,辅助信息!E:E=B3142)</f>
        <v>五冶建设扩建艺体中学二期工程</v>
      </c>
    </row>
    <row r="3143" hidden="1" spans="1:18">
      <c r="A3143" s="75"/>
      <c r="B3143" s="33" t="s">
        <v>167</v>
      </c>
      <c r="C3143" s="63">
        <v>45902</v>
      </c>
      <c r="D3143" s="33" t="str">
        <f>VLOOKUP(B3143,辅助信息!E:K,7,FALSE)</f>
        <v>JWDDCD2025102100473</v>
      </c>
      <c r="E3143" s="33" t="str">
        <f>VLOOKUP(F3143,辅助信息!A:B,2,FALSE)</f>
        <v>螺纹钢</v>
      </c>
      <c r="F3143" s="33" t="s">
        <v>45</v>
      </c>
      <c r="G3143" s="29">
        <v>6</v>
      </c>
      <c r="H3143" s="127">
        <f>IF(SUMIFS('[1]2025年已发货'!$E:$E,'[1]2025年已发货'!$F:$F,C3143,'[1]2025年已发货'!$C:$C,F3143,'[1]2025年已发货'!$G:$G,I3143,'[1]2025年已发货'!$H:$H,J3143)=0,"未发货",SUMIFS('[1]2025年已发货'!$E:$E,'[1]2025年已发货'!$F:$F,C3143,'[1]2025年已发货'!$C:$C,F3143,'[1]2025年已发货'!$G:$G,I3143,'[1]2025年已发货'!$H:$H,J3143))</f>
        <v>6</v>
      </c>
      <c r="I3143" s="33" t="str">
        <f>VLOOKUP(B3143,辅助信息!E:I,3,FALSE)</f>
        <v>(五冶建设扩建艺体中学二期工程)四川省成都市双流区光荣路成都艺体中学南200米</v>
      </c>
      <c r="J3143" s="33" t="str">
        <f>VLOOKUP(B3143,辅助信息!E:I,4,FALSE)</f>
        <v>谢序强</v>
      </c>
      <c r="K3143" s="33">
        <f>VLOOKUP(J3143,辅助信息!H:I,2,FALSE)</f>
        <v>13458588232</v>
      </c>
      <c r="L3143" s="102"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84">
        <v>45904</v>
      </c>
      <c r="O3143" s="55">
        <f ca="1" t="shared" si="180"/>
        <v>0</v>
      </c>
      <c r="P3143" s="55">
        <f ca="1" t="shared" si="181"/>
        <v>53</v>
      </c>
      <c r="Q3143" s="22" t="str">
        <f>VLOOKUP(B3143,辅助信息!E:M,9,FALSE)</f>
        <v>ZTWM-CDGS-XS-2025-0073-五冶天府-成都怡心湖片区及龙泉驿医院等项目</v>
      </c>
      <c r="R3143" s="22" t="str">
        <f>_xlfn._xlws.FILTER(辅助信息!D:D,辅助信息!E:E=B3143)</f>
        <v>五冶建设扩建艺体中学二期工程</v>
      </c>
    </row>
    <row r="3144" hidden="1" spans="1:18">
      <c r="A3144" s="75"/>
      <c r="B3144" s="33" t="s">
        <v>167</v>
      </c>
      <c r="C3144" s="63">
        <v>45902</v>
      </c>
      <c r="D3144" s="33" t="str">
        <f>VLOOKUP(B3144,辅助信息!E:K,7,FALSE)</f>
        <v>JWDDCD2025102100473</v>
      </c>
      <c r="E3144" s="33" t="str">
        <f>VLOOKUP(F3144,辅助信息!A:B,2,FALSE)</f>
        <v>螺纹钢</v>
      </c>
      <c r="F3144" s="33" t="s">
        <v>21</v>
      </c>
      <c r="G3144" s="29">
        <v>6</v>
      </c>
      <c r="H3144" s="127">
        <f>IF(SUMIFS('[1]2025年已发货'!$E:$E,'[1]2025年已发货'!$F:$F,C3144,'[1]2025年已发货'!$C:$C,F3144,'[1]2025年已发货'!$G:$G,I3144,'[1]2025年已发货'!$H:$H,J3144)=0,"未发货",SUMIFS('[1]2025年已发货'!$E:$E,'[1]2025年已发货'!$F:$F,C3144,'[1]2025年已发货'!$C:$C,F3144,'[1]2025年已发货'!$G:$G,I3144,'[1]2025年已发货'!$H:$H,J3144))</f>
        <v>6</v>
      </c>
      <c r="I3144" s="33" t="str">
        <f>VLOOKUP(B3144,辅助信息!E:I,3,FALSE)</f>
        <v>(五冶建设扩建艺体中学二期工程)四川省成都市双流区光荣路成都艺体中学南200米</v>
      </c>
      <c r="J3144" s="33" t="str">
        <f>VLOOKUP(B3144,辅助信息!E:I,4,FALSE)</f>
        <v>谢序强</v>
      </c>
      <c r="K3144" s="33">
        <f>VLOOKUP(J3144,辅助信息!H:I,2,FALSE)</f>
        <v>13458588232</v>
      </c>
      <c r="L3144" s="102"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84">
        <v>45904</v>
      </c>
      <c r="O3144" s="55">
        <f ca="1" t="shared" si="180"/>
        <v>0</v>
      </c>
      <c r="P3144" s="55">
        <f ca="1" t="shared" si="181"/>
        <v>53</v>
      </c>
      <c r="Q3144" s="22" t="str">
        <f>VLOOKUP(B3144,辅助信息!E:M,9,FALSE)</f>
        <v>ZTWM-CDGS-XS-2025-0073-五冶天府-成都怡心湖片区及龙泉驿医院等项目</v>
      </c>
      <c r="R3144" s="22" t="str">
        <f>_xlfn._xlws.FILTER(辅助信息!D:D,辅助信息!E:E=B3144)</f>
        <v>五冶建设扩建艺体中学二期工程</v>
      </c>
    </row>
    <row r="3145" hidden="1" spans="1:18">
      <c r="A3145" s="75"/>
      <c r="B3145" s="33" t="s">
        <v>167</v>
      </c>
      <c r="C3145" s="63">
        <v>45902</v>
      </c>
      <c r="D3145" s="33" t="str">
        <f>VLOOKUP(B3145,辅助信息!E:K,7,FALSE)</f>
        <v>JWDDCD2025102100473</v>
      </c>
      <c r="E3145" s="33" t="str">
        <f>VLOOKUP(F3145,辅助信息!A:B,2,FALSE)</f>
        <v>螺纹钢</v>
      </c>
      <c r="F3145" s="33" t="s">
        <v>58</v>
      </c>
      <c r="G3145" s="29">
        <v>12</v>
      </c>
      <c r="H3145" s="127">
        <f>IF(SUMIFS('[1]2025年已发货'!$E:$E,'[1]2025年已发货'!$F:$F,C3145,'[1]2025年已发货'!$C:$C,F3145,'[1]2025年已发货'!$G:$G,I3145,'[1]2025年已发货'!$H:$H,J3145)=0,"未发货",SUMIFS('[1]2025年已发货'!$E:$E,'[1]2025年已发货'!$F:$F,C3145,'[1]2025年已发货'!$C:$C,F3145,'[1]2025年已发货'!$G:$G,I3145,'[1]2025年已发货'!$H:$H,J3145))</f>
        <v>12</v>
      </c>
      <c r="I3145" s="33" t="str">
        <f>VLOOKUP(B3145,辅助信息!E:I,3,FALSE)</f>
        <v>(五冶建设扩建艺体中学二期工程)四川省成都市双流区光荣路成都艺体中学南200米</v>
      </c>
      <c r="J3145" s="33" t="str">
        <f>VLOOKUP(B3145,辅助信息!E:I,4,FALSE)</f>
        <v>谢序强</v>
      </c>
      <c r="K3145" s="33">
        <f>VLOOKUP(J3145,辅助信息!H:I,2,FALSE)</f>
        <v>13458588232</v>
      </c>
      <c r="L3145" s="102"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84">
        <v>45904</v>
      </c>
      <c r="O3145" s="55">
        <f ca="1" t="shared" si="180"/>
        <v>0</v>
      </c>
      <c r="P3145" s="55">
        <f ca="1" t="shared" si="181"/>
        <v>53</v>
      </c>
      <c r="Q3145" s="22" t="str">
        <f>VLOOKUP(B3145,辅助信息!E:M,9,FALSE)</f>
        <v>ZTWM-CDGS-XS-2025-0073-五冶天府-成都怡心湖片区及龙泉驿医院等项目</v>
      </c>
      <c r="R3145" s="22" t="str">
        <f>_xlfn._xlws.FILTER(辅助信息!D:D,辅助信息!E:E=B3145)</f>
        <v>五冶建设扩建艺体中学二期工程</v>
      </c>
    </row>
    <row r="3146" hidden="1" spans="1:18">
      <c r="A3146" s="75"/>
      <c r="B3146" s="33" t="s">
        <v>167</v>
      </c>
      <c r="C3146" s="63">
        <v>45902</v>
      </c>
      <c r="D3146" s="33" t="str">
        <f>VLOOKUP(B3146,辅助信息!E:K,7,FALSE)</f>
        <v>JWDDCD2025102100473</v>
      </c>
      <c r="E3146" s="33" t="str">
        <f>VLOOKUP(F3146,辅助信息!A:B,2,FALSE)</f>
        <v>螺纹钢</v>
      </c>
      <c r="F3146" s="33" t="s">
        <v>46</v>
      </c>
      <c r="G3146" s="29">
        <v>12</v>
      </c>
      <c r="H3146" s="127">
        <f>IF(SUMIFS('[1]2025年已发货'!$E:$E,'[1]2025年已发货'!$F:$F,C3146,'[1]2025年已发货'!$C:$C,F3146,'[1]2025年已发货'!$G:$G,I3146,'[1]2025年已发货'!$H:$H,J3146)=0,"未发货",SUMIFS('[1]2025年已发货'!$E:$E,'[1]2025年已发货'!$F:$F,C3146,'[1]2025年已发货'!$C:$C,F3146,'[1]2025年已发货'!$G:$G,I3146,'[1]2025年已发货'!$H:$H,J3146))</f>
        <v>12</v>
      </c>
      <c r="I3146" s="33" t="str">
        <f>VLOOKUP(B3146,辅助信息!E:I,3,FALSE)</f>
        <v>(五冶建设扩建艺体中学二期工程)四川省成都市双流区光荣路成都艺体中学南200米</v>
      </c>
      <c r="J3146" s="33" t="str">
        <f>VLOOKUP(B3146,辅助信息!E:I,4,FALSE)</f>
        <v>谢序强</v>
      </c>
      <c r="K3146" s="33">
        <f>VLOOKUP(J3146,辅助信息!H:I,2,FALSE)</f>
        <v>13458588232</v>
      </c>
      <c r="L3146" s="102"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84">
        <v>45904</v>
      </c>
      <c r="O3146" s="55">
        <f ca="1" t="shared" si="180"/>
        <v>0</v>
      </c>
      <c r="P3146" s="55">
        <f ca="1" t="shared" si="181"/>
        <v>53</v>
      </c>
      <c r="Q3146" s="22" t="str">
        <f>VLOOKUP(B3146,辅助信息!E:M,9,FALSE)</f>
        <v>ZTWM-CDGS-XS-2025-0073-五冶天府-成都怡心湖片区及龙泉驿医院等项目</v>
      </c>
      <c r="R3146" s="22" t="str">
        <f>_xlfn._xlws.FILTER(辅助信息!D:D,辅助信息!E:E=B3146)</f>
        <v>五冶建设扩建艺体中学二期工程</v>
      </c>
    </row>
    <row r="3147" hidden="1" spans="2:18">
      <c r="B3147" s="33" t="s">
        <v>163</v>
      </c>
      <c r="C3147" s="63">
        <v>45902</v>
      </c>
      <c r="D3147" s="33" t="str">
        <f>VLOOKUP(B3147,辅助信息!E:K,7,FALSE)</f>
        <v>JWDDCD2025052800131</v>
      </c>
      <c r="E3147" s="33" t="str">
        <f>VLOOKUP(F3147,辅助信息!A:B,2,FALSE)</f>
        <v>盘螺</v>
      </c>
      <c r="F3147" s="33" t="s">
        <v>49</v>
      </c>
      <c r="G3147" s="29">
        <v>5</v>
      </c>
      <c r="H3147" s="127"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33" t="str">
        <f>VLOOKUP(B3147,辅助信息!E:I,3,FALSE)</f>
        <v>（商投建工达州中医药科技园-4工区-9号楼）达州市通川区达州中医药职业学院犀牛大道北段</v>
      </c>
      <c r="J3147" s="33" t="str">
        <f>VLOOKUP(B3147,辅助信息!E:I,4,FALSE)</f>
        <v>张扬</v>
      </c>
      <c r="K3147" s="33">
        <f>VLOOKUP(J3147,辅助信息!H:I,2,FALSE)</f>
        <v>18381904567</v>
      </c>
      <c r="L3147" s="102" t="str">
        <f>VLOOKUP(B3147,辅助信息!E:J,6,FALSE)</f>
        <v>控制炉批号！多了现场不收！,优先安排达钢,提前联系到场规格及数量</v>
      </c>
      <c r="M3147" s="84">
        <v>45904</v>
      </c>
      <c r="O3147" s="55">
        <f ca="1" t="shared" si="180"/>
        <v>0</v>
      </c>
      <c r="P3147" s="55">
        <f ca="1" t="shared" si="181"/>
        <v>53</v>
      </c>
      <c r="Q3147" s="22" t="str">
        <f>VLOOKUP(B3147,辅助信息!E:M,9,FALSE)</f>
        <v>ZTWM-CDGS-XS-2024-0134-商投建工达州中医药科技成果示范园项目</v>
      </c>
      <c r="R3147" s="22" t="str">
        <f>_xlfn._xlws.FILTER(辅助信息!D:D,辅助信息!E:E=B3147)</f>
        <v>商投建工达州中医药科技园</v>
      </c>
    </row>
    <row r="3148" hidden="1" spans="2:18">
      <c r="B3148" s="33" t="s">
        <v>163</v>
      </c>
      <c r="C3148" s="63">
        <v>45902</v>
      </c>
      <c r="D3148" s="33" t="str">
        <f>VLOOKUP(B3148,辅助信息!E:K,7,FALSE)</f>
        <v>JWDDCD2025052800131</v>
      </c>
      <c r="E3148" s="33" t="str">
        <f>VLOOKUP(F3148,辅助信息!A:B,2,FALSE)</f>
        <v>盘螺</v>
      </c>
      <c r="F3148" s="33" t="s">
        <v>40</v>
      </c>
      <c r="G3148" s="29">
        <v>24</v>
      </c>
      <c r="H3148" s="127"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33" t="str">
        <f>VLOOKUP(B3148,辅助信息!E:I,3,FALSE)</f>
        <v>（商投建工达州中医药科技园-4工区-9号楼）达州市通川区达州中医药职业学院犀牛大道北段</v>
      </c>
      <c r="J3148" s="33" t="str">
        <f>VLOOKUP(B3148,辅助信息!E:I,4,FALSE)</f>
        <v>张扬</v>
      </c>
      <c r="K3148" s="33">
        <f>VLOOKUP(J3148,辅助信息!H:I,2,FALSE)</f>
        <v>18381904567</v>
      </c>
      <c r="L3148" s="102" t="str">
        <f>VLOOKUP(B3148,辅助信息!E:J,6,FALSE)</f>
        <v>控制炉批号！多了现场不收！,优先安排达钢,提前联系到场规格及数量</v>
      </c>
      <c r="M3148" s="84">
        <v>45904</v>
      </c>
      <c r="O3148" s="55">
        <f ca="1" t="shared" si="180"/>
        <v>0</v>
      </c>
      <c r="P3148" s="55">
        <f ca="1" t="shared" si="181"/>
        <v>53</v>
      </c>
      <c r="Q3148" s="22" t="str">
        <f>VLOOKUP(B3148,辅助信息!E:M,9,FALSE)</f>
        <v>ZTWM-CDGS-XS-2024-0134-商投建工达州中医药科技成果示范园项目</v>
      </c>
      <c r="R3148" s="22" t="str">
        <f>_xlfn._xlws.FILTER(辅助信息!D:D,辅助信息!E:E=B3148)</f>
        <v>商投建工达州中医药科技园</v>
      </c>
    </row>
    <row r="3149" hidden="1" spans="2:18">
      <c r="B3149" s="33" t="s">
        <v>163</v>
      </c>
      <c r="C3149" s="63">
        <v>45902</v>
      </c>
      <c r="D3149" s="33" t="str">
        <f>VLOOKUP(B3149,辅助信息!E:K,7,FALSE)</f>
        <v>JWDDCD2025052800131</v>
      </c>
      <c r="E3149" s="33" t="str">
        <f>VLOOKUP(F3149,辅助信息!A:B,2,FALSE)</f>
        <v>盘螺</v>
      </c>
      <c r="F3149" s="33" t="s">
        <v>41</v>
      </c>
      <c r="G3149" s="29">
        <v>7.5</v>
      </c>
      <c r="H3149" s="127"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33" t="str">
        <f>VLOOKUP(B3149,辅助信息!E:I,3,FALSE)</f>
        <v>（商投建工达州中医药科技园-4工区-9号楼）达州市通川区达州中医药职业学院犀牛大道北段</v>
      </c>
      <c r="J3149" s="33" t="str">
        <f>VLOOKUP(B3149,辅助信息!E:I,4,FALSE)</f>
        <v>张扬</v>
      </c>
      <c r="K3149" s="33">
        <f>VLOOKUP(J3149,辅助信息!H:I,2,FALSE)</f>
        <v>18381904567</v>
      </c>
      <c r="L3149" s="102" t="str">
        <f>VLOOKUP(B3149,辅助信息!E:J,6,FALSE)</f>
        <v>控制炉批号！多了现场不收！,优先安排达钢,提前联系到场规格及数量</v>
      </c>
      <c r="M3149" s="84">
        <v>45904</v>
      </c>
      <c r="O3149" s="55">
        <f ca="1" t="shared" si="180"/>
        <v>0</v>
      </c>
      <c r="P3149" s="55">
        <f ca="1" t="shared" si="181"/>
        <v>53</v>
      </c>
      <c r="Q3149" s="22" t="str">
        <f>VLOOKUP(B3149,辅助信息!E:M,9,FALSE)</f>
        <v>ZTWM-CDGS-XS-2024-0134-商投建工达州中医药科技成果示范园项目</v>
      </c>
      <c r="R3149" s="22" t="str">
        <f>_xlfn._xlws.FILTER(辅助信息!D:D,辅助信息!E:E=B3149)</f>
        <v>商投建工达州中医药科技园</v>
      </c>
    </row>
    <row r="3150" hidden="1" spans="1:18">
      <c r="A3150" s="75" t="s">
        <v>213</v>
      </c>
      <c r="B3150" s="33" t="s">
        <v>147</v>
      </c>
      <c r="C3150" s="63">
        <v>45902</v>
      </c>
      <c r="D3150" s="33" t="str">
        <f>VLOOKUP(B3150,辅助信息!E:K,7,FALSE)</f>
        <v>JWDDCD2025052800131</v>
      </c>
      <c r="E3150" s="33" t="str">
        <f>VLOOKUP(F3150,辅助信息!A:B,2,FALSE)</f>
        <v>螺纹钢</v>
      </c>
      <c r="F3150" s="128" t="s">
        <v>27</v>
      </c>
      <c r="G3150" s="29">
        <v>9</v>
      </c>
      <c r="H3150" s="127"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33" t="str">
        <f>VLOOKUP(B3150,辅助信息!E:I,3,FALSE)</f>
        <v>（商投建工达州中医药科技园-4工区-11号楼）达州市通川区达州中医药职业学院犀牛大道北段</v>
      </c>
      <c r="J3150" s="33" t="str">
        <f>VLOOKUP(B3150,辅助信息!E:I,4,FALSE)</f>
        <v>张扬</v>
      </c>
      <c r="K3150" s="33">
        <f>VLOOKUP(J3150,辅助信息!H:I,2,FALSE)</f>
        <v>18381904567</v>
      </c>
      <c r="L3150" s="102" t="str">
        <f>VLOOKUP(B3150,辅助信息!E:J,6,FALSE)</f>
        <v>控制炉批号！多了现场不收！,优先安排达钢,提前联系到场规格及数量</v>
      </c>
      <c r="M3150" s="84">
        <v>45904</v>
      </c>
      <c r="O3150" s="55">
        <f ca="1" t="shared" si="180"/>
        <v>0</v>
      </c>
      <c r="P3150" s="55">
        <f ca="1" t="shared" si="181"/>
        <v>53</v>
      </c>
      <c r="Q3150" s="22" t="str">
        <f>VLOOKUP(B3150,辅助信息!E:M,9,FALSE)</f>
        <v>ZTWM-CDGS-XS-2024-0134-商投建工达州中医药科技成果示范园项目</v>
      </c>
      <c r="R3150" s="22" t="str">
        <f>_xlfn._xlws.FILTER(辅助信息!D:D,辅助信息!E:E=B3150)</f>
        <v>商投建工达州中医药科技园</v>
      </c>
    </row>
    <row r="3151" hidden="1" spans="1:18">
      <c r="A3151" s="75"/>
      <c r="B3151" s="33" t="s">
        <v>147</v>
      </c>
      <c r="C3151" s="63">
        <v>45902</v>
      </c>
      <c r="D3151" s="33" t="str">
        <f>VLOOKUP(B3151,辅助信息!E:K,7,FALSE)</f>
        <v>JWDDCD2025052800131</v>
      </c>
      <c r="E3151" s="33" t="str">
        <f>VLOOKUP(F3151,辅助信息!A:B,2,FALSE)</f>
        <v>盘螺</v>
      </c>
      <c r="F3151" s="33" t="s">
        <v>40</v>
      </c>
      <c r="G3151" s="29">
        <v>15</v>
      </c>
      <c r="H3151" s="127"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33" t="str">
        <f>VLOOKUP(B3151,辅助信息!E:I,3,FALSE)</f>
        <v>（商投建工达州中医药科技园-4工区-11号楼）达州市通川区达州中医药职业学院犀牛大道北段</v>
      </c>
      <c r="J3151" s="33" t="str">
        <f>VLOOKUP(B3151,辅助信息!E:I,4,FALSE)</f>
        <v>张扬</v>
      </c>
      <c r="K3151" s="33">
        <f>VLOOKUP(J3151,辅助信息!H:I,2,FALSE)</f>
        <v>18381904567</v>
      </c>
      <c r="L3151" s="102" t="str">
        <f>VLOOKUP(B3151,辅助信息!E:J,6,FALSE)</f>
        <v>控制炉批号！多了现场不收！,优先安排达钢,提前联系到场规格及数量</v>
      </c>
      <c r="M3151" s="84">
        <v>45904</v>
      </c>
      <c r="O3151" s="55">
        <f ca="1" t="shared" si="180"/>
        <v>0</v>
      </c>
      <c r="P3151" s="55">
        <f ca="1" t="shared" si="181"/>
        <v>53</v>
      </c>
      <c r="Q3151" s="22" t="str">
        <f>VLOOKUP(B3151,辅助信息!E:M,9,FALSE)</f>
        <v>ZTWM-CDGS-XS-2024-0134-商投建工达州中医药科技成果示范园项目</v>
      </c>
      <c r="R3151" s="22" t="str">
        <f>_xlfn._xlws.FILTER(辅助信息!D:D,辅助信息!E:E=B3151)</f>
        <v>商投建工达州中医药科技园</v>
      </c>
    </row>
    <row r="3152" hidden="1" spans="1:18">
      <c r="A3152" s="75"/>
      <c r="B3152" s="33" t="s">
        <v>147</v>
      </c>
      <c r="C3152" s="63">
        <v>45902</v>
      </c>
      <c r="D3152" s="33" t="str">
        <f>VLOOKUP(B3152,辅助信息!E:K,7,FALSE)</f>
        <v>JWDDCD2025052800131</v>
      </c>
      <c r="E3152" s="33" t="str">
        <f>VLOOKUP(F3152,辅助信息!A:B,2,FALSE)</f>
        <v>螺纹钢</v>
      </c>
      <c r="F3152" s="33" t="s">
        <v>58</v>
      </c>
      <c r="G3152" s="29">
        <v>12</v>
      </c>
      <c r="H3152" s="127"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33" t="str">
        <f>VLOOKUP(B3152,辅助信息!E:I,3,FALSE)</f>
        <v>（商投建工达州中医药科技园-4工区-11号楼）达州市通川区达州中医药职业学院犀牛大道北段</v>
      </c>
      <c r="J3152" s="33" t="str">
        <f>VLOOKUP(B3152,辅助信息!E:I,4,FALSE)</f>
        <v>张扬</v>
      </c>
      <c r="K3152" s="33">
        <f>VLOOKUP(J3152,辅助信息!H:I,2,FALSE)</f>
        <v>18381904567</v>
      </c>
      <c r="L3152" s="102" t="str">
        <f>VLOOKUP(B3152,辅助信息!E:J,6,FALSE)</f>
        <v>控制炉批号！多了现场不收！,优先安排达钢,提前联系到场规格及数量</v>
      </c>
      <c r="M3152" s="84">
        <v>45904</v>
      </c>
      <c r="O3152" s="55">
        <f ca="1" t="shared" si="180"/>
        <v>0</v>
      </c>
      <c r="P3152" s="55">
        <f ca="1" t="shared" si="181"/>
        <v>53</v>
      </c>
      <c r="Q3152" s="22" t="str">
        <f>VLOOKUP(B3152,辅助信息!E:M,9,FALSE)</f>
        <v>ZTWM-CDGS-XS-2024-0134-商投建工达州中医药科技成果示范园项目</v>
      </c>
      <c r="R3152" s="22" t="str">
        <f>_xlfn._xlws.FILTER(辅助信息!D:D,辅助信息!E:E=B3152)</f>
        <v>商投建工达州中医药科技园</v>
      </c>
    </row>
    <row r="3153" hidden="1" spans="1:18">
      <c r="A3153" s="75"/>
      <c r="B3153" s="33" t="s">
        <v>147</v>
      </c>
      <c r="C3153" s="63">
        <v>45902</v>
      </c>
      <c r="D3153" s="33" t="str">
        <f>VLOOKUP(B3153,辅助信息!E:K,7,FALSE)</f>
        <v>JWDDCD2025052800131</v>
      </c>
      <c r="E3153" s="33" t="str">
        <f>VLOOKUP(F3153,辅助信息!A:B,2,FALSE)</f>
        <v>螺纹钢</v>
      </c>
      <c r="F3153" s="33" t="s">
        <v>46</v>
      </c>
      <c r="G3153" s="29">
        <v>9</v>
      </c>
      <c r="H3153" s="127"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33" t="str">
        <f>VLOOKUP(B3153,辅助信息!E:I,3,FALSE)</f>
        <v>（商投建工达州中医药科技园-4工区-11号楼）达州市通川区达州中医药职业学院犀牛大道北段</v>
      </c>
      <c r="J3153" s="33" t="str">
        <f>VLOOKUP(B3153,辅助信息!E:I,4,FALSE)</f>
        <v>张扬</v>
      </c>
      <c r="K3153" s="33">
        <f>VLOOKUP(J3153,辅助信息!H:I,2,FALSE)</f>
        <v>18381904567</v>
      </c>
      <c r="L3153" s="102" t="str">
        <f>VLOOKUP(B3153,辅助信息!E:J,6,FALSE)</f>
        <v>控制炉批号！多了现场不收！,优先安排达钢,提前联系到场规格及数量</v>
      </c>
      <c r="M3153" s="84">
        <v>45904</v>
      </c>
      <c r="O3153" s="55">
        <f ca="1" t="shared" si="180"/>
        <v>0</v>
      </c>
      <c r="P3153" s="55">
        <f ca="1" t="shared" si="181"/>
        <v>53</v>
      </c>
      <c r="Q3153" s="22" t="str">
        <f>VLOOKUP(B3153,辅助信息!E:M,9,FALSE)</f>
        <v>ZTWM-CDGS-XS-2024-0134-商投建工达州中医药科技成果示范园项目</v>
      </c>
      <c r="R3153" s="22" t="str">
        <f>_xlfn._xlws.FILTER(辅助信息!D:D,辅助信息!E:E=B3153)</f>
        <v>商投建工达州中医药科技园</v>
      </c>
    </row>
    <row r="3154" hidden="1" spans="1:18">
      <c r="A3154" s="75"/>
      <c r="B3154" s="33" t="s">
        <v>147</v>
      </c>
      <c r="C3154" s="63">
        <v>45902</v>
      </c>
      <c r="D3154" s="33" t="str">
        <f>VLOOKUP(B3154,辅助信息!E:K,7,FALSE)</f>
        <v>JWDDCD2025052800131</v>
      </c>
      <c r="E3154" s="33" t="str">
        <f>VLOOKUP(F3154,辅助信息!A:B,2,FALSE)</f>
        <v>螺纹钢</v>
      </c>
      <c r="F3154" s="33" t="s">
        <v>22</v>
      </c>
      <c r="G3154" s="29">
        <v>9</v>
      </c>
      <c r="H3154" s="127"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33" t="str">
        <f>VLOOKUP(B3154,辅助信息!E:I,3,FALSE)</f>
        <v>（商投建工达州中医药科技园-4工区-11号楼）达州市通川区达州中医药职业学院犀牛大道北段</v>
      </c>
      <c r="J3154" s="33" t="str">
        <f>VLOOKUP(B3154,辅助信息!E:I,4,FALSE)</f>
        <v>张扬</v>
      </c>
      <c r="K3154" s="33">
        <f>VLOOKUP(J3154,辅助信息!H:I,2,FALSE)</f>
        <v>18381904567</v>
      </c>
      <c r="L3154" s="102" t="str">
        <f>VLOOKUP(B3154,辅助信息!E:J,6,FALSE)</f>
        <v>控制炉批号！多了现场不收！,优先安排达钢,提前联系到场规格及数量</v>
      </c>
      <c r="M3154" s="84">
        <v>45904</v>
      </c>
      <c r="O3154" s="55">
        <f ca="1" t="shared" si="180"/>
        <v>0</v>
      </c>
      <c r="P3154" s="55">
        <f ca="1" t="shared" si="181"/>
        <v>53</v>
      </c>
      <c r="Q3154" s="22" t="str">
        <f>VLOOKUP(B3154,辅助信息!E:M,9,FALSE)</f>
        <v>ZTWM-CDGS-XS-2024-0134-商投建工达州中医药科技成果示范园项目</v>
      </c>
      <c r="R3154" s="22" t="str">
        <f>_xlfn._xlws.FILTER(辅助信息!D:D,辅助信息!E:E=B3154)</f>
        <v>商投建工达州中医药科技园</v>
      </c>
    </row>
    <row r="3155" hidden="1" spans="1:18">
      <c r="A3155" s="64" t="s">
        <v>100</v>
      </c>
      <c r="B3155" s="33" t="s">
        <v>147</v>
      </c>
      <c r="C3155" s="63">
        <v>45902</v>
      </c>
      <c r="D3155" s="33" t="str">
        <f>VLOOKUP(B3155,辅助信息!E:K,7,FALSE)</f>
        <v>JWDDCD2025052800131</v>
      </c>
      <c r="E3155" s="33" t="str">
        <f>VLOOKUP(F3155,辅助信息!A:B,2,FALSE)</f>
        <v>螺纹钢</v>
      </c>
      <c r="F3155" s="33" t="s">
        <v>30</v>
      </c>
      <c r="G3155" s="29">
        <v>15</v>
      </c>
      <c r="H3155" s="127"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33" t="str">
        <f>VLOOKUP(B3155,辅助信息!E:I,3,FALSE)</f>
        <v>（商投建工达州中医药科技园-4工区-11号楼）达州市通川区达州中医药职业学院犀牛大道北段</v>
      </c>
      <c r="J3155" s="33" t="str">
        <f>VLOOKUP(B3155,辅助信息!E:I,4,FALSE)</f>
        <v>张扬</v>
      </c>
      <c r="K3155" s="33">
        <f>VLOOKUP(J3155,辅助信息!H:I,2,FALSE)</f>
        <v>18381904567</v>
      </c>
      <c r="L3155" s="102" t="str">
        <f>VLOOKUP(B3155,辅助信息!E:J,6,FALSE)</f>
        <v>控制炉批号！多了现场不收！,优先安排达钢,提前联系到场规格及数量</v>
      </c>
      <c r="M3155" s="84">
        <v>45903</v>
      </c>
      <c r="O3155" s="55">
        <f ca="1" t="shared" si="180"/>
        <v>0</v>
      </c>
      <c r="P3155" s="55">
        <f ca="1" t="shared" si="181"/>
        <v>54</v>
      </c>
      <c r="Q3155" s="22" t="str">
        <f>VLOOKUP(B3155,辅助信息!E:M,9,FALSE)</f>
        <v>ZTWM-CDGS-XS-2024-0134-商投建工达州中医药科技成果示范园项目</v>
      </c>
      <c r="R3155" s="22" t="str">
        <f>_xlfn._xlws.FILTER(辅助信息!D:D,辅助信息!E:E=B3155)</f>
        <v>商投建工达州中医药科技园</v>
      </c>
    </row>
    <row r="3156" hidden="1" spans="1:18">
      <c r="A3156" s="64"/>
      <c r="B3156" s="33" t="s">
        <v>147</v>
      </c>
      <c r="C3156" s="63">
        <v>45902</v>
      </c>
      <c r="D3156" s="33" t="str">
        <f>VLOOKUP(B3156,辅助信息!E:K,7,FALSE)</f>
        <v>JWDDCD2025052800131</v>
      </c>
      <c r="E3156" s="33" t="str">
        <f>VLOOKUP(F3156,辅助信息!A:B,2,FALSE)</f>
        <v>螺纹钢</v>
      </c>
      <c r="F3156" s="33" t="s">
        <v>21</v>
      </c>
      <c r="G3156" s="29">
        <v>20</v>
      </c>
      <c r="H3156" s="127"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33" t="str">
        <f>VLOOKUP(B3156,辅助信息!E:I,3,FALSE)</f>
        <v>（商投建工达州中医药科技园-4工区-11号楼）达州市通川区达州中医药职业学院犀牛大道北段</v>
      </c>
      <c r="J3156" s="33" t="str">
        <f>VLOOKUP(B3156,辅助信息!E:I,4,FALSE)</f>
        <v>张扬</v>
      </c>
      <c r="K3156" s="33">
        <f>VLOOKUP(J3156,辅助信息!H:I,2,FALSE)</f>
        <v>18381904567</v>
      </c>
      <c r="L3156" s="102" t="str">
        <f>VLOOKUP(B3156,辅助信息!E:J,6,FALSE)</f>
        <v>控制炉批号！多了现场不收！,优先安排达钢,提前联系到场规格及数量</v>
      </c>
      <c r="M3156" s="84">
        <v>45903</v>
      </c>
      <c r="O3156" s="55">
        <f ca="1" t="shared" si="180"/>
        <v>0</v>
      </c>
      <c r="P3156" s="55">
        <f ca="1" t="shared" si="181"/>
        <v>54</v>
      </c>
      <c r="Q3156" s="22" t="str">
        <f>VLOOKUP(B3156,辅助信息!E:M,9,FALSE)</f>
        <v>ZTWM-CDGS-XS-2024-0134-商投建工达州中医药科技成果示范园项目</v>
      </c>
      <c r="R3156" s="22" t="str">
        <f>_xlfn._xlws.FILTER(辅助信息!D:D,辅助信息!E:E=B3156)</f>
        <v>商投建工达州中医药科技园</v>
      </c>
    </row>
    <row r="3157" hidden="1" spans="1:18">
      <c r="A3157" s="64"/>
      <c r="B3157" s="33" t="s">
        <v>180</v>
      </c>
      <c r="C3157" s="63">
        <v>45902</v>
      </c>
      <c r="D3157" s="33" t="str">
        <f>VLOOKUP(B3157,辅助信息!E:K,7,FALSE)</f>
        <v>JWDDCD2025052800131</v>
      </c>
      <c r="E3157" s="33" t="str">
        <f>VLOOKUP(F3157,辅助信息!A:B,2,FALSE)</f>
        <v>螺纹钢</v>
      </c>
      <c r="F3157" s="33" t="s">
        <v>30</v>
      </c>
      <c r="G3157" s="29">
        <v>20</v>
      </c>
      <c r="H3157" s="127"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33" t="str">
        <f>VLOOKUP(B3157,辅助信息!E:I,3,FALSE)</f>
        <v>（商投建工达州中医药科技园-4工区-8号楼）达州市通川区达州中医药职业学院犀牛大道北段</v>
      </c>
      <c r="J3157" s="33" t="str">
        <f>VLOOKUP(B3157,辅助信息!E:I,4,FALSE)</f>
        <v>张扬</v>
      </c>
      <c r="K3157" s="33">
        <f>VLOOKUP(J3157,辅助信息!H:I,2,FALSE)</f>
        <v>18381904567</v>
      </c>
      <c r="L3157" s="102" t="str">
        <f>VLOOKUP(B3157,辅助信息!E:J,6,FALSE)</f>
        <v>控制炉批号！多了现场不收！,优先安排达钢,提前联系到场规格及数量</v>
      </c>
      <c r="M3157" s="84">
        <v>45903</v>
      </c>
      <c r="O3157" s="55">
        <f ca="1" t="shared" si="180"/>
        <v>0</v>
      </c>
      <c r="P3157" s="55">
        <f ca="1" t="shared" si="181"/>
        <v>54</v>
      </c>
      <c r="Q3157" s="22" t="str">
        <f>VLOOKUP(B3157,辅助信息!E:M,9,FALSE)</f>
        <v>ZTWM-CDGS-XS-2024-0134-商投建工达州中医药科技成果示范园项目</v>
      </c>
      <c r="R3157" s="22" t="str">
        <f>_xlfn._xlws.FILTER(辅助信息!D:D,辅助信息!E:E=B3157)</f>
        <v>商投建工达州中医药科技园</v>
      </c>
    </row>
    <row r="3158" hidden="1" spans="1:18">
      <c r="A3158" s="64"/>
      <c r="B3158" s="33" t="s">
        <v>180</v>
      </c>
      <c r="C3158" s="63">
        <v>45902</v>
      </c>
      <c r="D3158" s="33" t="str">
        <f>VLOOKUP(B3158,辅助信息!E:K,7,FALSE)</f>
        <v>JWDDCD2025052800131</v>
      </c>
      <c r="E3158" s="33" t="str">
        <f>VLOOKUP(F3158,辅助信息!A:B,2,FALSE)</f>
        <v>螺纹钢</v>
      </c>
      <c r="F3158" s="33" t="s">
        <v>21</v>
      </c>
      <c r="G3158" s="29">
        <v>15</v>
      </c>
      <c r="H3158" s="127"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33" t="str">
        <f>VLOOKUP(B3158,辅助信息!E:I,3,FALSE)</f>
        <v>（商投建工达州中医药科技园-4工区-8号楼）达州市通川区达州中医药职业学院犀牛大道北段</v>
      </c>
      <c r="J3158" s="33" t="str">
        <f>VLOOKUP(B3158,辅助信息!E:I,4,FALSE)</f>
        <v>张扬</v>
      </c>
      <c r="K3158" s="33">
        <f>VLOOKUP(J3158,辅助信息!H:I,2,FALSE)</f>
        <v>18381904567</v>
      </c>
      <c r="L3158" s="102" t="str">
        <f>VLOOKUP(B3158,辅助信息!E:J,6,FALSE)</f>
        <v>控制炉批号！多了现场不收！,优先安排达钢,提前联系到场规格及数量</v>
      </c>
      <c r="M3158" s="84">
        <v>45903</v>
      </c>
      <c r="O3158" s="55">
        <f ca="1" t="shared" si="180"/>
        <v>0</v>
      </c>
      <c r="P3158" s="55">
        <f ca="1" t="shared" si="181"/>
        <v>54</v>
      </c>
      <c r="Q3158" s="22" t="str">
        <f>VLOOKUP(B3158,辅助信息!E:M,9,FALSE)</f>
        <v>ZTWM-CDGS-XS-2024-0134-商投建工达州中医药科技成果示范园项目</v>
      </c>
      <c r="R3158" s="22" t="str">
        <f>_xlfn._xlws.FILTER(辅助信息!D:D,辅助信息!E:E=B3158)</f>
        <v>商投建工达州中医药科技园</v>
      </c>
    </row>
    <row r="3159" hidden="1" spans="2:18">
      <c r="B3159" s="33" t="s">
        <v>160</v>
      </c>
      <c r="C3159" s="63">
        <v>45902</v>
      </c>
      <c r="D3159" s="33" t="str">
        <f>VLOOKUP(B3159,辅助信息!E:K,7,FALSE)</f>
        <v>JWDDCD2025071500024</v>
      </c>
      <c r="E3159" s="33" t="str">
        <f>VLOOKUP(F3159,辅助信息!A:B,2,FALSE)</f>
        <v>盘螺</v>
      </c>
      <c r="F3159" s="33" t="s">
        <v>49</v>
      </c>
      <c r="G3159" s="29">
        <v>7.5</v>
      </c>
      <c r="H3159" s="127"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33" t="str">
        <f>VLOOKUP(B3159,辅助信息!E:I,3,FALSE)</f>
        <v>(中铁三局集团西渝高铁康渝段站房四标工程)重庆市九龙坡区华祥支路与华祥路交叉口重庆建工重庆西站TOD项目部</v>
      </c>
      <c r="J3159" s="33" t="str">
        <f>VLOOKUP(B3159,辅助信息!E:I,4,FALSE)</f>
        <v>卢庆江</v>
      </c>
      <c r="K3159" s="33">
        <f>VLOOKUP(J3159,辅助信息!H:I,2,FALSE)</f>
        <v>18883488177</v>
      </c>
      <c r="L3159" s="102" t="str">
        <f>VLOOKUP(B3159,辅助信息!E:J,6,FALSE)</f>
        <v>炉批号尽可能不要多</v>
      </c>
      <c r="M3159" s="84">
        <v>45906</v>
      </c>
      <c r="O3159" s="55">
        <f ca="1" t="shared" si="180"/>
        <v>0</v>
      </c>
      <c r="P3159" s="55">
        <f ca="1" t="shared" si="181"/>
        <v>51</v>
      </c>
      <c r="Q3159" s="22" t="str">
        <f>VLOOKUP(B3159,辅助信息!E:M,9,FALSE)</f>
        <v>ZTWM-CDGS-XS-2025-0029-中铁三局集团有限公司-西渝高铁康渝段站房四标项目</v>
      </c>
      <c r="R3159" s="22" t="str">
        <f>_xlfn._xlws.FILTER(辅助信息!D:D,辅助信息!E:E=B3159)</f>
        <v>中铁三局集团西渝高铁康渝段站房四标工程</v>
      </c>
    </row>
    <row r="3160" hidden="1" spans="2:18">
      <c r="B3160" s="33" t="s">
        <v>160</v>
      </c>
      <c r="C3160" s="63">
        <v>45902</v>
      </c>
      <c r="D3160" s="33" t="str">
        <f>VLOOKUP(B3160,辅助信息!E:K,7,FALSE)</f>
        <v>JWDDCD2025071500024</v>
      </c>
      <c r="E3160" s="33" t="str">
        <f>VLOOKUP(F3160,辅助信息!A:B,2,FALSE)</f>
        <v>盘螺</v>
      </c>
      <c r="F3160" s="33" t="s">
        <v>40</v>
      </c>
      <c r="G3160" s="29">
        <v>55</v>
      </c>
      <c r="H3160" s="127"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33" t="str">
        <f>VLOOKUP(B3160,辅助信息!E:I,3,FALSE)</f>
        <v>(中铁三局集团西渝高铁康渝段站房四标工程)重庆市九龙坡区华祥支路与华祥路交叉口重庆建工重庆西站TOD项目部</v>
      </c>
      <c r="J3160" s="33" t="str">
        <f>VLOOKUP(B3160,辅助信息!E:I,4,FALSE)</f>
        <v>卢庆江</v>
      </c>
      <c r="K3160" s="33">
        <f>VLOOKUP(J3160,辅助信息!H:I,2,FALSE)</f>
        <v>18883488177</v>
      </c>
      <c r="L3160" s="102" t="str">
        <f>VLOOKUP(B3160,辅助信息!E:J,6,FALSE)</f>
        <v>炉批号尽可能不要多</v>
      </c>
      <c r="M3160" s="84">
        <v>45906</v>
      </c>
      <c r="O3160" s="55">
        <f ca="1" t="shared" si="180"/>
        <v>0</v>
      </c>
      <c r="P3160" s="55">
        <f ca="1" t="shared" si="181"/>
        <v>51</v>
      </c>
      <c r="Q3160" s="22" t="str">
        <f>VLOOKUP(B3160,辅助信息!E:M,9,FALSE)</f>
        <v>ZTWM-CDGS-XS-2025-0029-中铁三局集团有限公司-西渝高铁康渝段站房四标项目</v>
      </c>
      <c r="R3160" s="22" t="str">
        <f>_xlfn._xlws.FILTER(辅助信息!D:D,辅助信息!E:E=B3160)</f>
        <v>中铁三局集团西渝高铁康渝段站房四标工程</v>
      </c>
    </row>
    <row r="3161" hidden="1" spans="2:18">
      <c r="B3161" s="33" t="s">
        <v>160</v>
      </c>
      <c r="C3161" s="63">
        <v>45902</v>
      </c>
      <c r="D3161" s="33" t="str">
        <f>VLOOKUP(B3161,辅助信息!E:K,7,FALSE)</f>
        <v>JWDDCD2025071500024</v>
      </c>
      <c r="E3161" s="33" t="str">
        <f>VLOOKUP(F3161,辅助信息!A:B,2,FALSE)</f>
        <v>盘螺</v>
      </c>
      <c r="F3161" s="33" t="s">
        <v>41</v>
      </c>
      <c r="G3161" s="29">
        <v>17.5</v>
      </c>
      <c r="H3161" s="127"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33" t="str">
        <f>VLOOKUP(B3161,辅助信息!E:I,3,FALSE)</f>
        <v>(中铁三局集团西渝高铁康渝段站房四标工程)重庆市九龙坡区华祥支路与华祥路交叉口重庆建工重庆西站TOD项目部</v>
      </c>
      <c r="J3161" s="33" t="str">
        <f>VLOOKUP(B3161,辅助信息!E:I,4,FALSE)</f>
        <v>卢庆江</v>
      </c>
      <c r="K3161" s="33">
        <f>VLOOKUP(J3161,辅助信息!H:I,2,FALSE)</f>
        <v>18883488177</v>
      </c>
      <c r="L3161" s="102" t="str">
        <f>VLOOKUP(B3161,辅助信息!E:J,6,FALSE)</f>
        <v>炉批号尽可能不要多</v>
      </c>
      <c r="M3161" s="84">
        <v>45906</v>
      </c>
      <c r="O3161" s="55">
        <f ca="1" t="shared" si="180"/>
        <v>0</v>
      </c>
      <c r="P3161" s="55">
        <f ca="1" t="shared" si="181"/>
        <v>51</v>
      </c>
      <c r="Q3161" s="22" t="str">
        <f>VLOOKUP(B3161,辅助信息!E:M,9,FALSE)</f>
        <v>ZTWM-CDGS-XS-2025-0029-中铁三局集团有限公司-西渝高铁康渝段站房四标项目</v>
      </c>
      <c r="R3161" s="22" t="str">
        <f>_xlfn._xlws.FILTER(辅助信息!D:D,辅助信息!E:E=B3161)</f>
        <v>中铁三局集团西渝高铁康渝段站房四标工程</v>
      </c>
    </row>
    <row r="3162" hidden="1" spans="2:18">
      <c r="B3162" s="33" t="s">
        <v>160</v>
      </c>
      <c r="C3162" s="63">
        <v>45902</v>
      </c>
      <c r="D3162" s="33" t="str">
        <f>VLOOKUP(B3162,辅助信息!E:K,7,FALSE)</f>
        <v>JWDDCD2025071500024</v>
      </c>
      <c r="E3162" s="33" t="str">
        <f>VLOOKUP(F3162,辅助信息!A:B,2,FALSE)</f>
        <v>盘螺</v>
      </c>
      <c r="F3162" s="33" t="s">
        <v>26</v>
      </c>
      <c r="G3162" s="29">
        <v>15</v>
      </c>
      <c r="H3162" s="127"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33" t="str">
        <f>VLOOKUP(B3162,辅助信息!E:I,3,FALSE)</f>
        <v>(中铁三局集团西渝高铁康渝段站房四标工程)重庆市九龙坡区华祥支路与华祥路交叉口重庆建工重庆西站TOD项目部</v>
      </c>
      <c r="J3162" s="33" t="str">
        <f>VLOOKUP(B3162,辅助信息!E:I,4,FALSE)</f>
        <v>卢庆江</v>
      </c>
      <c r="K3162" s="33">
        <f>VLOOKUP(J3162,辅助信息!H:I,2,FALSE)</f>
        <v>18883488177</v>
      </c>
      <c r="L3162" s="102" t="str">
        <f>VLOOKUP(B3162,辅助信息!E:J,6,FALSE)</f>
        <v>炉批号尽可能不要多</v>
      </c>
      <c r="M3162" s="84">
        <v>45906</v>
      </c>
      <c r="O3162" s="55">
        <f ca="1" t="shared" si="180"/>
        <v>0</v>
      </c>
      <c r="P3162" s="55">
        <f ca="1" t="shared" si="181"/>
        <v>51</v>
      </c>
      <c r="Q3162" s="22" t="str">
        <f>VLOOKUP(B3162,辅助信息!E:M,9,FALSE)</f>
        <v>ZTWM-CDGS-XS-2025-0029-中铁三局集团有限公司-西渝高铁康渝段站房四标项目</v>
      </c>
      <c r="R3162" s="22" t="str">
        <f>_xlfn._xlws.FILTER(辅助信息!D:D,辅助信息!E:E=B3162)</f>
        <v>中铁三局集团西渝高铁康渝段站房四标工程</v>
      </c>
    </row>
    <row r="3163" hidden="1" spans="2:18">
      <c r="B3163" s="33" t="s">
        <v>160</v>
      </c>
      <c r="C3163" s="63">
        <v>45902</v>
      </c>
      <c r="D3163" s="33" t="str">
        <f>VLOOKUP(B3163,辅助信息!E:K,7,FALSE)</f>
        <v>JWDDCD2025071500024</v>
      </c>
      <c r="E3163" s="33" t="str">
        <f>VLOOKUP(F3163,辅助信息!A:B,2,FALSE)</f>
        <v>螺纹钢</v>
      </c>
      <c r="F3163" s="33" t="s">
        <v>19</v>
      </c>
      <c r="G3163" s="29">
        <v>3</v>
      </c>
      <c r="H3163" s="127"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33" t="str">
        <f>VLOOKUP(B3163,辅助信息!E:I,3,FALSE)</f>
        <v>(中铁三局集团西渝高铁康渝段站房四标工程)重庆市九龙坡区华祥支路与华祥路交叉口重庆建工重庆西站TOD项目部</v>
      </c>
      <c r="J3163" s="33" t="str">
        <f>VLOOKUP(B3163,辅助信息!E:I,4,FALSE)</f>
        <v>卢庆江</v>
      </c>
      <c r="K3163" s="33">
        <f>VLOOKUP(J3163,辅助信息!H:I,2,FALSE)</f>
        <v>18883488177</v>
      </c>
      <c r="L3163" s="102" t="str">
        <f>VLOOKUP(B3163,辅助信息!E:J,6,FALSE)</f>
        <v>炉批号尽可能不要多</v>
      </c>
      <c r="M3163" s="84">
        <v>45906</v>
      </c>
      <c r="O3163" s="55">
        <f ca="1" t="shared" si="180"/>
        <v>0</v>
      </c>
      <c r="P3163" s="55">
        <f ca="1" t="shared" si="181"/>
        <v>51</v>
      </c>
      <c r="Q3163" s="22" t="str">
        <f>VLOOKUP(B3163,辅助信息!E:M,9,FALSE)</f>
        <v>ZTWM-CDGS-XS-2025-0029-中铁三局集团有限公司-西渝高铁康渝段站房四标项目</v>
      </c>
      <c r="R3163" s="22" t="str">
        <f>_xlfn._xlws.FILTER(辅助信息!D:D,辅助信息!E:E=B3163)</f>
        <v>中铁三局集团西渝高铁康渝段站房四标工程</v>
      </c>
    </row>
    <row r="3164" hidden="1" spans="2:18">
      <c r="B3164" s="33" t="s">
        <v>160</v>
      </c>
      <c r="C3164" s="63">
        <v>45902</v>
      </c>
      <c r="D3164" s="33" t="str">
        <f>VLOOKUP(B3164,辅助信息!E:K,7,FALSE)</f>
        <v>JWDDCD2025071500024</v>
      </c>
      <c r="E3164" s="33" t="str">
        <f>VLOOKUP(F3164,辅助信息!A:B,2,FALSE)</f>
        <v>螺纹钢</v>
      </c>
      <c r="F3164" s="33" t="s">
        <v>32</v>
      </c>
      <c r="G3164" s="29">
        <v>12</v>
      </c>
      <c r="H3164" s="127"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33" t="str">
        <f>VLOOKUP(B3164,辅助信息!E:I,3,FALSE)</f>
        <v>(中铁三局集团西渝高铁康渝段站房四标工程)重庆市九龙坡区华祥支路与华祥路交叉口重庆建工重庆西站TOD项目部</v>
      </c>
      <c r="J3164" s="33" t="str">
        <f>VLOOKUP(B3164,辅助信息!E:I,4,FALSE)</f>
        <v>卢庆江</v>
      </c>
      <c r="K3164" s="33">
        <f>VLOOKUP(J3164,辅助信息!H:I,2,FALSE)</f>
        <v>18883488177</v>
      </c>
      <c r="L3164" s="102" t="str">
        <f>VLOOKUP(B3164,辅助信息!E:J,6,FALSE)</f>
        <v>炉批号尽可能不要多</v>
      </c>
      <c r="M3164" s="84">
        <v>45906</v>
      </c>
      <c r="O3164" s="55">
        <f ca="1" t="shared" si="180"/>
        <v>0</v>
      </c>
      <c r="P3164" s="55">
        <f ca="1" t="shared" si="181"/>
        <v>51</v>
      </c>
      <c r="Q3164" s="22" t="str">
        <f>VLOOKUP(B3164,辅助信息!E:M,9,FALSE)</f>
        <v>ZTWM-CDGS-XS-2025-0029-中铁三局集团有限公司-西渝高铁康渝段站房四标项目</v>
      </c>
      <c r="R3164" s="22" t="str">
        <f>_xlfn._xlws.FILTER(辅助信息!D:D,辅助信息!E:E=B3164)</f>
        <v>中铁三局集团西渝高铁康渝段站房四标工程</v>
      </c>
    </row>
    <row r="3165" hidden="1" spans="2:18">
      <c r="B3165" s="33" t="s">
        <v>160</v>
      </c>
      <c r="C3165" s="63">
        <v>45902</v>
      </c>
      <c r="D3165" s="33" t="str">
        <f>VLOOKUP(B3165,辅助信息!E:K,7,FALSE)</f>
        <v>JWDDCD2025071500024</v>
      </c>
      <c r="E3165" s="33" t="str">
        <f>VLOOKUP(F3165,辅助信息!A:B,2,FALSE)</f>
        <v>螺纹钢</v>
      </c>
      <c r="F3165" s="33" t="s">
        <v>30</v>
      </c>
      <c r="G3165" s="29">
        <v>9</v>
      </c>
      <c r="H3165" s="127"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33" t="str">
        <f>VLOOKUP(B3165,辅助信息!E:I,3,FALSE)</f>
        <v>(中铁三局集团西渝高铁康渝段站房四标工程)重庆市九龙坡区华祥支路与华祥路交叉口重庆建工重庆西站TOD项目部</v>
      </c>
      <c r="J3165" s="33" t="str">
        <f>VLOOKUP(B3165,辅助信息!E:I,4,FALSE)</f>
        <v>卢庆江</v>
      </c>
      <c r="K3165" s="33">
        <f>VLOOKUP(J3165,辅助信息!H:I,2,FALSE)</f>
        <v>18883488177</v>
      </c>
      <c r="L3165" s="102" t="str">
        <f>VLOOKUP(B3165,辅助信息!E:J,6,FALSE)</f>
        <v>炉批号尽可能不要多</v>
      </c>
      <c r="M3165" s="84">
        <v>45906</v>
      </c>
      <c r="O3165" s="55">
        <f ca="1" t="shared" si="180"/>
        <v>0</v>
      </c>
      <c r="P3165" s="55">
        <f ca="1" t="shared" si="181"/>
        <v>51</v>
      </c>
      <c r="Q3165" s="22" t="str">
        <f>VLOOKUP(B3165,辅助信息!E:M,9,FALSE)</f>
        <v>ZTWM-CDGS-XS-2025-0029-中铁三局集团有限公司-西渝高铁康渝段站房四标项目</v>
      </c>
      <c r="R3165" s="22" t="str">
        <f>_xlfn._xlws.FILTER(辅助信息!D:D,辅助信息!E:E=B3165)</f>
        <v>中铁三局集团西渝高铁康渝段站房四标工程</v>
      </c>
    </row>
    <row r="3166" hidden="1" spans="2:18">
      <c r="B3166" s="33" t="s">
        <v>160</v>
      </c>
      <c r="C3166" s="63">
        <v>45902</v>
      </c>
      <c r="D3166" s="33" t="str">
        <f>VLOOKUP(B3166,辅助信息!E:K,7,FALSE)</f>
        <v>JWDDCD2025071500024</v>
      </c>
      <c r="E3166" s="33" t="str">
        <f>VLOOKUP(F3166,辅助信息!A:B,2,FALSE)</f>
        <v>螺纹钢</v>
      </c>
      <c r="F3166" s="33" t="s">
        <v>33</v>
      </c>
      <c r="G3166" s="29">
        <v>30</v>
      </c>
      <c r="H3166" s="127"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33" t="str">
        <f>VLOOKUP(B3166,辅助信息!E:I,3,FALSE)</f>
        <v>(中铁三局集团西渝高铁康渝段站房四标工程)重庆市九龙坡区华祥支路与华祥路交叉口重庆建工重庆西站TOD项目部</v>
      </c>
      <c r="J3166" s="33" t="str">
        <f>VLOOKUP(B3166,辅助信息!E:I,4,FALSE)</f>
        <v>卢庆江</v>
      </c>
      <c r="K3166" s="33">
        <f>VLOOKUP(J3166,辅助信息!H:I,2,FALSE)</f>
        <v>18883488177</v>
      </c>
      <c r="L3166" s="102" t="str">
        <f>VLOOKUP(B3166,辅助信息!E:J,6,FALSE)</f>
        <v>炉批号尽可能不要多</v>
      </c>
      <c r="M3166" s="84">
        <v>45906</v>
      </c>
      <c r="O3166" s="55">
        <f ca="1" t="shared" si="180"/>
        <v>0</v>
      </c>
      <c r="P3166" s="55">
        <f ca="1" t="shared" si="181"/>
        <v>51</v>
      </c>
      <c r="Q3166" s="22" t="str">
        <f>VLOOKUP(B3166,辅助信息!E:M,9,FALSE)</f>
        <v>ZTWM-CDGS-XS-2025-0029-中铁三局集团有限公司-西渝高铁康渝段站房四标项目</v>
      </c>
      <c r="R3166" s="22" t="str">
        <f>_xlfn._xlws.FILTER(辅助信息!D:D,辅助信息!E:E=B3166)</f>
        <v>中铁三局集团西渝高铁康渝段站房四标工程</v>
      </c>
    </row>
    <row r="3167" hidden="1" spans="2:18">
      <c r="B3167" s="33" t="s">
        <v>160</v>
      </c>
      <c r="C3167" s="63">
        <v>45902</v>
      </c>
      <c r="D3167" s="33" t="str">
        <f>VLOOKUP(B3167,辅助信息!E:K,7,FALSE)</f>
        <v>JWDDCD2025071500024</v>
      </c>
      <c r="E3167" s="33" t="str">
        <f>VLOOKUP(F3167,辅助信息!A:B,2,FALSE)</f>
        <v>螺纹钢</v>
      </c>
      <c r="F3167" s="33" t="s">
        <v>28</v>
      </c>
      <c r="G3167" s="29">
        <v>21</v>
      </c>
      <c r="H3167" s="127"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33" t="str">
        <f>VLOOKUP(B3167,辅助信息!E:I,3,FALSE)</f>
        <v>(中铁三局集团西渝高铁康渝段站房四标工程)重庆市九龙坡区华祥支路与华祥路交叉口重庆建工重庆西站TOD项目部</v>
      </c>
      <c r="J3167" s="33" t="str">
        <f>VLOOKUP(B3167,辅助信息!E:I,4,FALSE)</f>
        <v>卢庆江</v>
      </c>
      <c r="K3167" s="33">
        <f>VLOOKUP(J3167,辅助信息!H:I,2,FALSE)</f>
        <v>18883488177</v>
      </c>
      <c r="L3167" s="102" t="str">
        <f>VLOOKUP(B3167,辅助信息!E:J,6,FALSE)</f>
        <v>炉批号尽可能不要多</v>
      </c>
      <c r="M3167" s="84">
        <v>45906</v>
      </c>
      <c r="O3167" s="55">
        <f ca="1" t="shared" si="180"/>
        <v>0</v>
      </c>
      <c r="P3167" s="55">
        <f ca="1" t="shared" si="181"/>
        <v>51</v>
      </c>
      <c r="Q3167" s="22" t="str">
        <f>VLOOKUP(B3167,辅助信息!E:M,9,FALSE)</f>
        <v>ZTWM-CDGS-XS-2025-0029-中铁三局集团有限公司-西渝高铁康渝段站房四标项目</v>
      </c>
      <c r="R3167" s="22" t="str">
        <f>_xlfn._xlws.FILTER(辅助信息!D:D,辅助信息!E:E=B3167)</f>
        <v>中铁三局集团西渝高铁康渝段站房四标工程</v>
      </c>
    </row>
    <row r="3168" hidden="1" spans="2:18">
      <c r="B3168" s="33" t="s">
        <v>160</v>
      </c>
      <c r="C3168" s="63">
        <v>45902</v>
      </c>
      <c r="D3168" s="33" t="str">
        <f>VLOOKUP(B3168,辅助信息!E:K,7,FALSE)</f>
        <v>JWDDCD2025071500024</v>
      </c>
      <c r="E3168" s="33" t="str">
        <f>VLOOKUP(F3168,辅助信息!A:B,2,FALSE)</f>
        <v>螺纹钢</v>
      </c>
      <c r="F3168" s="33" t="s">
        <v>18</v>
      </c>
      <c r="G3168" s="29">
        <v>36</v>
      </c>
      <c r="H3168" s="127"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33" t="str">
        <f>VLOOKUP(B3168,辅助信息!E:I,3,FALSE)</f>
        <v>(中铁三局集团西渝高铁康渝段站房四标工程)重庆市九龙坡区华祥支路与华祥路交叉口重庆建工重庆西站TOD项目部</v>
      </c>
      <c r="J3168" s="33" t="str">
        <f>VLOOKUP(B3168,辅助信息!E:I,4,FALSE)</f>
        <v>卢庆江</v>
      </c>
      <c r="K3168" s="33">
        <f>VLOOKUP(J3168,辅助信息!H:I,2,FALSE)</f>
        <v>18883488177</v>
      </c>
      <c r="L3168" s="102" t="str">
        <f>VLOOKUP(B3168,辅助信息!E:J,6,FALSE)</f>
        <v>炉批号尽可能不要多</v>
      </c>
      <c r="M3168" s="84">
        <v>45906</v>
      </c>
      <c r="O3168" s="55">
        <f ca="1" t="shared" ref="O3168:O3231" si="182">IF(OR(M3168="",N3168&lt;&gt;""),"",MAX(M3168-TODAY(),0))</f>
        <v>0</v>
      </c>
      <c r="P3168" s="55">
        <f ca="1" t="shared" ref="P3168:P3231" si="183">IF(M3168="","",IF(N3168&lt;&gt;"",MAX(N3168-M3168,0),IF(TODAY()&gt;M3168,TODAY()-M3168,0)))</f>
        <v>51</v>
      </c>
      <c r="Q3168" s="22" t="str">
        <f>VLOOKUP(B3168,辅助信息!E:M,9,FALSE)</f>
        <v>ZTWM-CDGS-XS-2025-0029-中铁三局集团有限公司-西渝高铁康渝段站房四标项目</v>
      </c>
      <c r="R3168" s="22" t="str">
        <f>_xlfn._xlws.FILTER(辅助信息!D:D,辅助信息!E:E=B3168)</f>
        <v>中铁三局集团西渝高铁康渝段站房四标工程</v>
      </c>
    </row>
    <row r="3169" hidden="1" spans="2:18">
      <c r="B3169" s="33" t="s">
        <v>160</v>
      </c>
      <c r="C3169" s="63">
        <v>45902</v>
      </c>
      <c r="D3169" s="33" t="str">
        <f>VLOOKUP(B3169,辅助信息!E:K,7,FALSE)</f>
        <v>JWDDCD2025071500024</v>
      </c>
      <c r="E3169" s="33" t="str">
        <f>VLOOKUP(F3169,辅助信息!A:B,2,FALSE)</f>
        <v>螺纹钢</v>
      </c>
      <c r="F3169" s="33" t="s">
        <v>65</v>
      </c>
      <c r="G3169" s="29">
        <v>3</v>
      </c>
      <c r="H3169" s="127"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33" t="str">
        <f>VLOOKUP(B3169,辅助信息!E:I,3,FALSE)</f>
        <v>(中铁三局集团西渝高铁康渝段站房四标工程)重庆市九龙坡区华祥支路与华祥路交叉口重庆建工重庆西站TOD项目部</v>
      </c>
      <c r="J3169" s="33" t="str">
        <f>VLOOKUP(B3169,辅助信息!E:I,4,FALSE)</f>
        <v>卢庆江</v>
      </c>
      <c r="K3169" s="33">
        <f>VLOOKUP(J3169,辅助信息!H:I,2,FALSE)</f>
        <v>18883488177</v>
      </c>
      <c r="L3169" s="102" t="str">
        <f>VLOOKUP(B3169,辅助信息!E:J,6,FALSE)</f>
        <v>炉批号尽可能不要多</v>
      </c>
      <c r="M3169" s="84">
        <v>45906</v>
      </c>
      <c r="O3169" s="55">
        <f ca="1" t="shared" si="182"/>
        <v>0</v>
      </c>
      <c r="P3169" s="55">
        <f ca="1" t="shared" si="183"/>
        <v>51</v>
      </c>
      <c r="Q3169" s="22" t="str">
        <f>VLOOKUP(B3169,辅助信息!E:M,9,FALSE)</f>
        <v>ZTWM-CDGS-XS-2025-0029-中铁三局集团有限公司-西渝高铁康渝段站房四标项目</v>
      </c>
      <c r="R3169" s="22" t="str">
        <f>_xlfn._xlws.FILTER(辅助信息!D:D,辅助信息!E:E=B3169)</f>
        <v>中铁三局集团西渝高铁康渝段站房四标工程</v>
      </c>
    </row>
    <row r="3170" hidden="1" spans="2:18">
      <c r="B3170" s="33" t="s">
        <v>186</v>
      </c>
      <c r="C3170" s="63">
        <v>45902</v>
      </c>
      <c r="D3170" s="33" t="str">
        <f>VLOOKUP(B3170,辅助信息!E:K,7,FALSE)</f>
        <v>JWDDCD2025072900123</v>
      </c>
      <c r="E3170" s="33" t="str">
        <f>VLOOKUP(F3170,辅助信息!A:B,2,FALSE)</f>
        <v>螺纹钢</v>
      </c>
      <c r="F3170" s="33" t="s">
        <v>111</v>
      </c>
      <c r="G3170" s="29">
        <v>5</v>
      </c>
      <c r="H3170" s="127">
        <f>IF(SUMIFS('[1]2025年已发货'!$E:$E,'[1]2025年已发货'!$F:$F,C3170,'[1]2025年已发货'!$C:$C,F3170,'[1]2025年已发货'!$G:$G,I3170,'[1]2025年已发货'!$H:$H,J3170)=0,"未发货",SUMIFS('[1]2025年已发货'!$E:$E,'[1]2025年已发货'!$F:$F,C3170,'[1]2025年已发货'!$C:$C,F3170,'[1]2025年已发货'!$G:$G,I3170,'[1]2025年已发货'!$H:$H,J3170))</f>
        <v>5</v>
      </c>
      <c r="I3170" s="33" t="str">
        <f>VLOOKUP(B3170,辅助信息!E:I,3,FALSE)</f>
        <v>(乐山市校地共建产教融合基地建设项目二标段)四川省乐山市市中区苏稽镇</v>
      </c>
      <c r="J3170" s="33" t="str">
        <f>VLOOKUP(B3170,辅助信息!E:I,4,FALSE)</f>
        <v>彭江涛</v>
      </c>
      <c r="K3170" s="33">
        <f>VLOOKUP(J3170,辅助信息!H:I,2,FALSE)</f>
        <v>13990276572</v>
      </c>
      <c r="L3170" s="102" t="str">
        <f>VLOOKUP(B3170,辅助信息!E:J,6,FALSE)</f>
        <v>联系实际收货人（彭江涛13990276572）现场要求炉批号控制2个以下，超2个不给予签收。提前联系到场规格及数量</v>
      </c>
      <c r="M3170" s="84">
        <v>45903</v>
      </c>
      <c r="O3170" s="55">
        <f ca="1" t="shared" si="182"/>
        <v>0</v>
      </c>
      <c r="P3170" s="55">
        <f ca="1" t="shared" si="183"/>
        <v>54</v>
      </c>
      <c r="Q3170" s="22" t="str">
        <f>VLOOKUP(B3170,辅助信息!E:M,9,FALSE)</f>
        <v>ZTWM-CDGS-XS-2025-0126-四川机司-乐山市校地共建产教融合基地配套设施项目施工二标段钢筋采购合同</v>
      </c>
      <c r="R3170" s="22" t="str">
        <f>_xlfn._xlws.FILTER(辅助信息!D:D,辅助信息!E:E=B3170)</f>
        <v>乐山市校地共建产教融合基地建设项目二标段</v>
      </c>
    </row>
    <row r="3171" hidden="1" spans="2:18">
      <c r="B3171" s="33" t="s">
        <v>186</v>
      </c>
      <c r="C3171" s="63">
        <v>45902</v>
      </c>
      <c r="D3171" s="33" t="str">
        <f>VLOOKUP(B3171,辅助信息!E:K,7,FALSE)</f>
        <v>JWDDCD2025072900123</v>
      </c>
      <c r="E3171" s="33" t="str">
        <f>VLOOKUP(F3171,辅助信息!A:B,2,FALSE)</f>
        <v>螺纹钢</v>
      </c>
      <c r="F3171" s="33" t="s">
        <v>90</v>
      </c>
      <c r="G3171" s="29">
        <v>8</v>
      </c>
      <c r="H3171" s="127"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33" t="str">
        <f>VLOOKUP(B3171,辅助信息!E:I,3,FALSE)</f>
        <v>(乐山市校地共建产教融合基地建设项目二标段)四川省乐山市市中区苏稽镇</v>
      </c>
      <c r="J3171" s="33" t="str">
        <f>VLOOKUP(B3171,辅助信息!E:I,4,FALSE)</f>
        <v>彭江涛</v>
      </c>
      <c r="K3171" s="33">
        <f>VLOOKUP(J3171,辅助信息!H:I,2,FALSE)</f>
        <v>13990276572</v>
      </c>
      <c r="L3171" s="102" t="str">
        <f>VLOOKUP(B3171,辅助信息!E:J,6,FALSE)</f>
        <v>联系实际收货人（彭江涛13990276572）现场要求炉批号控制2个以下，超2个不给予签收。提前联系到场规格及数量</v>
      </c>
      <c r="M3171" s="84">
        <v>45903</v>
      </c>
      <c r="O3171" s="55">
        <f ca="1" t="shared" si="182"/>
        <v>0</v>
      </c>
      <c r="P3171" s="55">
        <f ca="1" t="shared" si="183"/>
        <v>54</v>
      </c>
      <c r="Q3171" s="22" t="str">
        <f>VLOOKUP(B3171,辅助信息!E:M,9,FALSE)</f>
        <v>ZTWM-CDGS-XS-2025-0126-四川机司-乐山市校地共建产教融合基地配套设施项目施工二标段钢筋采购合同</v>
      </c>
      <c r="R3171" s="22" t="str">
        <f>_xlfn._xlws.FILTER(辅助信息!D:D,辅助信息!E:E=B3171)</f>
        <v>乐山市校地共建产教融合基地建设项目二标段</v>
      </c>
    </row>
    <row r="3172" hidden="1" spans="2:18">
      <c r="B3172" s="33" t="s">
        <v>186</v>
      </c>
      <c r="C3172" s="63">
        <v>45902</v>
      </c>
      <c r="D3172" s="33" t="str">
        <f>VLOOKUP(B3172,辅助信息!E:K,7,FALSE)</f>
        <v>JWDDCD2025072900123</v>
      </c>
      <c r="E3172" s="33" t="str">
        <f>VLOOKUP(F3172,辅助信息!A:B,2,FALSE)</f>
        <v>螺纹钢</v>
      </c>
      <c r="F3172" s="33" t="s">
        <v>130</v>
      </c>
      <c r="G3172" s="29">
        <v>5</v>
      </c>
      <c r="H3172" s="127"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33" t="str">
        <f>VLOOKUP(B3172,辅助信息!E:I,3,FALSE)</f>
        <v>(乐山市校地共建产教融合基地建设项目二标段)四川省乐山市市中区苏稽镇</v>
      </c>
      <c r="J3172" s="33" t="str">
        <f>VLOOKUP(B3172,辅助信息!E:I,4,FALSE)</f>
        <v>彭江涛</v>
      </c>
      <c r="K3172" s="33">
        <f>VLOOKUP(J3172,辅助信息!H:I,2,FALSE)</f>
        <v>13990276572</v>
      </c>
      <c r="L3172" s="102" t="str">
        <f>VLOOKUP(B3172,辅助信息!E:J,6,FALSE)</f>
        <v>联系实际收货人（彭江涛13990276572）现场要求炉批号控制2个以下，超2个不给予签收。提前联系到场规格及数量</v>
      </c>
      <c r="M3172" s="84">
        <v>45903</v>
      </c>
      <c r="O3172" s="55">
        <f ca="1" t="shared" si="182"/>
        <v>0</v>
      </c>
      <c r="P3172" s="55">
        <f ca="1" t="shared" si="183"/>
        <v>54</v>
      </c>
      <c r="Q3172" s="22" t="str">
        <f>VLOOKUP(B3172,辅助信息!E:M,9,FALSE)</f>
        <v>ZTWM-CDGS-XS-2025-0126-四川机司-乐山市校地共建产教融合基地配套设施项目施工二标段钢筋采购合同</v>
      </c>
      <c r="R3172" s="22" t="str">
        <f>_xlfn._xlws.FILTER(辅助信息!D:D,辅助信息!E:E=B3172)</f>
        <v>乐山市校地共建产教融合基地建设项目二标段</v>
      </c>
    </row>
    <row r="3173" hidden="1" spans="2:18">
      <c r="B3173" s="33" t="s">
        <v>186</v>
      </c>
      <c r="C3173" s="63">
        <v>45902</v>
      </c>
      <c r="D3173" s="33" t="str">
        <f>VLOOKUP(B3173,辅助信息!E:K,7,FALSE)</f>
        <v>JWDDCD2025072900123</v>
      </c>
      <c r="E3173" s="33" t="str">
        <f>VLOOKUP(F3173,辅助信息!A:B,2,FALSE)</f>
        <v>螺纹钢</v>
      </c>
      <c r="F3173" s="33" t="s">
        <v>138</v>
      </c>
      <c r="G3173" s="29">
        <v>5</v>
      </c>
      <c r="H3173" s="127"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33" t="str">
        <f>VLOOKUP(B3173,辅助信息!E:I,3,FALSE)</f>
        <v>(乐山市校地共建产教融合基地建设项目二标段)四川省乐山市市中区苏稽镇</v>
      </c>
      <c r="J3173" s="33" t="str">
        <f>VLOOKUP(B3173,辅助信息!E:I,4,FALSE)</f>
        <v>彭江涛</v>
      </c>
      <c r="K3173" s="33">
        <f>VLOOKUP(J3173,辅助信息!H:I,2,FALSE)</f>
        <v>13990276572</v>
      </c>
      <c r="L3173" s="102" t="str">
        <f>VLOOKUP(B3173,辅助信息!E:J,6,FALSE)</f>
        <v>联系实际收货人（彭江涛13990276572）现场要求炉批号控制2个以下，超2个不给予签收。提前联系到场规格及数量</v>
      </c>
      <c r="M3173" s="84">
        <v>45903</v>
      </c>
      <c r="O3173" s="55">
        <f ca="1" t="shared" si="182"/>
        <v>0</v>
      </c>
      <c r="P3173" s="55">
        <f ca="1" t="shared" si="183"/>
        <v>54</v>
      </c>
      <c r="Q3173" s="22" t="str">
        <f>VLOOKUP(B3173,辅助信息!E:M,9,FALSE)</f>
        <v>ZTWM-CDGS-XS-2025-0126-四川机司-乐山市校地共建产教融合基地配套设施项目施工二标段钢筋采购合同</v>
      </c>
      <c r="R3173" s="22" t="str">
        <f>_xlfn._xlws.FILTER(辅助信息!D:D,辅助信息!E:E=B3173)</f>
        <v>乐山市校地共建产教融合基地建设项目二标段</v>
      </c>
    </row>
    <row r="3174" hidden="1" spans="2:18">
      <c r="B3174" s="33" t="s">
        <v>186</v>
      </c>
      <c r="C3174" s="63">
        <v>45902</v>
      </c>
      <c r="D3174" s="33" t="str">
        <f>VLOOKUP(B3174,辅助信息!E:K,7,FALSE)</f>
        <v>JWDDCD2025072900123</v>
      </c>
      <c r="E3174" s="33" t="str">
        <f>VLOOKUP(F3174,辅助信息!A:B,2,FALSE)</f>
        <v>螺纹钢</v>
      </c>
      <c r="F3174" s="33" t="s">
        <v>133</v>
      </c>
      <c r="G3174" s="29">
        <v>15</v>
      </c>
      <c r="H3174" s="127">
        <f>IF(SUMIFS('[1]2025年已发货'!$E:$E,'[1]2025年已发货'!$F:$F,C3174,'[1]2025年已发货'!$C:$C,F3174,'[1]2025年已发货'!$G:$G,I3174,'[1]2025年已发货'!$H:$H,J3174)=0,"未发货",SUMIFS('[1]2025年已发货'!$E:$E,'[1]2025年已发货'!$F:$F,C3174,'[1]2025年已发货'!$C:$C,F3174,'[1]2025年已发货'!$G:$G,I3174,'[1]2025年已发货'!$H:$H,J3174))</f>
        <v>15</v>
      </c>
      <c r="I3174" s="33" t="str">
        <f>VLOOKUP(B3174,辅助信息!E:I,3,FALSE)</f>
        <v>(乐山市校地共建产教融合基地建设项目二标段)四川省乐山市市中区苏稽镇</v>
      </c>
      <c r="J3174" s="33" t="str">
        <f>VLOOKUP(B3174,辅助信息!E:I,4,FALSE)</f>
        <v>彭江涛</v>
      </c>
      <c r="K3174" s="33">
        <f>VLOOKUP(J3174,辅助信息!H:I,2,FALSE)</f>
        <v>13990276572</v>
      </c>
      <c r="L3174" s="102" t="str">
        <f>VLOOKUP(B3174,辅助信息!E:J,6,FALSE)</f>
        <v>联系实际收货人（彭江涛13990276572）现场要求炉批号控制2个以下，超2个不给予签收。提前联系到场规格及数量</v>
      </c>
      <c r="M3174" s="84">
        <v>45903</v>
      </c>
      <c r="O3174" s="55">
        <f ca="1" t="shared" si="182"/>
        <v>0</v>
      </c>
      <c r="P3174" s="55">
        <f ca="1" t="shared" si="183"/>
        <v>54</v>
      </c>
      <c r="Q3174" s="22" t="str">
        <f>VLOOKUP(B3174,辅助信息!E:M,9,FALSE)</f>
        <v>ZTWM-CDGS-XS-2025-0126-四川机司-乐山市校地共建产教融合基地配套设施项目施工二标段钢筋采购合同</v>
      </c>
      <c r="R3174" s="22" t="str">
        <f>_xlfn._xlws.FILTER(辅助信息!D:D,辅助信息!E:E=B3174)</f>
        <v>乐山市校地共建产教融合基地建设项目二标段</v>
      </c>
    </row>
    <row r="3175" hidden="1" spans="2:18">
      <c r="B3175" s="33" t="s">
        <v>186</v>
      </c>
      <c r="C3175" s="63">
        <v>45902</v>
      </c>
      <c r="D3175" s="33" t="str">
        <f>VLOOKUP(B3175,辅助信息!E:K,7,FALSE)</f>
        <v>JWDDCD2025072900123</v>
      </c>
      <c r="E3175" s="33" t="str">
        <f>VLOOKUP(F3175,辅助信息!A:B,2,FALSE)</f>
        <v>螺纹钢</v>
      </c>
      <c r="F3175" s="33" t="s">
        <v>198</v>
      </c>
      <c r="G3175" s="29">
        <v>11</v>
      </c>
      <c r="H3175" s="127">
        <f>IF(SUMIFS('[1]2025年已发货'!$E:$E,'[1]2025年已发货'!$F:$F,C3175,'[1]2025年已发货'!$C:$C,F3175,'[1]2025年已发货'!$G:$G,I3175,'[1]2025年已发货'!$H:$H,J3175)=0,"未发货",SUMIFS('[1]2025年已发货'!$E:$E,'[1]2025年已发货'!$F:$F,C3175,'[1]2025年已发货'!$C:$C,F3175,'[1]2025年已发货'!$G:$G,I3175,'[1]2025年已发货'!$H:$H,J3175))</f>
        <v>9</v>
      </c>
      <c r="I3175" s="33" t="str">
        <f>VLOOKUP(B3175,辅助信息!E:I,3,FALSE)</f>
        <v>(乐山市校地共建产教融合基地建设项目二标段)四川省乐山市市中区苏稽镇</v>
      </c>
      <c r="J3175" s="33" t="str">
        <f>VLOOKUP(B3175,辅助信息!E:I,4,FALSE)</f>
        <v>彭江涛</v>
      </c>
      <c r="K3175" s="33">
        <f>VLOOKUP(J3175,辅助信息!H:I,2,FALSE)</f>
        <v>13990276572</v>
      </c>
      <c r="L3175" s="102" t="str">
        <f>VLOOKUP(B3175,辅助信息!E:J,6,FALSE)</f>
        <v>联系实际收货人（彭江涛13990276572）现场要求炉批号控制2个以下，超2个不给予签收。提前联系到场规格及数量</v>
      </c>
      <c r="M3175" s="84">
        <v>45903</v>
      </c>
      <c r="O3175" s="55">
        <f ca="1" t="shared" si="182"/>
        <v>0</v>
      </c>
      <c r="P3175" s="55">
        <f ca="1" t="shared" si="183"/>
        <v>54</v>
      </c>
      <c r="Q3175" s="22" t="str">
        <f>VLOOKUP(B3175,辅助信息!E:M,9,FALSE)</f>
        <v>ZTWM-CDGS-XS-2025-0126-四川机司-乐山市校地共建产教融合基地配套设施项目施工二标段钢筋采购合同</v>
      </c>
      <c r="R3175" s="22" t="str">
        <f>_xlfn._xlws.FILTER(辅助信息!D:D,辅助信息!E:E=B3175)</f>
        <v>乐山市校地共建产教融合基地建设项目二标段</v>
      </c>
    </row>
    <row r="3176" hidden="1" spans="2:18">
      <c r="B3176" s="33" t="s">
        <v>186</v>
      </c>
      <c r="C3176" s="63">
        <v>45902</v>
      </c>
      <c r="D3176" s="33" t="str">
        <f>VLOOKUP(B3176,辅助信息!E:K,7,FALSE)</f>
        <v>JWDDCD2025072900123</v>
      </c>
      <c r="E3176" s="33" t="str">
        <f>VLOOKUP(F3176,辅助信息!A:B,2,FALSE)</f>
        <v>螺纹钢</v>
      </c>
      <c r="F3176" s="33" t="s">
        <v>199</v>
      </c>
      <c r="G3176" s="29">
        <v>11</v>
      </c>
      <c r="H3176" s="127">
        <f>IF(SUMIFS('[1]2025年已发货'!$E:$E,'[1]2025年已发货'!$F:$F,C3176,'[1]2025年已发货'!$C:$C,F3176,'[1]2025年已发货'!$G:$G,I3176,'[1]2025年已发货'!$H:$H,J3176)=0,"未发货",SUMIFS('[1]2025年已发货'!$E:$E,'[1]2025年已发货'!$F:$F,C3176,'[1]2025年已发货'!$C:$C,F3176,'[1]2025年已发货'!$G:$G,I3176,'[1]2025年已发货'!$H:$H,J3176))</f>
        <v>11</v>
      </c>
      <c r="I3176" s="33" t="str">
        <f>VLOOKUP(B3176,辅助信息!E:I,3,FALSE)</f>
        <v>(乐山市校地共建产教融合基地建设项目二标段)四川省乐山市市中区苏稽镇</v>
      </c>
      <c r="J3176" s="33" t="str">
        <f>VLOOKUP(B3176,辅助信息!E:I,4,FALSE)</f>
        <v>彭江涛</v>
      </c>
      <c r="K3176" s="33">
        <f>VLOOKUP(J3176,辅助信息!H:I,2,FALSE)</f>
        <v>13990276572</v>
      </c>
      <c r="L3176" s="102" t="str">
        <f>VLOOKUP(B3176,辅助信息!E:J,6,FALSE)</f>
        <v>联系实际收货人（彭江涛13990276572）现场要求炉批号控制2个以下，超2个不给予签收。提前联系到场规格及数量</v>
      </c>
      <c r="M3176" s="84">
        <v>45903</v>
      </c>
      <c r="O3176" s="55">
        <f ca="1" t="shared" si="182"/>
        <v>0</v>
      </c>
      <c r="P3176" s="55">
        <f ca="1" t="shared" si="183"/>
        <v>54</v>
      </c>
      <c r="Q3176" s="22" t="str">
        <f>VLOOKUP(B3176,辅助信息!E:M,9,FALSE)</f>
        <v>ZTWM-CDGS-XS-2025-0126-四川机司-乐山市校地共建产教融合基地配套设施项目施工二标段钢筋采购合同</v>
      </c>
      <c r="R3176" s="22" t="str">
        <f>_xlfn._xlws.FILTER(辅助信息!D:D,辅助信息!E:E=B3176)</f>
        <v>乐山市校地共建产教融合基地建设项目二标段</v>
      </c>
    </row>
    <row r="3177" hidden="1" spans="2:18">
      <c r="B3177" s="33" t="s">
        <v>186</v>
      </c>
      <c r="C3177" s="63">
        <v>45902</v>
      </c>
      <c r="D3177" s="33" t="str">
        <f>VLOOKUP(B3177,辅助信息!E:K,7,FALSE)</f>
        <v>JWDDCD2025072900123</v>
      </c>
      <c r="E3177" s="33" t="str">
        <f>VLOOKUP(F3177,辅助信息!A:B,2,FALSE)</f>
        <v>螺纹钢</v>
      </c>
      <c r="F3177" s="33" t="s">
        <v>46</v>
      </c>
      <c r="G3177" s="29">
        <v>5</v>
      </c>
      <c r="H3177" s="127">
        <f>IF(SUMIFS('[1]2025年已发货'!$E:$E,'[1]2025年已发货'!$F:$F,C3177,'[1]2025年已发货'!$C:$C,F3177,'[1]2025年已发货'!$G:$G,I3177,'[1]2025年已发货'!$H:$H,J3177)=0,"未发货",SUMIFS('[1]2025年已发货'!$E:$E,'[1]2025年已发货'!$F:$F,C3177,'[1]2025年已发货'!$C:$C,F3177,'[1]2025年已发货'!$G:$G,I3177,'[1]2025年已发货'!$H:$H,J3177))</f>
        <v>5</v>
      </c>
      <c r="I3177" s="33" t="str">
        <f>VLOOKUP(B3177,辅助信息!E:I,3,FALSE)</f>
        <v>(乐山市校地共建产教融合基地建设项目二标段)四川省乐山市市中区苏稽镇</v>
      </c>
      <c r="J3177" s="33" t="str">
        <f>VLOOKUP(B3177,辅助信息!E:I,4,FALSE)</f>
        <v>彭江涛</v>
      </c>
      <c r="K3177" s="33">
        <f>VLOOKUP(J3177,辅助信息!H:I,2,FALSE)</f>
        <v>13990276572</v>
      </c>
      <c r="L3177" s="102" t="str">
        <f>VLOOKUP(B3177,辅助信息!E:J,6,FALSE)</f>
        <v>联系实际收货人（彭江涛13990276572）现场要求炉批号控制2个以下，超2个不给予签收。提前联系到场规格及数量</v>
      </c>
      <c r="M3177" s="84">
        <v>45903</v>
      </c>
      <c r="O3177" s="55">
        <f ca="1" t="shared" si="182"/>
        <v>0</v>
      </c>
      <c r="P3177" s="55">
        <f ca="1" t="shared" si="183"/>
        <v>54</v>
      </c>
      <c r="Q3177" s="22" t="str">
        <f>VLOOKUP(B3177,辅助信息!E:M,9,FALSE)</f>
        <v>ZTWM-CDGS-XS-2025-0126-四川机司-乐山市校地共建产教融合基地配套设施项目施工二标段钢筋采购合同</v>
      </c>
      <c r="R3177" s="22" t="str">
        <f>_xlfn._xlws.FILTER(辅助信息!D:D,辅助信息!E:E=B3177)</f>
        <v>乐山市校地共建产教融合基地建设项目二标段</v>
      </c>
    </row>
    <row r="3178" hidden="1" spans="2:18">
      <c r="B3178" s="33" t="s">
        <v>186</v>
      </c>
      <c r="C3178" s="63">
        <v>45902</v>
      </c>
      <c r="D3178" s="33" t="str">
        <f>VLOOKUP(B3178,辅助信息!E:K,7,FALSE)</f>
        <v>JWDDCD2025072900123</v>
      </c>
      <c r="E3178" s="33" t="str">
        <f>VLOOKUP(F3178,辅助信息!A:B,2,FALSE)</f>
        <v>螺纹钢</v>
      </c>
      <c r="F3178" s="33" t="s">
        <v>141</v>
      </c>
      <c r="G3178" s="29">
        <v>15</v>
      </c>
      <c r="H3178" s="127">
        <f>IF(SUMIFS('[1]2025年已发货'!$E:$E,'[1]2025年已发货'!$F:$F,C3178,'[1]2025年已发货'!$C:$C,F3178,'[1]2025年已发货'!$G:$G,I3178,'[1]2025年已发货'!$H:$H,J3178)=0,"未发货",SUMIFS('[1]2025年已发货'!$E:$E,'[1]2025年已发货'!$F:$F,C3178,'[1]2025年已发货'!$C:$C,F3178,'[1]2025年已发货'!$G:$G,I3178,'[1]2025年已发货'!$H:$H,J3178))</f>
        <v>15</v>
      </c>
      <c r="I3178" s="33" t="str">
        <f>VLOOKUP(B3178,辅助信息!E:I,3,FALSE)</f>
        <v>(乐山市校地共建产教融合基地建设项目二标段)四川省乐山市市中区苏稽镇</v>
      </c>
      <c r="J3178" s="33" t="str">
        <f>VLOOKUP(B3178,辅助信息!E:I,4,FALSE)</f>
        <v>彭江涛</v>
      </c>
      <c r="K3178" s="33">
        <f>VLOOKUP(J3178,辅助信息!H:I,2,FALSE)</f>
        <v>13990276572</v>
      </c>
      <c r="L3178" s="102" t="str">
        <f>VLOOKUP(B3178,辅助信息!E:J,6,FALSE)</f>
        <v>联系实际收货人（彭江涛13990276572）现场要求炉批号控制2个以下，超2个不给予签收。提前联系到场规格及数量</v>
      </c>
      <c r="M3178" s="84">
        <v>45903</v>
      </c>
      <c r="O3178" s="55">
        <f ca="1" t="shared" si="182"/>
        <v>0</v>
      </c>
      <c r="P3178" s="55">
        <f ca="1" t="shared" si="183"/>
        <v>54</v>
      </c>
      <c r="Q3178" s="22" t="str">
        <f>VLOOKUP(B3178,辅助信息!E:M,9,FALSE)</f>
        <v>ZTWM-CDGS-XS-2025-0126-四川机司-乐山市校地共建产教融合基地配套设施项目施工二标段钢筋采购合同</v>
      </c>
      <c r="R3178" s="22" t="str">
        <f>_xlfn._xlws.FILTER(辅助信息!D:D,辅助信息!E:E=B3178)</f>
        <v>乐山市校地共建产教融合基地建设项目二标段</v>
      </c>
    </row>
    <row r="3179" hidden="1" spans="2:18">
      <c r="B3179" s="33" t="s">
        <v>186</v>
      </c>
      <c r="C3179" s="63">
        <v>45902</v>
      </c>
      <c r="D3179" s="33" t="str">
        <f>VLOOKUP(B3179,辅助信息!E:K,7,FALSE)</f>
        <v>JWDDCD2025072900123</v>
      </c>
      <c r="E3179" s="33" t="str">
        <f>VLOOKUP(F3179,辅助信息!A:B,2,FALSE)</f>
        <v>螺纹钢</v>
      </c>
      <c r="F3179" s="33" t="s">
        <v>22</v>
      </c>
      <c r="G3179" s="29">
        <v>16</v>
      </c>
      <c r="H3179" s="127">
        <f>IF(SUMIFS('[1]2025年已发货'!$E:$E,'[1]2025年已发货'!$F:$F,C3179,'[1]2025年已发货'!$C:$C,F3179,'[1]2025年已发货'!$G:$G,I3179,'[1]2025年已发货'!$H:$H,J3179)=0,"未发货",SUMIFS('[1]2025年已发货'!$E:$E,'[1]2025年已发货'!$F:$F,C3179,'[1]2025年已发货'!$C:$C,F3179,'[1]2025年已发货'!$G:$G,I3179,'[1]2025年已发货'!$H:$H,J3179))</f>
        <v>16</v>
      </c>
      <c r="I3179" s="33" t="str">
        <f>VLOOKUP(B3179,辅助信息!E:I,3,FALSE)</f>
        <v>(乐山市校地共建产教融合基地建设项目二标段)四川省乐山市市中区苏稽镇</v>
      </c>
      <c r="J3179" s="33" t="str">
        <f>VLOOKUP(B3179,辅助信息!E:I,4,FALSE)</f>
        <v>彭江涛</v>
      </c>
      <c r="K3179" s="33">
        <f>VLOOKUP(J3179,辅助信息!H:I,2,FALSE)</f>
        <v>13990276572</v>
      </c>
      <c r="L3179" s="102" t="str">
        <f>VLOOKUP(B3179,辅助信息!E:J,6,FALSE)</f>
        <v>联系实际收货人（彭江涛13990276572）现场要求炉批号控制2个以下，超2个不给予签收。提前联系到场规格及数量</v>
      </c>
      <c r="M3179" s="84">
        <v>45903</v>
      </c>
      <c r="O3179" s="55">
        <f ca="1" t="shared" si="182"/>
        <v>0</v>
      </c>
      <c r="P3179" s="55">
        <f ca="1" t="shared" si="183"/>
        <v>54</v>
      </c>
      <c r="Q3179" s="22" t="str">
        <f>VLOOKUP(B3179,辅助信息!E:M,9,FALSE)</f>
        <v>ZTWM-CDGS-XS-2025-0126-四川机司-乐山市校地共建产教融合基地配套设施项目施工二标段钢筋采购合同</v>
      </c>
      <c r="R3179" s="22" t="str">
        <f>_xlfn._xlws.FILTER(辅助信息!D:D,辅助信息!E:E=B3179)</f>
        <v>乐山市校地共建产教融合基地建设项目二标段</v>
      </c>
    </row>
    <row r="3180" hidden="1" spans="2:18">
      <c r="B3180" s="33" t="s">
        <v>186</v>
      </c>
      <c r="C3180" s="63">
        <v>45902</v>
      </c>
      <c r="D3180" s="33" t="str">
        <f>VLOOKUP(B3180,辅助信息!E:K,7,FALSE)</f>
        <v>JWDDCD2025072900123</v>
      </c>
      <c r="E3180" s="33" t="str">
        <f>VLOOKUP(F3180,辅助信息!A:B,2,FALSE)</f>
        <v>螺纹钢</v>
      </c>
      <c r="F3180" s="33" t="s">
        <v>142</v>
      </c>
      <c r="G3180" s="29">
        <v>18</v>
      </c>
      <c r="H3180" s="127">
        <f>IF(SUMIFS('[1]2025年已发货'!$E:$E,'[1]2025年已发货'!$F:$F,C3180,'[1]2025年已发货'!$C:$C,F3180,'[1]2025年已发货'!$G:$G,I3180,'[1]2025年已发货'!$H:$H,J3180)=0,"未发货",SUMIFS('[1]2025年已发货'!$E:$E,'[1]2025年已发货'!$F:$F,C3180,'[1]2025年已发货'!$C:$C,F3180,'[1]2025年已发货'!$G:$G,I3180,'[1]2025年已发货'!$H:$H,J3180))</f>
        <v>18</v>
      </c>
      <c r="I3180" s="33" t="str">
        <f>VLOOKUP(B3180,辅助信息!E:I,3,FALSE)</f>
        <v>(乐山市校地共建产教融合基地建设项目二标段)四川省乐山市市中区苏稽镇</v>
      </c>
      <c r="J3180" s="33" t="str">
        <f>VLOOKUP(B3180,辅助信息!E:I,4,FALSE)</f>
        <v>彭江涛</v>
      </c>
      <c r="K3180" s="33">
        <f>VLOOKUP(J3180,辅助信息!H:I,2,FALSE)</f>
        <v>13990276572</v>
      </c>
      <c r="L3180" s="102" t="str">
        <f>VLOOKUP(B3180,辅助信息!E:J,6,FALSE)</f>
        <v>联系实际收货人（彭江涛13990276572）现场要求炉批号控制2个以下，超2个不给予签收。提前联系到场规格及数量</v>
      </c>
      <c r="M3180" s="84">
        <v>45903</v>
      </c>
      <c r="O3180" s="55">
        <f ca="1" t="shared" si="182"/>
        <v>0</v>
      </c>
      <c r="P3180" s="55">
        <f ca="1" t="shared" si="183"/>
        <v>54</v>
      </c>
      <c r="Q3180" s="22" t="str">
        <f>VLOOKUP(B3180,辅助信息!E:M,9,FALSE)</f>
        <v>ZTWM-CDGS-XS-2025-0126-四川机司-乐山市校地共建产教融合基地配套设施项目施工二标段钢筋采购合同</v>
      </c>
      <c r="R3180" s="22" t="str">
        <f>_xlfn._xlws.FILTER(辅助信息!D:D,辅助信息!E:E=B3180)</f>
        <v>乐山市校地共建产教融合基地建设项目二标段</v>
      </c>
    </row>
    <row r="3181" hidden="1" spans="2:18">
      <c r="B3181" s="33" t="s">
        <v>186</v>
      </c>
      <c r="C3181" s="63">
        <v>45902</v>
      </c>
      <c r="D3181" s="33" t="str">
        <f>VLOOKUP(B3181,辅助信息!E:K,7,FALSE)</f>
        <v>JWDDCD2025072900123</v>
      </c>
      <c r="E3181" s="33" t="str">
        <f>VLOOKUP(F3181,辅助信息!A:B,2,FALSE)</f>
        <v>盘螺</v>
      </c>
      <c r="F3181" s="33" t="s">
        <v>41</v>
      </c>
      <c r="G3181" s="29">
        <v>36</v>
      </c>
      <c r="H3181" s="127">
        <f>IF(SUMIFS('[1]2025年已发货'!$E:$E,'[1]2025年已发货'!$F:$F,C3181,'[1]2025年已发货'!$C:$C,F3181,'[1]2025年已发货'!$G:$G,I3181,'[1]2025年已发货'!$H:$H,J3181)=0,"未发货",SUMIFS('[1]2025年已发货'!$E:$E,'[1]2025年已发货'!$F:$F,C3181,'[1]2025年已发货'!$C:$C,F3181,'[1]2025年已发货'!$G:$G,I3181,'[1]2025年已发货'!$H:$H,J3181))</f>
        <v>36</v>
      </c>
      <c r="I3181" s="33" t="str">
        <f>VLOOKUP(B3181,辅助信息!E:I,3,FALSE)</f>
        <v>(乐山市校地共建产教融合基地建设项目二标段)四川省乐山市市中区苏稽镇</v>
      </c>
      <c r="J3181" s="33" t="str">
        <f>VLOOKUP(B3181,辅助信息!E:I,4,FALSE)</f>
        <v>彭江涛</v>
      </c>
      <c r="K3181" s="33">
        <f>VLOOKUP(J3181,辅助信息!H:I,2,FALSE)</f>
        <v>13990276572</v>
      </c>
      <c r="L3181" s="102" t="str">
        <f>VLOOKUP(B3181,辅助信息!E:J,6,FALSE)</f>
        <v>联系实际收货人（彭江涛13990276572）现场要求炉批号控制2个以下，超2个不给予签收。提前联系到场规格及数量</v>
      </c>
      <c r="M3181" s="84">
        <v>45903</v>
      </c>
      <c r="O3181" s="55">
        <f ca="1" t="shared" si="182"/>
        <v>0</v>
      </c>
      <c r="P3181" s="55">
        <f ca="1" t="shared" si="183"/>
        <v>54</v>
      </c>
      <c r="Q3181" s="22" t="str">
        <f>VLOOKUP(B3181,辅助信息!E:M,9,FALSE)</f>
        <v>ZTWM-CDGS-XS-2025-0126-四川机司-乐山市校地共建产教融合基地配套设施项目施工二标段钢筋采购合同</v>
      </c>
      <c r="R3181" s="22" t="str">
        <f>_xlfn._xlws.FILTER(辅助信息!D:D,辅助信息!E:E=B3181)</f>
        <v>乐山市校地共建产教融合基地建设项目二标段</v>
      </c>
    </row>
    <row r="3182" hidden="1" spans="2:18">
      <c r="B3182" s="33" t="s">
        <v>186</v>
      </c>
      <c r="C3182" s="63">
        <v>45902</v>
      </c>
      <c r="D3182" s="33" t="str">
        <f>VLOOKUP(B3182,辅助信息!E:K,7,FALSE)</f>
        <v>JWDDCD2025072900123</v>
      </c>
      <c r="E3182" s="33" t="str">
        <f>VLOOKUP(F3182,辅助信息!A:B,2,FALSE)</f>
        <v>盘螺</v>
      </c>
      <c r="F3182" s="33" t="s">
        <v>26</v>
      </c>
      <c r="G3182" s="29">
        <v>40</v>
      </c>
      <c r="H3182" s="127">
        <f>IF(SUMIFS('[1]2025年已发货'!$E:$E,'[1]2025年已发货'!$F:$F,C3182,'[1]2025年已发货'!$C:$C,F3182,'[1]2025年已发货'!$G:$G,I3182,'[1]2025年已发货'!$H:$H,J3182)=0,"未发货",SUMIFS('[1]2025年已发货'!$E:$E,'[1]2025年已发货'!$F:$F,C3182,'[1]2025年已发货'!$C:$C,F3182,'[1]2025年已发货'!$G:$G,I3182,'[1]2025年已发货'!$H:$H,J3182))</f>
        <v>40</v>
      </c>
      <c r="I3182" s="33" t="str">
        <f>VLOOKUP(B3182,辅助信息!E:I,3,FALSE)</f>
        <v>(乐山市校地共建产教融合基地建设项目二标段)四川省乐山市市中区苏稽镇</v>
      </c>
      <c r="J3182" s="33" t="str">
        <f>VLOOKUP(B3182,辅助信息!E:I,4,FALSE)</f>
        <v>彭江涛</v>
      </c>
      <c r="K3182" s="33">
        <f>VLOOKUP(J3182,辅助信息!H:I,2,FALSE)</f>
        <v>13990276572</v>
      </c>
      <c r="L3182" s="102" t="str">
        <f>VLOOKUP(B3182,辅助信息!E:J,6,FALSE)</f>
        <v>联系实际收货人（彭江涛13990276572）现场要求炉批号控制2个以下，超2个不给予签收。提前联系到场规格及数量</v>
      </c>
      <c r="M3182" s="84">
        <v>45903</v>
      </c>
      <c r="O3182" s="55">
        <f ca="1" t="shared" si="182"/>
        <v>0</v>
      </c>
      <c r="P3182" s="55">
        <f ca="1" t="shared" si="183"/>
        <v>54</v>
      </c>
      <c r="Q3182" s="22" t="str">
        <f>VLOOKUP(B3182,辅助信息!E:M,9,FALSE)</f>
        <v>ZTWM-CDGS-XS-2025-0126-四川机司-乐山市校地共建产教融合基地配套设施项目施工二标段钢筋采购合同</v>
      </c>
      <c r="R3182" s="22" t="str">
        <f>_xlfn._xlws.FILTER(辅助信息!D:D,辅助信息!E:E=B3182)</f>
        <v>乐山市校地共建产教融合基地建设项目二标段</v>
      </c>
    </row>
    <row r="3183" hidden="1" spans="2:18">
      <c r="B3183" s="33" t="s">
        <v>186</v>
      </c>
      <c r="C3183" s="63">
        <v>45902</v>
      </c>
      <c r="D3183" s="33" t="str">
        <f>VLOOKUP(B3183,辅助信息!E:K,7,FALSE)</f>
        <v>JWDDCD2025072900123</v>
      </c>
      <c r="E3183" s="33" t="str">
        <f>VLOOKUP(F3183,辅助信息!A:B,2,FALSE)</f>
        <v>盘螺</v>
      </c>
      <c r="F3183" s="33" t="s">
        <v>40</v>
      </c>
      <c r="G3183" s="29">
        <v>4</v>
      </c>
      <c r="H3183" s="127">
        <f>IF(SUMIFS('[1]2025年已发货'!$E:$E,'[1]2025年已发货'!$F:$F,C3183,'[1]2025年已发货'!$C:$C,F3183,'[1]2025年已发货'!$G:$G,I3183,'[1]2025年已发货'!$H:$H,J3183)=0,"未发货",SUMIFS('[1]2025年已发货'!$E:$E,'[1]2025年已发货'!$F:$F,C3183,'[1]2025年已发货'!$C:$C,F3183,'[1]2025年已发货'!$G:$G,I3183,'[1]2025年已发货'!$H:$H,J3183))</f>
        <v>4</v>
      </c>
      <c r="I3183" s="33" t="str">
        <f>VLOOKUP(B3183,辅助信息!E:I,3,FALSE)</f>
        <v>(乐山市校地共建产教融合基地建设项目二标段)四川省乐山市市中区苏稽镇</v>
      </c>
      <c r="J3183" s="33" t="str">
        <f>VLOOKUP(B3183,辅助信息!E:I,4,FALSE)</f>
        <v>彭江涛</v>
      </c>
      <c r="K3183" s="33">
        <f>VLOOKUP(J3183,辅助信息!H:I,2,FALSE)</f>
        <v>13990276572</v>
      </c>
      <c r="L3183" s="102" t="str">
        <f>VLOOKUP(B3183,辅助信息!E:J,6,FALSE)</f>
        <v>联系实际收货人（彭江涛13990276572）现场要求炉批号控制2个以下，超2个不给予签收。提前联系到场规格及数量</v>
      </c>
      <c r="M3183" s="84">
        <v>45903</v>
      </c>
      <c r="O3183" s="55">
        <f ca="1" t="shared" si="182"/>
        <v>0</v>
      </c>
      <c r="P3183" s="55">
        <f ca="1" t="shared" si="183"/>
        <v>54</v>
      </c>
      <c r="Q3183" s="22" t="str">
        <f>VLOOKUP(B3183,辅助信息!E:M,9,FALSE)</f>
        <v>ZTWM-CDGS-XS-2025-0126-四川机司-乐山市校地共建产教融合基地配套设施项目施工二标段钢筋采购合同</v>
      </c>
      <c r="R3183" s="22" t="str">
        <f>_xlfn._xlws.FILTER(辅助信息!D:D,辅助信息!E:E=B3183)</f>
        <v>乐山市校地共建产教融合基地建设项目二标段</v>
      </c>
    </row>
    <row r="3184" hidden="1" spans="2:18">
      <c r="B3184" s="113" t="s">
        <v>47</v>
      </c>
      <c r="C3184" s="63">
        <v>45903</v>
      </c>
      <c r="D3184" s="113" t="str">
        <f>VLOOKUP(B3184,辅助信息!E:K,7,FALSE)</f>
        <v>JWDDCD2025052800131</v>
      </c>
      <c r="E3184" s="113" t="str">
        <f>VLOOKUP(F3184,辅助信息!A:B,2,FALSE)</f>
        <v>螺纹钢</v>
      </c>
      <c r="F3184" s="113" t="s">
        <v>30</v>
      </c>
      <c r="G3184" s="114">
        <v>6</v>
      </c>
      <c r="H3184" s="127"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13" t="str">
        <f>VLOOKUP(B3184,辅助信息!E:I,3,FALSE)</f>
        <v>（商投建工达州中医药科技园-1工区）达州市通川区达州中医药职业学院犀牛大道北段</v>
      </c>
      <c r="J3184" s="113" t="str">
        <f>VLOOKUP(B3184,辅助信息!E:I,4,FALSE)</f>
        <v>程黄刚</v>
      </c>
      <c r="K3184" s="113">
        <f>VLOOKUP(J3184,辅助信息!H:I,2,FALSE)</f>
        <v>15108211617</v>
      </c>
      <c r="L3184" s="115" t="str">
        <f>VLOOKUP(B3184,辅助信息!E:J,6,FALSE)</f>
        <v>控制炉批号！多了现场不收！,优先安排达钢,提前联系到场规格及数量</v>
      </c>
      <c r="M3184" s="84">
        <v>45904</v>
      </c>
      <c r="N3184" s="55" t="s">
        <v>214</v>
      </c>
      <c r="O3184" s="55">
        <f ca="1" t="shared" si="182"/>
        <v>0</v>
      </c>
      <c r="P3184" s="137">
        <f ca="1" t="shared" si="183"/>
        <v>53</v>
      </c>
      <c r="Q3184" s="22" t="str">
        <f>VLOOKUP(B3184,辅助信息!E:M,9,FALSE)</f>
        <v>ZTWM-CDGS-XS-2024-0134-商投建工达州中医药科技成果示范园项目</v>
      </c>
      <c r="R3184" s="138" t="str">
        <f>_xlfn._xlws.FILTER(辅助信息!D:D,辅助信息!E:E=B3184)</f>
        <v>商投建工达州中医药科技园</v>
      </c>
    </row>
    <row r="3185" hidden="1" spans="2:18">
      <c r="B3185" s="113" t="s">
        <v>47</v>
      </c>
      <c r="C3185" s="63">
        <v>45903</v>
      </c>
      <c r="D3185" s="113" t="str">
        <f>VLOOKUP(B3185,辅助信息!E:K,7,FALSE)</f>
        <v>JWDDCD2025052800131</v>
      </c>
      <c r="E3185" s="113" t="str">
        <f>VLOOKUP(F3185,辅助信息!A:B,2,FALSE)</f>
        <v>螺纹钢</v>
      </c>
      <c r="F3185" s="113" t="s">
        <v>45</v>
      </c>
      <c r="G3185" s="114">
        <v>3</v>
      </c>
      <c r="H3185" s="127"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13" t="str">
        <f>VLOOKUP(B3185,辅助信息!E:I,3,FALSE)</f>
        <v>（商投建工达州中医药科技园-1工区）达州市通川区达州中医药职业学院犀牛大道北段</v>
      </c>
      <c r="J3185" s="113" t="str">
        <f>VLOOKUP(B3185,辅助信息!E:I,4,FALSE)</f>
        <v>程黄刚</v>
      </c>
      <c r="K3185" s="113">
        <f>VLOOKUP(J3185,辅助信息!H:I,2,FALSE)</f>
        <v>15108211617</v>
      </c>
      <c r="L3185" s="115" t="str">
        <f>VLOOKUP(B3185,辅助信息!E:J,6,FALSE)</f>
        <v>控制炉批号！多了现场不收！,优先安排达钢,提前联系到场规格及数量</v>
      </c>
      <c r="M3185" s="84">
        <v>45904</v>
      </c>
      <c r="N3185" s="55" t="s">
        <v>214</v>
      </c>
      <c r="O3185" s="55">
        <f ca="1" t="shared" si="182"/>
        <v>0</v>
      </c>
      <c r="P3185" s="137">
        <f ca="1" t="shared" si="183"/>
        <v>53</v>
      </c>
      <c r="Q3185" s="22" t="str">
        <f>VLOOKUP(B3185,辅助信息!E:M,9,FALSE)</f>
        <v>ZTWM-CDGS-XS-2024-0134-商投建工达州中医药科技成果示范园项目</v>
      </c>
      <c r="R3185" s="138" t="str">
        <f>_xlfn._xlws.FILTER(辅助信息!D:D,辅助信息!E:E=B3185)</f>
        <v>商投建工达州中医药科技园</v>
      </c>
    </row>
    <row r="3186" hidden="1" spans="2:18">
      <c r="B3186" s="113" t="s">
        <v>47</v>
      </c>
      <c r="C3186" s="63">
        <v>45903</v>
      </c>
      <c r="D3186" s="113" t="str">
        <f>VLOOKUP(B3186,辅助信息!E:K,7,FALSE)</f>
        <v>JWDDCD2025052800131</v>
      </c>
      <c r="E3186" s="113" t="str">
        <f>VLOOKUP(F3186,辅助信息!A:B,2,FALSE)</f>
        <v>螺纹钢</v>
      </c>
      <c r="F3186" s="113" t="s">
        <v>21</v>
      </c>
      <c r="G3186" s="114">
        <v>6</v>
      </c>
      <c r="H3186" s="127"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13" t="str">
        <f>VLOOKUP(B3186,辅助信息!E:I,3,FALSE)</f>
        <v>（商投建工达州中医药科技园-1工区）达州市通川区达州中医药职业学院犀牛大道北段</v>
      </c>
      <c r="J3186" s="113" t="str">
        <f>VLOOKUP(B3186,辅助信息!E:I,4,FALSE)</f>
        <v>程黄刚</v>
      </c>
      <c r="K3186" s="113">
        <f>VLOOKUP(J3186,辅助信息!H:I,2,FALSE)</f>
        <v>15108211617</v>
      </c>
      <c r="L3186" s="115" t="str">
        <f>VLOOKUP(B3186,辅助信息!E:J,6,FALSE)</f>
        <v>控制炉批号！多了现场不收！,优先安排达钢,提前联系到场规格及数量</v>
      </c>
      <c r="M3186" s="84">
        <v>45904</v>
      </c>
      <c r="N3186" s="55" t="s">
        <v>214</v>
      </c>
      <c r="O3186" s="55">
        <f ca="1" t="shared" si="182"/>
        <v>0</v>
      </c>
      <c r="P3186" s="137">
        <f ca="1" t="shared" si="183"/>
        <v>53</v>
      </c>
      <c r="Q3186" s="22" t="str">
        <f>VLOOKUP(B3186,辅助信息!E:M,9,FALSE)</f>
        <v>ZTWM-CDGS-XS-2024-0134-商投建工达州中医药科技成果示范园项目</v>
      </c>
      <c r="R3186" s="138" t="str">
        <f>_xlfn._xlws.FILTER(辅助信息!D:D,辅助信息!E:E=B3186)</f>
        <v>商投建工达州中医药科技园</v>
      </c>
    </row>
    <row r="3187" hidden="1" spans="2:18">
      <c r="B3187" s="113" t="s">
        <v>47</v>
      </c>
      <c r="C3187" s="63">
        <v>45903</v>
      </c>
      <c r="D3187" s="113" t="str">
        <f>VLOOKUP(B3187,辅助信息!E:K,7,FALSE)</f>
        <v>JWDDCD2025052800131</v>
      </c>
      <c r="E3187" s="113" t="str">
        <f>VLOOKUP(F3187,辅助信息!A:B,2,FALSE)</f>
        <v>螺纹钢</v>
      </c>
      <c r="F3187" s="113" t="s">
        <v>58</v>
      </c>
      <c r="G3187" s="114">
        <v>12</v>
      </c>
      <c r="H3187" s="127"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13" t="str">
        <f>VLOOKUP(B3187,辅助信息!E:I,3,FALSE)</f>
        <v>（商投建工达州中医药科技园-1工区）达州市通川区达州中医药职业学院犀牛大道北段</v>
      </c>
      <c r="J3187" s="113" t="str">
        <f>VLOOKUP(B3187,辅助信息!E:I,4,FALSE)</f>
        <v>程黄刚</v>
      </c>
      <c r="K3187" s="113">
        <f>VLOOKUP(J3187,辅助信息!H:I,2,FALSE)</f>
        <v>15108211617</v>
      </c>
      <c r="L3187" s="115" t="str">
        <f>VLOOKUP(B3187,辅助信息!E:J,6,FALSE)</f>
        <v>控制炉批号！多了现场不收！,优先安排达钢,提前联系到场规格及数量</v>
      </c>
      <c r="M3187" s="84">
        <v>45904</v>
      </c>
      <c r="N3187" s="55" t="s">
        <v>214</v>
      </c>
      <c r="O3187" s="55">
        <f ca="1" t="shared" si="182"/>
        <v>0</v>
      </c>
      <c r="P3187" s="137">
        <f ca="1" t="shared" si="183"/>
        <v>53</v>
      </c>
      <c r="Q3187" s="22" t="str">
        <f>VLOOKUP(B3187,辅助信息!E:M,9,FALSE)</f>
        <v>ZTWM-CDGS-XS-2024-0134-商投建工达州中医药科技成果示范园项目</v>
      </c>
      <c r="R3187" s="138" t="str">
        <f>_xlfn._xlws.FILTER(辅助信息!D:D,辅助信息!E:E=B3187)</f>
        <v>商投建工达州中医药科技园</v>
      </c>
    </row>
    <row r="3188" hidden="1" spans="2:18">
      <c r="B3188" s="113" t="s">
        <v>47</v>
      </c>
      <c r="C3188" s="63">
        <v>45903</v>
      </c>
      <c r="D3188" s="113" t="str">
        <f>VLOOKUP(B3188,辅助信息!E:K,7,FALSE)</f>
        <v>JWDDCD2025052800131</v>
      </c>
      <c r="E3188" s="113" t="str">
        <f>VLOOKUP(F3188,辅助信息!A:B,2,FALSE)</f>
        <v>螺纹钢</v>
      </c>
      <c r="F3188" s="113" t="s">
        <v>46</v>
      </c>
      <c r="G3188" s="114">
        <v>6</v>
      </c>
      <c r="H3188" s="127"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13" t="str">
        <f>VLOOKUP(B3188,辅助信息!E:I,3,FALSE)</f>
        <v>（商投建工达州中医药科技园-1工区）达州市通川区达州中医药职业学院犀牛大道北段</v>
      </c>
      <c r="J3188" s="113" t="str">
        <f>VLOOKUP(B3188,辅助信息!E:I,4,FALSE)</f>
        <v>程黄刚</v>
      </c>
      <c r="K3188" s="113">
        <f>VLOOKUP(J3188,辅助信息!H:I,2,FALSE)</f>
        <v>15108211617</v>
      </c>
      <c r="L3188" s="115" t="str">
        <f>VLOOKUP(B3188,辅助信息!E:J,6,FALSE)</f>
        <v>控制炉批号！多了现场不收！,优先安排达钢,提前联系到场规格及数量</v>
      </c>
      <c r="M3188" s="84">
        <v>45904</v>
      </c>
      <c r="N3188" s="55" t="s">
        <v>214</v>
      </c>
      <c r="O3188" s="55">
        <f ca="1" t="shared" si="182"/>
        <v>0</v>
      </c>
      <c r="P3188" s="137">
        <f ca="1" t="shared" si="183"/>
        <v>53</v>
      </c>
      <c r="Q3188" s="22" t="str">
        <f>VLOOKUP(B3188,辅助信息!E:M,9,FALSE)</f>
        <v>ZTWM-CDGS-XS-2024-0134-商投建工达州中医药科技成果示范园项目</v>
      </c>
      <c r="R3188" s="138" t="str">
        <f>_xlfn._xlws.FILTER(辅助信息!D:D,辅助信息!E:E=B3188)</f>
        <v>商投建工达州中医药科技园</v>
      </c>
    </row>
    <row r="3189" hidden="1" spans="2:18">
      <c r="B3189" s="113" t="s">
        <v>47</v>
      </c>
      <c r="C3189" s="63">
        <v>45903</v>
      </c>
      <c r="D3189" s="113" t="str">
        <f>VLOOKUP(B3189,辅助信息!E:K,7,FALSE)</f>
        <v>JWDDCD2025052800131</v>
      </c>
      <c r="E3189" s="113" t="str">
        <f>VLOOKUP(F3189,辅助信息!A:B,2,FALSE)</f>
        <v>螺纹钢</v>
      </c>
      <c r="F3189" s="113" t="s">
        <v>22</v>
      </c>
      <c r="G3189" s="114">
        <v>6</v>
      </c>
      <c r="H3189" s="127"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13" t="str">
        <f>VLOOKUP(B3189,辅助信息!E:I,3,FALSE)</f>
        <v>（商投建工达州中医药科技园-1工区）达州市通川区达州中医药职业学院犀牛大道北段</v>
      </c>
      <c r="J3189" s="113" t="str">
        <f>VLOOKUP(B3189,辅助信息!E:I,4,FALSE)</f>
        <v>程黄刚</v>
      </c>
      <c r="K3189" s="113">
        <f>VLOOKUP(J3189,辅助信息!H:I,2,FALSE)</f>
        <v>15108211617</v>
      </c>
      <c r="L3189" s="115" t="str">
        <f>VLOOKUP(B3189,辅助信息!E:J,6,FALSE)</f>
        <v>控制炉批号！多了现场不收！,优先安排达钢,提前联系到场规格及数量</v>
      </c>
      <c r="M3189" s="84">
        <v>45904</v>
      </c>
      <c r="N3189" s="55" t="s">
        <v>214</v>
      </c>
      <c r="O3189" s="55">
        <f ca="1" t="shared" si="182"/>
        <v>0</v>
      </c>
      <c r="P3189" s="137">
        <f ca="1" t="shared" si="183"/>
        <v>53</v>
      </c>
      <c r="Q3189" s="22" t="str">
        <f>VLOOKUP(B3189,辅助信息!E:M,9,FALSE)</f>
        <v>ZTWM-CDGS-XS-2024-0134-商投建工达州中医药科技成果示范园项目</v>
      </c>
      <c r="R3189" s="138" t="str">
        <f>_xlfn._xlws.FILTER(辅助信息!D:D,辅助信息!E:E=B3189)</f>
        <v>商投建工达州中医药科技园</v>
      </c>
    </row>
    <row r="3190" hidden="1" spans="2:18">
      <c r="B3190" s="113" t="s">
        <v>68</v>
      </c>
      <c r="C3190" s="63">
        <v>45903</v>
      </c>
      <c r="D3190" s="113" t="str">
        <f>VLOOKUP(B3190,辅助信息!E:K,7,FALSE)</f>
        <v>JWDDCD2025052800131</v>
      </c>
      <c r="E3190" s="113" t="str">
        <f>VLOOKUP(F3190,辅助信息!A:B,2,FALSE)</f>
        <v>螺纹钢</v>
      </c>
      <c r="F3190" s="113" t="s">
        <v>30</v>
      </c>
      <c r="G3190" s="114">
        <v>42</v>
      </c>
      <c r="H3190" s="127"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13" t="str">
        <f>VLOOKUP(B3190,辅助信息!E:I,3,FALSE)</f>
        <v>（商投建工达州中医药科技园-2工区-景观桥）达州市通川区达州中医药职业学院犀牛大道北段</v>
      </c>
      <c r="J3190" s="113" t="str">
        <f>VLOOKUP(B3190,辅助信息!E:I,4,FALSE)</f>
        <v>李波</v>
      </c>
      <c r="K3190" s="113">
        <f>VLOOKUP(J3190,辅助信息!H:I,2,FALSE)</f>
        <v>18381899787</v>
      </c>
      <c r="L3190" s="115" t="str">
        <f>VLOOKUP(B3190,辅助信息!E:J,6,FALSE)</f>
        <v>控制炉批号！多了现场不收！,优先安排达钢,提前联系到场规格及数量</v>
      </c>
      <c r="M3190" s="84">
        <v>45904</v>
      </c>
      <c r="N3190" s="55" t="s">
        <v>214</v>
      </c>
      <c r="O3190" s="55">
        <f ca="1" t="shared" si="182"/>
        <v>0</v>
      </c>
      <c r="P3190" s="137">
        <f ca="1" t="shared" si="183"/>
        <v>53</v>
      </c>
      <c r="Q3190" s="22" t="str">
        <f>VLOOKUP(B3190,辅助信息!E:M,9,FALSE)</f>
        <v>ZTWM-CDGS-XS-2024-0134-商投建工达州中医药科技成果示范园项目</v>
      </c>
      <c r="R3190" s="138" t="str">
        <f>_xlfn._xlws.FILTER(辅助信息!D:D,辅助信息!E:E=B3190)</f>
        <v>商投建工达州中医药科技园</v>
      </c>
    </row>
    <row r="3191" hidden="1" spans="2:18">
      <c r="B3191" s="113" t="s">
        <v>68</v>
      </c>
      <c r="C3191" s="63">
        <v>45903</v>
      </c>
      <c r="D3191" s="113" t="str">
        <f>VLOOKUP(B3191,辅助信息!E:K,7,FALSE)</f>
        <v>JWDDCD2025052800131</v>
      </c>
      <c r="E3191" s="113" t="str">
        <f>VLOOKUP(F3191,辅助信息!A:B,2,FALSE)</f>
        <v>螺纹钢</v>
      </c>
      <c r="F3191" s="113" t="s">
        <v>28</v>
      </c>
      <c r="G3191" s="114">
        <v>15</v>
      </c>
      <c r="H3191" s="127"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13" t="str">
        <f>VLOOKUP(B3191,辅助信息!E:I,3,FALSE)</f>
        <v>（商投建工达州中医药科技园-2工区-景观桥）达州市通川区达州中医药职业学院犀牛大道北段</v>
      </c>
      <c r="J3191" s="113" t="str">
        <f>VLOOKUP(B3191,辅助信息!E:I,4,FALSE)</f>
        <v>李波</v>
      </c>
      <c r="K3191" s="113">
        <f>VLOOKUP(J3191,辅助信息!H:I,2,FALSE)</f>
        <v>18381899787</v>
      </c>
      <c r="L3191" s="115" t="str">
        <f>VLOOKUP(B3191,辅助信息!E:J,6,FALSE)</f>
        <v>控制炉批号！多了现场不收！,优先安排达钢,提前联系到场规格及数量</v>
      </c>
      <c r="M3191" s="84">
        <v>45904</v>
      </c>
      <c r="N3191" s="55" t="s">
        <v>214</v>
      </c>
      <c r="O3191" s="55">
        <f ca="1" t="shared" si="182"/>
        <v>0</v>
      </c>
      <c r="P3191" s="137">
        <f ca="1" t="shared" si="183"/>
        <v>53</v>
      </c>
      <c r="Q3191" s="22" t="str">
        <f>VLOOKUP(B3191,辅助信息!E:M,9,FALSE)</f>
        <v>ZTWM-CDGS-XS-2024-0134-商投建工达州中医药科技成果示范园项目</v>
      </c>
      <c r="R3191" s="138" t="str">
        <f>_xlfn._xlws.FILTER(辅助信息!D:D,辅助信息!E:E=B3191)</f>
        <v>商投建工达州中医药科技园</v>
      </c>
    </row>
    <row r="3192" hidden="1" spans="2:18">
      <c r="B3192" s="33" t="s">
        <v>180</v>
      </c>
      <c r="C3192" s="63">
        <v>45903</v>
      </c>
      <c r="D3192" s="33" t="str">
        <f>VLOOKUP(B3192,辅助信息!E:K,7,FALSE)</f>
        <v>JWDDCD2025052800131</v>
      </c>
      <c r="E3192" s="33" t="str">
        <f>VLOOKUP(F3192,辅助信息!A:B,2,FALSE)</f>
        <v>盘螺</v>
      </c>
      <c r="F3192" s="33" t="s">
        <v>40</v>
      </c>
      <c r="G3192" s="29">
        <v>22</v>
      </c>
      <c r="H3192" s="127">
        <f>IF(SUMIFS('[1]2025年已发货'!$E:$E,'[1]2025年已发货'!$F:$F,C3192,'[1]2025年已发货'!$C:$C,F3192,'[1]2025年已发货'!$G:$G,I3192,'[1]2025年已发货'!$H:$H,J3192)=0,"未发货",SUMIFS('[1]2025年已发货'!$E:$E,'[1]2025年已发货'!$F:$F,C3192,'[1]2025年已发货'!$C:$C,F3192,'[1]2025年已发货'!$G:$G,I3192,'[1]2025年已发货'!$H:$H,J3192))</f>
        <v>20</v>
      </c>
      <c r="I3192" s="33" t="str">
        <f>VLOOKUP(B3192,辅助信息!E:I,3,FALSE)</f>
        <v>（商投建工达州中医药科技园-4工区-8号楼）达州市通川区达州中医药职业学院犀牛大道北段</v>
      </c>
      <c r="J3192" s="33" t="str">
        <f>VLOOKUP(B3192,辅助信息!E:I,4,FALSE)</f>
        <v>张扬</v>
      </c>
      <c r="K3192" s="33">
        <f>VLOOKUP(J3192,辅助信息!H:I,2,FALSE)</f>
        <v>18381904567</v>
      </c>
      <c r="L3192" s="102" t="str">
        <f>VLOOKUP(B3192,辅助信息!E:J,6,FALSE)</f>
        <v>控制炉批号！多了现场不收！,优先安排达钢,提前联系到场规格及数量</v>
      </c>
      <c r="M3192" s="84">
        <v>45903</v>
      </c>
      <c r="O3192" s="55">
        <f ca="1" t="shared" si="182"/>
        <v>0</v>
      </c>
      <c r="P3192" s="55">
        <f ca="1" t="shared" si="183"/>
        <v>54</v>
      </c>
      <c r="Q3192" s="22" t="str">
        <f>VLOOKUP(B3192,辅助信息!E:M,9,FALSE)</f>
        <v>ZTWM-CDGS-XS-2024-0134-商投建工达州中医药科技成果示范园项目</v>
      </c>
      <c r="R3192" s="22" t="str">
        <f>_xlfn._xlws.FILTER(辅助信息!D:D,辅助信息!E:E=B3192)</f>
        <v>商投建工达州中医药科技园</v>
      </c>
    </row>
    <row r="3193" hidden="1" spans="2:18">
      <c r="B3193" s="33" t="s">
        <v>180</v>
      </c>
      <c r="C3193" s="63">
        <v>45903</v>
      </c>
      <c r="D3193" s="33" t="str">
        <f>VLOOKUP(B3193,辅助信息!E:K,7,FALSE)</f>
        <v>JWDDCD2025052800131</v>
      </c>
      <c r="E3193" s="33" t="str">
        <f>VLOOKUP(F3193,辅助信息!A:B,2,FALSE)</f>
        <v>螺纹钢</v>
      </c>
      <c r="F3193" s="33" t="s">
        <v>58</v>
      </c>
      <c r="G3193" s="29">
        <v>12</v>
      </c>
      <c r="H3193" s="127">
        <f>IF(SUMIFS('[1]2025年已发货'!$E:$E,'[1]2025年已发货'!$F:$F,C3193,'[1]2025年已发货'!$C:$C,F3193,'[1]2025年已发货'!$G:$G,I3193,'[1]2025年已发货'!$H:$H,J3193)=0,"未发货",SUMIFS('[1]2025年已发货'!$E:$E,'[1]2025年已发货'!$F:$F,C3193,'[1]2025年已发货'!$C:$C,F3193,'[1]2025年已发货'!$G:$G,I3193,'[1]2025年已发货'!$H:$H,J3193))</f>
        <v>12</v>
      </c>
      <c r="I3193" s="33" t="str">
        <f>VLOOKUP(B3193,辅助信息!E:I,3,FALSE)</f>
        <v>（商投建工达州中医药科技园-4工区-8号楼）达州市通川区达州中医药职业学院犀牛大道北段</v>
      </c>
      <c r="J3193" s="33" t="str">
        <f>VLOOKUP(B3193,辅助信息!E:I,4,FALSE)</f>
        <v>张扬</v>
      </c>
      <c r="K3193" s="33">
        <f>VLOOKUP(J3193,辅助信息!H:I,2,FALSE)</f>
        <v>18381904567</v>
      </c>
      <c r="L3193" s="102" t="str">
        <f>VLOOKUP(B3193,辅助信息!E:J,6,FALSE)</f>
        <v>控制炉批号！多了现场不收！,优先安排达钢,提前联系到场规格及数量</v>
      </c>
      <c r="M3193" s="84">
        <v>45903</v>
      </c>
      <c r="O3193" s="55">
        <f ca="1" t="shared" si="182"/>
        <v>0</v>
      </c>
      <c r="P3193" s="55">
        <f ca="1" t="shared" si="183"/>
        <v>54</v>
      </c>
      <c r="Q3193" s="22" t="str">
        <f>VLOOKUP(B3193,辅助信息!E:M,9,FALSE)</f>
        <v>ZTWM-CDGS-XS-2024-0134-商投建工达州中医药科技成果示范园项目</v>
      </c>
      <c r="R3193" s="22" t="str">
        <f>_xlfn._xlws.FILTER(辅助信息!D:D,辅助信息!E:E=B3193)</f>
        <v>商投建工达州中医药科技园</v>
      </c>
    </row>
    <row r="3194" hidden="1" spans="2:18">
      <c r="B3194" s="33" t="s">
        <v>180</v>
      </c>
      <c r="C3194" s="63">
        <v>45903</v>
      </c>
      <c r="D3194" s="33" t="str">
        <f>VLOOKUP(B3194,辅助信息!E:K,7,FALSE)</f>
        <v>JWDDCD2025052800131</v>
      </c>
      <c r="E3194" s="33" t="str">
        <f>VLOOKUP(F3194,辅助信息!A:B,2,FALSE)</f>
        <v>螺纹钢</v>
      </c>
      <c r="F3194" s="33" t="s">
        <v>22</v>
      </c>
      <c r="G3194" s="29">
        <v>13</v>
      </c>
      <c r="H3194" s="127">
        <f>IF(SUMIFS('[1]2025年已发货'!$E:$E,'[1]2025年已发货'!$F:$F,C3194,'[1]2025年已发货'!$C:$C,F3194,'[1]2025年已发货'!$G:$G,I3194,'[1]2025年已发货'!$H:$H,J3194)=0,"未发货",SUMIFS('[1]2025年已发货'!$E:$E,'[1]2025年已发货'!$F:$F,C3194,'[1]2025年已发货'!$C:$C,F3194,'[1]2025年已发货'!$G:$G,I3194,'[1]2025年已发货'!$H:$H,J3194))</f>
        <v>12</v>
      </c>
      <c r="I3194" s="33" t="str">
        <f>VLOOKUP(B3194,辅助信息!E:I,3,FALSE)</f>
        <v>（商投建工达州中医药科技园-4工区-8号楼）达州市通川区达州中医药职业学院犀牛大道北段</v>
      </c>
      <c r="J3194" s="33" t="str">
        <f>VLOOKUP(B3194,辅助信息!E:I,4,FALSE)</f>
        <v>张扬</v>
      </c>
      <c r="K3194" s="33">
        <f>VLOOKUP(J3194,辅助信息!H:I,2,FALSE)</f>
        <v>18381904567</v>
      </c>
      <c r="L3194" s="102" t="str">
        <f>VLOOKUP(B3194,辅助信息!E:J,6,FALSE)</f>
        <v>控制炉批号！多了现场不收！,优先安排达钢,提前联系到场规格及数量</v>
      </c>
      <c r="M3194" s="84">
        <v>45903</v>
      </c>
      <c r="O3194" s="55">
        <f ca="1" t="shared" si="182"/>
        <v>0</v>
      </c>
      <c r="P3194" s="55">
        <f ca="1" t="shared" si="183"/>
        <v>54</v>
      </c>
      <c r="Q3194" s="22" t="str">
        <f>VLOOKUP(B3194,辅助信息!E:M,9,FALSE)</f>
        <v>ZTWM-CDGS-XS-2024-0134-商投建工达州中医药科技成果示范园项目</v>
      </c>
      <c r="R3194" s="22" t="str">
        <f>_xlfn._xlws.FILTER(辅助信息!D:D,辅助信息!E:E=B3194)</f>
        <v>商投建工达州中医药科技园</v>
      </c>
    </row>
    <row r="3195" hidden="1" spans="2:18">
      <c r="B3195" s="33" t="s">
        <v>163</v>
      </c>
      <c r="C3195" s="63">
        <v>45903</v>
      </c>
      <c r="D3195" s="33" t="str">
        <f>VLOOKUP(B3195,辅助信息!E:K,7,FALSE)</f>
        <v>JWDDCD2025052800131</v>
      </c>
      <c r="E3195" s="33" t="str">
        <f>VLOOKUP(F3195,辅助信息!A:B,2,FALSE)</f>
        <v>盘螺</v>
      </c>
      <c r="F3195" s="33" t="s">
        <v>40</v>
      </c>
      <c r="G3195" s="29">
        <v>15</v>
      </c>
      <c r="H3195" s="127"/>
      <c r="I3195" s="33" t="str">
        <f>VLOOKUP(B3195,辅助信息!E:I,3,FALSE)</f>
        <v>（商投建工达州中医药科技园-4工区-9号楼）达州市通川区达州中医药职业学院犀牛大道北段</v>
      </c>
      <c r="J3195" s="33" t="str">
        <f>VLOOKUP(B3195,辅助信息!E:I,4,FALSE)</f>
        <v>张扬</v>
      </c>
      <c r="K3195" s="33">
        <f>VLOOKUP(J3195,辅助信息!H:I,2,FALSE)</f>
        <v>18381904567</v>
      </c>
      <c r="L3195" s="102" t="str">
        <f>VLOOKUP(B3195,辅助信息!E:J,6,FALSE)</f>
        <v>控制炉批号！多了现场不收！,优先安排达钢,提前联系到场规格及数量</v>
      </c>
      <c r="M3195" s="84">
        <v>45903</v>
      </c>
      <c r="O3195" s="55">
        <f ca="1" t="shared" si="182"/>
        <v>0</v>
      </c>
      <c r="P3195" s="55">
        <f ca="1" t="shared" si="183"/>
        <v>54</v>
      </c>
      <c r="Q3195" s="22" t="str">
        <f>VLOOKUP(B3195,辅助信息!E:M,9,FALSE)</f>
        <v>ZTWM-CDGS-XS-2024-0134-商投建工达州中医药科技成果示范园项目</v>
      </c>
      <c r="R3195" s="22" t="str">
        <f>_xlfn._xlws.FILTER(辅助信息!D:D,辅助信息!E:E=B3195)</f>
        <v>商投建工达州中医药科技园</v>
      </c>
    </row>
    <row r="3196" hidden="1" spans="2:18">
      <c r="B3196" s="33" t="s">
        <v>163</v>
      </c>
      <c r="C3196" s="63">
        <v>45903</v>
      </c>
      <c r="D3196" s="33" t="str">
        <f>VLOOKUP(B3196,辅助信息!E:K,7,FALSE)</f>
        <v>JWDDCD2025052800131</v>
      </c>
      <c r="E3196" s="33" t="str">
        <f>VLOOKUP(F3196,辅助信息!A:B,2,FALSE)</f>
        <v>螺纹钢</v>
      </c>
      <c r="F3196" s="33" t="s">
        <v>33</v>
      </c>
      <c r="G3196" s="29">
        <v>10</v>
      </c>
      <c r="H3196" s="127">
        <f>IF(SUMIFS('[1]2025年已发货'!$E:$E,'[1]2025年已发货'!$F:$F,C3196,'[1]2025年已发货'!$C:$C,F3196,'[1]2025年已发货'!$G:$G,I3196,'[1]2025年已发货'!$H:$H,J3196)=0,"未发货",SUMIFS('[1]2025年已发货'!$E:$E,'[1]2025年已发货'!$F:$F,C3196,'[1]2025年已发货'!$C:$C,F3196,'[1]2025年已发货'!$G:$G,I3196,'[1]2025年已发货'!$H:$H,J3196))</f>
        <v>9</v>
      </c>
      <c r="I3196" s="33" t="str">
        <f>VLOOKUP(B3196,辅助信息!E:I,3,FALSE)</f>
        <v>（商投建工达州中医药科技园-4工区-9号楼）达州市通川区达州中医药职业学院犀牛大道北段</v>
      </c>
      <c r="J3196" s="33" t="str">
        <f>VLOOKUP(B3196,辅助信息!E:I,4,FALSE)</f>
        <v>张扬</v>
      </c>
      <c r="K3196" s="33">
        <f>VLOOKUP(J3196,辅助信息!H:I,2,FALSE)</f>
        <v>18381904567</v>
      </c>
      <c r="L3196" s="102" t="str">
        <f>VLOOKUP(B3196,辅助信息!E:J,6,FALSE)</f>
        <v>控制炉批号！多了现场不收！,优先安排达钢,提前联系到场规格及数量</v>
      </c>
      <c r="M3196" s="84">
        <v>45903</v>
      </c>
      <c r="O3196" s="55">
        <f ca="1" t="shared" si="182"/>
        <v>0</v>
      </c>
      <c r="P3196" s="55">
        <f ca="1" t="shared" si="183"/>
        <v>54</v>
      </c>
      <c r="Q3196" s="22" t="str">
        <f>VLOOKUP(B3196,辅助信息!E:M,9,FALSE)</f>
        <v>ZTWM-CDGS-XS-2024-0134-商投建工达州中医药科技成果示范园项目</v>
      </c>
      <c r="R3196" s="22" t="str">
        <f>_xlfn._xlws.FILTER(辅助信息!D:D,辅助信息!E:E=B3196)</f>
        <v>商投建工达州中医药科技园</v>
      </c>
    </row>
    <row r="3197" hidden="1" spans="2:18">
      <c r="B3197" s="33" t="s">
        <v>163</v>
      </c>
      <c r="C3197" s="63">
        <v>45903</v>
      </c>
      <c r="D3197" s="33" t="str">
        <f>VLOOKUP(B3197,辅助信息!E:K,7,FALSE)</f>
        <v>JWDDCD2025052800131</v>
      </c>
      <c r="E3197" s="33" t="str">
        <f>VLOOKUP(F3197,辅助信息!A:B,2,FALSE)</f>
        <v>螺纹钢</v>
      </c>
      <c r="F3197" s="33" t="s">
        <v>18</v>
      </c>
      <c r="G3197" s="29">
        <v>10</v>
      </c>
      <c r="H3197" s="127">
        <f>IF(SUMIFS('[1]2025年已发货'!$E:$E,'[1]2025年已发货'!$F:$F,C3197,'[1]2025年已发货'!$C:$C,F3197,'[1]2025年已发货'!$G:$G,I3197,'[1]2025年已发货'!$H:$H,J3197)=0,"未发货",SUMIFS('[1]2025年已发货'!$E:$E,'[1]2025年已发货'!$F:$F,C3197,'[1]2025年已发货'!$C:$C,F3197,'[1]2025年已发货'!$G:$G,I3197,'[1]2025年已发货'!$H:$H,J3197))</f>
        <v>9</v>
      </c>
      <c r="I3197" s="33" t="str">
        <f>VLOOKUP(B3197,辅助信息!E:I,3,FALSE)</f>
        <v>（商投建工达州中医药科技园-4工区-9号楼）达州市通川区达州中医药职业学院犀牛大道北段</v>
      </c>
      <c r="J3197" s="33" t="str">
        <f>VLOOKUP(B3197,辅助信息!E:I,4,FALSE)</f>
        <v>张扬</v>
      </c>
      <c r="K3197" s="33">
        <f>VLOOKUP(J3197,辅助信息!H:I,2,FALSE)</f>
        <v>18381904567</v>
      </c>
      <c r="L3197" s="102" t="str">
        <f>VLOOKUP(B3197,辅助信息!E:J,6,FALSE)</f>
        <v>控制炉批号！多了现场不收！,优先安排达钢,提前联系到场规格及数量</v>
      </c>
      <c r="M3197" s="84">
        <v>45903</v>
      </c>
      <c r="O3197" s="55">
        <f ca="1" t="shared" si="182"/>
        <v>0</v>
      </c>
      <c r="P3197" s="55">
        <f ca="1" t="shared" si="183"/>
        <v>54</v>
      </c>
      <c r="Q3197" s="22" t="str">
        <f>VLOOKUP(B3197,辅助信息!E:M,9,FALSE)</f>
        <v>ZTWM-CDGS-XS-2024-0134-商投建工达州中医药科技成果示范园项目</v>
      </c>
      <c r="R3197" s="22" t="str">
        <f>_xlfn._xlws.FILTER(辅助信息!D:D,辅助信息!E:E=B3197)</f>
        <v>商投建工达州中医药科技园</v>
      </c>
    </row>
    <row r="3198" hidden="1" spans="2:18">
      <c r="B3198" s="33" t="s">
        <v>163</v>
      </c>
      <c r="C3198" s="63">
        <v>45903</v>
      </c>
      <c r="D3198" s="33" t="str">
        <f>VLOOKUP(B3198,辅助信息!E:K,7,FALSE)</f>
        <v>JWDDCD2025052800131</v>
      </c>
      <c r="E3198" s="33" t="str">
        <f>VLOOKUP(F3198,辅助信息!A:B,2,FALSE)</f>
        <v>盘螺</v>
      </c>
      <c r="F3198" s="33" t="s">
        <v>49</v>
      </c>
      <c r="G3198" s="29">
        <v>5</v>
      </c>
      <c r="H3198" s="127">
        <f>IF(SUMIFS('[1]2025年已发货'!$E:$E,'[1]2025年已发货'!$F:$F,C3198,'[1]2025年已发货'!$C:$C,F3198,'[1]2025年已发货'!$G:$G,I3198,'[1]2025年已发货'!$H:$H,J3198)=0,"未发货",SUMIFS('[1]2025年已发货'!$E:$E,'[1]2025年已发货'!$F:$F,C3198,'[1]2025年已发货'!$C:$C,F3198,'[1]2025年已发货'!$G:$G,I3198,'[1]2025年已发货'!$H:$H,J3198))</f>
        <v>5</v>
      </c>
      <c r="I3198" s="33" t="str">
        <f>VLOOKUP(B3198,辅助信息!E:I,3,FALSE)</f>
        <v>（商投建工达州中医药科技园-4工区-9号楼）达州市通川区达州中医药职业学院犀牛大道北段</v>
      </c>
      <c r="J3198" s="33" t="str">
        <f>VLOOKUP(B3198,辅助信息!E:I,4,FALSE)</f>
        <v>张扬</v>
      </c>
      <c r="K3198" s="33">
        <f>VLOOKUP(J3198,辅助信息!H:I,2,FALSE)</f>
        <v>18381904567</v>
      </c>
      <c r="L3198" s="102" t="str">
        <f>VLOOKUP(B3198,辅助信息!E:J,6,FALSE)</f>
        <v>控制炉批号！多了现场不收！,优先安排达钢,提前联系到场规格及数量</v>
      </c>
      <c r="M3198" s="84">
        <v>45904</v>
      </c>
      <c r="O3198" s="55">
        <f ca="1" t="shared" si="182"/>
        <v>0</v>
      </c>
      <c r="P3198" s="55">
        <f ca="1" t="shared" si="183"/>
        <v>53</v>
      </c>
      <c r="Q3198" s="22" t="str">
        <f>VLOOKUP(B3198,辅助信息!E:M,9,FALSE)</f>
        <v>ZTWM-CDGS-XS-2024-0134-商投建工达州中医药科技成果示范园项目</v>
      </c>
      <c r="R3198" s="22" t="str">
        <f>_xlfn._xlws.FILTER(辅助信息!D:D,辅助信息!E:E=B3198)</f>
        <v>商投建工达州中医药科技园</v>
      </c>
    </row>
    <row r="3199" hidden="1" spans="2:18">
      <c r="B3199" s="33" t="s">
        <v>163</v>
      </c>
      <c r="C3199" s="63">
        <v>45903</v>
      </c>
      <c r="D3199" s="33" t="str">
        <f>VLOOKUP(B3199,辅助信息!E:K,7,FALSE)</f>
        <v>JWDDCD2025052800131</v>
      </c>
      <c r="E3199" s="33" t="str">
        <f>VLOOKUP(F3199,辅助信息!A:B,2,FALSE)</f>
        <v>盘螺</v>
      </c>
      <c r="F3199" s="33" t="s">
        <v>40</v>
      </c>
      <c r="G3199" s="29">
        <v>24</v>
      </c>
      <c r="H3199" s="127">
        <f>IF(SUMIFS('[1]2025年已发货'!$E:$E,'[1]2025年已发货'!$F:$F,C3199,'[1]2025年已发货'!$C:$C,F3199,'[1]2025年已发货'!$G:$G,I3199,'[1]2025年已发货'!$H:$H,J3199)=0,"未发货",SUMIFS('[1]2025年已发货'!$E:$E,'[1]2025年已发货'!$F:$F,C3199,'[1]2025年已发货'!$C:$C,F3199,'[1]2025年已发货'!$G:$G,I3199,'[1]2025年已发货'!$H:$H,J3199))</f>
        <v>24</v>
      </c>
      <c r="I3199" s="33" t="str">
        <f>VLOOKUP(B3199,辅助信息!E:I,3,FALSE)</f>
        <v>（商投建工达州中医药科技园-4工区-9号楼）达州市通川区达州中医药职业学院犀牛大道北段</v>
      </c>
      <c r="J3199" s="33" t="str">
        <f>VLOOKUP(B3199,辅助信息!E:I,4,FALSE)</f>
        <v>张扬</v>
      </c>
      <c r="K3199" s="33">
        <f>VLOOKUP(J3199,辅助信息!H:I,2,FALSE)</f>
        <v>18381904567</v>
      </c>
      <c r="L3199" s="102" t="str">
        <f>VLOOKUP(B3199,辅助信息!E:J,6,FALSE)</f>
        <v>控制炉批号！多了现场不收！,优先安排达钢,提前联系到场规格及数量</v>
      </c>
      <c r="M3199" s="84">
        <v>45904</v>
      </c>
      <c r="O3199" s="55">
        <f ca="1" t="shared" si="182"/>
        <v>0</v>
      </c>
      <c r="P3199" s="55">
        <f ca="1" t="shared" si="183"/>
        <v>53</v>
      </c>
      <c r="Q3199" s="22" t="str">
        <f>VLOOKUP(B3199,辅助信息!E:M,9,FALSE)</f>
        <v>ZTWM-CDGS-XS-2024-0134-商投建工达州中医药科技成果示范园项目</v>
      </c>
      <c r="R3199" s="22" t="str">
        <f>_xlfn._xlws.FILTER(辅助信息!D:D,辅助信息!E:E=B3199)</f>
        <v>商投建工达州中医药科技园</v>
      </c>
    </row>
    <row r="3200" hidden="1" spans="2:18">
      <c r="B3200" s="33" t="s">
        <v>163</v>
      </c>
      <c r="C3200" s="63">
        <v>45903</v>
      </c>
      <c r="D3200" s="33" t="str">
        <f>VLOOKUP(B3200,辅助信息!E:K,7,FALSE)</f>
        <v>JWDDCD2025052800131</v>
      </c>
      <c r="E3200" s="33" t="str">
        <f>VLOOKUP(F3200,辅助信息!A:B,2,FALSE)</f>
        <v>盘螺</v>
      </c>
      <c r="F3200" s="33" t="s">
        <v>41</v>
      </c>
      <c r="G3200" s="29">
        <v>7.5</v>
      </c>
      <c r="H3200" s="127">
        <f>IF(SUMIFS('[1]2025年已发货'!$E:$E,'[1]2025年已发货'!$F:$F,C3200,'[1]2025年已发货'!$C:$C,F3200,'[1]2025年已发货'!$G:$G,I3200,'[1]2025年已发货'!$H:$H,J3200)=0,"未发货",SUMIFS('[1]2025年已发货'!$E:$E,'[1]2025年已发货'!$F:$F,C3200,'[1]2025年已发货'!$C:$C,F3200,'[1]2025年已发货'!$G:$G,I3200,'[1]2025年已发货'!$H:$H,J3200))</f>
        <v>7.5</v>
      </c>
      <c r="I3200" s="33" t="str">
        <f>VLOOKUP(B3200,辅助信息!E:I,3,FALSE)</f>
        <v>（商投建工达州中医药科技园-4工区-9号楼）达州市通川区达州中医药职业学院犀牛大道北段</v>
      </c>
      <c r="J3200" s="33" t="str">
        <f>VLOOKUP(B3200,辅助信息!E:I,4,FALSE)</f>
        <v>张扬</v>
      </c>
      <c r="K3200" s="33">
        <f>VLOOKUP(J3200,辅助信息!H:I,2,FALSE)</f>
        <v>18381904567</v>
      </c>
      <c r="L3200" s="102" t="str">
        <f>VLOOKUP(B3200,辅助信息!E:J,6,FALSE)</f>
        <v>控制炉批号！多了现场不收！,优先安排达钢,提前联系到场规格及数量</v>
      </c>
      <c r="M3200" s="84">
        <v>45904</v>
      </c>
      <c r="O3200" s="55">
        <f ca="1" t="shared" si="182"/>
        <v>0</v>
      </c>
      <c r="P3200" s="55">
        <f ca="1" t="shared" si="183"/>
        <v>53</v>
      </c>
      <c r="Q3200" s="22" t="str">
        <f>VLOOKUP(B3200,辅助信息!E:M,9,FALSE)</f>
        <v>ZTWM-CDGS-XS-2024-0134-商投建工达州中医药科技成果示范园项目</v>
      </c>
      <c r="R3200" s="22" t="str">
        <f>_xlfn._xlws.FILTER(辅助信息!D:D,辅助信息!E:E=B3200)</f>
        <v>商投建工达州中医药科技园</v>
      </c>
    </row>
    <row r="3201" hidden="1" spans="1:18">
      <c r="A3201" s="75" t="s">
        <v>213</v>
      </c>
      <c r="B3201" s="33" t="s">
        <v>147</v>
      </c>
      <c r="C3201" s="63">
        <v>45903</v>
      </c>
      <c r="D3201" s="33" t="str">
        <f>VLOOKUP(B3201,辅助信息!E:K,7,FALSE)</f>
        <v>JWDDCD2025052800131</v>
      </c>
      <c r="E3201" s="33" t="str">
        <f>VLOOKUP(F3201,辅助信息!A:B,2,FALSE)</f>
        <v>螺纹钢</v>
      </c>
      <c r="F3201" s="128" t="s">
        <v>27</v>
      </c>
      <c r="G3201" s="29">
        <v>9</v>
      </c>
      <c r="H3201" s="127">
        <v>9</v>
      </c>
      <c r="I3201" s="33" t="str">
        <f>VLOOKUP(B3201,辅助信息!E:I,3,FALSE)</f>
        <v>（商投建工达州中医药科技园-4工区-11号楼）达州市通川区达州中医药职业学院犀牛大道北段</v>
      </c>
      <c r="J3201" s="33" t="str">
        <f>VLOOKUP(B3201,辅助信息!E:I,4,FALSE)</f>
        <v>张扬</v>
      </c>
      <c r="K3201" s="33">
        <f>VLOOKUP(J3201,辅助信息!H:I,2,FALSE)</f>
        <v>18381904567</v>
      </c>
      <c r="L3201" s="102" t="str">
        <f>VLOOKUP(B3201,辅助信息!E:J,6,FALSE)</f>
        <v>控制炉批号！多了现场不收！,优先安排达钢,提前联系到场规格及数量</v>
      </c>
      <c r="M3201" s="84">
        <v>45904</v>
      </c>
      <c r="O3201" s="55">
        <f ca="1" t="shared" si="182"/>
        <v>0</v>
      </c>
      <c r="P3201" s="55">
        <f ca="1" t="shared" si="183"/>
        <v>53</v>
      </c>
      <c r="Q3201" s="22" t="str">
        <f>VLOOKUP(B3201,辅助信息!E:M,9,FALSE)</f>
        <v>ZTWM-CDGS-XS-2024-0134-商投建工达州中医药科技成果示范园项目</v>
      </c>
      <c r="R3201" s="22" t="str">
        <f>_xlfn._xlws.FILTER(辅助信息!D:D,辅助信息!E:E=B3201)</f>
        <v>商投建工达州中医药科技园</v>
      </c>
    </row>
    <row r="3202" hidden="1" spans="1:18">
      <c r="A3202" s="75"/>
      <c r="B3202" s="33" t="s">
        <v>147</v>
      </c>
      <c r="C3202" s="63">
        <v>45903</v>
      </c>
      <c r="D3202" s="33" t="str">
        <f>VLOOKUP(B3202,辅助信息!E:K,7,FALSE)</f>
        <v>JWDDCD2025052800131</v>
      </c>
      <c r="E3202" s="33" t="str">
        <f>VLOOKUP(F3202,辅助信息!A:B,2,FALSE)</f>
        <v>盘螺</v>
      </c>
      <c r="F3202" s="33" t="s">
        <v>40</v>
      </c>
      <c r="G3202" s="29">
        <v>15</v>
      </c>
      <c r="H3202" s="127">
        <v>15</v>
      </c>
      <c r="I3202" s="33" t="str">
        <f>VLOOKUP(B3202,辅助信息!E:I,3,FALSE)</f>
        <v>（商投建工达州中医药科技园-4工区-11号楼）达州市通川区达州中医药职业学院犀牛大道北段</v>
      </c>
      <c r="J3202" s="33" t="str">
        <f>VLOOKUP(B3202,辅助信息!E:I,4,FALSE)</f>
        <v>张扬</v>
      </c>
      <c r="K3202" s="33">
        <f>VLOOKUP(J3202,辅助信息!H:I,2,FALSE)</f>
        <v>18381904567</v>
      </c>
      <c r="L3202" s="102" t="str">
        <f>VLOOKUP(B3202,辅助信息!E:J,6,FALSE)</f>
        <v>控制炉批号！多了现场不收！,优先安排达钢,提前联系到场规格及数量</v>
      </c>
      <c r="M3202" s="84">
        <v>45904</v>
      </c>
      <c r="O3202" s="55">
        <f ca="1" t="shared" si="182"/>
        <v>0</v>
      </c>
      <c r="P3202" s="55">
        <f ca="1" t="shared" si="183"/>
        <v>53</v>
      </c>
      <c r="Q3202" s="22" t="str">
        <f>VLOOKUP(B3202,辅助信息!E:M,9,FALSE)</f>
        <v>ZTWM-CDGS-XS-2024-0134-商投建工达州中医药科技成果示范园项目</v>
      </c>
      <c r="R3202" s="22" t="str">
        <f>_xlfn._xlws.FILTER(辅助信息!D:D,辅助信息!E:E=B3202)</f>
        <v>商投建工达州中医药科技园</v>
      </c>
    </row>
    <row r="3203" hidden="1" spans="1:18">
      <c r="A3203" s="75"/>
      <c r="B3203" s="33" t="s">
        <v>147</v>
      </c>
      <c r="C3203" s="63">
        <v>45903</v>
      </c>
      <c r="D3203" s="33" t="str">
        <f>VLOOKUP(B3203,辅助信息!E:K,7,FALSE)</f>
        <v>JWDDCD2025052800131</v>
      </c>
      <c r="E3203" s="33" t="str">
        <f>VLOOKUP(F3203,辅助信息!A:B,2,FALSE)</f>
        <v>螺纹钢</v>
      </c>
      <c r="F3203" s="33" t="s">
        <v>58</v>
      </c>
      <c r="G3203" s="29">
        <v>12</v>
      </c>
      <c r="H3203" s="127">
        <v>12</v>
      </c>
      <c r="I3203" s="33" t="str">
        <f>VLOOKUP(B3203,辅助信息!E:I,3,FALSE)</f>
        <v>（商投建工达州中医药科技园-4工区-11号楼）达州市通川区达州中医药职业学院犀牛大道北段</v>
      </c>
      <c r="J3203" s="33" t="str">
        <f>VLOOKUP(B3203,辅助信息!E:I,4,FALSE)</f>
        <v>张扬</v>
      </c>
      <c r="K3203" s="33">
        <f>VLOOKUP(J3203,辅助信息!H:I,2,FALSE)</f>
        <v>18381904567</v>
      </c>
      <c r="L3203" s="102" t="str">
        <f>VLOOKUP(B3203,辅助信息!E:J,6,FALSE)</f>
        <v>控制炉批号！多了现场不收！,优先安排达钢,提前联系到场规格及数量</v>
      </c>
      <c r="M3203" s="84">
        <v>45904</v>
      </c>
      <c r="O3203" s="55">
        <f ca="1" t="shared" si="182"/>
        <v>0</v>
      </c>
      <c r="P3203" s="55">
        <f ca="1" t="shared" si="183"/>
        <v>53</v>
      </c>
      <c r="Q3203" s="22" t="str">
        <f>VLOOKUP(B3203,辅助信息!E:M,9,FALSE)</f>
        <v>ZTWM-CDGS-XS-2024-0134-商投建工达州中医药科技成果示范园项目</v>
      </c>
      <c r="R3203" s="22" t="str">
        <f>_xlfn._xlws.FILTER(辅助信息!D:D,辅助信息!E:E=B3203)</f>
        <v>商投建工达州中医药科技园</v>
      </c>
    </row>
    <row r="3204" hidden="1" spans="1:18">
      <c r="A3204" s="75"/>
      <c r="B3204" s="33" t="s">
        <v>147</v>
      </c>
      <c r="C3204" s="63">
        <v>45903</v>
      </c>
      <c r="D3204" s="33" t="str">
        <f>VLOOKUP(B3204,辅助信息!E:K,7,FALSE)</f>
        <v>JWDDCD2025052800131</v>
      </c>
      <c r="E3204" s="33" t="str">
        <f>VLOOKUP(F3204,辅助信息!A:B,2,FALSE)</f>
        <v>螺纹钢</v>
      </c>
      <c r="F3204" s="33" t="s">
        <v>46</v>
      </c>
      <c r="G3204" s="29">
        <v>9</v>
      </c>
      <c r="H3204" s="127">
        <v>9</v>
      </c>
      <c r="I3204" s="33" t="str">
        <f>VLOOKUP(B3204,辅助信息!E:I,3,FALSE)</f>
        <v>（商投建工达州中医药科技园-4工区-11号楼）达州市通川区达州中医药职业学院犀牛大道北段</v>
      </c>
      <c r="J3204" s="33" t="str">
        <f>VLOOKUP(B3204,辅助信息!E:I,4,FALSE)</f>
        <v>张扬</v>
      </c>
      <c r="K3204" s="33">
        <f>VLOOKUP(J3204,辅助信息!H:I,2,FALSE)</f>
        <v>18381904567</v>
      </c>
      <c r="L3204" s="102" t="str">
        <f>VLOOKUP(B3204,辅助信息!E:J,6,FALSE)</f>
        <v>控制炉批号！多了现场不收！,优先安排达钢,提前联系到场规格及数量</v>
      </c>
      <c r="M3204" s="84">
        <v>45904</v>
      </c>
      <c r="O3204" s="55">
        <f ca="1" t="shared" si="182"/>
        <v>0</v>
      </c>
      <c r="P3204" s="55">
        <f ca="1" t="shared" si="183"/>
        <v>53</v>
      </c>
      <c r="Q3204" s="22" t="str">
        <f>VLOOKUP(B3204,辅助信息!E:M,9,FALSE)</f>
        <v>ZTWM-CDGS-XS-2024-0134-商投建工达州中医药科技成果示范园项目</v>
      </c>
      <c r="R3204" s="22" t="str">
        <f>_xlfn._xlws.FILTER(辅助信息!D:D,辅助信息!E:E=B3204)</f>
        <v>商投建工达州中医药科技园</v>
      </c>
    </row>
    <row r="3205" hidden="1" spans="1:18">
      <c r="A3205" s="75"/>
      <c r="B3205" s="33" t="s">
        <v>147</v>
      </c>
      <c r="C3205" s="63">
        <v>45903</v>
      </c>
      <c r="D3205" s="33" t="str">
        <f>VLOOKUP(B3205,辅助信息!E:K,7,FALSE)</f>
        <v>JWDDCD2025052800131</v>
      </c>
      <c r="E3205" s="33" t="str">
        <f>VLOOKUP(F3205,辅助信息!A:B,2,FALSE)</f>
        <v>螺纹钢</v>
      </c>
      <c r="F3205" s="33" t="s">
        <v>22</v>
      </c>
      <c r="G3205" s="29">
        <v>9</v>
      </c>
      <c r="H3205" s="127">
        <v>9</v>
      </c>
      <c r="I3205" s="33" t="str">
        <f>VLOOKUP(B3205,辅助信息!E:I,3,FALSE)</f>
        <v>（商投建工达州中医药科技园-4工区-11号楼）达州市通川区达州中医药职业学院犀牛大道北段</v>
      </c>
      <c r="J3205" s="33" t="str">
        <f>VLOOKUP(B3205,辅助信息!E:I,4,FALSE)</f>
        <v>张扬</v>
      </c>
      <c r="K3205" s="33">
        <f>VLOOKUP(J3205,辅助信息!H:I,2,FALSE)</f>
        <v>18381904567</v>
      </c>
      <c r="L3205" s="102" t="str">
        <f>VLOOKUP(B3205,辅助信息!E:J,6,FALSE)</f>
        <v>控制炉批号！多了现场不收！,优先安排达钢,提前联系到场规格及数量</v>
      </c>
      <c r="M3205" s="84">
        <v>45904</v>
      </c>
      <c r="O3205" s="55">
        <f ca="1" t="shared" si="182"/>
        <v>0</v>
      </c>
      <c r="P3205" s="55">
        <f ca="1" t="shared" si="183"/>
        <v>53</v>
      </c>
      <c r="Q3205" s="22" t="str">
        <f>VLOOKUP(B3205,辅助信息!E:M,9,FALSE)</f>
        <v>ZTWM-CDGS-XS-2024-0134-商投建工达州中医药科技成果示范园项目</v>
      </c>
      <c r="R3205" s="22" t="str">
        <f>_xlfn._xlws.FILTER(辅助信息!D:D,辅助信息!E:E=B3205)</f>
        <v>商投建工达州中医药科技园</v>
      </c>
    </row>
    <row r="3206" hidden="1" spans="1:18">
      <c r="A3206" s="75" t="s">
        <v>100</v>
      </c>
      <c r="B3206" s="33" t="s">
        <v>147</v>
      </c>
      <c r="C3206" s="63">
        <v>45903</v>
      </c>
      <c r="D3206" s="33" t="str">
        <f>VLOOKUP(B3206,辅助信息!E:K,7,FALSE)</f>
        <v>JWDDCD2025052800131</v>
      </c>
      <c r="E3206" s="33" t="str">
        <f>VLOOKUP(F3206,辅助信息!A:B,2,FALSE)</f>
        <v>螺纹钢</v>
      </c>
      <c r="F3206" s="33" t="s">
        <v>30</v>
      </c>
      <c r="G3206" s="29">
        <v>15</v>
      </c>
      <c r="H3206" s="127">
        <v>15</v>
      </c>
      <c r="I3206" s="33" t="str">
        <f>VLOOKUP(B3206,辅助信息!E:I,3,FALSE)</f>
        <v>（商投建工达州中医药科技园-4工区-11号楼）达州市通川区达州中医药职业学院犀牛大道北段</v>
      </c>
      <c r="J3206" s="33" t="str">
        <f>VLOOKUP(B3206,辅助信息!E:I,4,FALSE)</f>
        <v>张扬</v>
      </c>
      <c r="K3206" s="33">
        <f>VLOOKUP(J3206,辅助信息!H:I,2,FALSE)</f>
        <v>18381904567</v>
      </c>
      <c r="L3206" s="102" t="str">
        <f>VLOOKUP(B3206,辅助信息!E:J,6,FALSE)</f>
        <v>控制炉批号！多了现场不收！,优先安排达钢,提前联系到场规格及数量</v>
      </c>
      <c r="M3206" s="84">
        <v>45903</v>
      </c>
      <c r="O3206" s="55">
        <f ca="1" t="shared" si="182"/>
        <v>0</v>
      </c>
      <c r="P3206" s="55">
        <f ca="1" t="shared" si="183"/>
        <v>54</v>
      </c>
      <c r="Q3206" s="22" t="str">
        <f>VLOOKUP(B3206,辅助信息!E:M,9,FALSE)</f>
        <v>ZTWM-CDGS-XS-2024-0134-商投建工达州中医药科技成果示范园项目</v>
      </c>
      <c r="R3206" s="22" t="str">
        <f>_xlfn._xlws.FILTER(辅助信息!D:D,辅助信息!E:E=B3206)</f>
        <v>商投建工达州中医药科技园</v>
      </c>
    </row>
    <row r="3207" hidden="1" spans="1:18">
      <c r="A3207" s="75"/>
      <c r="B3207" s="33" t="s">
        <v>147</v>
      </c>
      <c r="C3207" s="63">
        <v>45903</v>
      </c>
      <c r="D3207" s="33" t="str">
        <f>VLOOKUP(B3207,辅助信息!E:K,7,FALSE)</f>
        <v>JWDDCD2025052800131</v>
      </c>
      <c r="E3207" s="33" t="str">
        <f>VLOOKUP(F3207,辅助信息!A:B,2,FALSE)</f>
        <v>盘螺</v>
      </c>
      <c r="F3207" s="33" t="s">
        <v>40</v>
      </c>
      <c r="G3207" s="29">
        <v>20</v>
      </c>
      <c r="H3207" s="127">
        <v>20</v>
      </c>
      <c r="I3207" s="33" t="str">
        <f>VLOOKUP(B3207,辅助信息!E:I,3,FALSE)</f>
        <v>（商投建工达州中医药科技园-4工区-11号楼）达州市通川区达州中医药职业学院犀牛大道北段</v>
      </c>
      <c r="J3207" s="33" t="str">
        <f>VLOOKUP(B3207,辅助信息!E:I,4,FALSE)</f>
        <v>张扬</v>
      </c>
      <c r="K3207" s="33">
        <f>VLOOKUP(J3207,辅助信息!H:I,2,FALSE)</f>
        <v>18381904567</v>
      </c>
      <c r="L3207" s="102" t="str">
        <f>VLOOKUP(B3207,辅助信息!E:J,6,FALSE)</f>
        <v>控制炉批号！多了现场不收！,优先安排达钢,提前联系到场规格及数量</v>
      </c>
      <c r="M3207" s="84"/>
      <c r="O3207" s="55" t="str">
        <f ca="1" t="shared" si="182"/>
        <v/>
      </c>
      <c r="P3207" s="55" t="str">
        <f ca="1" t="shared" si="183"/>
        <v/>
      </c>
      <c r="Q3207" s="22" t="str">
        <f>VLOOKUP(B3207,辅助信息!E:M,9,FALSE)</f>
        <v>ZTWM-CDGS-XS-2024-0134-商投建工达州中医药科技成果示范园项目</v>
      </c>
      <c r="R3207" s="22" t="str">
        <f>_xlfn._xlws.FILTER(辅助信息!D:D,辅助信息!E:E=B3207)</f>
        <v>商投建工达州中医药科技园</v>
      </c>
    </row>
    <row r="3208" hidden="1" spans="1:18">
      <c r="A3208" s="75"/>
      <c r="B3208" s="33" t="s">
        <v>147</v>
      </c>
      <c r="C3208" s="63">
        <v>45903</v>
      </c>
      <c r="D3208" s="33" t="str">
        <f>VLOOKUP(B3208,辅助信息!E:K,7,FALSE)</f>
        <v>JWDDCD2025052800131</v>
      </c>
      <c r="E3208" s="33" t="str">
        <f>VLOOKUP(F3208,辅助信息!A:B,2,FALSE)</f>
        <v>螺纹钢</v>
      </c>
      <c r="F3208" s="33" t="s">
        <v>21</v>
      </c>
      <c r="G3208" s="29">
        <v>20</v>
      </c>
      <c r="H3208" s="127">
        <v>20</v>
      </c>
      <c r="I3208" s="33" t="str">
        <f>VLOOKUP(B3208,辅助信息!E:I,3,FALSE)</f>
        <v>（商投建工达州中医药科技园-4工区-11号楼）达州市通川区达州中医药职业学院犀牛大道北段</v>
      </c>
      <c r="J3208" s="33" t="str">
        <f>VLOOKUP(B3208,辅助信息!E:I,4,FALSE)</f>
        <v>张扬</v>
      </c>
      <c r="K3208" s="33">
        <f>VLOOKUP(J3208,辅助信息!H:I,2,FALSE)</f>
        <v>18381904567</v>
      </c>
      <c r="L3208" s="102" t="str">
        <f>VLOOKUP(B3208,辅助信息!E:J,6,FALSE)</f>
        <v>控制炉批号！多了现场不收！,优先安排达钢,提前联系到场规格及数量</v>
      </c>
      <c r="M3208" s="84">
        <v>45903</v>
      </c>
      <c r="O3208" s="55">
        <f ca="1" t="shared" si="182"/>
        <v>0</v>
      </c>
      <c r="P3208" s="55">
        <f ca="1" t="shared" si="183"/>
        <v>54</v>
      </c>
      <c r="Q3208" s="22" t="str">
        <f>VLOOKUP(B3208,辅助信息!E:M,9,FALSE)</f>
        <v>ZTWM-CDGS-XS-2024-0134-商投建工达州中医药科技成果示范园项目</v>
      </c>
      <c r="R3208" s="22" t="str">
        <f>_xlfn._xlws.FILTER(辅助信息!D:D,辅助信息!E:E=B3208)</f>
        <v>商投建工达州中医药科技园</v>
      </c>
    </row>
    <row r="3209" hidden="1" spans="1:18">
      <c r="A3209" s="75"/>
      <c r="B3209" s="33" t="s">
        <v>147</v>
      </c>
      <c r="C3209" s="63">
        <v>45903</v>
      </c>
      <c r="D3209" s="33" t="str">
        <f>VLOOKUP(B3209,辅助信息!E:K,7,FALSE)</f>
        <v>JWDDCD2025052800131</v>
      </c>
      <c r="E3209" s="33" t="str">
        <f>VLOOKUP(F3209,辅助信息!A:B,2,FALSE)</f>
        <v>盘螺</v>
      </c>
      <c r="F3209" s="33" t="s">
        <v>40</v>
      </c>
      <c r="G3209" s="29">
        <v>15</v>
      </c>
      <c r="H3209" s="127">
        <v>15</v>
      </c>
      <c r="I3209" s="33" t="str">
        <f>VLOOKUP(B3209,辅助信息!E:I,3,FALSE)</f>
        <v>（商投建工达州中医药科技园-4工区-11号楼）达州市通川区达州中医药职业学院犀牛大道北段</v>
      </c>
      <c r="J3209" s="33" t="str">
        <f>VLOOKUP(B3209,辅助信息!E:I,4,FALSE)</f>
        <v>张扬</v>
      </c>
      <c r="K3209" s="33">
        <f>VLOOKUP(J3209,辅助信息!H:I,2,FALSE)</f>
        <v>18381904567</v>
      </c>
      <c r="L3209" s="102" t="str">
        <f>VLOOKUP(B3209,辅助信息!E:J,6,FALSE)</f>
        <v>控制炉批号！多了现场不收！,优先安排达钢,提前联系到场规格及数量</v>
      </c>
      <c r="M3209" s="84"/>
      <c r="O3209" s="55" t="str">
        <f ca="1" t="shared" si="182"/>
        <v/>
      </c>
      <c r="P3209" s="55" t="str">
        <f ca="1" t="shared" si="183"/>
        <v/>
      </c>
      <c r="Q3209" s="22" t="str">
        <f>VLOOKUP(B3209,辅助信息!E:M,9,FALSE)</f>
        <v>ZTWM-CDGS-XS-2024-0134-商投建工达州中医药科技成果示范园项目</v>
      </c>
      <c r="R3209" s="22" t="str">
        <f>_xlfn._xlws.FILTER(辅助信息!D:D,辅助信息!E:E=B3209)</f>
        <v>商投建工达州中医药科技园</v>
      </c>
    </row>
    <row r="3210" hidden="1" spans="1:18">
      <c r="A3210" s="75"/>
      <c r="B3210" s="33" t="s">
        <v>180</v>
      </c>
      <c r="C3210" s="63">
        <v>45903</v>
      </c>
      <c r="D3210" s="33" t="str">
        <f>VLOOKUP(B3210,辅助信息!E:K,7,FALSE)</f>
        <v>JWDDCD2025052800131</v>
      </c>
      <c r="E3210" s="33" t="str">
        <f>VLOOKUP(F3210,辅助信息!A:B,2,FALSE)</f>
        <v>螺纹钢</v>
      </c>
      <c r="F3210" s="33" t="s">
        <v>30</v>
      </c>
      <c r="G3210" s="29">
        <v>20</v>
      </c>
      <c r="H3210" s="127">
        <v>20</v>
      </c>
      <c r="I3210" s="33" t="str">
        <f>VLOOKUP(B3210,辅助信息!E:I,3,FALSE)</f>
        <v>（商投建工达州中医药科技园-4工区-8号楼）达州市通川区达州中医药职业学院犀牛大道北段</v>
      </c>
      <c r="J3210" s="33" t="str">
        <f>VLOOKUP(B3210,辅助信息!E:I,4,FALSE)</f>
        <v>张扬</v>
      </c>
      <c r="K3210" s="33">
        <f>VLOOKUP(J3210,辅助信息!H:I,2,FALSE)</f>
        <v>18381904567</v>
      </c>
      <c r="L3210" s="102" t="str">
        <f>VLOOKUP(B3210,辅助信息!E:J,6,FALSE)</f>
        <v>控制炉批号！多了现场不收！,优先安排达钢,提前联系到场规格及数量</v>
      </c>
      <c r="M3210" s="84">
        <v>45903</v>
      </c>
      <c r="O3210" s="55">
        <f ca="1" t="shared" si="182"/>
        <v>0</v>
      </c>
      <c r="P3210" s="55">
        <f ca="1" t="shared" si="183"/>
        <v>54</v>
      </c>
      <c r="Q3210" s="22" t="str">
        <f>VLOOKUP(B3210,辅助信息!E:M,9,FALSE)</f>
        <v>ZTWM-CDGS-XS-2024-0134-商投建工达州中医药科技成果示范园项目</v>
      </c>
      <c r="R3210" s="22" t="str">
        <f>_xlfn._xlws.FILTER(辅助信息!D:D,辅助信息!E:E=B3210)</f>
        <v>商投建工达州中医药科技园</v>
      </c>
    </row>
    <row r="3211" hidden="1" spans="1:18">
      <c r="A3211" s="75"/>
      <c r="B3211" s="33" t="s">
        <v>180</v>
      </c>
      <c r="C3211" s="63">
        <v>45903</v>
      </c>
      <c r="D3211" s="33" t="str">
        <f>VLOOKUP(B3211,辅助信息!E:K,7,FALSE)</f>
        <v>JWDDCD2025052800131</v>
      </c>
      <c r="E3211" s="33" t="str">
        <f>VLOOKUP(F3211,辅助信息!A:B,2,FALSE)</f>
        <v>盘螺</v>
      </c>
      <c r="F3211" s="33" t="s">
        <v>40</v>
      </c>
      <c r="G3211" s="29">
        <v>15</v>
      </c>
      <c r="H3211" s="127">
        <v>15</v>
      </c>
      <c r="I3211" s="33" t="str">
        <f>VLOOKUP(B3211,辅助信息!E:I,3,FALSE)</f>
        <v>（商投建工达州中医药科技园-4工区-8号楼）达州市通川区达州中医药职业学院犀牛大道北段</v>
      </c>
      <c r="J3211" s="33" t="str">
        <f>VLOOKUP(B3211,辅助信息!E:I,4,FALSE)</f>
        <v>张扬</v>
      </c>
      <c r="K3211" s="33">
        <f>VLOOKUP(J3211,辅助信息!H:I,2,FALSE)</f>
        <v>18381904567</v>
      </c>
      <c r="L3211" s="102" t="str">
        <f>VLOOKUP(B3211,辅助信息!E:J,6,FALSE)</f>
        <v>控制炉批号！多了现场不收！,优先安排达钢,提前联系到场规格及数量</v>
      </c>
      <c r="M3211" s="84"/>
      <c r="O3211" s="55" t="str">
        <f ca="1" t="shared" si="182"/>
        <v/>
      </c>
      <c r="P3211" s="55" t="str">
        <f ca="1" t="shared" si="183"/>
        <v/>
      </c>
      <c r="Q3211" s="22" t="str">
        <f>VLOOKUP(B3211,辅助信息!E:M,9,FALSE)</f>
        <v>ZTWM-CDGS-XS-2024-0134-商投建工达州中医药科技成果示范园项目</v>
      </c>
      <c r="R3211" s="22" t="str">
        <f>_xlfn._xlws.FILTER(辅助信息!D:D,辅助信息!E:E=B3211)</f>
        <v>商投建工达州中医药科技园</v>
      </c>
    </row>
    <row r="3212" hidden="1" spans="1:18">
      <c r="A3212" s="75"/>
      <c r="B3212" s="33" t="s">
        <v>180</v>
      </c>
      <c r="C3212" s="63">
        <v>45903</v>
      </c>
      <c r="D3212" s="33" t="str">
        <f>VLOOKUP(B3212,辅助信息!E:K,7,FALSE)</f>
        <v>JWDDCD2025052800131</v>
      </c>
      <c r="E3212" s="33" t="str">
        <f>VLOOKUP(F3212,辅助信息!A:B,2,FALSE)</f>
        <v>螺纹钢</v>
      </c>
      <c r="F3212" s="33" t="s">
        <v>21</v>
      </c>
      <c r="G3212" s="29">
        <v>15</v>
      </c>
      <c r="H3212" s="127">
        <v>15</v>
      </c>
      <c r="I3212" s="33" t="str">
        <f>VLOOKUP(B3212,辅助信息!E:I,3,FALSE)</f>
        <v>（商投建工达州中医药科技园-4工区-8号楼）达州市通川区达州中医药职业学院犀牛大道北段</v>
      </c>
      <c r="J3212" s="33" t="str">
        <f>VLOOKUP(B3212,辅助信息!E:I,4,FALSE)</f>
        <v>张扬</v>
      </c>
      <c r="K3212" s="33">
        <f>VLOOKUP(J3212,辅助信息!H:I,2,FALSE)</f>
        <v>18381904567</v>
      </c>
      <c r="L3212" s="102" t="str">
        <f>VLOOKUP(B3212,辅助信息!E:J,6,FALSE)</f>
        <v>控制炉批号！多了现场不收！,优先安排达钢,提前联系到场规格及数量</v>
      </c>
      <c r="M3212" s="84">
        <v>45903</v>
      </c>
      <c r="O3212" s="55">
        <f ca="1" t="shared" si="182"/>
        <v>0</v>
      </c>
      <c r="P3212" s="55">
        <f ca="1" t="shared" si="183"/>
        <v>54</v>
      </c>
      <c r="Q3212" s="22" t="str">
        <f>VLOOKUP(B3212,辅助信息!E:M,9,FALSE)</f>
        <v>ZTWM-CDGS-XS-2024-0134-商投建工达州中医药科技成果示范园项目</v>
      </c>
      <c r="R3212" s="22" t="str">
        <f>_xlfn._xlws.FILTER(辅助信息!D:D,辅助信息!E:E=B3212)</f>
        <v>商投建工达州中医药科技园</v>
      </c>
    </row>
    <row r="3213" hidden="1" spans="1:18">
      <c r="A3213" s="75"/>
      <c r="B3213" s="33" t="s">
        <v>180</v>
      </c>
      <c r="C3213" s="63">
        <v>45903</v>
      </c>
      <c r="D3213" s="33" t="str">
        <f>VLOOKUP(B3213,辅助信息!E:K,7,FALSE)</f>
        <v>JWDDCD2025052800131</v>
      </c>
      <c r="E3213" s="33" t="str">
        <f>VLOOKUP(F3213,辅助信息!A:B,2,FALSE)</f>
        <v>盘螺</v>
      </c>
      <c r="F3213" s="33" t="s">
        <v>40</v>
      </c>
      <c r="G3213" s="29">
        <v>20</v>
      </c>
      <c r="H3213" s="127">
        <v>20</v>
      </c>
      <c r="I3213" s="33" t="str">
        <f>VLOOKUP(B3213,辅助信息!E:I,3,FALSE)</f>
        <v>（商投建工达州中医药科技园-4工区-8号楼）达州市通川区达州中医药职业学院犀牛大道北段</v>
      </c>
      <c r="J3213" s="33" t="str">
        <f>VLOOKUP(B3213,辅助信息!E:I,4,FALSE)</f>
        <v>张扬</v>
      </c>
      <c r="K3213" s="33">
        <f>VLOOKUP(J3213,辅助信息!H:I,2,FALSE)</f>
        <v>18381904567</v>
      </c>
      <c r="L3213" s="102" t="str">
        <f>VLOOKUP(B3213,辅助信息!E:J,6,FALSE)</f>
        <v>控制炉批号！多了现场不收！,优先安排达钢,提前联系到场规格及数量</v>
      </c>
      <c r="M3213" s="84"/>
      <c r="O3213" s="55" t="str">
        <f ca="1" t="shared" si="182"/>
        <v/>
      </c>
      <c r="P3213" s="55" t="str">
        <f ca="1" t="shared" si="183"/>
        <v/>
      </c>
      <c r="Q3213" s="22" t="str">
        <f>VLOOKUP(B3213,辅助信息!E:M,9,FALSE)</f>
        <v>ZTWM-CDGS-XS-2024-0134-商投建工达州中医药科技成果示范园项目</v>
      </c>
      <c r="R3213" s="22" t="str">
        <f>_xlfn._xlws.FILTER(辅助信息!D:D,辅助信息!E:E=B3213)</f>
        <v>商投建工达州中医药科技园</v>
      </c>
    </row>
    <row r="3214" hidden="1" spans="2:18">
      <c r="B3214" s="60" t="s">
        <v>160</v>
      </c>
      <c r="C3214" s="61">
        <v>45903</v>
      </c>
      <c r="D3214" s="60" t="str">
        <f>VLOOKUP(B3214,辅助信息!E:K,7,FALSE)</f>
        <v>JWDDCD2025071500024</v>
      </c>
      <c r="E3214" s="60" t="str">
        <f>VLOOKUP(F3214,辅助信息!A:B,2,FALSE)</f>
        <v>盘螺</v>
      </c>
      <c r="F3214" s="60" t="s">
        <v>49</v>
      </c>
      <c r="G3214" s="62">
        <v>7.5</v>
      </c>
      <c r="H3214" s="127">
        <f>IF(SUMIFS('[1]2025年已发货'!$E:$E,'[1]2025年已发货'!$F:$F,C3214,'[1]2025年已发货'!$C:$C,F3214,'[1]2025年已发货'!$G:$G,I3214,'[1]2025年已发货'!$H:$H,J3214)=0,"未发货",SUMIFS('[1]2025年已发货'!$E:$E,'[1]2025年已发货'!$F:$F,C3214,'[1]2025年已发货'!$C:$C,F3214,'[1]2025年已发货'!$G:$G,I3214,'[1]2025年已发货'!$H:$H,J3214))</f>
        <v>7.5</v>
      </c>
      <c r="I3214" s="60" t="str">
        <f>VLOOKUP(B3214,辅助信息!E:I,3,FALSE)</f>
        <v>(中铁三局集团西渝高铁康渝段站房四标工程)重庆市九龙坡区华祥支路与华祥路交叉口重庆建工重庆西站TOD项目部</v>
      </c>
      <c r="J3214" s="33" t="str">
        <f>VLOOKUP(B3214,辅助信息!E:I,4,FALSE)</f>
        <v>卢庆江</v>
      </c>
      <c r="K3214" s="33">
        <f>VLOOKUP(J3214,辅助信息!H:I,2,FALSE)</f>
        <v>18883488177</v>
      </c>
      <c r="L3214" s="102" t="str">
        <f>VLOOKUP(B3214,辅助信息!E:J,6,FALSE)</f>
        <v>炉批号尽可能不要多</v>
      </c>
      <c r="M3214" s="84">
        <v>45906</v>
      </c>
      <c r="O3214" s="55">
        <f ca="1" t="shared" si="182"/>
        <v>0</v>
      </c>
      <c r="P3214" s="55">
        <f ca="1" t="shared" si="183"/>
        <v>51</v>
      </c>
      <c r="Q3214" s="22" t="str">
        <f>VLOOKUP(B3214,辅助信息!E:M,9,FALSE)</f>
        <v>ZTWM-CDGS-XS-2025-0029-中铁三局集团有限公司-西渝高铁康渝段站房四标项目</v>
      </c>
      <c r="R3214" s="22" t="str">
        <f>_xlfn._xlws.FILTER(辅助信息!D:D,辅助信息!E:E=B3214)</f>
        <v>中铁三局集团西渝高铁康渝段站房四标工程</v>
      </c>
    </row>
    <row r="3215" hidden="1" spans="2:18">
      <c r="B3215" s="33" t="s">
        <v>160</v>
      </c>
      <c r="C3215" s="63">
        <v>45903</v>
      </c>
      <c r="D3215" s="33" t="str">
        <f>VLOOKUP(B3215,辅助信息!E:K,7,FALSE)</f>
        <v>JWDDCD2025071500024</v>
      </c>
      <c r="E3215" s="33" t="str">
        <f>VLOOKUP(F3215,辅助信息!A:B,2,FALSE)</f>
        <v>盘螺</v>
      </c>
      <c r="F3215" s="33" t="s">
        <v>40</v>
      </c>
      <c r="G3215" s="29">
        <v>55</v>
      </c>
      <c r="H3215" s="127">
        <f>IF(SUMIFS('[1]2025年已发货'!$E:$E,'[1]2025年已发货'!$F:$F,C3215,'[1]2025年已发货'!$C:$C,F3215,'[1]2025年已发货'!$G:$G,I3215,'[1]2025年已发货'!$H:$H,J3215)=0,"未发货",SUMIFS('[1]2025年已发货'!$E:$E,'[1]2025年已发货'!$F:$F,C3215,'[1]2025年已发货'!$C:$C,F3215,'[1]2025年已发货'!$G:$G,I3215,'[1]2025年已发货'!$H:$H,J3215))</f>
        <v>55</v>
      </c>
      <c r="I3215" s="33" t="str">
        <f>VLOOKUP(B3215,辅助信息!E:I,3,FALSE)</f>
        <v>(中铁三局集团西渝高铁康渝段站房四标工程)重庆市九龙坡区华祥支路与华祥路交叉口重庆建工重庆西站TOD项目部</v>
      </c>
      <c r="J3215" s="33" t="str">
        <f>VLOOKUP(B3215,辅助信息!E:I,4,FALSE)</f>
        <v>卢庆江</v>
      </c>
      <c r="K3215" s="33">
        <f>VLOOKUP(J3215,辅助信息!H:I,2,FALSE)</f>
        <v>18883488177</v>
      </c>
      <c r="L3215" s="102" t="str">
        <f>VLOOKUP(B3215,辅助信息!E:J,6,FALSE)</f>
        <v>炉批号尽可能不要多</v>
      </c>
      <c r="M3215" s="84">
        <v>45906</v>
      </c>
      <c r="O3215" s="55">
        <f ca="1" t="shared" si="182"/>
        <v>0</v>
      </c>
      <c r="P3215" s="55">
        <f ca="1" t="shared" si="183"/>
        <v>51</v>
      </c>
      <c r="Q3215" s="22" t="str">
        <f>VLOOKUP(B3215,辅助信息!E:M,9,FALSE)</f>
        <v>ZTWM-CDGS-XS-2025-0029-中铁三局集团有限公司-西渝高铁康渝段站房四标项目</v>
      </c>
      <c r="R3215" s="22" t="str">
        <f>_xlfn._xlws.FILTER(辅助信息!D:D,辅助信息!E:E=B3215)</f>
        <v>中铁三局集团西渝高铁康渝段站房四标工程</v>
      </c>
    </row>
    <row r="3216" hidden="1" spans="2:18">
      <c r="B3216" s="33" t="s">
        <v>160</v>
      </c>
      <c r="C3216" s="63">
        <v>45903</v>
      </c>
      <c r="D3216" s="33" t="str">
        <f>VLOOKUP(B3216,辅助信息!E:K,7,FALSE)</f>
        <v>JWDDCD2025071500024</v>
      </c>
      <c r="E3216" s="33" t="str">
        <f>VLOOKUP(F3216,辅助信息!A:B,2,FALSE)</f>
        <v>盘螺</v>
      </c>
      <c r="F3216" s="33" t="s">
        <v>41</v>
      </c>
      <c r="G3216" s="29">
        <v>17.5</v>
      </c>
      <c r="H3216" s="127">
        <f>IF(SUMIFS('[1]2025年已发货'!$E:$E,'[1]2025年已发货'!$F:$F,C3216,'[1]2025年已发货'!$C:$C,F3216,'[1]2025年已发货'!$G:$G,I3216,'[1]2025年已发货'!$H:$H,J3216)=0,"未发货",SUMIFS('[1]2025年已发货'!$E:$E,'[1]2025年已发货'!$F:$F,C3216,'[1]2025年已发货'!$C:$C,F3216,'[1]2025年已发货'!$G:$G,I3216,'[1]2025年已发货'!$H:$H,J3216))</f>
        <v>15</v>
      </c>
      <c r="I3216" s="33" t="str">
        <f>VLOOKUP(B3216,辅助信息!E:I,3,FALSE)</f>
        <v>(中铁三局集团西渝高铁康渝段站房四标工程)重庆市九龙坡区华祥支路与华祥路交叉口重庆建工重庆西站TOD项目部</v>
      </c>
      <c r="J3216" s="33" t="str">
        <f>VLOOKUP(B3216,辅助信息!E:I,4,FALSE)</f>
        <v>卢庆江</v>
      </c>
      <c r="K3216" s="33">
        <f>VLOOKUP(J3216,辅助信息!H:I,2,FALSE)</f>
        <v>18883488177</v>
      </c>
      <c r="L3216" s="102" t="str">
        <f>VLOOKUP(B3216,辅助信息!E:J,6,FALSE)</f>
        <v>炉批号尽可能不要多</v>
      </c>
      <c r="M3216" s="84">
        <v>45906</v>
      </c>
      <c r="O3216" s="55">
        <f ca="1" t="shared" si="182"/>
        <v>0</v>
      </c>
      <c r="P3216" s="55">
        <f ca="1" t="shared" si="183"/>
        <v>51</v>
      </c>
      <c r="Q3216" s="22" t="str">
        <f>VLOOKUP(B3216,辅助信息!E:M,9,FALSE)</f>
        <v>ZTWM-CDGS-XS-2025-0029-中铁三局集团有限公司-西渝高铁康渝段站房四标项目</v>
      </c>
      <c r="R3216" s="22" t="str">
        <f>_xlfn._xlws.FILTER(辅助信息!D:D,辅助信息!E:E=B3216)</f>
        <v>中铁三局集团西渝高铁康渝段站房四标工程</v>
      </c>
    </row>
    <row r="3217" hidden="1" spans="2:18">
      <c r="B3217" s="33" t="s">
        <v>160</v>
      </c>
      <c r="C3217" s="63">
        <v>45903</v>
      </c>
      <c r="D3217" s="33" t="str">
        <f>VLOOKUP(B3217,辅助信息!E:K,7,FALSE)</f>
        <v>JWDDCD2025071500024</v>
      </c>
      <c r="E3217" s="33" t="str">
        <f>VLOOKUP(F3217,辅助信息!A:B,2,FALSE)</f>
        <v>盘螺</v>
      </c>
      <c r="F3217" s="33" t="s">
        <v>26</v>
      </c>
      <c r="G3217" s="29">
        <v>15</v>
      </c>
      <c r="H3217" s="127">
        <f>IF(SUMIFS('[1]2025年已发货'!$E:$E,'[1]2025年已发货'!$F:$F,C3217,'[1]2025年已发货'!$C:$C,F3217,'[1]2025年已发货'!$G:$G,I3217,'[1]2025年已发货'!$H:$H,J3217)=0,"未发货",SUMIFS('[1]2025年已发货'!$E:$E,'[1]2025年已发货'!$F:$F,C3217,'[1]2025年已发货'!$C:$C,F3217,'[1]2025年已发货'!$G:$G,I3217,'[1]2025年已发货'!$H:$H,J3217))</f>
        <v>15</v>
      </c>
      <c r="I3217" s="33" t="str">
        <f>VLOOKUP(B3217,辅助信息!E:I,3,FALSE)</f>
        <v>(中铁三局集团西渝高铁康渝段站房四标工程)重庆市九龙坡区华祥支路与华祥路交叉口重庆建工重庆西站TOD项目部</v>
      </c>
      <c r="J3217" s="33" t="str">
        <f>VLOOKUP(B3217,辅助信息!E:I,4,FALSE)</f>
        <v>卢庆江</v>
      </c>
      <c r="K3217" s="33">
        <f>VLOOKUP(J3217,辅助信息!H:I,2,FALSE)</f>
        <v>18883488177</v>
      </c>
      <c r="L3217" s="102" t="str">
        <f>VLOOKUP(B3217,辅助信息!E:J,6,FALSE)</f>
        <v>炉批号尽可能不要多</v>
      </c>
      <c r="M3217" s="84">
        <v>45906</v>
      </c>
      <c r="O3217" s="55">
        <f ca="1" t="shared" si="182"/>
        <v>0</v>
      </c>
      <c r="P3217" s="55">
        <f ca="1" t="shared" si="183"/>
        <v>51</v>
      </c>
      <c r="Q3217" s="22" t="str">
        <f>VLOOKUP(B3217,辅助信息!E:M,9,FALSE)</f>
        <v>ZTWM-CDGS-XS-2025-0029-中铁三局集团有限公司-西渝高铁康渝段站房四标项目</v>
      </c>
      <c r="R3217" s="22" t="str">
        <f>_xlfn._xlws.FILTER(辅助信息!D:D,辅助信息!E:E=B3217)</f>
        <v>中铁三局集团西渝高铁康渝段站房四标工程</v>
      </c>
    </row>
    <row r="3218" hidden="1" spans="2:18">
      <c r="B3218" s="33" t="s">
        <v>160</v>
      </c>
      <c r="C3218" s="63">
        <v>45903</v>
      </c>
      <c r="D3218" s="33" t="str">
        <f>VLOOKUP(B3218,辅助信息!E:K,7,FALSE)</f>
        <v>JWDDCD2025071500024</v>
      </c>
      <c r="E3218" s="33" t="str">
        <f>VLOOKUP(F3218,辅助信息!A:B,2,FALSE)</f>
        <v>螺纹钢</v>
      </c>
      <c r="F3218" s="33" t="s">
        <v>19</v>
      </c>
      <c r="G3218" s="29">
        <v>3</v>
      </c>
      <c r="H3218" s="127"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33" t="str">
        <f>VLOOKUP(B3218,辅助信息!E:I,3,FALSE)</f>
        <v>(中铁三局集团西渝高铁康渝段站房四标工程)重庆市九龙坡区华祥支路与华祥路交叉口重庆建工重庆西站TOD项目部</v>
      </c>
      <c r="J3218" s="33" t="str">
        <f>VLOOKUP(B3218,辅助信息!E:I,4,FALSE)</f>
        <v>卢庆江</v>
      </c>
      <c r="K3218" s="33">
        <f>VLOOKUP(J3218,辅助信息!H:I,2,FALSE)</f>
        <v>18883488177</v>
      </c>
      <c r="L3218" s="102" t="str">
        <f>VLOOKUP(B3218,辅助信息!E:J,6,FALSE)</f>
        <v>炉批号尽可能不要多</v>
      </c>
      <c r="M3218" s="84">
        <v>45906</v>
      </c>
      <c r="O3218" s="55">
        <f ca="1" t="shared" si="182"/>
        <v>0</v>
      </c>
      <c r="P3218" s="55">
        <f ca="1" t="shared" si="183"/>
        <v>51</v>
      </c>
      <c r="Q3218" s="22" t="str">
        <f>VLOOKUP(B3218,辅助信息!E:M,9,FALSE)</f>
        <v>ZTWM-CDGS-XS-2025-0029-中铁三局集团有限公司-西渝高铁康渝段站房四标项目</v>
      </c>
      <c r="R3218" s="22" t="str">
        <f>_xlfn._xlws.FILTER(辅助信息!D:D,辅助信息!E:E=B3218)</f>
        <v>中铁三局集团西渝高铁康渝段站房四标工程</v>
      </c>
    </row>
    <row r="3219" hidden="1" spans="2:18">
      <c r="B3219" s="33" t="s">
        <v>160</v>
      </c>
      <c r="C3219" s="63">
        <v>45903</v>
      </c>
      <c r="D3219" s="33" t="str">
        <f>VLOOKUP(B3219,辅助信息!E:K,7,FALSE)</f>
        <v>JWDDCD2025071500024</v>
      </c>
      <c r="E3219" s="33" t="str">
        <f>VLOOKUP(F3219,辅助信息!A:B,2,FALSE)</f>
        <v>螺纹钢</v>
      </c>
      <c r="F3219" s="33" t="s">
        <v>32</v>
      </c>
      <c r="G3219" s="29">
        <v>12</v>
      </c>
      <c r="H3219" s="127"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33" t="str">
        <f>VLOOKUP(B3219,辅助信息!E:I,3,FALSE)</f>
        <v>(中铁三局集团西渝高铁康渝段站房四标工程)重庆市九龙坡区华祥支路与华祥路交叉口重庆建工重庆西站TOD项目部</v>
      </c>
      <c r="J3219" s="33" t="str">
        <f>VLOOKUP(B3219,辅助信息!E:I,4,FALSE)</f>
        <v>卢庆江</v>
      </c>
      <c r="K3219" s="33">
        <f>VLOOKUP(J3219,辅助信息!H:I,2,FALSE)</f>
        <v>18883488177</v>
      </c>
      <c r="L3219" s="102" t="str">
        <f>VLOOKUP(B3219,辅助信息!E:J,6,FALSE)</f>
        <v>炉批号尽可能不要多</v>
      </c>
      <c r="M3219" s="84">
        <v>45906</v>
      </c>
      <c r="O3219" s="55">
        <f ca="1" t="shared" si="182"/>
        <v>0</v>
      </c>
      <c r="P3219" s="55">
        <f ca="1" t="shared" si="183"/>
        <v>51</v>
      </c>
      <c r="Q3219" s="22" t="str">
        <f>VLOOKUP(B3219,辅助信息!E:M,9,FALSE)</f>
        <v>ZTWM-CDGS-XS-2025-0029-中铁三局集团有限公司-西渝高铁康渝段站房四标项目</v>
      </c>
      <c r="R3219" s="22" t="str">
        <f>_xlfn._xlws.FILTER(辅助信息!D:D,辅助信息!E:E=B3219)</f>
        <v>中铁三局集团西渝高铁康渝段站房四标工程</v>
      </c>
    </row>
    <row r="3220" hidden="1" spans="2:18">
      <c r="B3220" s="33" t="s">
        <v>160</v>
      </c>
      <c r="C3220" s="63">
        <v>45903</v>
      </c>
      <c r="D3220" s="33" t="str">
        <f>VLOOKUP(B3220,辅助信息!E:K,7,FALSE)</f>
        <v>JWDDCD2025071500024</v>
      </c>
      <c r="E3220" s="33" t="str">
        <f>VLOOKUP(F3220,辅助信息!A:B,2,FALSE)</f>
        <v>螺纹钢</v>
      </c>
      <c r="F3220" s="33" t="s">
        <v>30</v>
      </c>
      <c r="G3220" s="29">
        <v>9</v>
      </c>
      <c r="H3220" s="127"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33" t="str">
        <f>VLOOKUP(B3220,辅助信息!E:I,3,FALSE)</f>
        <v>(中铁三局集团西渝高铁康渝段站房四标工程)重庆市九龙坡区华祥支路与华祥路交叉口重庆建工重庆西站TOD项目部</v>
      </c>
      <c r="J3220" s="33" t="str">
        <f>VLOOKUP(B3220,辅助信息!E:I,4,FALSE)</f>
        <v>卢庆江</v>
      </c>
      <c r="K3220" s="33">
        <f>VLOOKUP(J3220,辅助信息!H:I,2,FALSE)</f>
        <v>18883488177</v>
      </c>
      <c r="L3220" s="102" t="str">
        <f>VLOOKUP(B3220,辅助信息!E:J,6,FALSE)</f>
        <v>炉批号尽可能不要多</v>
      </c>
      <c r="M3220" s="84">
        <v>45906</v>
      </c>
      <c r="O3220" s="55">
        <f ca="1" t="shared" si="182"/>
        <v>0</v>
      </c>
      <c r="P3220" s="55">
        <f ca="1" t="shared" si="183"/>
        <v>51</v>
      </c>
      <c r="Q3220" s="22" t="str">
        <f>VLOOKUP(B3220,辅助信息!E:M,9,FALSE)</f>
        <v>ZTWM-CDGS-XS-2025-0029-中铁三局集团有限公司-西渝高铁康渝段站房四标项目</v>
      </c>
      <c r="R3220" s="22" t="str">
        <f>_xlfn._xlws.FILTER(辅助信息!D:D,辅助信息!E:E=B3220)</f>
        <v>中铁三局集团西渝高铁康渝段站房四标工程</v>
      </c>
    </row>
    <row r="3221" hidden="1" spans="2:18">
      <c r="B3221" s="33" t="s">
        <v>160</v>
      </c>
      <c r="C3221" s="63">
        <v>45903</v>
      </c>
      <c r="D3221" s="33" t="str">
        <f>VLOOKUP(B3221,辅助信息!E:K,7,FALSE)</f>
        <v>JWDDCD2025071500024</v>
      </c>
      <c r="E3221" s="33" t="str">
        <f>VLOOKUP(F3221,辅助信息!A:B,2,FALSE)</f>
        <v>螺纹钢</v>
      </c>
      <c r="F3221" s="33" t="s">
        <v>33</v>
      </c>
      <c r="G3221" s="29">
        <v>30</v>
      </c>
      <c r="H3221" s="127"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33" t="str">
        <f>VLOOKUP(B3221,辅助信息!E:I,3,FALSE)</f>
        <v>(中铁三局集团西渝高铁康渝段站房四标工程)重庆市九龙坡区华祥支路与华祥路交叉口重庆建工重庆西站TOD项目部</v>
      </c>
      <c r="J3221" s="33" t="str">
        <f>VLOOKUP(B3221,辅助信息!E:I,4,FALSE)</f>
        <v>卢庆江</v>
      </c>
      <c r="K3221" s="33">
        <f>VLOOKUP(J3221,辅助信息!H:I,2,FALSE)</f>
        <v>18883488177</v>
      </c>
      <c r="L3221" s="102" t="str">
        <f>VLOOKUP(B3221,辅助信息!E:J,6,FALSE)</f>
        <v>炉批号尽可能不要多</v>
      </c>
      <c r="M3221" s="84">
        <v>45906</v>
      </c>
      <c r="O3221" s="55">
        <f ca="1" t="shared" si="182"/>
        <v>0</v>
      </c>
      <c r="P3221" s="55">
        <f ca="1" t="shared" si="183"/>
        <v>51</v>
      </c>
      <c r="Q3221" s="22" t="str">
        <f>VLOOKUP(B3221,辅助信息!E:M,9,FALSE)</f>
        <v>ZTWM-CDGS-XS-2025-0029-中铁三局集团有限公司-西渝高铁康渝段站房四标项目</v>
      </c>
      <c r="R3221" s="22" t="str">
        <f>_xlfn._xlws.FILTER(辅助信息!D:D,辅助信息!E:E=B3221)</f>
        <v>中铁三局集团西渝高铁康渝段站房四标工程</v>
      </c>
    </row>
    <row r="3222" hidden="1" spans="2:18">
      <c r="B3222" s="33" t="s">
        <v>160</v>
      </c>
      <c r="C3222" s="63">
        <v>45903</v>
      </c>
      <c r="D3222" s="33" t="str">
        <f>VLOOKUP(B3222,辅助信息!E:K,7,FALSE)</f>
        <v>JWDDCD2025071500024</v>
      </c>
      <c r="E3222" s="33" t="str">
        <f>VLOOKUP(F3222,辅助信息!A:B,2,FALSE)</f>
        <v>螺纹钢</v>
      </c>
      <c r="F3222" s="33" t="s">
        <v>28</v>
      </c>
      <c r="G3222" s="29">
        <v>21</v>
      </c>
      <c r="H3222" s="127"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33" t="str">
        <f>VLOOKUP(B3222,辅助信息!E:I,3,FALSE)</f>
        <v>(中铁三局集团西渝高铁康渝段站房四标工程)重庆市九龙坡区华祥支路与华祥路交叉口重庆建工重庆西站TOD项目部</v>
      </c>
      <c r="J3222" s="33" t="str">
        <f>VLOOKUP(B3222,辅助信息!E:I,4,FALSE)</f>
        <v>卢庆江</v>
      </c>
      <c r="K3222" s="33">
        <f>VLOOKUP(J3222,辅助信息!H:I,2,FALSE)</f>
        <v>18883488177</v>
      </c>
      <c r="L3222" s="102" t="str">
        <f>VLOOKUP(B3222,辅助信息!E:J,6,FALSE)</f>
        <v>炉批号尽可能不要多</v>
      </c>
      <c r="M3222" s="84">
        <v>45906</v>
      </c>
      <c r="O3222" s="55">
        <f ca="1" t="shared" si="182"/>
        <v>0</v>
      </c>
      <c r="P3222" s="55">
        <f ca="1" t="shared" si="183"/>
        <v>51</v>
      </c>
      <c r="Q3222" s="22" t="str">
        <f>VLOOKUP(B3222,辅助信息!E:M,9,FALSE)</f>
        <v>ZTWM-CDGS-XS-2025-0029-中铁三局集团有限公司-西渝高铁康渝段站房四标项目</v>
      </c>
      <c r="R3222" s="22" t="str">
        <f>_xlfn._xlws.FILTER(辅助信息!D:D,辅助信息!E:E=B3222)</f>
        <v>中铁三局集团西渝高铁康渝段站房四标工程</v>
      </c>
    </row>
    <row r="3223" hidden="1" spans="2:18">
      <c r="B3223" s="33" t="s">
        <v>160</v>
      </c>
      <c r="C3223" s="63">
        <v>45903</v>
      </c>
      <c r="D3223" s="33" t="str">
        <f>VLOOKUP(B3223,辅助信息!E:K,7,FALSE)</f>
        <v>JWDDCD2025071500024</v>
      </c>
      <c r="E3223" s="33" t="str">
        <f>VLOOKUP(F3223,辅助信息!A:B,2,FALSE)</f>
        <v>螺纹钢</v>
      </c>
      <c r="F3223" s="33" t="s">
        <v>18</v>
      </c>
      <c r="G3223" s="29">
        <v>36</v>
      </c>
      <c r="H3223" s="127">
        <f>IF(SUMIFS('[1]2025年已发货'!$E:$E,'[1]2025年已发货'!$F:$F,C3223,'[1]2025年已发货'!$C:$C,F3223,'[1]2025年已发货'!$G:$G,I3223,'[1]2025年已发货'!$H:$H,J3223)=0,"未发货",SUMIFS('[1]2025年已发货'!$E:$E,'[1]2025年已发货'!$F:$F,C3223,'[1]2025年已发货'!$C:$C,F3223,'[1]2025年已发货'!$G:$G,I3223,'[1]2025年已发货'!$H:$H,J3223))</f>
        <v>12</v>
      </c>
      <c r="I3223" s="33" t="str">
        <f>VLOOKUP(B3223,辅助信息!E:I,3,FALSE)</f>
        <v>(中铁三局集团西渝高铁康渝段站房四标工程)重庆市九龙坡区华祥支路与华祥路交叉口重庆建工重庆西站TOD项目部</v>
      </c>
      <c r="J3223" s="33" t="str">
        <f>VLOOKUP(B3223,辅助信息!E:I,4,FALSE)</f>
        <v>卢庆江</v>
      </c>
      <c r="K3223" s="33">
        <f>VLOOKUP(J3223,辅助信息!H:I,2,FALSE)</f>
        <v>18883488177</v>
      </c>
      <c r="L3223" s="102" t="str">
        <f>VLOOKUP(B3223,辅助信息!E:J,6,FALSE)</f>
        <v>炉批号尽可能不要多</v>
      </c>
      <c r="M3223" s="84">
        <v>45906</v>
      </c>
      <c r="O3223" s="55">
        <f ca="1" t="shared" si="182"/>
        <v>0</v>
      </c>
      <c r="P3223" s="55">
        <f ca="1" t="shared" si="183"/>
        <v>51</v>
      </c>
      <c r="Q3223" s="22" t="str">
        <f>VLOOKUP(B3223,辅助信息!E:M,9,FALSE)</f>
        <v>ZTWM-CDGS-XS-2025-0029-中铁三局集团有限公司-西渝高铁康渝段站房四标项目</v>
      </c>
      <c r="R3223" s="22" t="str">
        <f>_xlfn._xlws.FILTER(辅助信息!D:D,辅助信息!E:E=B3223)</f>
        <v>中铁三局集团西渝高铁康渝段站房四标工程</v>
      </c>
    </row>
    <row r="3224" hidden="1" spans="2:18">
      <c r="B3224" s="33" t="s">
        <v>160</v>
      </c>
      <c r="C3224" s="63">
        <v>45903</v>
      </c>
      <c r="D3224" s="33" t="str">
        <f>VLOOKUP(B3224,辅助信息!E:K,7,FALSE)</f>
        <v>JWDDCD2025071500024</v>
      </c>
      <c r="E3224" s="33" t="str">
        <f>VLOOKUP(F3224,辅助信息!A:B,2,FALSE)</f>
        <v>螺纹钢</v>
      </c>
      <c r="F3224" s="33" t="s">
        <v>65</v>
      </c>
      <c r="G3224" s="29">
        <v>3</v>
      </c>
      <c r="H3224" s="127">
        <f>IF(SUMIFS('[1]2025年已发货'!$E:$E,'[1]2025年已发货'!$F:$F,C3224,'[1]2025年已发货'!$C:$C,F3224,'[1]2025年已发货'!$G:$G,I3224,'[1]2025年已发货'!$H:$H,J3224)=0,"未发货",SUMIFS('[1]2025年已发货'!$E:$E,'[1]2025年已发货'!$F:$F,C3224,'[1]2025年已发货'!$C:$C,F3224,'[1]2025年已发货'!$G:$G,I3224,'[1]2025年已发货'!$H:$H,J3224))</f>
        <v>3</v>
      </c>
      <c r="I3224" s="33" t="str">
        <f>VLOOKUP(B3224,辅助信息!E:I,3,FALSE)</f>
        <v>(中铁三局集团西渝高铁康渝段站房四标工程)重庆市九龙坡区华祥支路与华祥路交叉口重庆建工重庆西站TOD项目部</v>
      </c>
      <c r="J3224" s="33" t="str">
        <f>VLOOKUP(B3224,辅助信息!E:I,4,FALSE)</f>
        <v>卢庆江</v>
      </c>
      <c r="K3224" s="33">
        <f>VLOOKUP(J3224,辅助信息!H:I,2,FALSE)</f>
        <v>18883488177</v>
      </c>
      <c r="L3224" s="102" t="str">
        <f>VLOOKUP(B3224,辅助信息!E:J,6,FALSE)</f>
        <v>炉批号尽可能不要多</v>
      </c>
      <c r="M3224" s="84">
        <v>45906</v>
      </c>
      <c r="O3224" s="55">
        <f ca="1" t="shared" si="182"/>
        <v>0</v>
      </c>
      <c r="P3224" s="55">
        <f ca="1" t="shared" si="183"/>
        <v>51</v>
      </c>
      <c r="Q3224" s="22" t="str">
        <f>VLOOKUP(B3224,辅助信息!E:M,9,FALSE)</f>
        <v>ZTWM-CDGS-XS-2025-0029-中铁三局集团有限公司-西渝高铁康渝段站房四标项目</v>
      </c>
      <c r="R3224" s="22" t="str">
        <f>_xlfn._xlws.FILTER(辅助信息!D:D,辅助信息!E:E=B3224)</f>
        <v>中铁三局集团西渝高铁康渝段站房四标工程</v>
      </c>
    </row>
    <row r="3225" hidden="1" spans="2:18">
      <c r="B3225" s="33" t="s">
        <v>186</v>
      </c>
      <c r="C3225" s="63">
        <v>45903</v>
      </c>
      <c r="D3225" s="33" t="str">
        <f>VLOOKUP(B3225,辅助信息!E:K,7,FALSE)</f>
        <v>JWDDCD2025072900123</v>
      </c>
      <c r="E3225" s="33" t="str">
        <f>VLOOKUP(F3225,辅助信息!A:B,2,FALSE)</f>
        <v>螺纹钢</v>
      </c>
      <c r="F3225" s="33" t="s">
        <v>90</v>
      </c>
      <c r="G3225" s="29">
        <v>8</v>
      </c>
      <c r="H3225" s="127"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33" t="str">
        <f>VLOOKUP(B3225,辅助信息!E:I,3,FALSE)</f>
        <v>(乐山市校地共建产教融合基地建设项目二标段)四川省乐山市市中区苏稽镇</v>
      </c>
      <c r="J3225" s="33" t="str">
        <f>VLOOKUP(B3225,辅助信息!E:I,4,FALSE)</f>
        <v>彭江涛</v>
      </c>
      <c r="K3225" s="33">
        <f>VLOOKUP(J3225,辅助信息!H:I,2,FALSE)</f>
        <v>13990276572</v>
      </c>
      <c r="L3225" s="102" t="str">
        <f>VLOOKUP(B3225,辅助信息!E:J,6,FALSE)</f>
        <v>联系实际收货人（彭江涛13990276572）现场要求炉批号控制2个以下，超2个不给予签收。提前联系到场规格及数量</v>
      </c>
      <c r="M3225" s="84">
        <v>45903</v>
      </c>
      <c r="O3225" s="55">
        <f ca="1" t="shared" si="182"/>
        <v>0</v>
      </c>
      <c r="P3225" s="55">
        <f ca="1" t="shared" si="183"/>
        <v>54</v>
      </c>
      <c r="Q3225" s="22" t="str">
        <f>VLOOKUP(B3225,辅助信息!E:M,9,FALSE)</f>
        <v>ZTWM-CDGS-XS-2025-0126-四川机司-乐山市校地共建产教融合基地配套设施项目施工二标段钢筋采购合同</v>
      </c>
      <c r="R3225" s="22" t="str">
        <f>_xlfn._xlws.FILTER(辅助信息!D:D,辅助信息!E:E=B3225)</f>
        <v>乐山市校地共建产教融合基地建设项目二标段</v>
      </c>
    </row>
    <row r="3226" hidden="1" spans="2:18">
      <c r="B3226" s="33" t="s">
        <v>186</v>
      </c>
      <c r="C3226" s="63">
        <v>45903</v>
      </c>
      <c r="D3226" s="33" t="str">
        <f>VLOOKUP(B3226,辅助信息!E:K,7,FALSE)</f>
        <v>JWDDCD2025072900123</v>
      </c>
      <c r="E3226" s="33" t="str">
        <f>VLOOKUP(F3226,辅助信息!A:B,2,FALSE)</f>
        <v>螺纹钢</v>
      </c>
      <c r="F3226" s="33" t="s">
        <v>130</v>
      </c>
      <c r="G3226" s="29">
        <v>5</v>
      </c>
      <c r="H3226" s="127"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33" t="str">
        <f>VLOOKUP(B3226,辅助信息!E:I,3,FALSE)</f>
        <v>(乐山市校地共建产教融合基地建设项目二标段)四川省乐山市市中区苏稽镇</v>
      </c>
      <c r="J3226" s="33" t="str">
        <f>VLOOKUP(B3226,辅助信息!E:I,4,FALSE)</f>
        <v>彭江涛</v>
      </c>
      <c r="K3226" s="33">
        <f>VLOOKUP(J3226,辅助信息!H:I,2,FALSE)</f>
        <v>13990276572</v>
      </c>
      <c r="L3226" s="102" t="str">
        <f>VLOOKUP(B3226,辅助信息!E:J,6,FALSE)</f>
        <v>联系实际收货人（彭江涛13990276572）现场要求炉批号控制2个以下，超2个不给予签收。提前联系到场规格及数量</v>
      </c>
      <c r="M3226" s="84">
        <v>45903</v>
      </c>
      <c r="O3226" s="55">
        <f ca="1" t="shared" si="182"/>
        <v>0</v>
      </c>
      <c r="P3226" s="55">
        <f ca="1" t="shared" si="183"/>
        <v>54</v>
      </c>
      <c r="Q3226" s="22" t="str">
        <f>VLOOKUP(B3226,辅助信息!E:M,9,FALSE)</f>
        <v>ZTWM-CDGS-XS-2025-0126-四川机司-乐山市校地共建产教融合基地配套设施项目施工二标段钢筋采购合同</v>
      </c>
      <c r="R3226" s="22" t="str">
        <f>_xlfn._xlws.FILTER(辅助信息!D:D,辅助信息!E:E=B3226)</f>
        <v>乐山市校地共建产教融合基地建设项目二标段</v>
      </c>
    </row>
    <row r="3227" hidden="1" spans="2:18">
      <c r="B3227" s="33" t="s">
        <v>186</v>
      </c>
      <c r="C3227" s="63">
        <v>45903</v>
      </c>
      <c r="D3227" s="33" t="str">
        <f>VLOOKUP(B3227,辅助信息!E:K,7,FALSE)</f>
        <v>JWDDCD2025072900123</v>
      </c>
      <c r="E3227" s="33" t="str">
        <f>VLOOKUP(F3227,辅助信息!A:B,2,FALSE)</f>
        <v>螺纹钢</v>
      </c>
      <c r="F3227" s="33" t="s">
        <v>138</v>
      </c>
      <c r="G3227" s="29">
        <v>5</v>
      </c>
      <c r="H3227" s="127"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33" t="str">
        <f>VLOOKUP(B3227,辅助信息!E:I,3,FALSE)</f>
        <v>(乐山市校地共建产教融合基地建设项目二标段)四川省乐山市市中区苏稽镇</v>
      </c>
      <c r="J3227" s="33" t="str">
        <f>VLOOKUP(B3227,辅助信息!E:I,4,FALSE)</f>
        <v>彭江涛</v>
      </c>
      <c r="K3227" s="33">
        <f>VLOOKUP(J3227,辅助信息!H:I,2,FALSE)</f>
        <v>13990276572</v>
      </c>
      <c r="L3227" s="102" t="str">
        <f>VLOOKUP(B3227,辅助信息!E:J,6,FALSE)</f>
        <v>联系实际收货人（彭江涛13990276572）现场要求炉批号控制2个以下，超2个不给予签收。提前联系到场规格及数量</v>
      </c>
      <c r="M3227" s="84">
        <v>45903</v>
      </c>
      <c r="O3227" s="55">
        <f ca="1" t="shared" si="182"/>
        <v>0</v>
      </c>
      <c r="P3227" s="55">
        <f ca="1" t="shared" si="183"/>
        <v>54</v>
      </c>
      <c r="Q3227" s="22" t="str">
        <f>VLOOKUP(B3227,辅助信息!E:M,9,FALSE)</f>
        <v>ZTWM-CDGS-XS-2025-0126-四川机司-乐山市校地共建产教融合基地配套设施项目施工二标段钢筋采购合同</v>
      </c>
      <c r="R3227" s="22" t="str">
        <f>_xlfn._xlws.FILTER(辅助信息!D:D,辅助信息!E:E=B3227)</f>
        <v>乐山市校地共建产教融合基地建设项目二标段</v>
      </c>
    </row>
    <row r="3228" hidden="1" spans="2:18">
      <c r="B3228" s="33" t="s">
        <v>188</v>
      </c>
      <c r="C3228" s="63">
        <v>45903</v>
      </c>
      <c r="D3228" s="33" t="str">
        <f>VLOOKUP(B3228,辅助信息!E:K,7,FALSE)</f>
        <v>JWDDCD2025062200016</v>
      </c>
      <c r="E3228" s="33" t="str">
        <f>VLOOKUP(F3228,辅助信息!A:B,2,FALSE)</f>
        <v>盘螺</v>
      </c>
      <c r="F3228" s="33" t="s">
        <v>40</v>
      </c>
      <c r="G3228" s="29">
        <v>2</v>
      </c>
      <c r="H3228" s="127"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33" t="str">
        <f>VLOOKUP(B3228,辅助信息!E:I,3,FALSE)</f>
        <v>(武汉电气化局成达万高铁强电项目-达州主城区)四川省达州市达川区斌郎街道四川省达州市达川区洞洞湾256米</v>
      </c>
      <c r="J3228" s="33" t="str">
        <f>VLOOKUP(B3228,辅助信息!E:I,4,FALSE)</f>
        <v>余凡</v>
      </c>
      <c r="K3228" s="33">
        <f>VLOOKUP(J3228,辅助信息!H:I,2,FALSE)</f>
        <v>18228076992</v>
      </c>
      <c r="L3228" s="102" t="str">
        <f>VLOOKUP(B3228,辅助信息!E:J,6,FALSE)</f>
        <v>锈货不收！！下雨天钢筋没盖篷布不收！！，装货前联系收货人核实到场规格,没提前告知进场规格现场不给予接收</v>
      </c>
      <c r="M3228" s="84">
        <v>45905</v>
      </c>
      <c r="O3228" s="55">
        <f ca="1" t="shared" si="182"/>
        <v>0</v>
      </c>
      <c r="P3228" s="55">
        <f ca="1" t="shared" si="183"/>
        <v>52</v>
      </c>
      <c r="Q3228" s="22" t="str">
        <f>VLOOKUP(B3228,辅助信息!E:M,9,FALSE)</f>
        <v>ZTWM-CDGS-XS-2025-0033-中铁武汉电气化局集团有限公司成达万高速铁路强电工程项目</v>
      </c>
      <c r="R3228" s="22" t="str">
        <f>_xlfn._xlws.FILTER(辅助信息!D:D,辅助信息!E:E=B3228)</f>
        <v>武汉电气化局成达万高铁强电项目</v>
      </c>
    </row>
    <row r="3229" hidden="1" spans="2:18">
      <c r="B3229" s="33" t="s">
        <v>188</v>
      </c>
      <c r="C3229" s="63">
        <v>45903</v>
      </c>
      <c r="D3229" s="33" t="str">
        <f>VLOOKUP(B3229,辅助信息!E:K,7,FALSE)</f>
        <v>JWDDCD2025062200016</v>
      </c>
      <c r="E3229" s="33" t="str">
        <f>VLOOKUP(F3229,辅助信息!A:B,2,FALSE)</f>
        <v>盘螺</v>
      </c>
      <c r="F3229" s="33" t="s">
        <v>41</v>
      </c>
      <c r="G3229" s="29">
        <v>4</v>
      </c>
      <c r="H3229" s="127"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33" t="str">
        <f>VLOOKUP(B3229,辅助信息!E:I,3,FALSE)</f>
        <v>(武汉电气化局成达万高铁强电项目-达州主城区)四川省达州市达川区斌郎街道四川省达州市达川区洞洞湾256米</v>
      </c>
      <c r="J3229" s="33" t="str">
        <f>VLOOKUP(B3229,辅助信息!E:I,4,FALSE)</f>
        <v>余凡</v>
      </c>
      <c r="K3229" s="33">
        <f>VLOOKUP(J3229,辅助信息!H:I,2,FALSE)</f>
        <v>18228076992</v>
      </c>
      <c r="L3229" s="102" t="str">
        <f>VLOOKUP(B3229,辅助信息!E:J,6,FALSE)</f>
        <v>锈货不收！！下雨天钢筋没盖篷布不收！！，装货前联系收货人核实到场规格,没提前告知进场规格现场不给予接收</v>
      </c>
      <c r="M3229" s="84">
        <v>45905</v>
      </c>
      <c r="O3229" s="55">
        <f ca="1" t="shared" si="182"/>
        <v>0</v>
      </c>
      <c r="P3229" s="55">
        <f ca="1" t="shared" si="183"/>
        <v>52</v>
      </c>
      <c r="Q3229" s="22" t="str">
        <f>VLOOKUP(B3229,辅助信息!E:M,9,FALSE)</f>
        <v>ZTWM-CDGS-XS-2025-0033-中铁武汉电气化局集团有限公司成达万高速铁路强电工程项目</v>
      </c>
      <c r="R3229" s="22" t="str">
        <f>_xlfn._xlws.FILTER(辅助信息!D:D,辅助信息!E:E=B3229)</f>
        <v>武汉电气化局成达万高铁强电项目</v>
      </c>
    </row>
    <row r="3230" hidden="1" spans="2:18">
      <c r="B3230" s="33" t="s">
        <v>188</v>
      </c>
      <c r="C3230" s="63">
        <v>45903</v>
      </c>
      <c r="D3230" s="33" t="str">
        <f>VLOOKUP(B3230,辅助信息!E:K,7,FALSE)</f>
        <v>JWDDCD2025062200016</v>
      </c>
      <c r="E3230" s="33" t="str">
        <f>VLOOKUP(F3230,辅助信息!A:B,2,FALSE)</f>
        <v>螺纹钢</v>
      </c>
      <c r="F3230" s="33" t="s">
        <v>28</v>
      </c>
      <c r="G3230" s="29">
        <v>6</v>
      </c>
      <c r="H3230" s="127"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33" t="str">
        <f>VLOOKUP(B3230,辅助信息!E:I,3,FALSE)</f>
        <v>(武汉电气化局成达万高铁强电项目-达州主城区)四川省达州市达川区斌郎街道四川省达州市达川区洞洞湾256米</v>
      </c>
      <c r="J3230" s="33" t="str">
        <f>VLOOKUP(B3230,辅助信息!E:I,4,FALSE)</f>
        <v>余凡</v>
      </c>
      <c r="K3230" s="33">
        <f>VLOOKUP(J3230,辅助信息!H:I,2,FALSE)</f>
        <v>18228076992</v>
      </c>
      <c r="L3230" s="102" t="str">
        <f>VLOOKUP(B3230,辅助信息!E:J,6,FALSE)</f>
        <v>锈货不收！！下雨天钢筋没盖篷布不收！！，装货前联系收货人核实到场规格,没提前告知进场规格现场不给予接收</v>
      </c>
      <c r="M3230" s="84">
        <v>45905</v>
      </c>
      <c r="O3230" s="55">
        <f ca="1" t="shared" si="182"/>
        <v>0</v>
      </c>
      <c r="P3230" s="55">
        <f ca="1" t="shared" si="183"/>
        <v>52</v>
      </c>
      <c r="Q3230" s="22" t="str">
        <f>VLOOKUP(B3230,辅助信息!E:M,9,FALSE)</f>
        <v>ZTWM-CDGS-XS-2025-0033-中铁武汉电气化局集团有限公司成达万高速铁路强电工程项目</v>
      </c>
      <c r="R3230" s="22" t="str">
        <f>_xlfn._xlws.FILTER(辅助信息!D:D,辅助信息!E:E=B3230)</f>
        <v>武汉电气化局成达万高铁强电项目</v>
      </c>
    </row>
    <row r="3231" hidden="1" spans="2:18">
      <c r="B3231" s="33" t="s">
        <v>188</v>
      </c>
      <c r="C3231" s="63">
        <v>45903</v>
      </c>
      <c r="D3231" s="33" t="str">
        <f>VLOOKUP(B3231,辅助信息!E:K,7,FALSE)</f>
        <v>JWDDCD2025062200016</v>
      </c>
      <c r="E3231" s="33" t="str">
        <f>VLOOKUP(F3231,辅助信息!A:B,2,FALSE)</f>
        <v>螺纹钢</v>
      </c>
      <c r="F3231" s="33" t="s">
        <v>18</v>
      </c>
      <c r="G3231" s="29">
        <v>14</v>
      </c>
      <c r="H3231" s="127"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33" t="str">
        <f>VLOOKUP(B3231,辅助信息!E:I,3,FALSE)</f>
        <v>(武汉电气化局成达万高铁强电项目-达州主城区)四川省达州市达川区斌郎街道四川省达州市达川区洞洞湾256米</v>
      </c>
      <c r="J3231" s="33" t="str">
        <f>VLOOKUP(B3231,辅助信息!E:I,4,FALSE)</f>
        <v>余凡</v>
      </c>
      <c r="K3231" s="33">
        <f>VLOOKUP(J3231,辅助信息!H:I,2,FALSE)</f>
        <v>18228076992</v>
      </c>
      <c r="L3231" s="102" t="str">
        <f>VLOOKUP(B3231,辅助信息!E:J,6,FALSE)</f>
        <v>锈货不收！！下雨天钢筋没盖篷布不收！！，装货前联系收货人核实到场规格,没提前告知进场规格现场不给予接收</v>
      </c>
      <c r="M3231" s="84">
        <v>45905</v>
      </c>
      <c r="O3231" s="55">
        <f ca="1" t="shared" si="182"/>
        <v>0</v>
      </c>
      <c r="P3231" s="55">
        <f ca="1" t="shared" si="183"/>
        <v>52</v>
      </c>
      <c r="Q3231" s="22" t="str">
        <f>VLOOKUP(B3231,辅助信息!E:M,9,FALSE)</f>
        <v>ZTWM-CDGS-XS-2025-0033-中铁武汉电气化局集团有限公司成达万高速铁路强电工程项目</v>
      </c>
      <c r="R3231" s="22" t="str">
        <f>_xlfn._xlws.FILTER(辅助信息!D:D,辅助信息!E:E=B3231)</f>
        <v>武汉电气化局成达万高铁强电项目</v>
      </c>
    </row>
    <row r="3232" hidden="1" spans="2:18">
      <c r="B3232" s="33" t="s">
        <v>188</v>
      </c>
      <c r="C3232" s="63">
        <v>45903</v>
      </c>
      <c r="D3232" s="33" t="str">
        <f>VLOOKUP(B3232,辅助信息!E:K,7,FALSE)</f>
        <v>JWDDCD2025062200016</v>
      </c>
      <c r="E3232" s="33" t="str">
        <f>VLOOKUP(F3232,辅助信息!A:B,2,FALSE)</f>
        <v>螺纹钢</v>
      </c>
      <c r="F3232" s="33" t="s">
        <v>90</v>
      </c>
      <c r="G3232" s="29">
        <v>28</v>
      </c>
      <c r="H3232" s="127"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33" t="str">
        <f>VLOOKUP(B3232,辅助信息!E:I,3,FALSE)</f>
        <v>(武汉电气化局成达万高铁强电项目-达州主城区)四川省达州市达川区斌郎街道四川省达州市达川区洞洞湾256米</v>
      </c>
      <c r="J3232" s="33" t="str">
        <f>VLOOKUP(B3232,辅助信息!E:I,4,FALSE)</f>
        <v>余凡</v>
      </c>
      <c r="K3232" s="33">
        <f>VLOOKUP(J3232,辅助信息!H:I,2,FALSE)</f>
        <v>18228076992</v>
      </c>
      <c r="L3232" s="102" t="str">
        <f>VLOOKUP(B3232,辅助信息!E:J,6,FALSE)</f>
        <v>锈货不收！！下雨天钢筋没盖篷布不收！！，装货前联系收货人核实到场规格,没提前告知进场规格现场不给予接收</v>
      </c>
      <c r="M3232" s="84">
        <v>45905</v>
      </c>
      <c r="O3232" s="55">
        <f ca="1" t="shared" ref="O3232:O3295" si="184">IF(OR(M3232="",N3232&lt;&gt;""),"",MAX(M3232-TODAY(),0))</f>
        <v>0</v>
      </c>
      <c r="P3232" s="55">
        <f ca="1" t="shared" ref="P3232:P3295" si="185">IF(M3232="","",IF(N3232&lt;&gt;"",MAX(N3232-M3232,0),IF(TODAY()&gt;M3232,TODAY()-M3232,0)))</f>
        <v>52</v>
      </c>
      <c r="Q3232" s="22" t="str">
        <f>VLOOKUP(B3232,辅助信息!E:M,9,FALSE)</f>
        <v>ZTWM-CDGS-XS-2025-0033-中铁武汉电气化局集团有限公司成达万高速铁路强电工程项目</v>
      </c>
      <c r="R3232" s="22" t="str">
        <f>_xlfn._xlws.FILTER(辅助信息!D:D,辅助信息!E:E=B3232)</f>
        <v>武汉电气化局成达万高铁强电项目</v>
      </c>
    </row>
    <row r="3233" hidden="1" spans="2:18">
      <c r="B3233" s="33" t="s">
        <v>196</v>
      </c>
      <c r="C3233" s="63">
        <v>45903</v>
      </c>
      <c r="D3233" s="33" t="str">
        <f>VLOOKUP(B3233,辅助信息!E:K,7,FALSE)</f>
        <v>JWDDCD2025102100476</v>
      </c>
      <c r="E3233" s="33" t="str">
        <f>VLOOKUP(F3233,辅助信息!A:B,2,FALSE)</f>
        <v>盘螺</v>
      </c>
      <c r="F3233" s="33" t="s">
        <v>40</v>
      </c>
      <c r="G3233" s="29">
        <v>2.5</v>
      </c>
      <c r="H3233" s="127">
        <f>IF(SUMIFS('[1]2025年已发货'!$E:$E,'[1]2025年已发货'!$F:$F,C3233,'[1]2025年已发货'!$C:$C,F3233,'[1]2025年已发货'!$G:$G,I3233,'[1]2025年已发货'!$H:$H,J3233)=0,"未发货",SUMIFS('[1]2025年已发货'!$E:$E,'[1]2025年已发货'!$F:$F,C3233,'[1]2025年已发货'!$C:$C,F3233,'[1]2025年已发货'!$G:$G,I3233,'[1]2025年已发货'!$H:$H,J3233))</f>
        <v>2.5</v>
      </c>
      <c r="I3233" s="33" t="str">
        <f>VLOOKUP(B3233,辅助信息!E:I,3,FALSE)</f>
        <v>(五冶建设师大附中外语校新建教学楼工程)四川省成都市成华区大观堰2号(四川师范大学附属中学外国语学校)</v>
      </c>
      <c r="J3233" s="33" t="str">
        <f>VLOOKUP(B3233,辅助信息!E:I,4,FALSE)</f>
        <v>蔡浩</v>
      </c>
      <c r="K3233" s="33">
        <f>VLOOKUP(J3233,辅助信息!H:I,2,FALSE)</f>
        <v>13980880820</v>
      </c>
      <c r="L3233" s="102"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84">
        <v>45905</v>
      </c>
      <c r="O3233" s="55">
        <f ca="1" t="shared" si="184"/>
        <v>0</v>
      </c>
      <c r="P3233" s="55">
        <f ca="1" t="shared" si="185"/>
        <v>52</v>
      </c>
      <c r="Q3233" s="22" t="str">
        <f>VLOOKUP(B3233,辅助信息!E:M,9,FALSE)</f>
        <v>ZTWM-CDGS-XS-2025-0073-五冶天府-成都怡心湖片区及龙泉驿医院等项目</v>
      </c>
      <c r="R3233" s="22" t="str">
        <f>_xlfn._xlws.FILTER(辅助信息!D:D,辅助信息!E:E=B3233)</f>
        <v>五冶建设师大附中外语校新建教学楼工程</v>
      </c>
    </row>
    <row r="3234" hidden="1" spans="2:18">
      <c r="B3234" s="33" t="s">
        <v>196</v>
      </c>
      <c r="C3234" s="63">
        <v>45903</v>
      </c>
      <c r="D3234" s="33" t="str">
        <f>VLOOKUP(B3234,辅助信息!E:K,7,FALSE)</f>
        <v>JWDDCD2025102100476</v>
      </c>
      <c r="E3234" s="33" t="str">
        <f>VLOOKUP(F3234,辅助信息!A:B,2,FALSE)</f>
        <v>螺纹钢</v>
      </c>
      <c r="F3234" s="33" t="s">
        <v>27</v>
      </c>
      <c r="G3234" s="29">
        <v>10</v>
      </c>
      <c r="H3234" s="127">
        <f>IF(SUMIFS('[1]2025年已发货'!$E:$E,'[1]2025年已发货'!$F:$F,C3234,'[1]2025年已发货'!$C:$C,F3234,'[1]2025年已发货'!$G:$G,I3234,'[1]2025年已发货'!$H:$H,J3234)=0,"未发货",SUMIFS('[1]2025年已发货'!$E:$E,'[1]2025年已发货'!$F:$F,C3234,'[1]2025年已发货'!$C:$C,F3234,'[1]2025年已发货'!$G:$G,I3234,'[1]2025年已发货'!$H:$H,J3234))</f>
        <v>10</v>
      </c>
      <c r="I3234" s="33" t="str">
        <f>VLOOKUP(B3234,辅助信息!E:I,3,FALSE)</f>
        <v>(五冶建设师大附中外语校新建教学楼工程)四川省成都市成华区大观堰2号(四川师范大学附属中学外国语学校)</v>
      </c>
      <c r="J3234" s="33" t="str">
        <f>VLOOKUP(B3234,辅助信息!E:I,4,FALSE)</f>
        <v>蔡浩</v>
      </c>
      <c r="K3234" s="33">
        <f>VLOOKUP(J3234,辅助信息!H:I,2,FALSE)</f>
        <v>13980880820</v>
      </c>
      <c r="L3234" s="102"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84">
        <v>45905</v>
      </c>
      <c r="O3234" s="55">
        <f ca="1" t="shared" si="184"/>
        <v>0</v>
      </c>
      <c r="P3234" s="55">
        <f ca="1" t="shared" si="185"/>
        <v>52</v>
      </c>
      <c r="Q3234" s="22" t="str">
        <f>VLOOKUP(B3234,辅助信息!E:M,9,FALSE)</f>
        <v>ZTWM-CDGS-XS-2025-0073-五冶天府-成都怡心湖片区及龙泉驿医院等项目</v>
      </c>
      <c r="R3234" s="22" t="str">
        <f>_xlfn._xlws.FILTER(辅助信息!D:D,辅助信息!E:E=B3234)</f>
        <v>五冶建设师大附中外语校新建教学楼工程</v>
      </c>
    </row>
    <row r="3235" hidden="1" spans="2:18">
      <c r="B3235" s="33" t="s">
        <v>196</v>
      </c>
      <c r="C3235" s="63">
        <v>45903</v>
      </c>
      <c r="D3235" s="33" t="str">
        <f>VLOOKUP(B3235,辅助信息!E:K,7,FALSE)</f>
        <v>JWDDCD2025102100476</v>
      </c>
      <c r="E3235" s="33" t="str">
        <f>VLOOKUP(F3235,辅助信息!A:B,2,FALSE)</f>
        <v>螺纹钢</v>
      </c>
      <c r="F3235" s="33" t="s">
        <v>19</v>
      </c>
      <c r="G3235" s="29">
        <v>50</v>
      </c>
      <c r="H3235" s="127">
        <f>IF(SUMIFS('[1]2025年已发货'!$E:$E,'[1]2025年已发货'!$F:$F,C3235,'[1]2025年已发货'!$C:$C,F3235,'[1]2025年已发货'!$G:$G,I3235,'[1]2025年已发货'!$H:$H,J3235)=0,"未发货",SUMIFS('[1]2025年已发货'!$E:$E,'[1]2025年已发货'!$F:$F,C3235,'[1]2025年已发货'!$C:$C,F3235,'[1]2025年已发货'!$G:$G,I3235,'[1]2025年已发货'!$H:$H,J3235))</f>
        <v>50</v>
      </c>
      <c r="I3235" s="33" t="str">
        <f>VLOOKUP(B3235,辅助信息!E:I,3,FALSE)</f>
        <v>(五冶建设师大附中外语校新建教学楼工程)四川省成都市成华区大观堰2号(四川师范大学附属中学外国语学校)</v>
      </c>
      <c r="J3235" s="33" t="str">
        <f>VLOOKUP(B3235,辅助信息!E:I,4,FALSE)</f>
        <v>蔡浩</v>
      </c>
      <c r="K3235" s="33">
        <f>VLOOKUP(J3235,辅助信息!H:I,2,FALSE)</f>
        <v>13980880820</v>
      </c>
      <c r="L3235" s="102"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84">
        <v>45905</v>
      </c>
      <c r="O3235" s="55">
        <f ca="1" t="shared" si="184"/>
        <v>0</v>
      </c>
      <c r="P3235" s="55">
        <f ca="1" t="shared" si="185"/>
        <v>52</v>
      </c>
      <c r="Q3235" s="22" t="str">
        <f>VLOOKUP(B3235,辅助信息!E:M,9,FALSE)</f>
        <v>ZTWM-CDGS-XS-2025-0073-五冶天府-成都怡心湖片区及龙泉驿医院等项目</v>
      </c>
      <c r="R3235" s="22" t="str">
        <f>_xlfn._xlws.FILTER(辅助信息!D:D,辅助信息!E:E=B3235)</f>
        <v>五冶建设师大附中外语校新建教学楼工程</v>
      </c>
    </row>
    <row r="3236" hidden="1" spans="2:18">
      <c r="B3236" s="33" t="s">
        <v>196</v>
      </c>
      <c r="C3236" s="63">
        <v>45903</v>
      </c>
      <c r="D3236" s="33" t="str">
        <f>VLOOKUP(B3236,辅助信息!E:K,7,FALSE)</f>
        <v>JWDDCD2025102100476</v>
      </c>
      <c r="E3236" s="33" t="str">
        <f>VLOOKUP(F3236,辅助信息!A:B,2,FALSE)</f>
        <v>螺纹钢</v>
      </c>
      <c r="F3236" s="33" t="s">
        <v>32</v>
      </c>
      <c r="G3236" s="29">
        <v>5</v>
      </c>
      <c r="H3236" s="127">
        <f>IF(SUMIFS('[1]2025年已发货'!$E:$E,'[1]2025年已发货'!$F:$F,C3236,'[1]2025年已发货'!$C:$C,F3236,'[1]2025年已发货'!$G:$G,I3236,'[1]2025年已发货'!$H:$H,J3236)=0,"未发货",SUMIFS('[1]2025年已发货'!$E:$E,'[1]2025年已发货'!$F:$F,C3236,'[1]2025年已发货'!$C:$C,F3236,'[1]2025年已发货'!$G:$G,I3236,'[1]2025年已发货'!$H:$H,J3236))</f>
        <v>5</v>
      </c>
      <c r="I3236" s="33" t="str">
        <f>VLOOKUP(B3236,辅助信息!E:I,3,FALSE)</f>
        <v>(五冶建设师大附中外语校新建教学楼工程)四川省成都市成华区大观堰2号(四川师范大学附属中学外国语学校)</v>
      </c>
      <c r="J3236" s="33" t="str">
        <f>VLOOKUP(B3236,辅助信息!E:I,4,FALSE)</f>
        <v>蔡浩</v>
      </c>
      <c r="K3236" s="33">
        <f>VLOOKUP(J3236,辅助信息!H:I,2,FALSE)</f>
        <v>13980880820</v>
      </c>
      <c r="L3236" s="102"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84">
        <v>45905</v>
      </c>
      <c r="O3236" s="55">
        <f ca="1" t="shared" si="184"/>
        <v>0</v>
      </c>
      <c r="P3236" s="55">
        <f ca="1" t="shared" si="185"/>
        <v>52</v>
      </c>
      <c r="Q3236" s="22" t="str">
        <f>VLOOKUP(B3236,辅助信息!E:M,9,FALSE)</f>
        <v>ZTWM-CDGS-XS-2025-0073-五冶天府-成都怡心湖片区及龙泉驿医院等项目</v>
      </c>
      <c r="R3236" s="22" t="str">
        <f>_xlfn._xlws.FILTER(辅助信息!D:D,辅助信息!E:E=B3236)</f>
        <v>五冶建设师大附中外语校新建教学楼工程</v>
      </c>
    </row>
    <row r="3237" hidden="1" spans="2:18">
      <c r="B3237" s="33" t="s">
        <v>196</v>
      </c>
      <c r="C3237" s="63">
        <v>45903</v>
      </c>
      <c r="D3237" s="33" t="str">
        <f>VLOOKUP(B3237,辅助信息!E:K,7,FALSE)</f>
        <v>JWDDCD2025102100476</v>
      </c>
      <c r="E3237" s="33" t="str">
        <f>VLOOKUP(F3237,辅助信息!A:B,2,FALSE)</f>
        <v>螺纹钢</v>
      </c>
      <c r="F3237" s="33" t="s">
        <v>30</v>
      </c>
      <c r="G3237" s="29">
        <v>5</v>
      </c>
      <c r="H3237" s="127">
        <f>IF(SUMIFS('[1]2025年已发货'!$E:$E,'[1]2025年已发货'!$F:$F,C3237,'[1]2025年已发货'!$C:$C,F3237,'[1]2025年已发货'!$G:$G,I3237,'[1]2025年已发货'!$H:$H,J3237)=0,"未发货",SUMIFS('[1]2025年已发货'!$E:$E,'[1]2025年已发货'!$F:$F,C3237,'[1]2025年已发货'!$C:$C,F3237,'[1]2025年已发货'!$G:$G,I3237,'[1]2025年已发货'!$H:$H,J3237))</f>
        <v>5</v>
      </c>
      <c r="I3237" s="33" t="str">
        <f>VLOOKUP(B3237,辅助信息!E:I,3,FALSE)</f>
        <v>(五冶建设师大附中外语校新建教学楼工程)四川省成都市成华区大观堰2号(四川师范大学附属中学外国语学校)</v>
      </c>
      <c r="J3237" s="33" t="str">
        <f>VLOOKUP(B3237,辅助信息!E:I,4,FALSE)</f>
        <v>蔡浩</v>
      </c>
      <c r="K3237" s="33">
        <f>VLOOKUP(J3237,辅助信息!H:I,2,FALSE)</f>
        <v>13980880820</v>
      </c>
      <c r="L3237" s="102"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84">
        <v>45905</v>
      </c>
      <c r="O3237" s="55">
        <f ca="1" t="shared" si="184"/>
        <v>0</v>
      </c>
      <c r="P3237" s="55">
        <f ca="1" t="shared" si="185"/>
        <v>52</v>
      </c>
      <c r="Q3237" s="22" t="str">
        <f>VLOOKUP(B3237,辅助信息!E:M,9,FALSE)</f>
        <v>ZTWM-CDGS-XS-2025-0073-五冶天府-成都怡心湖片区及龙泉驿医院等项目</v>
      </c>
      <c r="R3237" s="22" t="str">
        <f>_xlfn._xlws.FILTER(辅助信息!D:D,辅助信息!E:E=B3237)</f>
        <v>五冶建设师大附中外语校新建教学楼工程</v>
      </c>
    </row>
    <row r="3238" hidden="1" spans="2:18">
      <c r="B3238" s="33" t="s">
        <v>196</v>
      </c>
      <c r="C3238" s="63">
        <v>45903</v>
      </c>
      <c r="D3238" s="33" t="str">
        <f>VLOOKUP(B3238,辅助信息!E:K,7,FALSE)</f>
        <v>JWDDCD2025102100476</v>
      </c>
      <c r="E3238" s="33" t="str">
        <f>VLOOKUP(F3238,辅助信息!A:B,2,FALSE)</f>
        <v>螺纹钢</v>
      </c>
      <c r="F3238" s="33" t="s">
        <v>33</v>
      </c>
      <c r="G3238" s="29">
        <v>2.5</v>
      </c>
      <c r="H3238" s="127">
        <f>IF(SUMIFS('[1]2025年已发货'!$E:$E,'[1]2025年已发货'!$F:$F,C3238,'[1]2025年已发货'!$C:$C,F3238,'[1]2025年已发货'!$G:$G,I3238,'[1]2025年已发货'!$H:$H,J3238)=0,"未发货",SUMIFS('[1]2025年已发货'!$E:$E,'[1]2025年已发货'!$F:$F,C3238,'[1]2025年已发货'!$C:$C,F3238,'[1]2025年已发货'!$G:$G,I3238,'[1]2025年已发货'!$H:$H,J3238))</f>
        <v>2.5</v>
      </c>
      <c r="I3238" s="33" t="str">
        <f>VLOOKUP(B3238,辅助信息!E:I,3,FALSE)</f>
        <v>(五冶建设师大附中外语校新建教学楼工程)四川省成都市成华区大观堰2号(四川师范大学附属中学外国语学校)</v>
      </c>
      <c r="J3238" s="33" t="str">
        <f>VLOOKUP(B3238,辅助信息!E:I,4,FALSE)</f>
        <v>蔡浩</v>
      </c>
      <c r="K3238" s="33">
        <f>VLOOKUP(J3238,辅助信息!H:I,2,FALSE)</f>
        <v>13980880820</v>
      </c>
      <c r="L3238" s="102"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84">
        <v>45905</v>
      </c>
      <c r="O3238" s="55">
        <f ca="1" t="shared" si="184"/>
        <v>0</v>
      </c>
      <c r="P3238" s="55">
        <f ca="1" t="shared" si="185"/>
        <v>52</v>
      </c>
      <c r="Q3238" s="22" t="str">
        <f>VLOOKUP(B3238,辅助信息!E:M,9,FALSE)</f>
        <v>ZTWM-CDGS-XS-2025-0073-五冶天府-成都怡心湖片区及龙泉驿医院等项目</v>
      </c>
      <c r="R3238" s="22" t="str">
        <f>_xlfn._xlws.FILTER(辅助信息!D:D,辅助信息!E:E=B3238)</f>
        <v>五冶建设师大附中外语校新建教学楼工程</v>
      </c>
    </row>
    <row r="3239" hidden="1" spans="2:18">
      <c r="B3239" s="33" t="s">
        <v>196</v>
      </c>
      <c r="C3239" s="63">
        <v>45903</v>
      </c>
      <c r="D3239" s="33" t="str">
        <f>VLOOKUP(B3239,辅助信息!E:K,7,FALSE)</f>
        <v>JWDDCD2025102100476</v>
      </c>
      <c r="E3239" s="33" t="str">
        <f>VLOOKUP(F3239,辅助信息!A:B,2,FALSE)</f>
        <v>螺纹钢</v>
      </c>
      <c r="F3239" s="33" t="s">
        <v>28</v>
      </c>
      <c r="G3239" s="29">
        <v>2.5</v>
      </c>
      <c r="H3239" s="127">
        <f>IF(SUMIFS('[1]2025年已发货'!$E:$E,'[1]2025年已发货'!$F:$F,C3239,'[1]2025年已发货'!$C:$C,F3239,'[1]2025年已发货'!$G:$G,I3239,'[1]2025年已发货'!$H:$H,J3239)=0,"未发货",SUMIFS('[1]2025年已发货'!$E:$E,'[1]2025年已发货'!$F:$F,C3239,'[1]2025年已发货'!$C:$C,F3239,'[1]2025年已发货'!$G:$G,I3239,'[1]2025年已发货'!$H:$H,J3239))</f>
        <v>2.5</v>
      </c>
      <c r="I3239" s="33" t="str">
        <f>VLOOKUP(B3239,辅助信息!E:I,3,FALSE)</f>
        <v>(五冶建设师大附中外语校新建教学楼工程)四川省成都市成华区大观堰2号(四川师范大学附属中学外国语学校)</v>
      </c>
      <c r="J3239" s="33" t="str">
        <f>VLOOKUP(B3239,辅助信息!E:I,4,FALSE)</f>
        <v>蔡浩</v>
      </c>
      <c r="K3239" s="33">
        <f>VLOOKUP(J3239,辅助信息!H:I,2,FALSE)</f>
        <v>13980880820</v>
      </c>
      <c r="L3239" s="102"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84">
        <v>45905</v>
      </c>
      <c r="O3239" s="55">
        <f ca="1" t="shared" si="184"/>
        <v>0</v>
      </c>
      <c r="P3239" s="55">
        <f ca="1" t="shared" si="185"/>
        <v>52</v>
      </c>
      <c r="Q3239" s="22" t="str">
        <f>VLOOKUP(B3239,辅助信息!E:M,9,FALSE)</f>
        <v>ZTWM-CDGS-XS-2025-0073-五冶天府-成都怡心湖片区及龙泉驿医院等项目</v>
      </c>
      <c r="R3239" s="22" t="str">
        <f>_xlfn._xlws.FILTER(辅助信息!D:D,辅助信息!E:E=B3239)</f>
        <v>五冶建设师大附中外语校新建教学楼工程</v>
      </c>
    </row>
    <row r="3240" hidden="1" spans="2:18">
      <c r="B3240" s="33" t="s">
        <v>196</v>
      </c>
      <c r="C3240" s="63">
        <v>45903</v>
      </c>
      <c r="D3240" s="33" t="str">
        <f>VLOOKUP(B3240,辅助信息!E:K,7,FALSE)</f>
        <v>JWDDCD2025102100476</v>
      </c>
      <c r="E3240" s="33" t="str">
        <f>VLOOKUP(F3240,辅助信息!A:B,2,FALSE)</f>
        <v>螺纹钢</v>
      </c>
      <c r="F3240" s="33" t="s">
        <v>18</v>
      </c>
      <c r="G3240" s="29">
        <v>15</v>
      </c>
      <c r="H3240" s="127">
        <f>IF(SUMIFS('[1]2025年已发货'!$E:$E,'[1]2025年已发货'!$F:$F,C3240,'[1]2025年已发货'!$C:$C,F3240,'[1]2025年已发货'!$G:$G,I3240,'[1]2025年已发货'!$H:$H,J3240)=0,"未发货",SUMIFS('[1]2025年已发货'!$E:$E,'[1]2025年已发货'!$F:$F,C3240,'[1]2025年已发货'!$C:$C,F3240,'[1]2025年已发货'!$G:$G,I3240,'[1]2025年已发货'!$H:$H,J3240))</f>
        <v>15</v>
      </c>
      <c r="I3240" s="33" t="str">
        <f>VLOOKUP(B3240,辅助信息!E:I,3,FALSE)</f>
        <v>(五冶建设师大附中外语校新建教学楼工程)四川省成都市成华区大观堰2号(四川师范大学附属中学外国语学校)</v>
      </c>
      <c r="J3240" s="33" t="str">
        <f>VLOOKUP(B3240,辅助信息!E:I,4,FALSE)</f>
        <v>蔡浩</v>
      </c>
      <c r="K3240" s="33">
        <f>VLOOKUP(J3240,辅助信息!H:I,2,FALSE)</f>
        <v>13980880820</v>
      </c>
      <c r="L3240" s="102"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84">
        <v>45905</v>
      </c>
      <c r="O3240" s="55">
        <f ca="1" t="shared" si="184"/>
        <v>0</v>
      </c>
      <c r="P3240" s="55">
        <f ca="1" t="shared" si="185"/>
        <v>52</v>
      </c>
      <c r="Q3240" s="22" t="str">
        <f>VLOOKUP(B3240,辅助信息!E:M,9,FALSE)</f>
        <v>ZTWM-CDGS-XS-2025-0073-五冶天府-成都怡心湖片区及龙泉驿医院等项目</v>
      </c>
      <c r="R3240" s="22" t="str">
        <f>_xlfn._xlws.FILTER(辅助信息!D:D,辅助信息!E:E=B3240)</f>
        <v>五冶建设师大附中外语校新建教学楼工程</v>
      </c>
    </row>
    <row r="3241" hidden="1" spans="2:18">
      <c r="B3241" s="33" t="s">
        <v>196</v>
      </c>
      <c r="C3241" s="63">
        <v>45903</v>
      </c>
      <c r="D3241" s="33" t="str">
        <f>VLOOKUP(B3241,辅助信息!E:K,7,FALSE)</f>
        <v>JWDDCD2025102100476</v>
      </c>
      <c r="E3241" s="33" t="str">
        <f>VLOOKUP(F3241,辅助信息!A:B,2,FALSE)</f>
        <v>螺纹钢</v>
      </c>
      <c r="F3241" s="33" t="s">
        <v>65</v>
      </c>
      <c r="G3241" s="29">
        <v>12.5</v>
      </c>
      <c r="H3241" s="127">
        <f>IF(SUMIFS('[1]2025年已发货'!$E:$E,'[1]2025年已发货'!$F:$F,C3241,'[1]2025年已发货'!$C:$C,F3241,'[1]2025年已发货'!$G:$G,I3241,'[1]2025年已发货'!$H:$H,J3241)=0,"未发货",SUMIFS('[1]2025年已发货'!$E:$E,'[1]2025年已发货'!$F:$F,C3241,'[1]2025年已发货'!$C:$C,F3241,'[1]2025年已发货'!$G:$G,I3241,'[1]2025年已发货'!$H:$H,J3241))</f>
        <v>12.5</v>
      </c>
      <c r="I3241" s="33" t="str">
        <f>VLOOKUP(B3241,辅助信息!E:I,3,FALSE)</f>
        <v>(五冶建设师大附中外语校新建教学楼工程)四川省成都市成华区大观堰2号(四川师范大学附属中学外国语学校)</v>
      </c>
      <c r="J3241" s="33" t="str">
        <f>VLOOKUP(B3241,辅助信息!E:I,4,FALSE)</f>
        <v>蔡浩</v>
      </c>
      <c r="K3241" s="33">
        <f>VLOOKUP(J3241,辅助信息!H:I,2,FALSE)</f>
        <v>13980880820</v>
      </c>
      <c r="L3241" s="102"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84">
        <v>45905</v>
      </c>
      <c r="O3241" s="55">
        <f ca="1" t="shared" si="184"/>
        <v>0</v>
      </c>
      <c r="P3241" s="55">
        <f ca="1" t="shared" si="185"/>
        <v>52</v>
      </c>
      <c r="Q3241" s="22" t="str">
        <f>VLOOKUP(B3241,辅助信息!E:M,9,FALSE)</f>
        <v>ZTWM-CDGS-XS-2025-0073-五冶天府-成都怡心湖片区及龙泉驿医院等项目</v>
      </c>
      <c r="R3241" s="22" t="str">
        <f>_xlfn._xlws.FILTER(辅助信息!D:D,辅助信息!E:E=B3241)</f>
        <v>五冶建设师大附中外语校新建教学楼工程</v>
      </c>
    </row>
    <row r="3242" hidden="1" spans="2:18">
      <c r="B3242" s="33" t="s">
        <v>192</v>
      </c>
      <c r="C3242" s="63">
        <v>45903</v>
      </c>
      <c r="D3242" s="33" t="str">
        <f>VLOOKUP(B3242,辅助信息!E:K,7,FALSE)</f>
        <v>JWDDCD2025102100475</v>
      </c>
      <c r="E3242" s="33" t="str">
        <f>VLOOKUP(F3242,辅助信息!A:B,2,FALSE)</f>
        <v>螺纹钢</v>
      </c>
      <c r="F3242" s="33" t="s">
        <v>19</v>
      </c>
      <c r="G3242" s="29">
        <v>6</v>
      </c>
      <c r="H3242" s="127">
        <f>IF(SUMIFS('[1]2025年已发货'!$E:$E,'[1]2025年已发货'!$F:$F,C3242,'[1]2025年已发货'!$C:$C,F3242,'[1]2025年已发货'!$G:$G,I3242,'[1]2025年已发货'!$H:$H,J3242)=0,"未发货",SUMIFS('[1]2025年已发货'!$E:$E,'[1]2025年已发货'!$F:$F,C3242,'[1]2025年已发货'!$C:$C,F3242,'[1]2025年已发货'!$G:$G,I3242,'[1]2025年已发货'!$H:$H,J3242))</f>
        <v>6</v>
      </c>
      <c r="I3242" s="33" t="str">
        <f>VLOOKUP(B3242,辅助信息!E:I,3,FALSE)</f>
        <v>(五冶建设成都国际铁路港多式联项目)四川省成都市青白江区桂平大道成都中远海运陆港多式联运有限公司</v>
      </c>
      <c r="J3242" s="33" t="str">
        <f>VLOOKUP(B3242,辅助信息!E:I,4,FALSE)</f>
        <v>黄勇杰</v>
      </c>
      <c r="K3242" s="33">
        <f>VLOOKUP(J3242,辅助信息!H:I,2,FALSE)</f>
        <v>13880580196</v>
      </c>
      <c r="L3242" s="102"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84">
        <v>45905</v>
      </c>
      <c r="O3242" s="55">
        <f ca="1" t="shared" si="184"/>
        <v>0</v>
      </c>
      <c r="P3242" s="55">
        <f ca="1" t="shared" si="185"/>
        <v>52</v>
      </c>
      <c r="Q3242" s="22" t="str">
        <f>VLOOKUP(B3242,辅助信息!E:M,9,FALSE)</f>
        <v>ZTWM-CDGS-XS-2025-0073-五冶天府-成都怡心湖片区及龙泉驿医院等项目</v>
      </c>
      <c r="R3242" s="22" t="str">
        <f>_xlfn._xlws.FILTER(辅助信息!D:D,辅助信息!E:E=B3242)</f>
        <v>五冶建设成都国际铁路港多式联项目</v>
      </c>
    </row>
    <row r="3243" hidden="1" spans="2:18">
      <c r="B3243" s="33" t="s">
        <v>192</v>
      </c>
      <c r="C3243" s="63">
        <v>45903</v>
      </c>
      <c r="D3243" s="33" t="str">
        <f>VLOOKUP(B3243,辅助信息!E:K,7,FALSE)</f>
        <v>JWDDCD2025102100475</v>
      </c>
      <c r="E3243" s="33" t="str">
        <f>VLOOKUP(F3243,辅助信息!A:B,2,FALSE)</f>
        <v>螺纹钢</v>
      </c>
      <c r="F3243" s="33" t="s">
        <v>32</v>
      </c>
      <c r="G3243" s="29">
        <v>6</v>
      </c>
      <c r="H3243" s="127">
        <f>IF(SUMIFS('[1]2025年已发货'!$E:$E,'[1]2025年已发货'!$F:$F,C3243,'[1]2025年已发货'!$C:$C,F3243,'[1]2025年已发货'!$G:$G,I3243,'[1]2025年已发货'!$H:$H,J3243)=0,"未发货",SUMIFS('[1]2025年已发货'!$E:$E,'[1]2025年已发货'!$F:$F,C3243,'[1]2025年已发货'!$C:$C,F3243,'[1]2025年已发货'!$G:$G,I3243,'[1]2025年已发货'!$H:$H,J3243))</f>
        <v>6</v>
      </c>
      <c r="I3243" s="33" t="str">
        <f>VLOOKUP(B3243,辅助信息!E:I,3,FALSE)</f>
        <v>(五冶建设成都国际铁路港多式联项目)四川省成都市青白江区桂平大道成都中远海运陆港多式联运有限公司</v>
      </c>
      <c r="J3243" s="33" t="str">
        <f>VLOOKUP(B3243,辅助信息!E:I,4,FALSE)</f>
        <v>黄勇杰</v>
      </c>
      <c r="K3243" s="33">
        <f>VLOOKUP(J3243,辅助信息!H:I,2,FALSE)</f>
        <v>13880580196</v>
      </c>
      <c r="L3243" s="102"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84">
        <v>45905</v>
      </c>
      <c r="O3243" s="55">
        <f ca="1" t="shared" si="184"/>
        <v>0</v>
      </c>
      <c r="P3243" s="55">
        <f ca="1" t="shared" si="185"/>
        <v>52</v>
      </c>
      <c r="Q3243" s="22" t="str">
        <f>VLOOKUP(B3243,辅助信息!E:M,9,FALSE)</f>
        <v>ZTWM-CDGS-XS-2025-0073-五冶天府-成都怡心湖片区及龙泉驿医院等项目</v>
      </c>
      <c r="R3243" s="22" t="str">
        <f>_xlfn._xlws.FILTER(辅助信息!D:D,辅助信息!E:E=B3243)</f>
        <v>五冶建设成都国际铁路港多式联项目</v>
      </c>
    </row>
    <row r="3244" hidden="1" spans="2:18">
      <c r="B3244" s="33" t="s">
        <v>192</v>
      </c>
      <c r="C3244" s="63">
        <v>45903</v>
      </c>
      <c r="D3244" s="33" t="str">
        <f>VLOOKUP(B3244,辅助信息!E:K,7,FALSE)</f>
        <v>JWDDCD2025102100475</v>
      </c>
      <c r="E3244" s="33" t="str">
        <f>VLOOKUP(F3244,辅助信息!A:B,2,FALSE)</f>
        <v>螺纹钢</v>
      </c>
      <c r="F3244" s="33" t="s">
        <v>30</v>
      </c>
      <c r="G3244" s="29">
        <v>3</v>
      </c>
      <c r="H3244" s="127">
        <f>IF(SUMIFS('[1]2025年已发货'!$E:$E,'[1]2025年已发货'!$F:$F,C3244,'[1]2025年已发货'!$C:$C,F3244,'[1]2025年已发货'!$G:$G,I3244,'[1]2025年已发货'!$H:$H,J3244)=0,"未发货",SUMIFS('[1]2025年已发货'!$E:$E,'[1]2025年已发货'!$F:$F,C3244,'[1]2025年已发货'!$C:$C,F3244,'[1]2025年已发货'!$G:$G,I3244,'[1]2025年已发货'!$H:$H,J3244))</f>
        <v>3</v>
      </c>
      <c r="I3244" s="33" t="str">
        <f>VLOOKUP(B3244,辅助信息!E:I,3,FALSE)</f>
        <v>(五冶建设成都国际铁路港多式联项目)四川省成都市青白江区桂平大道成都中远海运陆港多式联运有限公司</v>
      </c>
      <c r="J3244" s="33" t="str">
        <f>VLOOKUP(B3244,辅助信息!E:I,4,FALSE)</f>
        <v>黄勇杰</v>
      </c>
      <c r="K3244" s="33">
        <f>VLOOKUP(J3244,辅助信息!H:I,2,FALSE)</f>
        <v>13880580196</v>
      </c>
      <c r="L3244" s="102"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84">
        <v>45905</v>
      </c>
      <c r="O3244" s="55">
        <f ca="1" t="shared" si="184"/>
        <v>0</v>
      </c>
      <c r="P3244" s="55">
        <f ca="1" t="shared" si="185"/>
        <v>52</v>
      </c>
      <c r="Q3244" s="22" t="str">
        <f>VLOOKUP(B3244,辅助信息!E:M,9,FALSE)</f>
        <v>ZTWM-CDGS-XS-2025-0073-五冶天府-成都怡心湖片区及龙泉驿医院等项目</v>
      </c>
      <c r="R3244" s="22" t="str">
        <f>_xlfn._xlws.FILTER(辅助信息!D:D,辅助信息!E:E=B3244)</f>
        <v>五冶建设成都国际铁路港多式联项目</v>
      </c>
    </row>
    <row r="3245" hidden="1" spans="2:18">
      <c r="B3245" s="33" t="s">
        <v>192</v>
      </c>
      <c r="C3245" s="63">
        <v>45903</v>
      </c>
      <c r="D3245" s="33" t="str">
        <f>VLOOKUP(B3245,辅助信息!E:K,7,FALSE)</f>
        <v>JWDDCD2025102100475</v>
      </c>
      <c r="E3245" s="33" t="str">
        <f>VLOOKUP(F3245,辅助信息!A:B,2,FALSE)</f>
        <v>螺纹钢</v>
      </c>
      <c r="F3245" s="33" t="s">
        <v>33</v>
      </c>
      <c r="G3245" s="29">
        <v>6</v>
      </c>
      <c r="H3245" s="127">
        <f>IF(SUMIFS('[1]2025年已发货'!$E:$E,'[1]2025年已发货'!$F:$F,C3245,'[1]2025年已发货'!$C:$C,F3245,'[1]2025年已发货'!$G:$G,I3245,'[1]2025年已发货'!$H:$H,J3245)=0,"未发货",SUMIFS('[1]2025年已发货'!$E:$E,'[1]2025年已发货'!$F:$F,C3245,'[1]2025年已发货'!$C:$C,F3245,'[1]2025年已发货'!$G:$G,I3245,'[1]2025年已发货'!$H:$H,J3245))</f>
        <v>6</v>
      </c>
      <c r="I3245" s="33" t="str">
        <f>VLOOKUP(B3245,辅助信息!E:I,3,FALSE)</f>
        <v>(五冶建设成都国际铁路港多式联项目)四川省成都市青白江区桂平大道成都中远海运陆港多式联运有限公司</v>
      </c>
      <c r="J3245" s="33" t="str">
        <f>VLOOKUP(B3245,辅助信息!E:I,4,FALSE)</f>
        <v>黄勇杰</v>
      </c>
      <c r="K3245" s="33">
        <f>VLOOKUP(J3245,辅助信息!H:I,2,FALSE)</f>
        <v>13880580196</v>
      </c>
      <c r="L3245" s="102"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84">
        <v>45905</v>
      </c>
      <c r="O3245" s="55">
        <f ca="1" t="shared" si="184"/>
        <v>0</v>
      </c>
      <c r="P3245" s="55">
        <f ca="1" t="shared" si="185"/>
        <v>52</v>
      </c>
      <c r="Q3245" s="22" t="str">
        <f>VLOOKUP(B3245,辅助信息!E:M,9,FALSE)</f>
        <v>ZTWM-CDGS-XS-2025-0073-五冶天府-成都怡心湖片区及龙泉驿医院等项目</v>
      </c>
      <c r="R3245" s="22" t="str">
        <f>_xlfn._xlws.FILTER(辅助信息!D:D,辅助信息!E:E=B3245)</f>
        <v>五冶建设成都国际铁路港多式联项目</v>
      </c>
    </row>
    <row r="3246" hidden="1" spans="2:18">
      <c r="B3246" s="33" t="s">
        <v>192</v>
      </c>
      <c r="C3246" s="63">
        <v>45903</v>
      </c>
      <c r="D3246" s="33" t="str">
        <f>VLOOKUP(B3246,辅助信息!E:K,7,FALSE)</f>
        <v>JWDDCD2025102100475</v>
      </c>
      <c r="E3246" s="33" t="str">
        <f>VLOOKUP(F3246,辅助信息!A:B,2,FALSE)</f>
        <v>螺纹钢</v>
      </c>
      <c r="F3246" s="33" t="s">
        <v>28</v>
      </c>
      <c r="G3246" s="29">
        <v>12</v>
      </c>
      <c r="H3246" s="127">
        <f>IF(SUMIFS('[1]2025年已发货'!$E:$E,'[1]2025年已发货'!$F:$F,C3246,'[1]2025年已发货'!$C:$C,F3246,'[1]2025年已发货'!$G:$G,I3246,'[1]2025年已发货'!$H:$H,J3246)=0,"未发货",SUMIFS('[1]2025年已发货'!$E:$E,'[1]2025年已发货'!$F:$F,C3246,'[1]2025年已发货'!$C:$C,F3246,'[1]2025年已发货'!$G:$G,I3246,'[1]2025年已发货'!$H:$H,J3246))</f>
        <v>12</v>
      </c>
      <c r="I3246" s="33" t="str">
        <f>VLOOKUP(B3246,辅助信息!E:I,3,FALSE)</f>
        <v>(五冶建设成都国际铁路港多式联项目)四川省成都市青白江区桂平大道成都中远海运陆港多式联运有限公司</v>
      </c>
      <c r="J3246" s="33" t="str">
        <f>VLOOKUP(B3246,辅助信息!E:I,4,FALSE)</f>
        <v>黄勇杰</v>
      </c>
      <c r="K3246" s="33">
        <f>VLOOKUP(J3246,辅助信息!H:I,2,FALSE)</f>
        <v>13880580196</v>
      </c>
      <c r="L3246" s="102"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84">
        <v>45905</v>
      </c>
      <c r="O3246" s="55">
        <f ca="1" t="shared" si="184"/>
        <v>0</v>
      </c>
      <c r="P3246" s="55">
        <f ca="1" t="shared" si="185"/>
        <v>52</v>
      </c>
      <c r="Q3246" s="22" t="str">
        <f>VLOOKUP(B3246,辅助信息!E:M,9,FALSE)</f>
        <v>ZTWM-CDGS-XS-2025-0073-五冶天府-成都怡心湖片区及龙泉驿医院等项目</v>
      </c>
      <c r="R3246" s="22" t="str">
        <f>_xlfn._xlws.FILTER(辅助信息!D:D,辅助信息!E:E=B3246)</f>
        <v>五冶建设成都国际铁路港多式联项目</v>
      </c>
    </row>
    <row r="3247" hidden="1" spans="2:18">
      <c r="B3247" s="33" t="s">
        <v>215</v>
      </c>
      <c r="C3247" s="63">
        <v>45903</v>
      </c>
      <c r="D3247" s="33" t="str">
        <f>VLOOKUP(B3247,辅助信息!E:K,7,FALSE)</f>
        <v>JWDDCD2025102100486</v>
      </c>
      <c r="E3247" s="33" t="str">
        <f>VLOOKUP(F3247,辅助信息!A:B,2,FALSE)</f>
        <v>盘螺</v>
      </c>
      <c r="F3247" s="33" t="s">
        <v>49</v>
      </c>
      <c r="G3247" s="29">
        <v>2</v>
      </c>
      <c r="H3247" s="127">
        <f>IF(SUMIFS('[1]2025年已发货'!$E:$E,'[1]2025年已发货'!$F:$F,C3247,'[1]2025年已发货'!$C:$C,F3247,'[1]2025年已发货'!$G:$G,I3247,'[1]2025年已发货'!$H:$H,J3247)=0,"未发货",SUMIFS('[1]2025年已发货'!$E:$E,'[1]2025年已发货'!$F:$F,C3247,'[1]2025年已发货'!$C:$C,F3247,'[1]2025年已发货'!$G:$G,I3247,'[1]2025年已发货'!$H:$H,J3247))</f>
        <v>2</v>
      </c>
      <c r="I3247" s="33" t="str">
        <f>VLOOKUP(B3247,辅助信息!E:I,3,FALSE)</f>
        <v>(五冶建设龙泉驿一医院配套建设工程)成都市龙泉驿区董朗路69号龙泉驿一医院5号门</v>
      </c>
      <c r="J3247" s="33" t="str">
        <f>VLOOKUP(B3247,辅助信息!E:I,4,FALSE)</f>
        <v>孙敏</v>
      </c>
      <c r="K3247" s="33">
        <f>VLOOKUP(J3247,辅助信息!H:I,2,FALSE)</f>
        <v>13617695006</v>
      </c>
      <c r="L3247" s="102" t="str">
        <f>VLOOKUP(B3247,辅助信息!E:J,6,FALSE)</f>
        <v>联系实际收货人（孙敏13617695006）五冶建设送货单,6份材质书,锈货不收，装货前联系收货人核实到场规格,没提前告知进场规格现场不给予接收</v>
      </c>
      <c r="M3247" s="84">
        <v>45905</v>
      </c>
      <c r="O3247" s="55">
        <f ca="1" t="shared" si="184"/>
        <v>0</v>
      </c>
      <c r="P3247" s="55">
        <f ca="1" t="shared" si="185"/>
        <v>52</v>
      </c>
      <c r="Q3247" s="22" t="str">
        <f>VLOOKUP(B3247,辅助信息!E:M,9,FALSE)</f>
        <v>ZTWM-CDGS-XS-2025-0073-五冶天府-成都怡心湖片区及龙泉驿医院等项目</v>
      </c>
      <c r="R3247" s="22" t="str">
        <f>_xlfn._xlws.FILTER(辅助信息!D:D,辅助信息!E:E=B3247)</f>
        <v>五冶建设龙泉驿一医院配套建设工程</v>
      </c>
    </row>
    <row r="3248" hidden="1" spans="2:18">
      <c r="B3248" s="33" t="s">
        <v>215</v>
      </c>
      <c r="C3248" s="63">
        <v>45903</v>
      </c>
      <c r="D3248" s="33" t="str">
        <f>VLOOKUP(B3248,辅助信息!E:K,7,FALSE)</f>
        <v>JWDDCD2025102100486</v>
      </c>
      <c r="E3248" s="33" t="str">
        <f>VLOOKUP(F3248,辅助信息!A:B,2,FALSE)</f>
        <v>盘螺</v>
      </c>
      <c r="F3248" s="33" t="s">
        <v>40</v>
      </c>
      <c r="G3248" s="29">
        <v>4</v>
      </c>
      <c r="H3248" s="127">
        <f>IF(SUMIFS('[1]2025年已发货'!$E:$E,'[1]2025年已发货'!$F:$F,C3248,'[1]2025年已发货'!$C:$C,F3248,'[1]2025年已发货'!$G:$G,I3248,'[1]2025年已发货'!$H:$H,J3248)=0,"未发货",SUMIFS('[1]2025年已发货'!$E:$E,'[1]2025年已发货'!$F:$F,C3248,'[1]2025年已发货'!$C:$C,F3248,'[1]2025年已发货'!$G:$G,I3248,'[1]2025年已发货'!$H:$H,J3248))</f>
        <v>4</v>
      </c>
      <c r="I3248" s="33" t="str">
        <f>VLOOKUP(B3248,辅助信息!E:I,3,FALSE)</f>
        <v>(五冶建设龙泉驿一医院配套建设工程)成都市龙泉驿区董朗路69号龙泉驿一医院5号门</v>
      </c>
      <c r="J3248" s="33" t="str">
        <f>VLOOKUP(B3248,辅助信息!E:I,4,FALSE)</f>
        <v>孙敏</v>
      </c>
      <c r="K3248" s="33">
        <f>VLOOKUP(J3248,辅助信息!H:I,2,FALSE)</f>
        <v>13617695006</v>
      </c>
      <c r="L3248" s="102" t="str">
        <f>VLOOKUP(B3248,辅助信息!E:J,6,FALSE)</f>
        <v>联系实际收货人（孙敏13617695006）五冶建设送货单,6份材质书,锈货不收，装货前联系收货人核实到场规格,没提前告知进场规格现场不给予接收</v>
      </c>
      <c r="M3248" s="84">
        <v>45905</v>
      </c>
      <c r="O3248" s="55">
        <f ca="1" t="shared" si="184"/>
        <v>0</v>
      </c>
      <c r="P3248" s="55">
        <f ca="1" t="shared" si="185"/>
        <v>52</v>
      </c>
      <c r="Q3248" s="22" t="str">
        <f>VLOOKUP(B3248,辅助信息!E:M,9,FALSE)</f>
        <v>ZTWM-CDGS-XS-2025-0073-五冶天府-成都怡心湖片区及龙泉驿医院等项目</v>
      </c>
      <c r="R3248" s="22" t="str">
        <f>_xlfn._xlws.FILTER(辅助信息!D:D,辅助信息!E:E=B3248)</f>
        <v>五冶建设龙泉驿一医院配套建设工程</v>
      </c>
    </row>
    <row r="3249" hidden="1" spans="2:18">
      <c r="B3249" s="33" t="s">
        <v>215</v>
      </c>
      <c r="C3249" s="63">
        <v>45903</v>
      </c>
      <c r="D3249" s="33" t="str">
        <f>VLOOKUP(B3249,辅助信息!E:K,7,FALSE)</f>
        <v>JWDDCD2025102100486</v>
      </c>
      <c r="E3249" s="33" t="str">
        <f>VLOOKUP(F3249,辅助信息!A:B,2,FALSE)</f>
        <v>盘螺</v>
      </c>
      <c r="F3249" s="33" t="s">
        <v>41</v>
      </c>
      <c r="G3249" s="29">
        <v>8</v>
      </c>
      <c r="H3249" s="127">
        <f>IF(SUMIFS('[1]2025年已发货'!$E:$E,'[1]2025年已发货'!$F:$F,C3249,'[1]2025年已发货'!$C:$C,F3249,'[1]2025年已发货'!$G:$G,I3249,'[1]2025年已发货'!$H:$H,J3249)=0,"未发货",SUMIFS('[1]2025年已发货'!$E:$E,'[1]2025年已发货'!$F:$F,C3249,'[1]2025年已发货'!$C:$C,F3249,'[1]2025年已发货'!$G:$G,I3249,'[1]2025年已发货'!$H:$H,J3249))</f>
        <v>8</v>
      </c>
      <c r="I3249" s="33" t="str">
        <f>VLOOKUP(B3249,辅助信息!E:I,3,FALSE)</f>
        <v>(五冶建设龙泉驿一医院配套建设工程)成都市龙泉驿区董朗路69号龙泉驿一医院5号门</v>
      </c>
      <c r="J3249" s="33" t="str">
        <f>VLOOKUP(B3249,辅助信息!E:I,4,FALSE)</f>
        <v>孙敏</v>
      </c>
      <c r="K3249" s="33">
        <f>VLOOKUP(J3249,辅助信息!H:I,2,FALSE)</f>
        <v>13617695006</v>
      </c>
      <c r="L3249" s="102" t="str">
        <f>VLOOKUP(B3249,辅助信息!E:J,6,FALSE)</f>
        <v>联系实际收货人（孙敏13617695006）五冶建设送货单,6份材质书,锈货不收，装货前联系收货人核实到场规格,没提前告知进场规格现场不给予接收</v>
      </c>
      <c r="M3249" s="84">
        <v>45905</v>
      </c>
      <c r="O3249" s="55">
        <f ca="1" t="shared" si="184"/>
        <v>0</v>
      </c>
      <c r="P3249" s="55">
        <f ca="1" t="shared" si="185"/>
        <v>52</v>
      </c>
      <c r="Q3249" s="22" t="str">
        <f>VLOOKUP(B3249,辅助信息!E:M,9,FALSE)</f>
        <v>ZTWM-CDGS-XS-2025-0073-五冶天府-成都怡心湖片区及龙泉驿医院等项目</v>
      </c>
      <c r="R3249" s="22" t="str">
        <f>_xlfn._xlws.FILTER(辅助信息!D:D,辅助信息!E:E=B3249)</f>
        <v>五冶建设龙泉驿一医院配套建设工程</v>
      </c>
    </row>
    <row r="3250" hidden="1" spans="2:18">
      <c r="B3250" s="33" t="s">
        <v>215</v>
      </c>
      <c r="C3250" s="63">
        <v>45903</v>
      </c>
      <c r="D3250" s="33" t="str">
        <f>VLOOKUP(B3250,辅助信息!E:K,7,FALSE)</f>
        <v>JWDDCD2025102100486</v>
      </c>
      <c r="E3250" s="33" t="str">
        <f>VLOOKUP(F3250,辅助信息!A:B,2,FALSE)</f>
        <v>螺纹钢</v>
      </c>
      <c r="F3250" s="128" t="s">
        <v>27</v>
      </c>
      <c r="G3250" s="29">
        <v>12</v>
      </c>
      <c r="H3250" s="127">
        <f>IF(SUMIFS('[1]2025年已发货'!$E:$E,'[1]2025年已发货'!$F:$F,C3250,'[1]2025年已发货'!$C:$C,F3250,'[1]2025年已发货'!$G:$G,I3250,'[1]2025年已发货'!$H:$H,J3250)=0,"未发货",SUMIFS('[1]2025年已发货'!$E:$E,'[1]2025年已发货'!$F:$F,C3250,'[1]2025年已发货'!$C:$C,F3250,'[1]2025年已发货'!$G:$G,I3250,'[1]2025年已发货'!$H:$H,J3250))</f>
        <v>12</v>
      </c>
      <c r="I3250" s="33" t="str">
        <f>VLOOKUP(B3250,辅助信息!E:I,3,FALSE)</f>
        <v>(五冶建设龙泉驿一医院配套建设工程)成都市龙泉驿区董朗路69号龙泉驿一医院5号门</v>
      </c>
      <c r="J3250" s="33" t="str">
        <f>VLOOKUP(B3250,辅助信息!E:I,4,FALSE)</f>
        <v>孙敏</v>
      </c>
      <c r="K3250" s="33">
        <f>VLOOKUP(J3250,辅助信息!H:I,2,FALSE)</f>
        <v>13617695006</v>
      </c>
      <c r="L3250" s="102" t="str">
        <f>VLOOKUP(B3250,辅助信息!E:J,6,FALSE)</f>
        <v>联系实际收货人（孙敏13617695006）五冶建设送货单,6份材质书,锈货不收，装货前联系收货人核实到场规格,没提前告知进场规格现场不给予接收</v>
      </c>
      <c r="M3250" s="84">
        <v>45905</v>
      </c>
      <c r="O3250" s="55">
        <f ca="1" t="shared" si="184"/>
        <v>0</v>
      </c>
      <c r="P3250" s="55">
        <f ca="1" t="shared" si="185"/>
        <v>52</v>
      </c>
      <c r="Q3250" s="22" t="str">
        <f>VLOOKUP(B3250,辅助信息!E:M,9,FALSE)</f>
        <v>ZTWM-CDGS-XS-2025-0073-五冶天府-成都怡心湖片区及龙泉驿医院等项目</v>
      </c>
      <c r="R3250" s="22" t="str">
        <f>_xlfn._xlws.FILTER(辅助信息!D:D,辅助信息!E:E=B3250)</f>
        <v>五冶建设龙泉驿一医院配套建设工程</v>
      </c>
    </row>
    <row r="3251" hidden="1" spans="2:18">
      <c r="B3251" s="33" t="s">
        <v>215</v>
      </c>
      <c r="C3251" s="63">
        <v>45903</v>
      </c>
      <c r="D3251" s="33" t="str">
        <f>VLOOKUP(B3251,辅助信息!E:K,7,FALSE)</f>
        <v>JWDDCD2025102100486</v>
      </c>
      <c r="E3251" s="33" t="str">
        <f>VLOOKUP(F3251,辅助信息!A:B,2,FALSE)</f>
        <v>螺纹钢</v>
      </c>
      <c r="F3251" s="128" t="s">
        <v>19</v>
      </c>
      <c r="G3251" s="29">
        <v>10</v>
      </c>
      <c r="H3251" s="127">
        <f>IF(SUMIFS('[1]2025年已发货'!$E:$E,'[1]2025年已发货'!$F:$F,C3251,'[1]2025年已发货'!$C:$C,F3251,'[1]2025年已发货'!$G:$G,I3251,'[1]2025年已发货'!$H:$H,J3251)=0,"未发货",SUMIFS('[1]2025年已发货'!$E:$E,'[1]2025年已发货'!$F:$F,C3251,'[1]2025年已发货'!$C:$C,F3251,'[1]2025年已发货'!$G:$G,I3251,'[1]2025年已发货'!$H:$H,J3251))</f>
        <v>10</v>
      </c>
      <c r="I3251" s="33" t="str">
        <f>VLOOKUP(B3251,辅助信息!E:I,3,FALSE)</f>
        <v>(五冶建设龙泉驿一医院配套建设工程)成都市龙泉驿区董朗路69号龙泉驿一医院5号门</v>
      </c>
      <c r="J3251" s="33" t="str">
        <f>VLOOKUP(B3251,辅助信息!E:I,4,FALSE)</f>
        <v>孙敏</v>
      </c>
      <c r="K3251" s="33">
        <f>VLOOKUP(J3251,辅助信息!H:I,2,FALSE)</f>
        <v>13617695006</v>
      </c>
      <c r="L3251" s="102" t="str">
        <f>VLOOKUP(B3251,辅助信息!E:J,6,FALSE)</f>
        <v>联系实际收货人（孙敏13617695006）五冶建设送货单,6份材质书,锈货不收，装货前联系收货人核实到场规格,没提前告知进场规格现场不给予接收</v>
      </c>
      <c r="M3251" s="84">
        <v>45905</v>
      </c>
      <c r="O3251" s="55">
        <f ca="1" t="shared" si="184"/>
        <v>0</v>
      </c>
      <c r="P3251" s="55">
        <f ca="1" t="shared" si="185"/>
        <v>52</v>
      </c>
      <c r="Q3251" s="22" t="str">
        <f>VLOOKUP(B3251,辅助信息!E:M,9,FALSE)</f>
        <v>ZTWM-CDGS-XS-2025-0073-五冶天府-成都怡心湖片区及龙泉驿医院等项目</v>
      </c>
      <c r="R3251" s="22" t="str">
        <f>_xlfn._xlws.FILTER(辅助信息!D:D,辅助信息!E:E=B3251)</f>
        <v>五冶建设龙泉驿一医院配套建设工程</v>
      </c>
    </row>
    <row r="3252" hidden="1" spans="2:18">
      <c r="B3252" s="128" t="s">
        <v>215</v>
      </c>
      <c r="C3252" s="136">
        <v>45903</v>
      </c>
      <c r="D3252" s="128" t="str">
        <f>VLOOKUP(B3252,辅助信息!E:K,7,FALSE)</f>
        <v>JWDDCD2025102100486</v>
      </c>
      <c r="E3252" s="128" t="str">
        <f>VLOOKUP(F3252,辅助信息!A:B,2,FALSE)</f>
        <v>螺纹钢</v>
      </c>
      <c r="F3252" s="128" t="s">
        <v>32</v>
      </c>
      <c r="G3252" s="139">
        <v>58</v>
      </c>
      <c r="H3252" s="127">
        <f>IF(SUMIFS('[1]2025年已发货'!$E:$E,'[1]2025年已发货'!$F:$F,C3252,'[1]2025年已发货'!$C:$C,F3252,'[1]2025年已发货'!$G:$G,I3252,'[1]2025年已发货'!$H:$H,J3252)=0,"未发货",SUMIFS('[1]2025年已发货'!$E:$E,'[1]2025年已发货'!$F:$F,C3252,'[1]2025年已发货'!$C:$C,F3252,'[1]2025年已发货'!$G:$G,I3252,'[1]2025年已发货'!$H:$H,J3252))</f>
        <v>58</v>
      </c>
      <c r="I3252" s="33" t="str">
        <f>VLOOKUP(B3252,辅助信息!E:I,3,FALSE)</f>
        <v>(五冶建设龙泉驿一医院配套建设工程)成都市龙泉驿区董朗路69号龙泉驿一医院5号门</v>
      </c>
      <c r="J3252" s="33" t="str">
        <f>VLOOKUP(B3252,辅助信息!E:I,4,FALSE)</f>
        <v>孙敏</v>
      </c>
      <c r="K3252" s="33">
        <f>VLOOKUP(J3252,辅助信息!H:I,2,FALSE)</f>
        <v>13617695006</v>
      </c>
      <c r="L3252" s="102" t="str">
        <f>VLOOKUP(B3252,辅助信息!E:J,6,FALSE)</f>
        <v>联系实际收货人（孙敏13617695006）五冶建设送货单,6份材质书,锈货不收，装货前联系收货人核实到场规格,没提前告知进场规格现场不给予接收</v>
      </c>
      <c r="M3252" s="84">
        <v>45905</v>
      </c>
      <c r="O3252" s="55">
        <f ca="1" t="shared" si="184"/>
        <v>0</v>
      </c>
      <c r="P3252" s="55">
        <f ca="1" t="shared" si="185"/>
        <v>52</v>
      </c>
      <c r="Q3252" s="22" t="str">
        <f>VLOOKUP(B3252,辅助信息!E:M,9,FALSE)</f>
        <v>ZTWM-CDGS-XS-2025-0073-五冶天府-成都怡心湖片区及龙泉驿医院等项目</v>
      </c>
      <c r="R3252" s="22" t="str">
        <f>_xlfn._xlws.FILTER(辅助信息!D:D,辅助信息!E:E=B3252)</f>
        <v>五冶建设龙泉驿一医院配套建设工程</v>
      </c>
    </row>
    <row r="3253" hidden="1" spans="2:18">
      <c r="B3253" s="128" t="s">
        <v>215</v>
      </c>
      <c r="C3253" s="136">
        <v>45903</v>
      </c>
      <c r="D3253" s="128" t="str">
        <f>VLOOKUP(B3253,辅助信息!E:K,7,FALSE)</f>
        <v>JWDDCD2025102100486</v>
      </c>
      <c r="E3253" s="128" t="str">
        <f>VLOOKUP(F3253,辅助信息!A:B,2,FALSE)</f>
        <v>螺纹钢</v>
      </c>
      <c r="F3253" s="128" t="s">
        <v>30</v>
      </c>
      <c r="G3253" s="139">
        <v>12</v>
      </c>
      <c r="H3253" s="127">
        <f>IF(SUMIFS('[1]2025年已发货'!$E:$E,'[1]2025年已发货'!$F:$F,C3253,'[1]2025年已发货'!$C:$C,F3253,'[1]2025年已发货'!$G:$G,I3253,'[1]2025年已发货'!$H:$H,J3253)=0,"未发货",SUMIFS('[1]2025年已发货'!$E:$E,'[1]2025年已发货'!$F:$F,C3253,'[1]2025年已发货'!$C:$C,F3253,'[1]2025年已发货'!$G:$G,I3253,'[1]2025年已发货'!$H:$H,J3253))</f>
        <v>12</v>
      </c>
      <c r="I3253" s="33" t="str">
        <f>VLOOKUP(B3253,辅助信息!E:I,3,FALSE)</f>
        <v>(五冶建设龙泉驿一医院配套建设工程)成都市龙泉驿区董朗路69号龙泉驿一医院5号门</v>
      </c>
      <c r="J3253" s="33" t="str">
        <f>VLOOKUP(B3253,辅助信息!E:I,4,FALSE)</f>
        <v>孙敏</v>
      </c>
      <c r="K3253" s="33">
        <f>VLOOKUP(J3253,辅助信息!H:I,2,FALSE)</f>
        <v>13617695006</v>
      </c>
      <c r="L3253" s="102" t="str">
        <f>VLOOKUP(B3253,辅助信息!E:J,6,FALSE)</f>
        <v>联系实际收货人（孙敏13617695006）五冶建设送货单,6份材质书,锈货不收，装货前联系收货人核实到场规格,没提前告知进场规格现场不给予接收</v>
      </c>
      <c r="M3253" s="84">
        <v>45905</v>
      </c>
      <c r="O3253" s="55">
        <f ca="1" t="shared" si="184"/>
        <v>0</v>
      </c>
      <c r="P3253" s="55">
        <f ca="1" t="shared" si="185"/>
        <v>52</v>
      </c>
      <c r="Q3253" s="22" t="str">
        <f>VLOOKUP(B3253,辅助信息!E:M,9,FALSE)</f>
        <v>ZTWM-CDGS-XS-2025-0073-五冶天府-成都怡心湖片区及龙泉驿医院等项目</v>
      </c>
      <c r="R3253" s="22" t="str">
        <f>_xlfn._xlws.FILTER(辅助信息!D:D,辅助信息!E:E=B3253)</f>
        <v>五冶建设龙泉驿一医院配套建设工程</v>
      </c>
    </row>
    <row r="3254" hidden="1" spans="2:18">
      <c r="B3254" s="128" t="s">
        <v>215</v>
      </c>
      <c r="C3254" s="136">
        <v>45903</v>
      </c>
      <c r="D3254" s="128" t="str">
        <f>VLOOKUP(B3254,辅助信息!E:K,7,FALSE)</f>
        <v>JWDDCD2025102100486</v>
      </c>
      <c r="E3254" s="128" t="str">
        <f>VLOOKUP(F3254,辅助信息!A:B,2,FALSE)</f>
        <v>螺纹钢</v>
      </c>
      <c r="F3254" s="128" t="s">
        <v>33</v>
      </c>
      <c r="G3254" s="139">
        <v>10</v>
      </c>
      <c r="H3254" s="127">
        <f>IF(SUMIFS('[1]2025年已发货'!$E:$E,'[1]2025年已发货'!$F:$F,C3254,'[1]2025年已发货'!$C:$C,F3254,'[1]2025年已发货'!$G:$G,I3254,'[1]2025年已发货'!$H:$H,J3254)=0,"未发货",SUMIFS('[1]2025年已发货'!$E:$E,'[1]2025年已发货'!$F:$F,C3254,'[1]2025年已发货'!$C:$C,F3254,'[1]2025年已发货'!$G:$G,I3254,'[1]2025年已发货'!$H:$H,J3254))</f>
        <v>10</v>
      </c>
      <c r="I3254" s="33" t="str">
        <f>VLOOKUP(B3254,辅助信息!E:I,3,FALSE)</f>
        <v>(五冶建设龙泉驿一医院配套建设工程)成都市龙泉驿区董朗路69号龙泉驿一医院5号门</v>
      </c>
      <c r="J3254" s="33" t="str">
        <f>VLOOKUP(B3254,辅助信息!E:I,4,FALSE)</f>
        <v>孙敏</v>
      </c>
      <c r="K3254" s="33">
        <f>VLOOKUP(J3254,辅助信息!H:I,2,FALSE)</f>
        <v>13617695006</v>
      </c>
      <c r="L3254" s="102" t="str">
        <f>VLOOKUP(B3254,辅助信息!E:J,6,FALSE)</f>
        <v>联系实际收货人（孙敏13617695006）五冶建设送货单,6份材质书,锈货不收，装货前联系收货人核实到场规格,没提前告知进场规格现场不给予接收</v>
      </c>
      <c r="M3254" s="84">
        <v>45905</v>
      </c>
      <c r="O3254" s="55">
        <f ca="1" t="shared" si="184"/>
        <v>0</v>
      </c>
      <c r="P3254" s="55">
        <f ca="1" t="shared" si="185"/>
        <v>52</v>
      </c>
      <c r="Q3254" s="22" t="str">
        <f>VLOOKUP(B3254,辅助信息!E:M,9,FALSE)</f>
        <v>ZTWM-CDGS-XS-2025-0073-五冶天府-成都怡心湖片区及龙泉驿医院等项目</v>
      </c>
      <c r="R3254" s="22" t="str">
        <f>_xlfn._xlws.FILTER(辅助信息!D:D,辅助信息!E:E=B3254)</f>
        <v>五冶建设龙泉驿一医院配套建设工程</v>
      </c>
    </row>
    <row r="3255" hidden="1" spans="2:18">
      <c r="B3255" s="128" t="s">
        <v>215</v>
      </c>
      <c r="C3255" s="136">
        <v>45903</v>
      </c>
      <c r="D3255" s="128" t="str">
        <f>VLOOKUP(B3255,辅助信息!E:K,7,FALSE)</f>
        <v>JWDDCD2025102100486</v>
      </c>
      <c r="E3255" s="128" t="str">
        <f>VLOOKUP(F3255,辅助信息!A:B,2,FALSE)</f>
        <v>螺纹钢</v>
      </c>
      <c r="F3255" s="128" t="s">
        <v>28</v>
      </c>
      <c r="G3255" s="139">
        <v>35</v>
      </c>
      <c r="H3255" s="127">
        <f>IF(SUMIFS('[1]2025年已发货'!$E:$E,'[1]2025年已发货'!$F:$F,C3255,'[1]2025年已发货'!$C:$C,F3255,'[1]2025年已发货'!$G:$G,I3255,'[1]2025年已发货'!$H:$H,J3255)=0,"未发货",SUMIFS('[1]2025年已发货'!$E:$E,'[1]2025年已发货'!$F:$F,C3255,'[1]2025年已发货'!$C:$C,F3255,'[1]2025年已发货'!$G:$G,I3255,'[1]2025年已发货'!$H:$H,J3255))</f>
        <v>35</v>
      </c>
      <c r="I3255" s="33" t="str">
        <f>VLOOKUP(B3255,辅助信息!E:I,3,FALSE)</f>
        <v>(五冶建设龙泉驿一医院配套建设工程)成都市龙泉驿区董朗路69号龙泉驿一医院5号门</v>
      </c>
      <c r="J3255" s="33" t="str">
        <f>VLOOKUP(B3255,辅助信息!E:I,4,FALSE)</f>
        <v>孙敏</v>
      </c>
      <c r="K3255" s="33">
        <f>VLOOKUP(J3255,辅助信息!H:I,2,FALSE)</f>
        <v>13617695006</v>
      </c>
      <c r="L3255" s="102" t="str">
        <f>VLOOKUP(B3255,辅助信息!E:J,6,FALSE)</f>
        <v>联系实际收货人（孙敏13617695006）五冶建设送货单,6份材质书,锈货不收，装货前联系收货人核实到场规格,没提前告知进场规格现场不给予接收</v>
      </c>
      <c r="M3255" s="84">
        <v>45905</v>
      </c>
      <c r="O3255" s="55">
        <f ca="1" t="shared" si="184"/>
        <v>0</v>
      </c>
      <c r="P3255" s="55">
        <f ca="1" t="shared" si="185"/>
        <v>52</v>
      </c>
      <c r="Q3255" s="22" t="str">
        <f>VLOOKUP(B3255,辅助信息!E:M,9,FALSE)</f>
        <v>ZTWM-CDGS-XS-2025-0073-五冶天府-成都怡心湖片区及龙泉驿医院等项目</v>
      </c>
      <c r="R3255" s="22" t="str">
        <f>_xlfn._xlws.FILTER(辅助信息!D:D,辅助信息!E:E=B3255)</f>
        <v>五冶建设龙泉驿一医院配套建设工程</v>
      </c>
    </row>
    <row r="3256" hidden="1" spans="2:18">
      <c r="B3256" s="128" t="s">
        <v>215</v>
      </c>
      <c r="C3256" s="136">
        <v>45903</v>
      </c>
      <c r="D3256" s="128" t="str">
        <f>VLOOKUP(B3256,辅助信息!E:K,7,FALSE)</f>
        <v>JWDDCD2025102100486</v>
      </c>
      <c r="E3256" s="128" t="str">
        <f>VLOOKUP(F3256,辅助信息!A:B,2,FALSE)</f>
        <v>螺纹钢</v>
      </c>
      <c r="F3256" s="128" t="s">
        <v>18</v>
      </c>
      <c r="G3256" s="139">
        <v>15</v>
      </c>
      <c r="H3256" s="127">
        <f>IF(SUMIFS('[1]2025年已发货'!$E:$E,'[1]2025年已发货'!$F:$F,C3256,'[1]2025年已发货'!$C:$C,F3256,'[1]2025年已发货'!$G:$G,I3256,'[1]2025年已发货'!$H:$H,J3256)=0,"未发货",SUMIFS('[1]2025年已发货'!$E:$E,'[1]2025年已发货'!$F:$F,C3256,'[1]2025年已发货'!$C:$C,F3256,'[1]2025年已发货'!$G:$G,I3256,'[1]2025年已发货'!$H:$H,J3256))</f>
        <v>15</v>
      </c>
      <c r="I3256" s="33" t="str">
        <f>VLOOKUP(B3256,辅助信息!E:I,3,FALSE)</f>
        <v>(五冶建设龙泉驿一医院配套建设工程)成都市龙泉驿区董朗路69号龙泉驿一医院5号门</v>
      </c>
      <c r="J3256" s="33" t="str">
        <f>VLOOKUP(B3256,辅助信息!E:I,4,FALSE)</f>
        <v>孙敏</v>
      </c>
      <c r="K3256" s="33">
        <f>VLOOKUP(J3256,辅助信息!H:I,2,FALSE)</f>
        <v>13617695006</v>
      </c>
      <c r="L3256" s="102" t="str">
        <f>VLOOKUP(B3256,辅助信息!E:J,6,FALSE)</f>
        <v>联系实际收货人（孙敏13617695006）五冶建设送货单,6份材质书,锈货不收，装货前联系收货人核实到场规格,没提前告知进场规格现场不给予接收</v>
      </c>
      <c r="M3256" s="84">
        <v>45905</v>
      </c>
      <c r="O3256" s="55">
        <f ca="1" t="shared" si="184"/>
        <v>0</v>
      </c>
      <c r="P3256" s="55">
        <f ca="1" t="shared" si="185"/>
        <v>52</v>
      </c>
      <c r="Q3256" s="22" t="str">
        <f>VLOOKUP(B3256,辅助信息!E:M,9,FALSE)</f>
        <v>ZTWM-CDGS-XS-2025-0073-五冶天府-成都怡心湖片区及龙泉驿医院等项目</v>
      </c>
      <c r="R3256" s="22" t="str">
        <f>_xlfn._xlws.FILTER(辅助信息!D:D,辅助信息!E:E=B3256)</f>
        <v>五冶建设龙泉驿一医院配套建设工程</v>
      </c>
    </row>
    <row r="3257" hidden="1" spans="2:18">
      <c r="B3257" s="128" t="s">
        <v>215</v>
      </c>
      <c r="C3257" s="136">
        <v>45903</v>
      </c>
      <c r="D3257" s="128" t="str">
        <f>VLOOKUP(B3257,辅助信息!E:K,7,FALSE)</f>
        <v>JWDDCD2025102100486</v>
      </c>
      <c r="E3257" s="128" t="str">
        <f>VLOOKUP(F3257,辅助信息!A:B,2,FALSE)</f>
        <v>螺纹钢</v>
      </c>
      <c r="F3257" s="128" t="s">
        <v>52</v>
      </c>
      <c r="G3257" s="139">
        <v>22</v>
      </c>
      <c r="H3257" s="127">
        <f>IF(SUMIFS('[1]2025年已发货'!$E:$E,'[1]2025年已发货'!$F:$F,C3257,'[1]2025年已发货'!$C:$C,F3257,'[1]2025年已发货'!$G:$G,I3257,'[1]2025年已发货'!$H:$H,J3257)=0,"未发货",SUMIFS('[1]2025年已发货'!$E:$E,'[1]2025年已发货'!$F:$F,C3257,'[1]2025年已发货'!$C:$C,F3257,'[1]2025年已发货'!$G:$G,I3257,'[1]2025年已发货'!$H:$H,J3257))</f>
        <v>22</v>
      </c>
      <c r="I3257" s="33" t="str">
        <f>VLOOKUP(B3257,辅助信息!E:I,3,FALSE)</f>
        <v>(五冶建设龙泉驿一医院配套建设工程)成都市龙泉驿区董朗路69号龙泉驿一医院5号门</v>
      </c>
      <c r="J3257" s="33" t="str">
        <f>VLOOKUP(B3257,辅助信息!E:I,4,FALSE)</f>
        <v>孙敏</v>
      </c>
      <c r="K3257" s="33">
        <f>VLOOKUP(J3257,辅助信息!H:I,2,FALSE)</f>
        <v>13617695006</v>
      </c>
      <c r="L3257" s="102" t="str">
        <f>VLOOKUP(B3257,辅助信息!E:J,6,FALSE)</f>
        <v>联系实际收货人（孙敏13617695006）五冶建设送货单,6份材质书,锈货不收，装货前联系收货人核实到场规格,没提前告知进场规格现场不给予接收</v>
      </c>
      <c r="M3257" s="84">
        <v>45905</v>
      </c>
      <c r="O3257" s="55">
        <f ca="1" t="shared" si="184"/>
        <v>0</v>
      </c>
      <c r="P3257" s="55">
        <f ca="1" t="shared" si="185"/>
        <v>52</v>
      </c>
      <c r="Q3257" s="22" t="str">
        <f>VLOOKUP(B3257,辅助信息!E:M,9,FALSE)</f>
        <v>ZTWM-CDGS-XS-2025-0073-五冶天府-成都怡心湖片区及龙泉驿医院等项目</v>
      </c>
      <c r="R3257" s="22" t="str">
        <f>_xlfn._xlws.FILTER(辅助信息!D:D,辅助信息!E:E=B3257)</f>
        <v>五冶建设龙泉驿一医院配套建设工程</v>
      </c>
    </row>
    <row r="3258" hidden="1" spans="2:18">
      <c r="B3258" s="33" t="s">
        <v>215</v>
      </c>
      <c r="C3258" s="63">
        <v>45903</v>
      </c>
      <c r="D3258" s="33" t="str">
        <f>VLOOKUP(B3258,辅助信息!E:K,7,FALSE)</f>
        <v>JWDDCD2025102100486</v>
      </c>
      <c r="E3258" s="33" t="str">
        <f>VLOOKUP(F3258,辅助信息!A:B,2,FALSE)</f>
        <v>螺纹钢</v>
      </c>
      <c r="F3258" s="33" t="s">
        <v>58</v>
      </c>
      <c r="G3258" s="29">
        <v>3</v>
      </c>
      <c r="H3258" s="127">
        <f>IF(SUMIFS('[1]2025年已发货'!$E:$E,'[1]2025年已发货'!$F:$F,C3258,'[1]2025年已发货'!$C:$C,F3258,'[1]2025年已发货'!$G:$G,I3258,'[1]2025年已发货'!$H:$H,J3258)=0,"未发货",SUMIFS('[1]2025年已发货'!$E:$E,'[1]2025年已发货'!$F:$F,C3258,'[1]2025年已发货'!$C:$C,F3258,'[1]2025年已发货'!$G:$G,I3258,'[1]2025年已发货'!$H:$H,J3258))</f>
        <v>3</v>
      </c>
      <c r="I3258" s="33" t="str">
        <f>VLOOKUP(B3258,辅助信息!E:I,3,FALSE)</f>
        <v>(五冶建设龙泉驿一医院配套建设工程)成都市龙泉驿区董朗路69号龙泉驿一医院5号门</v>
      </c>
      <c r="J3258" s="33" t="str">
        <f>VLOOKUP(B3258,辅助信息!E:I,4,FALSE)</f>
        <v>孙敏</v>
      </c>
      <c r="K3258" s="33">
        <f>VLOOKUP(J3258,辅助信息!H:I,2,FALSE)</f>
        <v>13617695006</v>
      </c>
      <c r="L3258" s="102" t="str">
        <f>VLOOKUP(B3258,辅助信息!E:J,6,FALSE)</f>
        <v>联系实际收货人（孙敏13617695006）五冶建设送货单,6份材质书,锈货不收，装货前联系收货人核实到场规格,没提前告知进场规格现场不给予接收</v>
      </c>
      <c r="M3258" s="84">
        <v>45905</v>
      </c>
      <c r="O3258" s="55">
        <f ca="1" t="shared" si="184"/>
        <v>0</v>
      </c>
      <c r="P3258" s="55">
        <f ca="1" t="shared" si="185"/>
        <v>52</v>
      </c>
      <c r="Q3258" s="22" t="str">
        <f>VLOOKUP(B3258,辅助信息!E:M,9,FALSE)</f>
        <v>ZTWM-CDGS-XS-2025-0073-五冶天府-成都怡心湖片区及龙泉驿医院等项目</v>
      </c>
      <c r="R3258" s="22" t="str">
        <f>_xlfn._xlws.FILTER(辅助信息!D:D,辅助信息!E:E=B3258)</f>
        <v>五冶建设龙泉驿一医院配套建设工程</v>
      </c>
    </row>
    <row r="3259" hidden="1" spans="2:18">
      <c r="B3259" s="33" t="s">
        <v>215</v>
      </c>
      <c r="C3259" s="63">
        <v>45903</v>
      </c>
      <c r="D3259" s="33" t="str">
        <f>VLOOKUP(B3259,辅助信息!E:K,7,FALSE)</f>
        <v>JWDDCD2025102100486</v>
      </c>
      <c r="E3259" s="33" t="str">
        <f>VLOOKUP(F3259,辅助信息!A:B,2,FALSE)</f>
        <v>螺纹钢</v>
      </c>
      <c r="F3259" s="33" t="s">
        <v>46</v>
      </c>
      <c r="G3259" s="29">
        <v>3</v>
      </c>
      <c r="H3259" s="127">
        <f>IF(SUMIFS('[1]2025年已发货'!$E:$E,'[1]2025年已发货'!$F:$F,C3259,'[1]2025年已发货'!$C:$C,F3259,'[1]2025年已发货'!$G:$G,I3259,'[1]2025年已发货'!$H:$H,J3259)=0,"未发货",SUMIFS('[1]2025年已发货'!$E:$E,'[1]2025年已发货'!$F:$F,C3259,'[1]2025年已发货'!$C:$C,F3259,'[1]2025年已发货'!$G:$G,I3259,'[1]2025年已发货'!$H:$H,J3259))</f>
        <v>3</v>
      </c>
      <c r="I3259" s="33" t="str">
        <f>VLOOKUP(B3259,辅助信息!E:I,3,FALSE)</f>
        <v>(五冶建设龙泉驿一医院配套建设工程)成都市龙泉驿区董朗路69号龙泉驿一医院5号门</v>
      </c>
      <c r="J3259" s="33" t="str">
        <f>VLOOKUP(B3259,辅助信息!E:I,4,FALSE)</f>
        <v>孙敏</v>
      </c>
      <c r="K3259" s="33">
        <f>VLOOKUP(J3259,辅助信息!H:I,2,FALSE)</f>
        <v>13617695006</v>
      </c>
      <c r="L3259" s="102" t="str">
        <f>VLOOKUP(B3259,辅助信息!E:J,6,FALSE)</f>
        <v>联系实际收货人（孙敏13617695006）五冶建设送货单,6份材质书,锈货不收，装货前联系收货人核实到场规格,没提前告知进场规格现场不给予接收</v>
      </c>
      <c r="M3259" s="84">
        <v>45905</v>
      </c>
      <c r="O3259" s="55">
        <f ca="1" t="shared" si="184"/>
        <v>0</v>
      </c>
      <c r="P3259" s="55">
        <f ca="1" t="shared" si="185"/>
        <v>52</v>
      </c>
      <c r="Q3259" s="22" t="str">
        <f>VLOOKUP(B3259,辅助信息!E:M,9,FALSE)</f>
        <v>ZTWM-CDGS-XS-2025-0073-五冶天府-成都怡心湖片区及龙泉驿医院等项目</v>
      </c>
      <c r="R3259" s="22" t="str">
        <f>_xlfn._xlws.FILTER(辅助信息!D:D,辅助信息!E:E=B3259)</f>
        <v>五冶建设龙泉驿一医院配套建设工程</v>
      </c>
    </row>
    <row r="3260" hidden="1" spans="2:18">
      <c r="B3260" s="33" t="s">
        <v>215</v>
      </c>
      <c r="C3260" s="63">
        <v>45903</v>
      </c>
      <c r="D3260" s="33" t="str">
        <f>VLOOKUP(B3260,辅助信息!E:K,7,FALSE)</f>
        <v>JWDDCD2025102100486</v>
      </c>
      <c r="E3260" s="33" t="str">
        <f>VLOOKUP(F3260,辅助信息!A:B,2,FALSE)</f>
        <v>螺纹钢</v>
      </c>
      <c r="F3260" s="33" t="s">
        <v>22</v>
      </c>
      <c r="G3260" s="29">
        <v>10</v>
      </c>
      <c r="H3260" s="127">
        <f>IF(SUMIFS('[1]2025年已发货'!$E:$E,'[1]2025年已发货'!$F:$F,C3260,'[1]2025年已发货'!$C:$C,F3260,'[1]2025年已发货'!$G:$G,I3260,'[1]2025年已发货'!$H:$H,J3260)=0,"未发货",SUMIFS('[1]2025年已发货'!$E:$E,'[1]2025年已发货'!$F:$F,C3260,'[1]2025年已发货'!$C:$C,F3260,'[1]2025年已发货'!$G:$G,I3260,'[1]2025年已发货'!$H:$H,J3260))</f>
        <v>10</v>
      </c>
      <c r="I3260" s="33" t="str">
        <f>VLOOKUP(B3260,辅助信息!E:I,3,FALSE)</f>
        <v>(五冶建设龙泉驿一医院配套建设工程)成都市龙泉驿区董朗路69号龙泉驿一医院5号门</v>
      </c>
      <c r="J3260" s="33" t="str">
        <f>VLOOKUP(B3260,辅助信息!E:I,4,FALSE)</f>
        <v>孙敏</v>
      </c>
      <c r="K3260" s="33">
        <f>VLOOKUP(J3260,辅助信息!H:I,2,FALSE)</f>
        <v>13617695006</v>
      </c>
      <c r="L3260" s="102" t="str">
        <f>VLOOKUP(B3260,辅助信息!E:J,6,FALSE)</f>
        <v>联系实际收货人（孙敏13617695006）五冶建设送货单,6份材质书,锈货不收，装货前联系收货人核实到场规格,没提前告知进场规格现场不给予接收</v>
      </c>
      <c r="M3260" s="84">
        <v>45905</v>
      </c>
      <c r="O3260" s="55">
        <f ca="1" t="shared" si="184"/>
        <v>0</v>
      </c>
      <c r="P3260" s="55">
        <f ca="1" t="shared" si="185"/>
        <v>52</v>
      </c>
      <c r="Q3260" s="22" t="str">
        <f>VLOOKUP(B3260,辅助信息!E:M,9,FALSE)</f>
        <v>ZTWM-CDGS-XS-2025-0073-五冶天府-成都怡心湖片区及龙泉驿医院等项目</v>
      </c>
      <c r="R3260" s="22" t="str">
        <f>_xlfn._xlws.FILTER(辅助信息!D:D,辅助信息!E:E=B3260)</f>
        <v>五冶建设龙泉驿一医院配套建设工程</v>
      </c>
    </row>
    <row r="3261" hidden="1" spans="2:18">
      <c r="B3261" s="33" t="s">
        <v>215</v>
      </c>
      <c r="C3261" s="63">
        <v>45903</v>
      </c>
      <c r="D3261" s="33" t="str">
        <f>VLOOKUP(B3261,辅助信息!E:K,7,FALSE)</f>
        <v>JWDDCD2025102100486</v>
      </c>
      <c r="E3261" s="33" t="str">
        <f>VLOOKUP(F3261,辅助信息!A:B,2,FALSE)</f>
        <v>螺纹钢</v>
      </c>
      <c r="F3261" s="33" t="s">
        <v>181</v>
      </c>
      <c r="G3261" s="29">
        <v>6</v>
      </c>
      <c r="H3261" s="127">
        <f>IF(SUMIFS('[1]2025年已发货'!$E:$E,'[1]2025年已发货'!$F:$F,C3261,'[1]2025年已发货'!$C:$C,F3261,'[1]2025年已发货'!$G:$G,I3261,'[1]2025年已发货'!$H:$H,J3261)=0,"未发货",SUMIFS('[1]2025年已发货'!$E:$E,'[1]2025年已发货'!$F:$F,C3261,'[1]2025年已发货'!$C:$C,F3261,'[1]2025年已发货'!$G:$G,I3261,'[1]2025年已发货'!$H:$H,J3261))</f>
        <v>6</v>
      </c>
      <c r="I3261" s="33" t="str">
        <f>VLOOKUP(B3261,辅助信息!E:I,3,FALSE)</f>
        <v>(五冶建设龙泉驿一医院配套建设工程)成都市龙泉驿区董朗路69号龙泉驿一医院5号门</v>
      </c>
      <c r="J3261" s="33" t="str">
        <f>VLOOKUP(B3261,辅助信息!E:I,4,FALSE)</f>
        <v>孙敏</v>
      </c>
      <c r="K3261" s="33">
        <f>VLOOKUP(J3261,辅助信息!H:I,2,FALSE)</f>
        <v>13617695006</v>
      </c>
      <c r="L3261" s="102" t="str">
        <f>VLOOKUP(B3261,辅助信息!E:J,6,FALSE)</f>
        <v>联系实际收货人（孙敏13617695006）五冶建设送货单,6份材质书,锈货不收，装货前联系收货人核实到场规格,没提前告知进场规格现场不给予接收</v>
      </c>
      <c r="M3261" s="84">
        <v>45905</v>
      </c>
      <c r="O3261" s="55">
        <f ca="1" t="shared" si="184"/>
        <v>0</v>
      </c>
      <c r="P3261" s="55">
        <f ca="1" t="shared" si="185"/>
        <v>52</v>
      </c>
      <c r="Q3261" s="22" t="str">
        <f>VLOOKUP(B3261,辅助信息!E:M,9,FALSE)</f>
        <v>ZTWM-CDGS-XS-2025-0073-五冶天府-成都怡心湖片区及龙泉驿医院等项目</v>
      </c>
      <c r="R3261" s="22" t="str">
        <f>_xlfn._xlws.FILTER(辅助信息!D:D,辅助信息!E:E=B3261)</f>
        <v>五冶建设龙泉驿一医院配套建设工程</v>
      </c>
    </row>
    <row r="3262" hidden="1" spans="2:18">
      <c r="B3262" s="113" t="s">
        <v>47</v>
      </c>
      <c r="C3262" s="63">
        <v>45905</v>
      </c>
      <c r="D3262" s="113" t="str">
        <f>VLOOKUP(B3262,辅助信息!E:K,7,FALSE)</f>
        <v>JWDDCD2025052800131</v>
      </c>
      <c r="E3262" s="113" t="str">
        <f>VLOOKUP(F3262,辅助信息!A:B,2,FALSE)</f>
        <v>螺纹钢</v>
      </c>
      <c r="F3262" s="113" t="s">
        <v>30</v>
      </c>
      <c r="G3262" s="114">
        <v>6</v>
      </c>
      <c r="H3262" s="127">
        <f>IF(SUMIFS('[1]2025年已发货'!$E:$E,'[1]2025年已发货'!$F:$F,C3262,'[1]2025年已发货'!$C:$C,F3262,'[1]2025年已发货'!$G:$G,I3262,'[1]2025年已发货'!$H:$H,J3262)=0,"未发货",SUMIFS('[1]2025年已发货'!$E:$E,'[1]2025年已发货'!$F:$F,C3262,'[1]2025年已发货'!$C:$C,F3262,'[1]2025年已发货'!$G:$G,I3262,'[1]2025年已发货'!$H:$H,J3262))</f>
        <v>5</v>
      </c>
      <c r="I3262" s="113" t="str">
        <f>VLOOKUP(B3262,辅助信息!E:I,3,FALSE)</f>
        <v>（商投建工达州中医药科技园-1工区）达州市通川区达州中医药职业学院犀牛大道北段</v>
      </c>
      <c r="J3262" s="113" t="str">
        <f>VLOOKUP(B3262,辅助信息!E:I,4,FALSE)</f>
        <v>程黄刚</v>
      </c>
      <c r="K3262" s="113">
        <f>VLOOKUP(J3262,辅助信息!H:I,2,FALSE)</f>
        <v>15108211617</v>
      </c>
      <c r="L3262" s="115" t="str">
        <f>VLOOKUP(B3262,辅助信息!E:J,6,FALSE)</f>
        <v>控制炉批号！多了现场不收！,优先安排达钢,提前联系到场规格及数量</v>
      </c>
      <c r="M3262" s="84">
        <v>45904</v>
      </c>
      <c r="N3262" s="55" t="s">
        <v>214</v>
      </c>
      <c r="O3262" s="55">
        <f ca="1" t="shared" si="184"/>
        <v>0</v>
      </c>
      <c r="P3262" s="137">
        <f ca="1" t="shared" si="185"/>
        <v>53</v>
      </c>
      <c r="Q3262" s="22" t="str">
        <f>VLOOKUP(B3262,辅助信息!E:M,9,FALSE)</f>
        <v>ZTWM-CDGS-XS-2024-0134-商投建工达州中医药科技成果示范园项目</v>
      </c>
      <c r="R3262" s="138" t="str">
        <f>_xlfn._xlws.FILTER(辅助信息!D:D,辅助信息!E:E=B3262)</f>
        <v>商投建工达州中医药科技园</v>
      </c>
    </row>
    <row r="3263" hidden="1" spans="2:18">
      <c r="B3263" s="113" t="s">
        <v>47</v>
      </c>
      <c r="C3263" s="63">
        <v>45905</v>
      </c>
      <c r="D3263" s="113" t="str">
        <f>VLOOKUP(B3263,辅助信息!E:K,7,FALSE)</f>
        <v>JWDDCD2025052800131</v>
      </c>
      <c r="E3263" s="113" t="str">
        <f>VLOOKUP(F3263,辅助信息!A:B,2,FALSE)</f>
        <v>螺纹钢</v>
      </c>
      <c r="F3263" s="113" t="s">
        <v>45</v>
      </c>
      <c r="G3263" s="114">
        <v>3</v>
      </c>
      <c r="H3263" s="127">
        <f>IF(SUMIFS('[1]2025年已发货'!$E:$E,'[1]2025年已发货'!$F:$F,C3263,'[1]2025年已发货'!$C:$C,F3263,'[1]2025年已发货'!$G:$G,I3263,'[1]2025年已发货'!$H:$H,J3263)=0,"未发货",SUMIFS('[1]2025年已发货'!$E:$E,'[1]2025年已发货'!$F:$F,C3263,'[1]2025年已发货'!$C:$C,F3263,'[1]2025年已发货'!$G:$G,I3263,'[1]2025年已发货'!$H:$H,J3263))</f>
        <v>2.5</v>
      </c>
      <c r="I3263" s="113" t="str">
        <f>VLOOKUP(B3263,辅助信息!E:I,3,FALSE)</f>
        <v>（商投建工达州中医药科技园-1工区）达州市通川区达州中医药职业学院犀牛大道北段</v>
      </c>
      <c r="J3263" s="113" t="str">
        <f>VLOOKUP(B3263,辅助信息!E:I,4,FALSE)</f>
        <v>程黄刚</v>
      </c>
      <c r="K3263" s="113">
        <f>VLOOKUP(J3263,辅助信息!H:I,2,FALSE)</f>
        <v>15108211617</v>
      </c>
      <c r="L3263" s="115" t="str">
        <f>VLOOKUP(B3263,辅助信息!E:J,6,FALSE)</f>
        <v>控制炉批号！多了现场不收！,优先安排达钢,提前联系到场规格及数量</v>
      </c>
      <c r="M3263" s="84">
        <v>45904</v>
      </c>
      <c r="N3263" s="55" t="s">
        <v>214</v>
      </c>
      <c r="O3263" s="55">
        <f ca="1" t="shared" si="184"/>
        <v>0</v>
      </c>
      <c r="P3263" s="137">
        <f ca="1" t="shared" si="185"/>
        <v>53</v>
      </c>
      <c r="Q3263" s="22" t="str">
        <f>VLOOKUP(B3263,辅助信息!E:M,9,FALSE)</f>
        <v>ZTWM-CDGS-XS-2024-0134-商投建工达州中医药科技成果示范园项目</v>
      </c>
      <c r="R3263" s="138" t="str">
        <f>_xlfn._xlws.FILTER(辅助信息!D:D,辅助信息!E:E=B3263)</f>
        <v>商投建工达州中医药科技园</v>
      </c>
    </row>
    <row r="3264" hidden="1" spans="2:18">
      <c r="B3264" s="113" t="s">
        <v>47</v>
      </c>
      <c r="C3264" s="63">
        <v>45905</v>
      </c>
      <c r="D3264" s="113" t="str">
        <f>VLOOKUP(B3264,辅助信息!E:K,7,FALSE)</f>
        <v>JWDDCD2025052800131</v>
      </c>
      <c r="E3264" s="113" t="str">
        <f>VLOOKUP(F3264,辅助信息!A:B,2,FALSE)</f>
        <v>螺纹钢</v>
      </c>
      <c r="F3264" s="113" t="s">
        <v>21</v>
      </c>
      <c r="G3264" s="114">
        <v>6</v>
      </c>
      <c r="H3264" s="127">
        <f>IF(SUMIFS('[1]2025年已发货'!$E:$E,'[1]2025年已发货'!$F:$F,C3264,'[1]2025年已发货'!$C:$C,F3264,'[1]2025年已发货'!$G:$G,I3264,'[1]2025年已发货'!$H:$H,J3264)=0,"未发货",SUMIFS('[1]2025年已发货'!$E:$E,'[1]2025年已发货'!$F:$F,C3264,'[1]2025年已发货'!$C:$C,F3264,'[1]2025年已发货'!$G:$G,I3264,'[1]2025年已发货'!$H:$H,J3264))</f>
        <v>5</v>
      </c>
      <c r="I3264" s="113" t="str">
        <f>VLOOKUP(B3264,辅助信息!E:I,3,FALSE)</f>
        <v>（商投建工达州中医药科技园-1工区）达州市通川区达州中医药职业学院犀牛大道北段</v>
      </c>
      <c r="J3264" s="113" t="str">
        <f>VLOOKUP(B3264,辅助信息!E:I,4,FALSE)</f>
        <v>程黄刚</v>
      </c>
      <c r="K3264" s="113">
        <f>VLOOKUP(J3264,辅助信息!H:I,2,FALSE)</f>
        <v>15108211617</v>
      </c>
      <c r="L3264" s="115" t="str">
        <f>VLOOKUP(B3264,辅助信息!E:J,6,FALSE)</f>
        <v>控制炉批号！多了现场不收！,优先安排达钢,提前联系到场规格及数量</v>
      </c>
      <c r="M3264" s="84">
        <v>45904</v>
      </c>
      <c r="N3264" s="55" t="s">
        <v>214</v>
      </c>
      <c r="O3264" s="55">
        <f ca="1" t="shared" si="184"/>
        <v>0</v>
      </c>
      <c r="P3264" s="137">
        <f ca="1" t="shared" si="185"/>
        <v>53</v>
      </c>
      <c r="Q3264" s="22" t="str">
        <f>VLOOKUP(B3264,辅助信息!E:M,9,FALSE)</f>
        <v>ZTWM-CDGS-XS-2024-0134-商投建工达州中医药科技成果示范园项目</v>
      </c>
      <c r="R3264" s="138" t="str">
        <f>_xlfn._xlws.FILTER(辅助信息!D:D,辅助信息!E:E=B3264)</f>
        <v>商投建工达州中医药科技园</v>
      </c>
    </row>
    <row r="3265" hidden="1" spans="2:18">
      <c r="B3265" s="113" t="s">
        <v>47</v>
      </c>
      <c r="C3265" s="63">
        <v>45905</v>
      </c>
      <c r="D3265" s="113" t="str">
        <f>VLOOKUP(B3265,辅助信息!E:K,7,FALSE)</f>
        <v>JWDDCD2025052800131</v>
      </c>
      <c r="E3265" s="113" t="str">
        <f>VLOOKUP(F3265,辅助信息!A:B,2,FALSE)</f>
        <v>螺纹钢</v>
      </c>
      <c r="F3265" s="113" t="s">
        <v>58</v>
      </c>
      <c r="G3265" s="114">
        <v>12</v>
      </c>
      <c r="H3265" s="127">
        <f>IF(SUMIFS('[1]2025年已发货'!$E:$E,'[1]2025年已发货'!$F:$F,C3265,'[1]2025年已发货'!$C:$C,F3265,'[1]2025年已发货'!$G:$G,I3265,'[1]2025年已发货'!$H:$H,J3265)=0,"未发货",SUMIFS('[1]2025年已发货'!$E:$E,'[1]2025年已发货'!$F:$F,C3265,'[1]2025年已发货'!$C:$C,F3265,'[1]2025年已发货'!$G:$G,I3265,'[1]2025年已发货'!$H:$H,J3265))</f>
        <v>12.5</v>
      </c>
      <c r="I3265" s="113" t="str">
        <f>VLOOKUP(B3265,辅助信息!E:I,3,FALSE)</f>
        <v>（商投建工达州中医药科技园-1工区）达州市通川区达州中医药职业学院犀牛大道北段</v>
      </c>
      <c r="J3265" s="113" t="str">
        <f>VLOOKUP(B3265,辅助信息!E:I,4,FALSE)</f>
        <v>程黄刚</v>
      </c>
      <c r="K3265" s="113">
        <f>VLOOKUP(J3265,辅助信息!H:I,2,FALSE)</f>
        <v>15108211617</v>
      </c>
      <c r="L3265" s="115" t="str">
        <f>VLOOKUP(B3265,辅助信息!E:J,6,FALSE)</f>
        <v>控制炉批号！多了现场不收！,优先安排达钢,提前联系到场规格及数量</v>
      </c>
      <c r="M3265" s="84">
        <v>45904</v>
      </c>
      <c r="N3265" s="55" t="s">
        <v>214</v>
      </c>
      <c r="O3265" s="55">
        <f ca="1" t="shared" si="184"/>
        <v>0</v>
      </c>
      <c r="P3265" s="137">
        <f ca="1" t="shared" si="185"/>
        <v>53</v>
      </c>
      <c r="Q3265" s="22" t="str">
        <f>VLOOKUP(B3265,辅助信息!E:M,9,FALSE)</f>
        <v>ZTWM-CDGS-XS-2024-0134-商投建工达州中医药科技成果示范园项目</v>
      </c>
      <c r="R3265" s="138" t="str">
        <f>_xlfn._xlws.FILTER(辅助信息!D:D,辅助信息!E:E=B3265)</f>
        <v>商投建工达州中医药科技园</v>
      </c>
    </row>
    <row r="3266" hidden="1" spans="2:18">
      <c r="B3266" s="113" t="s">
        <v>47</v>
      </c>
      <c r="C3266" s="63">
        <v>45905</v>
      </c>
      <c r="D3266" s="113" t="str">
        <f>VLOOKUP(B3266,辅助信息!E:K,7,FALSE)</f>
        <v>JWDDCD2025052800131</v>
      </c>
      <c r="E3266" s="113" t="str">
        <f>VLOOKUP(F3266,辅助信息!A:B,2,FALSE)</f>
        <v>螺纹钢</v>
      </c>
      <c r="F3266" s="113" t="s">
        <v>46</v>
      </c>
      <c r="G3266" s="114">
        <v>6</v>
      </c>
      <c r="H3266" s="127">
        <f>IF(SUMIFS('[1]2025年已发货'!$E:$E,'[1]2025年已发货'!$F:$F,C3266,'[1]2025年已发货'!$C:$C,F3266,'[1]2025年已发货'!$G:$G,I3266,'[1]2025年已发货'!$H:$H,J3266)=0,"未发货",SUMIFS('[1]2025年已发货'!$E:$E,'[1]2025年已发货'!$F:$F,C3266,'[1]2025年已发货'!$C:$C,F3266,'[1]2025年已发货'!$G:$G,I3266,'[1]2025年已发货'!$H:$H,J3266))</f>
        <v>5</v>
      </c>
      <c r="I3266" s="113" t="str">
        <f>VLOOKUP(B3266,辅助信息!E:I,3,FALSE)</f>
        <v>（商投建工达州中医药科技园-1工区）达州市通川区达州中医药职业学院犀牛大道北段</v>
      </c>
      <c r="J3266" s="113" t="str">
        <f>VLOOKUP(B3266,辅助信息!E:I,4,FALSE)</f>
        <v>程黄刚</v>
      </c>
      <c r="K3266" s="113">
        <f>VLOOKUP(J3266,辅助信息!H:I,2,FALSE)</f>
        <v>15108211617</v>
      </c>
      <c r="L3266" s="115" t="str">
        <f>VLOOKUP(B3266,辅助信息!E:J,6,FALSE)</f>
        <v>控制炉批号！多了现场不收！,优先安排达钢,提前联系到场规格及数量</v>
      </c>
      <c r="M3266" s="84">
        <v>45904</v>
      </c>
      <c r="N3266" s="55" t="s">
        <v>214</v>
      </c>
      <c r="O3266" s="55">
        <f ca="1" t="shared" si="184"/>
        <v>0</v>
      </c>
      <c r="P3266" s="137">
        <f ca="1" t="shared" si="185"/>
        <v>53</v>
      </c>
      <c r="Q3266" s="22" t="str">
        <f>VLOOKUP(B3266,辅助信息!E:M,9,FALSE)</f>
        <v>ZTWM-CDGS-XS-2024-0134-商投建工达州中医药科技成果示范园项目</v>
      </c>
      <c r="R3266" s="138" t="str">
        <f>_xlfn._xlws.FILTER(辅助信息!D:D,辅助信息!E:E=B3266)</f>
        <v>商投建工达州中医药科技园</v>
      </c>
    </row>
    <row r="3267" hidden="1" spans="2:18">
      <c r="B3267" s="113" t="s">
        <v>47</v>
      </c>
      <c r="C3267" s="63">
        <v>45905</v>
      </c>
      <c r="D3267" s="113" t="str">
        <f>VLOOKUP(B3267,辅助信息!E:K,7,FALSE)</f>
        <v>JWDDCD2025052800131</v>
      </c>
      <c r="E3267" s="113" t="str">
        <f>VLOOKUP(F3267,辅助信息!A:B,2,FALSE)</f>
        <v>螺纹钢</v>
      </c>
      <c r="F3267" s="113" t="s">
        <v>22</v>
      </c>
      <c r="G3267" s="114">
        <v>6</v>
      </c>
      <c r="H3267" s="127">
        <f>IF(SUMIFS('[1]2025年已发货'!$E:$E,'[1]2025年已发货'!$F:$F,C3267,'[1]2025年已发货'!$C:$C,F3267,'[1]2025年已发货'!$G:$G,I3267,'[1]2025年已发货'!$H:$H,J3267)=0,"未发货",SUMIFS('[1]2025年已发货'!$E:$E,'[1]2025年已发货'!$F:$F,C3267,'[1]2025年已发货'!$C:$C,F3267,'[1]2025年已发货'!$G:$G,I3267,'[1]2025年已发货'!$H:$H,J3267))</f>
        <v>5</v>
      </c>
      <c r="I3267" s="113" t="str">
        <f>VLOOKUP(B3267,辅助信息!E:I,3,FALSE)</f>
        <v>（商投建工达州中医药科技园-1工区）达州市通川区达州中医药职业学院犀牛大道北段</v>
      </c>
      <c r="J3267" s="113" t="str">
        <f>VLOOKUP(B3267,辅助信息!E:I,4,FALSE)</f>
        <v>程黄刚</v>
      </c>
      <c r="K3267" s="113">
        <f>VLOOKUP(J3267,辅助信息!H:I,2,FALSE)</f>
        <v>15108211617</v>
      </c>
      <c r="L3267" s="115" t="str">
        <f>VLOOKUP(B3267,辅助信息!E:J,6,FALSE)</f>
        <v>控制炉批号！多了现场不收！,优先安排达钢,提前联系到场规格及数量</v>
      </c>
      <c r="M3267" s="84">
        <v>45904</v>
      </c>
      <c r="N3267" s="55" t="s">
        <v>214</v>
      </c>
      <c r="O3267" s="55">
        <f ca="1" t="shared" si="184"/>
        <v>0</v>
      </c>
      <c r="P3267" s="137">
        <f ca="1" t="shared" si="185"/>
        <v>53</v>
      </c>
      <c r="Q3267" s="22" t="str">
        <f>VLOOKUP(B3267,辅助信息!E:M,9,FALSE)</f>
        <v>ZTWM-CDGS-XS-2024-0134-商投建工达州中医药科技成果示范园项目</v>
      </c>
      <c r="R3267" s="138" t="str">
        <f>_xlfn._xlws.FILTER(辅助信息!D:D,辅助信息!E:E=B3267)</f>
        <v>商投建工达州中医药科技园</v>
      </c>
    </row>
    <row r="3268" hidden="1" spans="2:18">
      <c r="B3268" s="113" t="s">
        <v>68</v>
      </c>
      <c r="C3268" s="63">
        <v>45905</v>
      </c>
      <c r="D3268" s="113" t="str">
        <f>VLOOKUP(B3268,辅助信息!E:K,7,FALSE)</f>
        <v>JWDDCD2025052800131</v>
      </c>
      <c r="E3268" s="113" t="str">
        <f>VLOOKUP(F3268,辅助信息!A:B,2,FALSE)</f>
        <v>螺纹钢</v>
      </c>
      <c r="F3268" s="113" t="s">
        <v>30</v>
      </c>
      <c r="G3268" s="114">
        <v>42</v>
      </c>
      <c r="H3268" s="127">
        <f>IF(SUMIFS('[1]2025年已发货'!$E:$E,'[1]2025年已发货'!$F:$F,C3268,'[1]2025年已发货'!$C:$C,F3268,'[1]2025年已发货'!$G:$G,I3268,'[1]2025年已发货'!$H:$H,J3268)=0,"未发货",SUMIFS('[1]2025年已发货'!$E:$E,'[1]2025年已发货'!$F:$F,C3268,'[1]2025年已发货'!$C:$C,F3268,'[1]2025年已发货'!$G:$G,I3268,'[1]2025年已发货'!$H:$H,J3268))</f>
        <v>42</v>
      </c>
      <c r="I3268" s="113" t="str">
        <f>VLOOKUP(B3268,辅助信息!E:I,3,FALSE)</f>
        <v>（商投建工达州中医药科技园-2工区-景观桥）达州市通川区达州中医药职业学院犀牛大道北段</v>
      </c>
      <c r="J3268" s="113" t="str">
        <f>VLOOKUP(B3268,辅助信息!E:I,4,FALSE)</f>
        <v>李波</v>
      </c>
      <c r="K3268" s="113">
        <f>VLOOKUP(J3268,辅助信息!H:I,2,FALSE)</f>
        <v>18381899787</v>
      </c>
      <c r="L3268" s="115" t="str">
        <f>VLOOKUP(B3268,辅助信息!E:J,6,FALSE)</f>
        <v>控制炉批号！多了现场不收！,优先安排达钢,提前联系到场规格及数量</v>
      </c>
      <c r="M3268" s="84">
        <v>45904</v>
      </c>
      <c r="N3268" s="55" t="s">
        <v>214</v>
      </c>
      <c r="O3268" s="55">
        <f ca="1" t="shared" si="184"/>
        <v>0</v>
      </c>
      <c r="P3268" s="137">
        <f ca="1" t="shared" si="185"/>
        <v>53</v>
      </c>
      <c r="Q3268" s="22" t="str">
        <f>VLOOKUP(B3268,辅助信息!E:M,9,FALSE)</f>
        <v>ZTWM-CDGS-XS-2024-0134-商投建工达州中医药科技成果示范园项目</v>
      </c>
      <c r="R3268" s="138" t="str">
        <f>_xlfn._xlws.FILTER(辅助信息!D:D,辅助信息!E:E=B3268)</f>
        <v>商投建工达州中医药科技园</v>
      </c>
    </row>
    <row r="3269" hidden="1" spans="2:18">
      <c r="B3269" s="113" t="s">
        <v>68</v>
      </c>
      <c r="C3269" s="63">
        <v>45906</v>
      </c>
      <c r="D3269" s="113" t="str">
        <f>VLOOKUP(B3269,辅助信息!E:K,7,FALSE)</f>
        <v>JWDDCD2025052800131</v>
      </c>
      <c r="E3269" s="113" t="str">
        <f>VLOOKUP(F3269,辅助信息!A:B,2,FALSE)</f>
        <v>螺纹钢</v>
      </c>
      <c r="F3269" s="113" t="s">
        <v>28</v>
      </c>
      <c r="G3269" s="114">
        <v>15</v>
      </c>
      <c r="H3269" s="127"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13" t="str">
        <f>VLOOKUP(B3269,辅助信息!E:I,3,FALSE)</f>
        <v>（商投建工达州中医药科技园-2工区-景观桥）达州市通川区达州中医药职业学院犀牛大道北段</v>
      </c>
      <c r="J3269" s="113" t="str">
        <f>VLOOKUP(B3269,辅助信息!E:I,4,FALSE)</f>
        <v>李波</v>
      </c>
      <c r="K3269" s="113">
        <f>VLOOKUP(J3269,辅助信息!H:I,2,FALSE)</f>
        <v>18381899787</v>
      </c>
      <c r="L3269" s="115" t="str">
        <f>VLOOKUP(B3269,辅助信息!E:J,6,FALSE)</f>
        <v>控制炉批号！多了现场不收！,优先安排达钢,提前联系到场规格及数量</v>
      </c>
      <c r="M3269" s="84">
        <v>45904</v>
      </c>
      <c r="N3269" s="55" t="s">
        <v>214</v>
      </c>
      <c r="O3269" s="55">
        <f ca="1" t="shared" si="184"/>
        <v>0</v>
      </c>
      <c r="P3269" s="137">
        <f ca="1" t="shared" si="185"/>
        <v>53</v>
      </c>
      <c r="Q3269" s="22" t="str">
        <f>VLOOKUP(B3269,辅助信息!E:M,9,FALSE)</f>
        <v>ZTWM-CDGS-XS-2024-0134-商投建工达州中医药科技成果示范园项目</v>
      </c>
      <c r="R3269" s="138" t="str">
        <f>_xlfn._xlws.FILTER(辅助信息!D:D,辅助信息!E:E=B3269)</f>
        <v>商投建工达州中医药科技园</v>
      </c>
    </row>
    <row r="3270" hidden="1" spans="2:18">
      <c r="B3270" s="113" t="s">
        <v>163</v>
      </c>
      <c r="C3270" s="63">
        <v>45906</v>
      </c>
      <c r="D3270" s="113" t="str">
        <f>VLOOKUP(B3270,辅助信息!E:K,7,FALSE)</f>
        <v>JWDDCD2025052800131</v>
      </c>
      <c r="E3270" s="113" t="str">
        <f>VLOOKUP(F3270,辅助信息!A:B,2,FALSE)</f>
        <v>盘螺</v>
      </c>
      <c r="F3270" s="113" t="s">
        <v>40</v>
      </c>
      <c r="G3270" s="114">
        <v>15</v>
      </c>
      <c r="H3270" s="127"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13" t="str">
        <f>VLOOKUP(B3270,辅助信息!E:I,3,FALSE)</f>
        <v>（商投建工达州中医药科技园-4工区-9号楼）达州市通川区达州中医药职业学院犀牛大道北段</v>
      </c>
      <c r="J3270" s="113" t="str">
        <f>VLOOKUP(B3270,辅助信息!E:I,4,FALSE)</f>
        <v>张扬</v>
      </c>
      <c r="K3270" s="113">
        <f>VLOOKUP(J3270,辅助信息!H:I,2,FALSE)</f>
        <v>18381904567</v>
      </c>
      <c r="L3270" s="115" t="str">
        <f>VLOOKUP(B3270,辅助信息!E:J,6,FALSE)</f>
        <v>控制炉批号！多了现场不收！,优先安排达钢,提前联系到场规格及数量</v>
      </c>
      <c r="M3270" s="84">
        <v>45903</v>
      </c>
      <c r="O3270" s="55">
        <f ca="1" t="shared" si="184"/>
        <v>0</v>
      </c>
      <c r="P3270" s="55">
        <f ca="1" t="shared" si="185"/>
        <v>54</v>
      </c>
      <c r="Q3270" s="22" t="str">
        <f>VLOOKUP(B3270,辅助信息!E:M,9,FALSE)</f>
        <v>ZTWM-CDGS-XS-2024-0134-商投建工达州中医药科技成果示范园项目</v>
      </c>
      <c r="R3270" s="22" t="str">
        <f>_xlfn._xlws.FILTER(辅助信息!D:D,辅助信息!E:E=B3270)</f>
        <v>商投建工达州中医药科技园</v>
      </c>
    </row>
    <row r="3271" hidden="1" spans="2:18">
      <c r="B3271" s="113" t="s">
        <v>160</v>
      </c>
      <c r="C3271" s="63">
        <v>45904</v>
      </c>
      <c r="D3271" s="113" t="str">
        <f>VLOOKUP(B3271,辅助信息!E:K,7,FALSE)</f>
        <v>JWDDCD2025071500024</v>
      </c>
      <c r="E3271" s="113" t="str">
        <f>VLOOKUP(F3271,辅助信息!A:B,2,FALSE)</f>
        <v>螺纹钢</v>
      </c>
      <c r="F3271" s="113" t="s">
        <v>19</v>
      </c>
      <c r="G3271" s="114">
        <v>3</v>
      </c>
      <c r="H3271" s="127">
        <f>IF(SUMIFS('[1]2025年已发货'!$E:$E,'[1]2025年已发货'!$F:$F,C3271,'[1]2025年已发货'!$C:$C,F3271,'[1]2025年已发货'!$G:$G,I3271,'[1]2025年已发货'!$H:$H,J3271)=0,"未发货",SUMIFS('[1]2025年已发货'!$E:$E,'[1]2025年已发货'!$F:$F,C3271,'[1]2025年已发货'!$C:$C,F3271,'[1]2025年已发货'!$G:$G,I3271,'[1]2025年已发货'!$H:$H,J3271))</f>
        <v>3</v>
      </c>
      <c r="I3271" s="113" t="str">
        <f>VLOOKUP(B3271,辅助信息!E:I,3,FALSE)</f>
        <v>(中铁三局集团西渝高铁康渝段站房四标工程)重庆市九龙坡区华祥支路与华祥路交叉口重庆建工重庆西站TOD项目部</v>
      </c>
      <c r="J3271" s="113" t="str">
        <f>VLOOKUP(B3271,辅助信息!E:I,4,FALSE)</f>
        <v>卢庆江</v>
      </c>
      <c r="K3271" s="113">
        <f>VLOOKUP(J3271,辅助信息!H:I,2,FALSE)</f>
        <v>18883488177</v>
      </c>
      <c r="L3271" s="115" t="str">
        <f>VLOOKUP(B3271,辅助信息!E:J,6,FALSE)</f>
        <v>炉批号尽可能不要多</v>
      </c>
      <c r="M3271" s="84">
        <v>45906</v>
      </c>
      <c r="O3271" s="55">
        <f ca="1" t="shared" si="184"/>
        <v>0</v>
      </c>
      <c r="P3271" s="55">
        <f ca="1" t="shared" si="185"/>
        <v>51</v>
      </c>
      <c r="Q3271" s="22" t="str">
        <f>VLOOKUP(B3271,辅助信息!E:M,9,FALSE)</f>
        <v>ZTWM-CDGS-XS-2025-0029-中铁三局集团有限公司-西渝高铁康渝段站房四标项目</v>
      </c>
      <c r="R3271" s="22" t="str">
        <f>_xlfn._xlws.FILTER(辅助信息!D:D,辅助信息!E:E=B3271)</f>
        <v>中铁三局集团西渝高铁康渝段站房四标工程</v>
      </c>
    </row>
    <row r="3272" hidden="1" spans="2:18">
      <c r="B3272" s="113" t="s">
        <v>160</v>
      </c>
      <c r="C3272" s="63">
        <v>45904</v>
      </c>
      <c r="D3272" s="113" t="str">
        <f>VLOOKUP(B3272,辅助信息!E:K,7,FALSE)</f>
        <v>JWDDCD2025071500024</v>
      </c>
      <c r="E3272" s="113" t="str">
        <f>VLOOKUP(F3272,辅助信息!A:B,2,FALSE)</f>
        <v>螺纹钢</v>
      </c>
      <c r="F3272" s="113" t="s">
        <v>32</v>
      </c>
      <c r="G3272" s="114">
        <v>12</v>
      </c>
      <c r="H3272" s="127">
        <f>IF(SUMIFS('[1]2025年已发货'!$E:$E,'[1]2025年已发货'!$F:$F,C3272,'[1]2025年已发货'!$C:$C,F3272,'[1]2025年已发货'!$G:$G,I3272,'[1]2025年已发货'!$H:$H,J3272)=0,"未发货",SUMIFS('[1]2025年已发货'!$E:$E,'[1]2025年已发货'!$F:$F,C3272,'[1]2025年已发货'!$C:$C,F3272,'[1]2025年已发货'!$G:$G,I3272,'[1]2025年已发货'!$H:$H,J3272))</f>
        <v>12</v>
      </c>
      <c r="I3272" s="113" t="str">
        <f>VLOOKUP(B3272,辅助信息!E:I,3,FALSE)</f>
        <v>(中铁三局集团西渝高铁康渝段站房四标工程)重庆市九龙坡区华祥支路与华祥路交叉口重庆建工重庆西站TOD项目部</v>
      </c>
      <c r="J3272" s="113" t="str">
        <f>VLOOKUP(B3272,辅助信息!E:I,4,FALSE)</f>
        <v>卢庆江</v>
      </c>
      <c r="K3272" s="113">
        <f>VLOOKUP(J3272,辅助信息!H:I,2,FALSE)</f>
        <v>18883488177</v>
      </c>
      <c r="L3272" s="115" t="str">
        <f>VLOOKUP(B3272,辅助信息!E:J,6,FALSE)</f>
        <v>炉批号尽可能不要多</v>
      </c>
      <c r="M3272" s="84">
        <v>45906</v>
      </c>
      <c r="O3272" s="55">
        <f ca="1" t="shared" si="184"/>
        <v>0</v>
      </c>
      <c r="P3272" s="55">
        <f ca="1" t="shared" si="185"/>
        <v>51</v>
      </c>
      <c r="Q3272" s="22" t="str">
        <f>VLOOKUP(B3272,辅助信息!E:M,9,FALSE)</f>
        <v>ZTWM-CDGS-XS-2025-0029-中铁三局集团有限公司-西渝高铁康渝段站房四标项目</v>
      </c>
      <c r="R3272" s="22" t="str">
        <f>_xlfn._xlws.FILTER(辅助信息!D:D,辅助信息!E:E=B3272)</f>
        <v>中铁三局集团西渝高铁康渝段站房四标工程</v>
      </c>
    </row>
    <row r="3273" hidden="1" spans="2:18">
      <c r="B3273" s="113" t="s">
        <v>160</v>
      </c>
      <c r="C3273" s="63">
        <v>45904</v>
      </c>
      <c r="D3273" s="113" t="str">
        <f>VLOOKUP(B3273,辅助信息!E:K,7,FALSE)</f>
        <v>JWDDCD2025071500024</v>
      </c>
      <c r="E3273" s="113" t="str">
        <f>VLOOKUP(F3273,辅助信息!A:B,2,FALSE)</f>
        <v>螺纹钢</v>
      </c>
      <c r="F3273" s="113" t="s">
        <v>30</v>
      </c>
      <c r="G3273" s="114">
        <v>9</v>
      </c>
      <c r="H3273" s="127">
        <f>IF(SUMIFS('[1]2025年已发货'!$E:$E,'[1]2025年已发货'!$F:$F,C3273,'[1]2025年已发货'!$C:$C,F3273,'[1]2025年已发货'!$G:$G,I3273,'[1]2025年已发货'!$H:$H,J3273)=0,"未发货",SUMIFS('[1]2025年已发货'!$E:$E,'[1]2025年已发货'!$F:$F,C3273,'[1]2025年已发货'!$C:$C,F3273,'[1]2025年已发货'!$G:$G,I3273,'[1]2025年已发货'!$H:$H,J3273))</f>
        <v>12</v>
      </c>
      <c r="I3273" s="113" t="str">
        <f>VLOOKUP(B3273,辅助信息!E:I,3,FALSE)</f>
        <v>(中铁三局集团西渝高铁康渝段站房四标工程)重庆市九龙坡区华祥支路与华祥路交叉口重庆建工重庆西站TOD项目部</v>
      </c>
      <c r="J3273" s="113" t="str">
        <f>VLOOKUP(B3273,辅助信息!E:I,4,FALSE)</f>
        <v>卢庆江</v>
      </c>
      <c r="K3273" s="113">
        <f>VLOOKUP(J3273,辅助信息!H:I,2,FALSE)</f>
        <v>18883488177</v>
      </c>
      <c r="L3273" s="115" t="str">
        <f>VLOOKUP(B3273,辅助信息!E:J,6,FALSE)</f>
        <v>炉批号尽可能不要多</v>
      </c>
      <c r="M3273" s="84">
        <v>45906</v>
      </c>
      <c r="O3273" s="55">
        <f ca="1" t="shared" si="184"/>
        <v>0</v>
      </c>
      <c r="P3273" s="55">
        <f ca="1" t="shared" si="185"/>
        <v>51</v>
      </c>
      <c r="Q3273" s="22" t="str">
        <f>VLOOKUP(B3273,辅助信息!E:M,9,FALSE)</f>
        <v>ZTWM-CDGS-XS-2025-0029-中铁三局集团有限公司-西渝高铁康渝段站房四标项目</v>
      </c>
      <c r="R3273" s="22" t="str">
        <f>_xlfn._xlws.FILTER(辅助信息!D:D,辅助信息!E:E=B3273)</f>
        <v>中铁三局集团西渝高铁康渝段站房四标工程</v>
      </c>
    </row>
    <row r="3274" hidden="1" spans="2:18">
      <c r="B3274" s="113" t="s">
        <v>160</v>
      </c>
      <c r="C3274" s="63">
        <v>45904</v>
      </c>
      <c r="D3274" s="113" t="str">
        <f>VLOOKUP(B3274,辅助信息!E:K,7,FALSE)</f>
        <v>JWDDCD2025071500024</v>
      </c>
      <c r="E3274" s="113" t="str">
        <f>VLOOKUP(F3274,辅助信息!A:B,2,FALSE)</f>
        <v>螺纹钢</v>
      </c>
      <c r="F3274" s="113" t="s">
        <v>33</v>
      </c>
      <c r="G3274" s="114">
        <v>30</v>
      </c>
      <c r="H3274" s="127">
        <f>IF(SUMIFS('[1]2025年已发货'!$E:$E,'[1]2025年已发货'!$F:$F,C3274,'[1]2025年已发货'!$C:$C,F3274,'[1]2025年已发货'!$G:$G,I3274,'[1]2025年已发货'!$H:$H,J3274)=0,"未发货",SUMIFS('[1]2025年已发货'!$E:$E,'[1]2025年已发货'!$F:$F,C3274,'[1]2025年已发货'!$C:$C,F3274,'[1]2025年已发货'!$G:$G,I3274,'[1]2025年已发货'!$H:$H,J3274))</f>
        <v>33</v>
      </c>
      <c r="I3274" s="113" t="str">
        <f>VLOOKUP(B3274,辅助信息!E:I,3,FALSE)</f>
        <v>(中铁三局集团西渝高铁康渝段站房四标工程)重庆市九龙坡区华祥支路与华祥路交叉口重庆建工重庆西站TOD项目部</v>
      </c>
      <c r="J3274" s="113" t="str">
        <f>VLOOKUP(B3274,辅助信息!E:I,4,FALSE)</f>
        <v>卢庆江</v>
      </c>
      <c r="K3274" s="113">
        <f>VLOOKUP(J3274,辅助信息!H:I,2,FALSE)</f>
        <v>18883488177</v>
      </c>
      <c r="L3274" s="115" t="str">
        <f>VLOOKUP(B3274,辅助信息!E:J,6,FALSE)</f>
        <v>炉批号尽可能不要多</v>
      </c>
      <c r="M3274" s="84">
        <v>45906</v>
      </c>
      <c r="O3274" s="55">
        <f ca="1" t="shared" si="184"/>
        <v>0</v>
      </c>
      <c r="P3274" s="55">
        <f ca="1" t="shared" si="185"/>
        <v>51</v>
      </c>
      <c r="Q3274" s="22" t="str">
        <f>VLOOKUP(B3274,辅助信息!E:M,9,FALSE)</f>
        <v>ZTWM-CDGS-XS-2025-0029-中铁三局集团有限公司-西渝高铁康渝段站房四标项目</v>
      </c>
      <c r="R3274" s="22" t="str">
        <f>_xlfn._xlws.FILTER(辅助信息!D:D,辅助信息!E:E=B3274)</f>
        <v>中铁三局集团西渝高铁康渝段站房四标工程</v>
      </c>
    </row>
    <row r="3275" hidden="1" spans="2:18">
      <c r="B3275" s="113" t="s">
        <v>160</v>
      </c>
      <c r="C3275" s="63">
        <v>45904</v>
      </c>
      <c r="D3275" s="113" t="str">
        <f>VLOOKUP(B3275,辅助信息!E:K,7,FALSE)</f>
        <v>JWDDCD2025071500024</v>
      </c>
      <c r="E3275" s="113" t="str">
        <f>VLOOKUP(F3275,辅助信息!A:B,2,FALSE)</f>
        <v>螺纹钢</v>
      </c>
      <c r="F3275" s="113" t="s">
        <v>28</v>
      </c>
      <c r="G3275" s="114">
        <v>21</v>
      </c>
      <c r="H3275" s="127">
        <f>IF(SUMIFS('[1]2025年已发货'!$E:$E,'[1]2025年已发货'!$F:$F,C3275,'[1]2025年已发货'!$C:$C,F3275,'[1]2025年已发货'!$G:$G,I3275,'[1]2025年已发货'!$H:$H,J3275)=0,"未发货",SUMIFS('[1]2025年已发货'!$E:$E,'[1]2025年已发货'!$F:$F,C3275,'[1]2025年已发货'!$C:$C,F3275,'[1]2025年已发货'!$G:$G,I3275,'[1]2025年已发货'!$H:$H,J3275))</f>
        <v>20</v>
      </c>
      <c r="I3275" s="113" t="str">
        <f>VLOOKUP(B3275,辅助信息!E:I,3,FALSE)</f>
        <v>(中铁三局集团西渝高铁康渝段站房四标工程)重庆市九龙坡区华祥支路与华祥路交叉口重庆建工重庆西站TOD项目部</v>
      </c>
      <c r="J3275" s="113" t="str">
        <f>VLOOKUP(B3275,辅助信息!E:I,4,FALSE)</f>
        <v>卢庆江</v>
      </c>
      <c r="K3275" s="113">
        <f>VLOOKUP(J3275,辅助信息!H:I,2,FALSE)</f>
        <v>18883488177</v>
      </c>
      <c r="L3275" s="115" t="str">
        <f>VLOOKUP(B3275,辅助信息!E:J,6,FALSE)</f>
        <v>炉批号尽可能不要多</v>
      </c>
      <c r="M3275" s="84">
        <v>45906</v>
      </c>
      <c r="O3275" s="55">
        <f ca="1" t="shared" si="184"/>
        <v>0</v>
      </c>
      <c r="P3275" s="55">
        <f ca="1" t="shared" si="185"/>
        <v>51</v>
      </c>
      <c r="Q3275" s="22" t="str">
        <f>VLOOKUP(B3275,辅助信息!E:M,9,FALSE)</f>
        <v>ZTWM-CDGS-XS-2025-0029-中铁三局集团有限公司-西渝高铁康渝段站房四标项目</v>
      </c>
      <c r="R3275" s="22" t="str">
        <f>_xlfn._xlws.FILTER(辅助信息!D:D,辅助信息!E:E=B3275)</f>
        <v>中铁三局集团西渝高铁康渝段站房四标工程</v>
      </c>
    </row>
    <row r="3276" hidden="1" spans="2:18">
      <c r="B3276" s="113" t="s">
        <v>160</v>
      </c>
      <c r="C3276" s="63">
        <v>45904</v>
      </c>
      <c r="D3276" s="113" t="str">
        <f>VLOOKUP(B3276,辅助信息!E:K,7,FALSE)</f>
        <v>JWDDCD2025071500024</v>
      </c>
      <c r="E3276" s="113" t="str">
        <f>VLOOKUP(F3276,辅助信息!A:B,2,FALSE)</f>
        <v>螺纹钢</v>
      </c>
      <c r="F3276" s="113" t="s">
        <v>18</v>
      </c>
      <c r="G3276" s="114">
        <v>24</v>
      </c>
      <c r="H3276" s="127">
        <f>IF(SUMIFS('[1]2025年已发货'!$E:$E,'[1]2025年已发货'!$F:$F,C3276,'[1]2025年已发货'!$C:$C,F3276,'[1]2025年已发货'!$G:$G,I3276,'[1]2025年已发货'!$H:$H,J3276)=0,"未发货",SUMIFS('[1]2025年已发货'!$E:$E,'[1]2025年已发货'!$F:$F,C3276,'[1]2025年已发货'!$C:$C,F3276,'[1]2025年已发货'!$G:$G,I3276,'[1]2025年已发货'!$H:$H,J3276))</f>
        <v>24</v>
      </c>
      <c r="I3276" s="113" t="str">
        <f>VLOOKUP(B3276,辅助信息!E:I,3,FALSE)</f>
        <v>(中铁三局集团西渝高铁康渝段站房四标工程)重庆市九龙坡区华祥支路与华祥路交叉口重庆建工重庆西站TOD项目部</v>
      </c>
      <c r="J3276" s="113" t="str">
        <f>VLOOKUP(B3276,辅助信息!E:I,4,FALSE)</f>
        <v>卢庆江</v>
      </c>
      <c r="K3276" s="113">
        <f>VLOOKUP(J3276,辅助信息!H:I,2,FALSE)</f>
        <v>18883488177</v>
      </c>
      <c r="L3276" s="115" t="str">
        <f>VLOOKUP(B3276,辅助信息!E:J,6,FALSE)</f>
        <v>炉批号尽可能不要多</v>
      </c>
      <c r="M3276" s="84">
        <v>45906</v>
      </c>
      <c r="O3276" s="55">
        <f ca="1" t="shared" si="184"/>
        <v>0</v>
      </c>
      <c r="P3276" s="55">
        <f ca="1" t="shared" si="185"/>
        <v>51</v>
      </c>
      <c r="Q3276" s="22" t="str">
        <f>VLOOKUP(B3276,辅助信息!E:M,9,FALSE)</f>
        <v>ZTWM-CDGS-XS-2025-0029-中铁三局集团有限公司-西渝高铁康渝段站房四标项目</v>
      </c>
      <c r="R3276" s="22" t="str">
        <f>_xlfn._xlws.FILTER(辅助信息!D:D,辅助信息!E:E=B3276)</f>
        <v>中铁三局集团西渝高铁康渝段站房四标工程</v>
      </c>
    </row>
    <row r="3277" hidden="1" spans="2:18">
      <c r="B3277" s="113" t="s">
        <v>186</v>
      </c>
      <c r="C3277" s="63">
        <v>45906</v>
      </c>
      <c r="D3277" s="113" t="str">
        <f>VLOOKUP(B3277,辅助信息!E:K,7,FALSE)</f>
        <v>JWDDCD2025072900123</v>
      </c>
      <c r="E3277" s="113" t="str">
        <f>VLOOKUP(F3277,辅助信息!A:B,2,FALSE)</f>
        <v>螺纹钢</v>
      </c>
      <c r="F3277" s="113" t="s">
        <v>90</v>
      </c>
      <c r="G3277" s="114">
        <v>8</v>
      </c>
      <c r="H3277" s="127"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13" t="str">
        <f>VLOOKUP(B3277,辅助信息!E:I,3,FALSE)</f>
        <v>(乐山市校地共建产教融合基地建设项目二标段)四川省乐山市市中区苏稽镇</v>
      </c>
      <c r="J3277" s="113" t="str">
        <f>VLOOKUP(B3277,辅助信息!E:I,4,FALSE)</f>
        <v>彭江涛</v>
      </c>
      <c r="K3277" s="113">
        <f>VLOOKUP(J3277,辅助信息!H:I,2,FALSE)</f>
        <v>13990276572</v>
      </c>
      <c r="L3277" s="115" t="str">
        <f>VLOOKUP(B3277,辅助信息!E:J,6,FALSE)</f>
        <v>联系实际收货人（彭江涛13990276572）现场要求炉批号控制2个以下，超2个不给予签收。提前联系到场规格及数量</v>
      </c>
      <c r="M3277" s="84">
        <v>45903</v>
      </c>
      <c r="O3277" s="55">
        <f ca="1" t="shared" si="184"/>
        <v>0</v>
      </c>
      <c r="P3277" s="55">
        <f ca="1" t="shared" si="185"/>
        <v>54</v>
      </c>
      <c r="Q3277" s="22" t="str">
        <f>VLOOKUP(B3277,辅助信息!E:M,9,FALSE)</f>
        <v>ZTWM-CDGS-XS-2025-0126-四川机司-乐山市校地共建产教融合基地配套设施项目施工二标段钢筋采购合同</v>
      </c>
      <c r="R3277" s="22" t="str">
        <f>_xlfn._xlws.FILTER(辅助信息!D:D,辅助信息!E:E=B3277)</f>
        <v>乐山市校地共建产教融合基地建设项目二标段</v>
      </c>
    </row>
    <row r="3278" hidden="1" spans="2:18">
      <c r="B3278" s="113" t="s">
        <v>186</v>
      </c>
      <c r="C3278" s="63">
        <v>45906</v>
      </c>
      <c r="D3278" s="113" t="str">
        <f>VLOOKUP(B3278,辅助信息!E:K,7,FALSE)</f>
        <v>JWDDCD2025072900123</v>
      </c>
      <c r="E3278" s="113" t="str">
        <f>VLOOKUP(F3278,辅助信息!A:B,2,FALSE)</f>
        <v>螺纹钢</v>
      </c>
      <c r="F3278" s="113" t="s">
        <v>130</v>
      </c>
      <c r="G3278" s="114">
        <v>5</v>
      </c>
      <c r="H3278" s="127"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13" t="str">
        <f>VLOOKUP(B3278,辅助信息!E:I,3,FALSE)</f>
        <v>(乐山市校地共建产教融合基地建设项目二标段)四川省乐山市市中区苏稽镇</v>
      </c>
      <c r="J3278" s="113" t="str">
        <f>VLOOKUP(B3278,辅助信息!E:I,4,FALSE)</f>
        <v>彭江涛</v>
      </c>
      <c r="K3278" s="113">
        <f>VLOOKUP(J3278,辅助信息!H:I,2,FALSE)</f>
        <v>13990276572</v>
      </c>
      <c r="L3278" s="115" t="str">
        <f>VLOOKUP(B3278,辅助信息!E:J,6,FALSE)</f>
        <v>联系实际收货人（彭江涛13990276572）现场要求炉批号控制2个以下，超2个不给予签收。提前联系到场规格及数量</v>
      </c>
      <c r="M3278" s="84">
        <v>45903</v>
      </c>
      <c r="O3278" s="55">
        <f ca="1" t="shared" si="184"/>
        <v>0</v>
      </c>
      <c r="P3278" s="55">
        <f ca="1" t="shared" si="185"/>
        <v>54</v>
      </c>
      <c r="Q3278" s="22" t="str">
        <f>VLOOKUP(B3278,辅助信息!E:M,9,FALSE)</f>
        <v>ZTWM-CDGS-XS-2025-0126-四川机司-乐山市校地共建产教融合基地配套设施项目施工二标段钢筋采购合同</v>
      </c>
      <c r="R3278" s="22" t="str">
        <f>_xlfn._xlws.FILTER(辅助信息!D:D,辅助信息!E:E=B3278)</f>
        <v>乐山市校地共建产教融合基地建设项目二标段</v>
      </c>
    </row>
    <row r="3279" hidden="1" spans="2:18">
      <c r="B3279" s="113" t="s">
        <v>186</v>
      </c>
      <c r="C3279" s="63">
        <v>45906</v>
      </c>
      <c r="D3279" s="113" t="str">
        <f>VLOOKUP(B3279,辅助信息!E:K,7,FALSE)</f>
        <v>JWDDCD2025072900123</v>
      </c>
      <c r="E3279" s="113" t="str">
        <f>VLOOKUP(F3279,辅助信息!A:B,2,FALSE)</f>
        <v>螺纹钢</v>
      </c>
      <c r="F3279" s="113" t="s">
        <v>138</v>
      </c>
      <c r="G3279" s="114">
        <v>5</v>
      </c>
      <c r="H3279" s="127"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13" t="str">
        <f>VLOOKUP(B3279,辅助信息!E:I,3,FALSE)</f>
        <v>(乐山市校地共建产教融合基地建设项目二标段)四川省乐山市市中区苏稽镇</v>
      </c>
      <c r="J3279" s="113" t="str">
        <f>VLOOKUP(B3279,辅助信息!E:I,4,FALSE)</f>
        <v>彭江涛</v>
      </c>
      <c r="K3279" s="113">
        <f>VLOOKUP(J3279,辅助信息!H:I,2,FALSE)</f>
        <v>13990276572</v>
      </c>
      <c r="L3279" s="115" t="str">
        <f>VLOOKUP(B3279,辅助信息!E:J,6,FALSE)</f>
        <v>联系实际收货人（彭江涛13990276572）现场要求炉批号控制2个以下，超2个不给予签收。提前联系到场规格及数量</v>
      </c>
      <c r="M3279" s="84">
        <v>45903</v>
      </c>
      <c r="O3279" s="55">
        <f ca="1" t="shared" si="184"/>
        <v>0</v>
      </c>
      <c r="P3279" s="55">
        <f ca="1" t="shared" si="185"/>
        <v>54</v>
      </c>
      <c r="Q3279" s="22" t="str">
        <f>VLOOKUP(B3279,辅助信息!E:M,9,FALSE)</f>
        <v>ZTWM-CDGS-XS-2025-0126-四川机司-乐山市校地共建产教融合基地配套设施项目施工二标段钢筋采购合同</v>
      </c>
      <c r="R3279" s="22" t="str">
        <f>_xlfn._xlws.FILTER(辅助信息!D:D,辅助信息!E:E=B3279)</f>
        <v>乐山市校地共建产教融合基地建设项目二标段</v>
      </c>
    </row>
    <row r="3280" hidden="1" spans="2:18">
      <c r="B3280" s="113" t="s">
        <v>188</v>
      </c>
      <c r="C3280" s="63">
        <v>45908</v>
      </c>
      <c r="D3280" s="113" t="str">
        <f>VLOOKUP(B3280,辅助信息!E:K,7,FALSE)</f>
        <v>JWDDCD2025062200016</v>
      </c>
      <c r="E3280" s="113" t="str">
        <f>VLOOKUP(F3280,辅助信息!A:B,2,FALSE)</f>
        <v>盘螺</v>
      </c>
      <c r="F3280" s="113" t="s">
        <v>40</v>
      </c>
      <c r="G3280" s="114">
        <v>2</v>
      </c>
      <c r="H3280" s="127"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13" t="str">
        <f>VLOOKUP(B3280,辅助信息!E:I,3,FALSE)</f>
        <v>(武汉电气化局成达万高铁强电项目-达州主城区)四川省达州市达川区斌郎街道四川省达州市达川区洞洞湾256米</v>
      </c>
      <c r="J3280" s="113" t="str">
        <f>VLOOKUP(B3280,辅助信息!E:I,4,FALSE)</f>
        <v>余凡</v>
      </c>
      <c r="K3280" s="113">
        <f>VLOOKUP(J3280,辅助信息!H:I,2,FALSE)</f>
        <v>18228076992</v>
      </c>
      <c r="L3280" s="115" t="str">
        <f>VLOOKUP(B3280,辅助信息!E:J,6,FALSE)</f>
        <v>锈货不收！！下雨天钢筋没盖篷布不收！！，装货前联系收货人核实到场规格,没提前告知进场规格现场不给予接收</v>
      </c>
      <c r="M3280" s="84">
        <v>45905</v>
      </c>
      <c r="O3280" s="55">
        <f ca="1" t="shared" si="184"/>
        <v>0</v>
      </c>
      <c r="P3280" s="55">
        <f ca="1" t="shared" si="185"/>
        <v>52</v>
      </c>
      <c r="Q3280" s="22" t="str">
        <f>VLOOKUP(B3280,辅助信息!E:M,9,FALSE)</f>
        <v>ZTWM-CDGS-XS-2025-0033-中铁武汉电气化局集团有限公司成达万高速铁路强电工程项目</v>
      </c>
      <c r="R3280" s="22" t="str">
        <f>_xlfn._xlws.FILTER(辅助信息!D:D,辅助信息!E:E=B3280)</f>
        <v>武汉电气化局成达万高铁强电项目</v>
      </c>
    </row>
    <row r="3281" hidden="1" spans="2:18">
      <c r="B3281" s="113" t="s">
        <v>188</v>
      </c>
      <c r="C3281" s="63">
        <v>45908</v>
      </c>
      <c r="D3281" s="113" t="str">
        <f>VLOOKUP(B3281,辅助信息!E:K,7,FALSE)</f>
        <v>JWDDCD2025062200016</v>
      </c>
      <c r="E3281" s="113" t="str">
        <f>VLOOKUP(F3281,辅助信息!A:B,2,FALSE)</f>
        <v>盘螺</v>
      </c>
      <c r="F3281" s="113" t="s">
        <v>41</v>
      </c>
      <c r="G3281" s="114">
        <v>4</v>
      </c>
      <c r="H3281" s="127"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13" t="str">
        <f>VLOOKUP(B3281,辅助信息!E:I,3,FALSE)</f>
        <v>(武汉电气化局成达万高铁强电项目-达州主城区)四川省达州市达川区斌郎街道四川省达州市达川区洞洞湾256米</v>
      </c>
      <c r="J3281" s="113" t="str">
        <f>VLOOKUP(B3281,辅助信息!E:I,4,FALSE)</f>
        <v>余凡</v>
      </c>
      <c r="K3281" s="113">
        <f>VLOOKUP(J3281,辅助信息!H:I,2,FALSE)</f>
        <v>18228076992</v>
      </c>
      <c r="L3281" s="115" t="str">
        <f>VLOOKUP(B3281,辅助信息!E:J,6,FALSE)</f>
        <v>锈货不收！！下雨天钢筋没盖篷布不收！！，装货前联系收货人核实到场规格,没提前告知进场规格现场不给予接收</v>
      </c>
      <c r="M3281" s="84">
        <v>45905</v>
      </c>
      <c r="O3281" s="55">
        <f ca="1" t="shared" si="184"/>
        <v>0</v>
      </c>
      <c r="P3281" s="55">
        <f ca="1" t="shared" si="185"/>
        <v>52</v>
      </c>
      <c r="Q3281" s="22" t="str">
        <f>VLOOKUP(B3281,辅助信息!E:M,9,FALSE)</f>
        <v>ZTWM-CDGS-XS-2025-0033-中铁武汉电气化局集团有限公司成达万高速铁路强电工程项目</v>
      </c>
      <c r="R3281" s="22" t="str">
        <f>_xlfn._xlws.FILTER(辅助信息!D:D,辅助信息!E:E=B3281)</f>
        <v>武汉电气化局成达万高铁强电项目</v>
      </c>
    </row>
    <row r="3282" hidden="1" spans="2:18">
      <c r="B3282" s="113" t="s">
        <v>188</v>
      </c>
      <c r="C3282" s="63">
        <v>45904</v>
      </c>
      <c r="D3282" s="113" t="str">
        <f>VLOOKUP(B3282,辅助信息!E:K,7,FALSE)</f>
        <v>JWDDCD2025062200016</v>
      </c>
      <c r="E3282" s="113" t="str">
        <f>VLOOKUP(F3282,辅助信息!A:B,2,FALSE)</f>
        <v>螺纹钢</v>
      </c>
      <c r="F3282" s="113" t="s">
        <v>28</v>
      </c>
      <c r="G3282" s="114">
        <v>6</v>
      </c>
      <c r="H3282" s="127">
        <f>IF(SUMIFS('[1]2025年已发货'!$E:$E,'[1]2025年已发货'!$F:$F,C3282,'[1]2025年已发货'!$C:$C,F3282,'[1]2025年已发货'!$G:$G,I3282,'[1]2025年已发货'!$H:$H,J3282)=0,"未发货",SUMIFS('[1]2025年已发货'!$E:$E,'[1]2025年已发货'!$F:$F,C3282,'[1]2025年已发货'!$C:$C,F3282,'[1]2025年已发货'!$G:$G,I3282,'[1]2025年已发货'!$H:$H,J3282))</f>
        <v>6</v>
      </c>
      <c r="I3282" s="113" t="str">
        <f>VLOOKUP(B3282,辅助信息!E:I,3,FALSE)</f>
        <v>(武汉电气化局成达万高铁强电项目-达州主城区)四川省达州市达川区斌郎街道四川省达州市达川区洞洞湾256米</v>
      </c>
      <c r="J3282" s="113" t="str">
        <f>VLOOKUP(B3282,辅助信息!E:I,4,FALSE)</f>
        <v>余凡</v>
      </c>
      <c r="K3282" s="113">
        <f>VLOOKUP(J3282,辅助信息!H:I,2,FALSE)</f>
        <v>18228076992</v>
      </c>
      <c r="L3282" s="115" t="str">
        <f>VLOOKUP(B3282,辅助信息!E:J,6,FALSE)</f>
        <v>锈货不收！！下雨天钢筋没盖篷布不收！！，装货前联系收货人核实到场规格,没提前告知进场规格现场不给予接收</v>
      </c>
      <c r="M3282" s="84">
        <v>45905</v>
      </c>
      <c r="O3282" s="55">
        <f ca="1" t="shared" si="184"/>
        <v>0</v>
      </c>
      <c r="P3282" s="55">
        <f ca="1" t="shared" si="185"/>
        <v>52</v>
      </c>
      <c r="Q3282" s="22" t="str">
        <f>VLOOKUP(B3282,辅助信息!E:M,9,FALSE)</f>
        <v>ZTWM-CDGS-XS-2025-0033-中铁武汉电气化局集团有限公司成达万高速铁路强电工程项目</v>
      </c>
      <c r="R3282" s="22" t="str">
        <f>_xlfn._xlws.FILTER(辅助信息!D:D,辅助信息!E:E=B3282)</f>
        <v>武汉电气化局成达万高铁强电项目</v>
      </c>
    </row>
    <row r="3283" hidden="1" spans="2:18">
      <c r="B3283" s="113" t="s">
        <v>188</v>
      </c>
      <c r="C3283" s="63">
        <v>45908</v>
      </c>
      <c r="D3283" s="113" t="str">
        <f>VLOOKUP(B3283,辅助信息!E:K,7,FALSE)</f>
        <v>JWDDCD2025062200016</v>
      </c>
      <c r="E3283" s="113" t="str">
        <f>VLOOKUP(F3283,辅助信息!A:B,2,FALSE)</f>
        <v>螺纹钢</v>
      </c>
      <c r="F3283" s="113" t="s">
        <v>18</v>
      </c>
      <c r="G3283" s="114">
        <v>14</v>
      </c>
      <c r="H3283" s="127"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13" t="str">
        <f>VLOOKUP(B3283,辅助信息!E:I,3,FALSE)</f>
        <v>(武汉电气化局成达万高铁强电项目-达州主城区)四川省达州市达川区斌郎街道四川省达州市达川区洞洞湾256米</v>
      </c>
      <c r="J3283" s="113" t="str">
        <f>VLOOKUP(B3283,辅助信息!E:I,4,FALSE)</f>
        <v>余凡</v>
      </c>
      <c r="K3283" s="113">
        <f>VLOOKUP(J3283,辅助信息!H:I,2,FALSE)</f>
        <v>18228076992</v>
      </c>
      <c r="L3283" s="115" t="str">
        <f>VLOOKUP(B3283,辅助信息!E:J,6,FALSE)</f>
        <v>锈货不收！！下雨天钢筋没盖篷布不收！！，装货前联系收货人核实到场规格,没提前告知进场规格现场不给予接收</v>
      </c>
      <c r="M3283" s="84">
        <v>45905</v>
      </c>
      <c r="O3283" s="55">
        <f ca="1" t="shared" si="184"/>
        <v>0</v>
      </c>
      <c r="P3283" s="55">
        <f ca="1" t="shared" si="185"/>
        <v>52</v>
      </c>
      <c r="Q3283" s="22" t="str">
        <f>VLOOKUP(B3283,辅助信息!E:M,9,FALSE)</f>
        <v>ZTWM-CDGS-XS-2025-0033-中铁武汉电气化局集团有限公司成达万高速铁路强电工程项目</v>
      </c>
      <c r="R3283" s="22" t="str">
        <f>_xlfn._xlws.FILTER(辅助信息!D:D,辅助信息!E:E=B3283)</f>
        <v>武汉电气化局成达万高铁强电项目</v>
      </c>
    </row>
    <row r="3284" hidden="1" spans="2:18">
      <c r="B3284" s="113" t="s">
        <v>188</v>
      </c>
      <c r="C3284" s="63">
        <v>45904</v>
      </c>
      <c r="D3284" s="113" t="str">
        <f>VLOOKUP(B3284,辅助信息!E:K,7,FALSE)</f>
        <v>JWDDCD2025062200016</v>
      </c>
      <c r="E3284" s="113" t="str">
        <f>VLOOKUP(F3284,辅助信息!A:B,2,FALSE)</f>
        <v>螺纹钢</v>
      </c>
      <c r="F3284" s="113" t="s">
        <v>90</v>
      </c>
      <c r="G3284" s="114">
        <v>28</v>
      </c>
      <c r="H3284" s="127">
        <f>IF(SUMIFS('[1]2025年已发货'!$E:$E,'[1]2025年已发货'!$F:$F,C3284,'[1]2025年已发货'!$C:$C,F3284,'[1]2025年已发货'!$G:$G,I3284,'[1]2025年已发货'!$H:$H,J3284)=0,"未发货",SUMIFS('[1]2025年已发货'!$E:$E,'[1]2025年已发货'!$F:$F,C3284,'[1]2025年已发货'!$C:$C,F3284,'[1]2025年已发货'!$G:$G,I3284,'[1]2025年已发货'!$H:$H,J3284))</f>
        <v>28</v>
      </c>
      <c r="I3284" s="113" t="str">
        <f>VLOOKUP(B3284,辅助信息!E:I,3,FALSE)</f>
        <v>(武汉电气化局成达万高铁强电项目-达州主城区)四川省达州市达川区斌郎街道四川省达州市达川区洞洞湾256米</v>
      </c>
      <c r="J3284" s="113" t="str">
        <f>VLOOKUP(B3284,辅助信息!E:I,4,FALSE)</f>
        <v>余凡</v>
      </c>
      <c r="K3284" s="113">
        <f>VLOOKUP(J3284,辅助信息!H:I,2,FALSE)</f>
        <v>18228076992</v>
      </c>
      <c r="L3284" s="115" t="str">
        <f>VLOOKUP(B3284,辅助信息!E:J,6,FALSE)</f>
        <v>锈货不收！！下雨天钢筋没盖篷布不收！！，装货前联系收货人核实到场规格,没提前告知进场规格现场不给予接收</v>
      </c>
      <c r="M3284" s="84">
        <v>45905</v>
      </c>
      <c r="O3284" s="55">
        <f ca="1" t="shared" si="184"/>
        <v>0</v>
      </c>
      <c r="P3284" s="55">
        <f ca="1" t="shared" si="185"/>
        <v>52</v>
      </c>
      <c r="Q3284" s="22" t="str">
        <f>VLOOKUP(B3284,辅助信息!E:M,9,FALSE)</f>
        <v>ZTWM-CDGS-XS-2025-0033-中铁武汉电气化局集团有限公司成达万高速铁路强电工程项目</v>
      </c>
      <c r="R3284" s="22" t="str">
        <f>_xlfn._xlws.FILTER(辅助信息!D:D,辅助信息!E:E=B3284)</f>
        <v>武汉电气化局成达万高铁强电项目</v>
      </c>
    </row>
    <row r="3285" hidden="1" spans="2:18">
      <c r="B3285" s="113" t="s">
        <v>180</v>
      </c>
      <c r="C3285" s="63">
        <v>45905</v>
      </c>
      <c r="D3285" s="113" t="str">
        <f>VLOOKUP(B3285,辅助信息!E:K,7,FALSE)</f>
        <v>JWDDCD2025052800131</v>
      </c>
      <c r="E3285" s="113" t="str">
        <f>VLOOKUP(F3285,辅助信息!A:B,2,FALSE)</f>
        <v>盘螺</v>
      </c>
      <c r="F3285" s="113" t="s">
        <v>41</v>
      </c>
      <c r="G3285" s="114">
        <v>5</v>
      </c>
      <c r="H3285" s="127">
        <f>IF(SUMIFS('[1]2025年已发货'!$E:$E,'[1]2025年已发货'!$F:$F,C3285,'[1]2025年已发货'!$C:$C,F3285,'[1]2025年已发货'!$G:$G,I3285,'[1]2025年已发货'!$H:$H,J3285)=0,"未发货",SUMIFS('[1]2025年已发货'!$E:$E,'[1]2025年已发货'!$F:$F,C3285,'[1]2025年已发货'!$C:$C,F3285,'[1]2025年已发货'!$G:$G,I3285,'[1]2025年已发货'!$H:$H,J3285))</f>
        <v>5</v>
      </c>
      <c r="I3285" s="113" t="str">
        <f>VLOOKUP(B3285,辅助信息!E:I,3,FALSE)</f>
        <v>（商投建工达州中医药科技园-4工区-8号楼）达州市通川区达州中医药职业学院犀牛大道北段</v>
      </c>
      <c r="J3285" s="113" t="str">
        <f>VLOOKUP(B3285,辅助信息!E:I,4,FALSE)</f>
        <v>张扬</v>
      </c>
      <c r="K3285" s="113">
        <f>VLOOKUP(J3285,辅助信息!H:I,2,FALSE)</f>
        <v>18381904567</v>
      </c>
      <c r="L3285" s="115" t="str">
        <f>VLOOKUP(B3285,辅助信息!E:J,6,FALSE)</f>
        <v>控制炉批号！多了现场不收！,优先安排达钢,提前联系到场规格及数量</v>
      </c>
      <c r="M3285" s="84"/>
      <c r="O3285" s="55" t="str">
        <f ca="1" t="shared" si="184"/>
        <v/>
      </c>
      <c r="P3285" s="55" t="str">
        <f ca="1" t="shared" si="185"/>
        <v/>
      </c>
      <c r="Q3285" s="22" t="str">
        <f>VLOOKUP(B3285,辅助信息!E:M,9,FALSE)</f>
        <v>ZTWM-CDGS-XS-2024-0134-商投建工达州中医药科技成果示范园项目</v>
      </c>
      <c r="R3285" s="22" t="str">
        <f>_xlfn._xlws.FILTER(辅助信息!D:D,辅助信息!E:E=B3285)</f>
        <v>商投建工达州中医药科技园</v>
      </c>
    </row>
    <row r="3286" hidden="1" spans="2:18">
      <c r="B3286" s="33" t="s">
        <v>180</v>
      </c>
      <c r="C3286" s="63">
        <v>45905</v>
      </c>
      <c r="D3286" s="33" t="str">
        <f>VLOOKUP(B3286,辅助信息!E:K,7,FALSE)</f>
        <v>JWDDCD2025052800131</v>
      </c>
      <c r="E3286" s="33" t="str">
        <f>VLOOKUP(F3286,辅助信息!A:B,2,FALSE)</f>
        <v>螺纹钢</v>
      </c>
      <c r="F3286" s="33" t="s">
        <v>66</v>
      </c>
      <c r="G3286" s="29">
        <v>15</v>
      </c>
      <c r="H3286" s="127">
        <f>IF(SUMIFS('[1]2025年已发货'!$E:$E,'[1]2025年已发货'!$F:$F,C3286,'[1]2025年已发货'!$C:$C,F3286,'[1]2025年已发货'!$G:$G,I3286,'[1]2025年已发货'!$H:$H,J3286)=0,"未发货",SUMIFS('[1]2025年已发货'!$E:$E,'[1]2025年已发货'!$F:$F,C3286,'[1]2025年已发货'!$C:$C,F3286,'[1]2025年已发货'!$G:$G,I3286,'[1]2025年已发货'!$H:$H,J3286))</f>
        <v>15</v>
      </c>
      <c r="I3286" s="33" t="str">
        <f>VLOOKUP(B3286,辅助信息!E:I,3,FALSE)</f>
        <v>（商投建工达州中医药科技园-4工区-8号楼）达州市通川区达州中医药职业学院犀牛大道北段</v>
      </c>
      <c r="J3286" s="33" t="str">
        <f>VLOOKUP(B3286,辅助信息!E:I,4,FALSE)</f>
        <v>张扬</v>
      </c>
      <c r="K3286" s="33">
        <f>VLOOKUP(J3286,辅助信息!H:I,2,FALSE)</f>
        <v>18381904567</v>
      </c>
      <c r="L3286" s="102" t="str">
        <f>VLOOKUP(B3286,辅助信息!E:J,6,FALSE)</f>
        <v>控制炉批号！多了现场不收！,优先安排达钢,提前联系到场规格及数量</v>
      </c>
      <c r="O3286" s="55" t="str">
        <f ca="1" t="shared" si="184"/>
        <v/>
      </c>
      <c r="P3286" s="55" t="str">
        <f ca="1" t="shared" si="185"/>
        <v/>
      </c>
      <c r="Q3286" s="22" t="str">
        <f>VLOOKUP(B3286,辅助信息!E:M,9,FALSE)</f>
        <v>ZTWM-CDGS-XS-2024-0134-商投建工达州中医药科技成果示范园项目</v>
      </c>
      <c r="R3286" s="22" t="str">
        <f>_xlfn._xlws.FILTER(辅助信息!D:D,辅助信息!E:E=B3286)</f>
        <v>商投建工达州中医药科技园</v>
      </c>
    </row>
    <row r="3287" hidden="1" spans="2:18">
      <c r="B3287" s="33" t="s">
        <v>180</v>
      </c>
      <c r="C3287" s="63">
        <v>45905</v>
      </c>
      <c r="D3287" s="33" t="str">
        <f>VLOOKUP(B3287,辅助信息!E:K,7,FALSE)</f>
        <v>JWDDCD2025052800131</v>
      </c>
      <c r="E3287" s="33" t="str">
        <f>VLOOKUP(F3287,辅助信息!A:B,2,FALSE)</f>
        <v>螺纹钢</v>
      </c>
      <c r="F3287" s="33" t="s">
        <v>82</v>
      </c>
      <c r="G3287" s="29">
        <v>3</v>
      </c>
      <c r="H3287" s="127">
        <f>IF(SUMIFS('[1]2025年已发货'!$E:$E,'[1]2025年已发货'!$F:$F,C3287,'[1]2025年已发货'!$C:$C,F3287,'[1]2025年已发货'!$G:$G,I3287,'[1]2025年已发货'!$H:$H,J3287)=0,"未发货",SUMIFS('[1]2025年已发货'!$E:$E,'[1]2025年已发货'!$F:$F,C3287,'[1]2025年已发货'!$C:$C,F3287,'[1]2025年已发货'!$G:$G,I3287,'[1]2025年已发货'!$H:$H,J3287))</f>
        <v>3</v>
      </c>
      <c r="I3287" s="33" t="str">
        <f>VLOOKUP(B3287,辅助信息!E:I,3,FALSE)</f>
        <v>（商投建工达州中医药科技园-4工区-8号楼）达州市通川区达州中医药职业学院犀牛大道北段</v>
      </c>
      <c r="J3287" s="33" t="str">
        <f>VLOOKUP(B3287,辅助信息!E:I,4,FALSE)</f>
        <v>张扬</v>
      </c>
      <c r="K3287" s="33">
        <f>VLOOKUP(J3287,辅助信息!H:I,2,FALSE)</f>
        <v>18381904567</v>
      </c>
      <c r="L3287" s="102" t="str">
        <f>VLOOKUP(B3287,辅助信息!E:J,6,FALSE)</f>
        <v>控制炉批号！多了现场不收！,优先安排达钢,提前联系到场规格及数量</v>
      </c>
      <c r="O3287" s="55" t="str">
        <f ca="1" t="shared" si="184"/>
        <v/>
      </c>
      <c r="P3287" s="55" t="str">
        <f ca="1" t="shared" si="185"/>
        <v/>
      </c>
      <c r="Q3287" s="22" t="str">
        <f>VLOOKUP(B3287,辅助信息!E:M,9,FALSE)</f>
        <v>ZTWM-CDGS-XS-2024-0134-商投建工达州中医药科技成果示范园项目</v>
      </c>
      <c r="R3287" s="22" t="str">
        <f>_xlfn._xlws.FILTER(辅助信息!D:D,辅助信息!E:E=B3287)</f>
        <v>商投建工达州中医药科技园</v>
      </c>
    </row>
    <row r="3288" hidden="1" spans="2:18">
      <c r="B3288" s="33" t="s">
        <v>180</v>
      </c>
      <c r="C3288" s="63">
        <v>45905</v>
      </c>
      <c r="D3288" s="33" t="str">
        <f>VLOOKUP(B3288,辅助信息!E:K,7,FALSE)</f>
        <v>JWDDCD2025052800131</v>
      </c>
      <c r="E3288" s="33" t="str">
        <f>VLOOKUP(F3288,辅助信息!A:B,2,FALSE)</f>
        <v>螺纹钢</v>
      </c>
      <c r="F3288" s="33" t="s">
        <v>45</v>
      </c>
      <c r="G3288" s="29">
        <v>12</v>
      </c>
      <c r="H3288" s="127">
        <f>IF(SUMIFS('[1]2025年已发货'!$E:$E,'[1]2025年已发货'!$F:$F,C3288,'[1]2025年已发货'!$C:$C,F3288,'[1]2025年已发货'!$G:$G,I3288,'[1]2025年已发货'!$H:$H,J3288)=0,"未发货",SUMIFS('[1]2025年已发货'!$E:$E,'[1]2025年已发货'!$F:$F,C3288,'[1]2025年已发货'!$C:$C,F3288,'[1]2025年已发货'!$G:$G,I3288,'[1]2025年已发货'!$H:$H,J3288))</f>
        <v>12</v>
      </c>
      <c r="I3288" s="33" t="str">
        <f>VLOOKUP(B3288,辅助信息!E:I,3,FALSE)</f>
        <v>（商投建工达州中医药科技园-4工区-8号楼）达州市通川区达州中医药职业学院犀牛大道北段</v>
      </c>
      <c r="J3288" s="33" t="str">
        <f>VLOOKUP(B3288,辅助信息!E:I,4,FALSE)</f>
        <v>张扬</v>
      </c>
      <c r="K3288" s="33">
        <f>VLOOKUP(J3288,辅助信息!H:I,2,FALSE)</f>
        <v>18381904567</v>
      </c>
      <c r="L3288" s="102" t="str">
        <f>VLOOKUP(B3288,辅助信息!E:J,6,FALSE)</f>
        <v>控制炉批号！多了现场不收！,优先安排达钢,提前联系到场规格及数量</v>
      </c>
      <c r="O3288" s="55" t="str">
        <f ca="1" t="shared" si="184"/>
        <v/>
      </c>
      <c r="P3288" s="55" t="str">
        <f ca="1" t="shared" si="185"/>
        <v/>
      </c>
      <c r="Q3288" s="22" t="str">
        <f>VLOOKUP(B3288,辅助信息!E:M,9,FALSE)</f>
        <v>ZTWM-CDGS-XS-2024-0134-商投建工达州中医药科技成果示范园项目</v>
      </c>
      <c r="R3288" s="22" t="str">
        <f>_xlfn._xlws.FILTER(辅助信息!D:D,辅助信息!E:E=B3288)</f>
        <v>商投建工达州中医药科技园</v>
      </c>
    </row>
    <row r="3289" hidden="1" spans="2:18">
      <c r="B3289" s="33" t="s">
        <v>180</v>
      </c>
      <c r="C3289" s="63">
        <v>45905</v>
      </c>
      <c r="D3289" s="33" t="str">
        <f>VLOOKUP(B3289,辅助信息!E:K,7,FALSE)</f>
        <v>JWDDCD2025052800131</v>
      </c>
      <c r="E3289" s="33" t="str">
        <f>VLOOKUP(F3289,辅助信息!A:B,2,FALSE)</f>
        <v>螺纹钢</v>
      </c>
      <c r="F3289" s="33" t="s">
        <v>22</v>
      </c>
      <c r="G3289" s="29">
        <v>15</v>
      </c>
      <c r="H3289" s="127">
        <f>IF(SUMIFS('[1]2025年已发货'!$E:$E,'[1]2025年已发货'!$F:$F,C3289,'[1]2025年已发货'!$C:$C,F3289,'[1]2025年已发货'!$G:$G,I3289,'[1]2025年已发货'!$H:$H,J3289)=0,"未发货",SUMIFS('[1]2025年已发货'!$E:$E,'[1]2025年已发货'!$F:$F,C3289,'[1]2025年已发货'!$C:$C,F3289,'[1]2025年已发货'!$G:$G,I3289,'[1]2025年已发货'!$H:$H,J3289))</f>
        <v>15</v>
      </c>
      <c r="I3289" s="33" t="str">
        <f>VLOOKUP(B3289,辅助信息!E:I,3,FALSE)</f>
        <v>（商投建工达州中医药科技园-4工区-8号楼）达州市通川区达州中医药职业学院犀牛大道北段</v>
      </c>
      <c r="J3289" s="33" t="str">
        <f>VLOOKUP(B3289,辅助信息!E:I,4,FALSE)</f>
        <v>张扬</v>
      </c>
      <c r="K3289" s="33">
        <f>VLOOKUP(J3289,辅助信息!H:I,2,FALSE)</f>
        <v>18381904567</v>
      </c>
      <c r="L3289" s="102" t="str">
        <f>VLOOKUP(B3289,辅助信息!E:J,6,FALSE)</f>
        <v>控制炉批号！多了现场不收！,优先安排达钢,提前联系到场规格及数量</v>
      </c>
      <c r="O3289" s="55" t="str">
        <f ca="1" t="shared" si="184"/>
        <v/>
      </c>
      <c r="P3289" s="55" t="str">
        <f ca="1" t="shared" si="185"/>
        <v/>
      </c>
      <c r="Q3289" s="22" t="str">
        <f>VLOOKUP(B3289,辅助信息!E:M,9,FALSE)</f>
        <v>ZTWM-CDGS-XS-2024-0134-商投建工达州中医药科技成果示范园项目</v>
      </c>
      <c r="R3289" s="22" t="str">
        <f>_xlfn._xlws.FILTER(辅助信息!D:D,辅助信息!E:E=B3289)</f>
        <v>商投建工达州中医药科技园</v>
      </c>
    </row>
    <row r="3290" hidden="1" spans="2:18">
      <c r="B3290" s="33" t="s">
        <v>177</v>
      </c>
      <c r="C3290" s="63">
        <v>45908</v>
      </c>
      <c r="D3290" s="33" t="str">
        <f>VLOOKUP(B3290,辅助信息!E:K,7,FALSE)</f>
        <v>JWDDCD2025062200016</v>
      </c>
      <c r="E3290" s="33" t="str">
        <f>VLOOKUP(F3290,辅助信息!A:B,2,FALSE)</f>
        <v>盘螺</v>
      </c>
      <c r="F3290" s="33" t="s">
        <v>41</v>
      </c>
      <c r="G3290" s="29">
        <v>7.38</v>
      </c>
      <c r="H3290" s="127"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33" t="str">
        <f>VLOOKUP(B3290,辅助信息!E:I,3,FALSE)</f>
        <v>(武汉电气化局成达万高铁强电项目-南充营山)四川省南充市营山县保真路景阳名城南50米(保真路东)</v>
      </c>
      <c r="J3290" s="33" t="str">
        <f>VLOOKUP(B3290,辅助信息!E:I,4,FALSE)</f>
        <v>周开亮</v>
      </c>
      <c r="K3290" s="33">
        <f>VLOOKUP(J3290,辅助信息!H:I,2,FALSE)</f>
        <v>18381485052</v>
      </c>
      <c r="L3290" s="102" t="str">
        <f>VLOOKUP(B3290,辅助信息!E:J,6,FALSE)</f>
        <v>锈货不收！！下雨天钢筋没盖篷布不收！！，装货前联系收货人核实到场规格,没提前告知进场规格现场不给予接收</v>
      </c>
      <c r="M3290" s="84">
        <v>45910</v>
      </c>
      <c r="O3290" s="55">
        <f ca="1" t="shared" si="184"/>
        <v>0</v>
      </c>
      <c r="P3290" s="55">
        <f ca="1" t="shared" si="185"/>
        <v>47</v>
      </c>
      <c r="Q3290" s="22" t="str">
        <f>VLOOKUP(B3290,辅助信息!E:M,9,FALSE)</f>
        <v>ZTWM-CDGS-XS-2025-0033-中铁武汉电气化局集团有限公司成达万高速铁路强电工程项目</v>
      </c>
      <c r="R3290" s="22" t="str">
        <f>_xlfn._xlws.FILTER(辅助信息!D:D,辅助信息!E:E=B3290)</f>
        <v>武汉电气化局成达万高铁强电项目</v>
      </c>
    </row>
    <row r="3291" hidden="1" spans="2:18">
      <c r="B3291" s="33" t="s">
        <v>177</v>
      </c>
      <c r="C3291" s="63">
        <v>45908</v>
      </c>
      <c r="D3291" s="33" t="str">
        <f>VLOOKUP(B3291,辅助信息!E:K,7,FALSE)</f>
        <v>JWDDCD2025062200016</v>
      </c>
      <c r="E3291" s="33" t="str">
        <f>VLOOKUP(F3291,辅助信息!A:B,2,FALSE)</f>
        <v>螺纹钢</v>
      </c>
      <c r="F3291" s="33" t="s">
        <v>27</v>
      </c>
      <c r="G3291" s="29">
        <v>7.78</v>
      </c>
      <c r="H3291" s="127">
        <f>IF(SUMIFS('[1]2025年已发货'!$E:$E,'[1]2025年已发货'!$F:$F,C3291,'[1]2025年已发货'!$C:$C,F3291,'[1]2025年已发货'!$G:$G,I3291,'[1]2025年已发货'!$H:$H,J3291)=0,"未发货",SUMIFS('[1]2025年已发货'!$E:$E,'[1]2025年已发货'!$F:$F,C3291,'[1]2025年已发货'!$C:$C,F3291,'[1]2025年已发货'!$G:$G,I3291,'[1]2025年已发货'!$H:$H,J3291))</f>
        <v>9</v>
      </c>
      <c r="I3291" s="33" t="str">
        <f>VLOOKUP(B3291,辅助信息!E:I,3,FALSE)</f>
        <v>(武汉电气化局成达万高铁强电项目-南充营山)四川省南充市营山县保真路景阳名城南50米(保真路东)</v>
      </c>
      <c r="J3291" s="33" t="str">
        <f>VLOOKUP(B3291,辅助信息!E:I,4,FALSE)</f>
        <v>周开亮</v>
      </c>
      <c r="K3291" s="33">
        <f>VLOOKUP(J3291,辅助信息!H:I,2,FALSE)</f>
        <v>18381485052</v>
      </c>
      <c r="L3291" s="102" t="str">
        <f>VLOOKUP(B3291,辅助信息!E:J,6,FALSE)</f>
        <v>锈货不收！！下雨天钢筋没盖篷布不收！！，装货前联系收货人核实到场规格,没提前告知进场规格现场不给予接收</v>
      </c>
      <c r="M3291" s="84">
        <v>45910</v>
      </c>
      <c r="O3291" s="55">
        <f ca="1" t="shared" si="184"/>
        <v>0</v>
      </c>
      <c r="P3291" s="55">
        <f ca="1" t="shared" si="185"/>
        <v>47</v>
      </c>
      <c r="Q3291" s="22" t="str">
        <f>VLOOKUP(B3291,辅助信息!E:M,9,FALSE)</f>
        <v>ZTWM-CDGS-XS-2025-0033-中铁武汉电气化局集团有限公司成达万高速铁路强电工程项目</v>
      </c>
      <c r="R3291" s="22" t="str">
        <f>_xlfn._xlws.FILTER(辅助信息!D:D,辅助信息!E:E=B3291)</f>
        <v>武汉电气化局成达万高铁强电项目</v>
      </c>
    </row>
    <row r="3292" hidden="1" spans="2:18">
      <c r="B3292" s="33" t="s">
        <v>177</v>
      </c>
      <c r="C3292" s="63">
        <v>45908</v>
      </c>
      <c r="D3292" s="33" t="str">
        <f>VLOOKUP(B3292,辅助信息!E:K,7,FALSE)</f>
        <v>JWDDCD2025062200016</v>
      </c>
      <c r="E3292" s="33" t="str">
        <f>VLOOKUP(F3292,辅助信息!A:B,2,FALSE)</f>
        <v>螺纹钢</v>
      </c>
      <c r="F3292" s="33" t="s">
        <v>19</v>
      </c>
      <c r="G3292" s="139">
        <v>3</v>
      </c>
      <c r="H3292" s="127">
        <f>IF(SUMIFS('[1]2025年已发货'!$E:$E,'[1]2025年已发货'!$F:$F,C3292,'[1]2025年已发货'!$C:$C,F3292,'[1]2025年已发货'!$G:$G,I3292,'[1]2025年已发货'!$H:$H,J3292)=0,"未发货",SUMIFS('[1]2025年已发货'!$E:$E,'[1]2025年已发货'!$F:$F,C3292,'[1]2025年已发货'!$C:$C,F3292,'[1]2025年已发货'!$G:$G,I3292,'[1]2025年已发货'!$H:$H,J3292))</f>
        <v>3</v>
      </c>
      <c r="I3292" s="33" t="str">
        <f>VLOOKUP(B3292,辅助信息!E:I,3,FALSE)</f>
        <v>(武汉电气化局成达万高铁强电项目-南充营山)四川省南充市营山县保真路景阳名城南50米(保真路东)</v>
      </c>
      <c r="J3292" s="33" t="str">
        <f>VLOOKUP(B3292,辅助信息!E:I,4,FALSE)</f>
        <v>周开亮</v>
      </c>
      <c r="K3292" s="33">
        <f>VLOOKUP(J3292,辅助信息!H:I,2,FALSE)</f>
        <v>18381485052</v>
      </c>
      <c r="L3292" s="102" t="str">
        <f>VLOOKUP(B3292,辅助信息!E:J,6,FALSE)</f>
        <v>锈货不收！！下雨天钢筋没盖篷布不收！！，装货前联系收货人核实到场规格,没提前告知进场规格现场不给予接收</v>
      </c>
      <c r="M3292" s="84">
        <v>45910</v>
      </c>
      <c r="O3292" s="55">
        <f ca="1" t="shared" si="184"/>
        <v>0</v>
      </c>
      <c r="P3292" s="55">
        <f ca="1" t="shared" si="185"/>
        <v>47</v>
      </c>
      <c r="Q3292" s="22" t="str">
        <f>VLOOKUP(B3292,辅助信息!E:M,9,FALSE)</f>
        <v>ZTWM-CDGS-XS-2025-0033-中铁武汉电气化局集团有限公司成达万高速铁路强电工程项目</v>
      </c>
      <c r="R3292" s="22" t="str">
        <f>_xlfn._xlws.FILTER(辅助信息!D:D,辅助信息!E:E=B3292)</f>
        <v>武汉电气化局成达万高铁强电项目</v>
      </c>
    </row>
    <row r="3293" hidden="1" spans="2:18">
      <c r="B3293" s="33" t="s">
        <v>177</v>
      </c>
      <c r="C3293" s="63">
        <v>45908</v>
      </c>
      <c r="D3293" s="33" t="str">
        <f>VLOOKUP(B3293,辅助信息!E:K,7,FALSE)</f>
        <v>JWDDCD2025062200016</v>
      </c>
      <c r="E3293" s="33" t="str">
        <f>VLOOKUP(F3293,辅助信息!A:B,2,FALSE)</f>
        <v>螺纹钢</v>
      </c>
      <c r="F3293" s="33" t="s">
        <v>32</v>
      </c>
      <c r="G3293" s="139">
        <v>15.51</v>
      </c>
      <c r="H3293" s="127">
        <f>IF(SUMIFS('[1]2025年已发货'!$E:$E,'[1]2025年已发货'!$F:$F,C3293,'[1]2025年已发货'!$C:$C,F3293,'[1]2025年已发货'!$G:$G,I3293,'[1]2025年已发货'!$H:$H,J3293)=0,"未发货",SUMIFS('[1]2025年已发货'!$E:$E,'[1]2025年已发货'!$F:$F,C3293,'[1]2025年已发货'!$C:$C,F3293,'[1]2025年已发货'!$G:$G,I3293,'[1]2025年已发货'!$H:$H,J3293))</f>
        <v>15</v>
      </c>
      <c r="I3293" s="33" t="str">
        <f>VLOOKUP(B3293,辅助信息!E:I,3,FALSE)</f>
        <v>(武汉电气化局成达万高铁强电项目-南充营山)四川省南充市营山县保真路景阳名城南50米(保真路东)</v>
      </c>
      <c r="J3293" s="33" t="str">
        <f>VLOOKUP(B3293,辅助信息!E:I,4,FALSE)</f>
        <v>周开亮</v>
      </c>
      <c r="K3293" s="33">
        <f>VLOOKUP(J3293,辅助信息!H:I,2,FALSE)</f>
        <v>18381485052</v>
      </c>
      <c r="L3293" s="102" t="str">
        <f>VLOOKUP(B3293,辅助信息!E:J,6,FALSE)</f>
        <v>锈货不收！！下雨天钢筋没盖篷布不收！！，装货前联系收货人核实到场规格,没提前告知进场规格现场不给予接收</v>
      </c>
      <c r="M3293" s="84">
        <v>45910</v>
      </c>
      <c r="O3293" s="55">
        <f ca="1" t="shared" si="184"/>
        <v>0</v>
      </c>
      <c r="P3293" s="55">
        <f ca="1" t="shared" si="185"/>
        <v>47</v>
      </c>
      <c r="Q3293" s="22" t="str">
        <f>VLOOKUP(B3293,辅助信息!E:M,9,FALSE)</f>
        <v>ZTWM-CDGS-XS-2025-0033-中铁武汉电气化局集团有限公司成达万高速铁路强电工程项目</v>
      </c>
      <c r="R3293" s="22" t="str">
        <f>_xlfn._xlws.FILTER(辅助信息!D:D,辅助信息!E:E=B3293)</f>
        <v>武汉电气化局成达万高铁强电项目</v>
      </c>
    </row>
    <row r="3294" hidden="1" spans="2:18">
      <c r="B3294" s="33" t="s">
        <v>177</v>
      </c>
      <c r="C3294" s="63">
        <v>45908</v>
      </c>
      <c r="D3294" s="33" t="str">
        <f>VLOOKUP(B3294,辅助信息!E:K,7,FALSE)</f>
        <v>JWDDCD2025062200016</v>
      </c>
      <c r="E3294" s="33" t="str">
        <f>VLOOKUP(F3294,辅助信息!A:B,2,FALSE)</f>
        <v>螺纹钢</v>
      </c>
      <c r="F3294" s="33" t="s">
        <v>30</v>
      </c>
      <c r="G3294" s="139">
        <v>7.13</v>
      </c>
      <c r="H3294" s="127"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33" t="str">
        <f>VLOOKUP(B3294,辅助信息!E:I,3,FALSE)</f>
        <v>(武汉电气化局成达万高铁强电项目-南充营山)四川省南充市营山县保真路景阳名城南50米(保真路东)</v>
      </c>
      <c r="J3294" s="33" t="str">
        <f>VLOOKUP(B3294,辅助信息!E:I,4,FALSE)</f>
        <v>周开亮</v>
      </c>
      <c r="K3294" s="33">
        <f>VLOOKUP(J3294,辅助信息!H:I,2,FALSE)</f>
        <v>18381485052</v>
      </c>
      <c r="L3294" s="102" t="str">
        <f>VLOOKUP(B3294,辅助信息!E:J,6,FALSE)</f>
        <v>锈货不收！！下雨天钢筋没盖篷布不收！！，装货前联系收货人核实到场规格,没提前告知进场规格现场不给予接收</v>
      </c>
      <c r="M3294" s="84">
        <v>45910</v>
      </c>
      <c r="O3294" s="55">
        <f ca="1" t="shared" si="184"/>
        <v>0</v>
      </c>
      <c r="P3294" s="55">
        <f ca="1" t="shared" si="185"/>
        <v>47</v>
      </c>
      <c r="Q3294" s="22" t="str">
        <f>VLOOKUP(B3294,辅助信息!E:M,9,FALSE)</f>
        <v>ZTWM-CDGS-XS-2025-0033-中铁武汉电气化局集团有限公司成达万高速铁路强电工程项目</v>
      </c>
      <c r="R3294" s="22" t="str">
        <f>_xlfn._xlws.FILTER(辅助信息!D:D,辅助信息!E:E=B3294)</f>
        <v>武汉电气化局成达万高铁强电项目</v>
      </c>
    </row>
    <row r="3295" hidden="1" spans="2:18">
      <c r="B3295" s="33" t="s">
        <v>177</v>
      </c>
      <c r="C3295" s="63">
        <v>45908</v>
      </c>
      <c r="D3295" s="33" t="str">
        <f>VLOOKUP(B3295,辅助信息!E:K,7,FALSE)</f>
        <v>JWDDCD2025062200016</v>
      </c>
      <c r="E3295" s="33" t="str">
        <f>VLOOKUP(F3295,辅助信息!A:B,2,FALSE)</f>
        <v>螺纹钢</v>
      </c>
      <c r="F3295" s="33" t="s">
        <v>33</v>
      </c>
      <c r="G3295" s="139">
        <v>5.14</v>
      </c>
      <c r="H3295" s="127"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33" t="str">
        <f>VLOOKUP(B3295,辅助信息!E:I,3,FALSE)</f>
        <v>(武汉电气化局成达万高铁强电项目-南充营山)四川省南充市营山县保真路景阳名城南50米(保真路东)</v>
      </c>
      <c r="J3295" s="33" t="str">
        <f>VLOOKUP(B3295,辅助信息!E:I,4,FALSE)</f>
        <v>周开亮</v>
      </c>
      <c r="K3295" s="33">
        <f>VLOOKUP(J3295,辅助信息!H:I,2,FALSE)</f>
        <v>18381485052</v>
      </c>
      <c r="L3295" s="102" t="str">
        <f>VLOOKUP(B3295,辅助信息!E:J,6,FALSE)</f>
        <v>锈货不收！！下雨天钢筋没盖篷布不收！！，装货前联系收货人核实到场规格,没提前告知进场规格现场不给予接收</v>
      </c>
      <c r="M3295" s="84">
        <v>45910</v>
      </c>
      <c r="O3295" s="55">
        <f ca="1" t="shared" si="184"/>
        <v>0</v>
      </c>
      <c r="P3295" s="55">
        <f ca="1" t="shared" si="185"/>
        <v>47</v>
      </c>
      <c r="Q3295" s="22" t="str">
        <f>VLOOKUP(B3295,辅助信息!E:M,9,FALSE)</f>
        <v>ZTWM-CDGS-XS-2025-0033-中铁武汉电气化局集团有限公司成达万高速铁路强电工程项目</v>
      </c>
      <c r="R3295" s="22" t="str">
        <f>_xlfn._xlws.FILTER(辅助信息!D:D,辅助信息!E:E=B3295)</f>
        <v>武汉电气化局成达万高铁强电项目</v>
      </c>
    </row>
    <row r="3296" hidden="1" spans="2:18">
      <c r="B3296" s="33" t="s">
        <v>177</v>
      </c>
      <c r="C3296" s="63">
        <v>45908</v>
      </c>
      <c r="D3296" s="33" t="str">
        <f>VLOOKUP(B3296,辅助信息!E:K,7,FALSE)</f>
        <v>JWDDCD2025062200016</v>
      </c>
      <c r="E3296" s="33" t="str">
        <f>VLOOKUP(F3296,辅助信息!A:B,2,FALSE)</f>
        <v>螺纹钢</v>
      </c>
      <c r="F3296" s="33" t="s">
        <v>28</v>
      </c>
      <c r="G3296" s="139">
        <v>7.28</v>
      </c>
      <c r="H3296" s="127">
        <f>IF(SUMIFS('[1]2025年已发货'!$E:$E,'[1]2025年已发货'!$F:$F,C3296,'[1]2025年已发货'!$C:$C,F3296,'[1]2025年已发货'!$G:$G,I3296,'[1]2025年已发货'!$H:$H,J3296)=0,"未发货",SUMIFS('[1]2025年已发货'!$E:$E,'[1]2025年已发货'!$F:$F,C3296,'[1]2025年已发货'!$C:$C,F3296,'[1]2025年已发货'!$G:$G,I3296,'[1]2025年已发货'!$H:$H,J3296))</f>
        <v>9</v>
      </c>
      <c r="I3296" s="33" t="str">
        <f>VLOOKUP(B3296,辅助信息!E:I,3,FALSE)</f>
        <v>(武汉电气化局成达万高铁强电项目-南充营山)四川省南充市营山县保真路景阳名城南50米(保真路东)</v>
      </c>
      <c r="J3296" s="33" t="str">
        <f>VLOOKUP(B3296,辅助信息!E:I,4,FALSE)</f>
        <v>周开亮</v>
      </c>
      <c r="K3296" s="33">
        <f>VLOOKUP(J3296,辅助信息!H:I,2,FALSE)</f>
        <v>18381485052</v>
      </c>
      <c r="L3296" s="102" t="str">
        <f>VLOOKUP(B3296,辅助信息!E:J,6,FALSE)</f>
        <v>锈货不收！！下雨天钢筋没盖篷布不收！！，装货前联系收货人核实到场规格,没提前告知进场规格现场不给予接收</v>
      </c>
      <c r="M3296" s="84">
        <v>45910</v>
      </c>
      <c r="O3296" s="55">
        <f ca="1" t="shared" ref="O3296:O3359" si="186">IF(OR(M3296="",N3296&lt;&gt;""),"",MAX(M3296-TODAY(),0))</f>
        <v>0</v>
      </c>
      <c r="P3296" s="55">
        <f ca="1" t="shared" ref="P3296:P3359" si="187">IF(M3296="","",IF(N3296&lt;&gt;"",MAX(N3296-M3296,0),IF(TODAY()&gt;M3296,TODAY()-M3296,0)))</f>
        <v>47</v>
      </c>
      <c r="Q3296" s="22" t="str">
        <f>VLOOKUP(B3296,辅助信息!E:M,9,FALSE)</f>
        <v>ZTWM-CDGS-XS-2025-0033-中铁武汉电气化局集团有限公司成达万高速铁路强电工程项目</v>
      </c>
      <c r="R3296" s="22" t="str">
        <f>_xlfn._xlws.FILTER(辅助信息!D:D,辅助信息!E:E=B3296)</f>
        <v>武汉电气化局成达万高铁强电项目</v>
      </c>
    </row>
    <row r="3297" hidden="1" spans="2:18">
      <c r="B3297" s="33" t="s">
        <v>177</v>
      </c>
      <c r="C3297" s="63">
        <v>45908</v>
      </c>
      <c r="D3297" s="33" t="str">
        <f>VLOOKUP(B3297,辅助信息!E:K,7,FALSE)</f>
        <v>JWDDCD2025062200016</v>
      </c>
      <c r="E3297" s="33" t="str">
        <f>VLOOKUP(F3297,辅助信息!A:B,2,FALSE)</f>
        <v>螺纹钢</v>
      </c>
      <c r="F3297" s="33" t="s">
        <v>18</v>
      </c>
      <c r="G3297" s="139">
        <v>6.4</v>
      </c>
      <c r="H3297" s="127"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33" t="str">
        <f>VLOOKUP(B3297,辅助信息!E:I,3,FALSE)</f>
        <v>(武汉电气化局成达万高铁强电项目-南充营山)四川省南充市营山县保真路景阳名城南50米(保真路东)</v>
      </c>
      <c r="J3297" s="33" t="str">
        <f>VLOOKUP(B3297,辅助信息!E:I,4,FALSE)</f>
        <v>周开亮</v>
      </c>
      <c r="K3297" s="33">
        <f>VLOOKUP(J3297,辅助信息!H:I,2,FALSE)</f>
        <v>18381485052</v>
      </c>
      <c r="L3297" s="102" t="str">
        <f>VLOOKUP(B3297,辅助信息!E:J,6,FALSE)</f>
        <v>锈货不收！！下雨天钢筋没盖篷布不收！！，装货前联系收货人核实到场规格,没提前告知进场规格现场不给予接收</v>
      </c>
      <c r="M3297" s="84">
        <v>45910</v>
      </c>
      <c r="O3297" s="55">
        <f ca="1" t="shared" si="186"/>
        <v>0</v>
      </c>
      <c r="P3297" s="55">
        <f ca="1" t="shared" si="187"/>
        <v>47</v>
      </c>
      <c r="Q3297" s="22" t="str">
        <f>VLOOKUP(B3297,辅助信息!E:M,9,FALSE)</f>
        <v>ZTWM-CDGS-XS-2025-0033-中铁武汉电气化局集团有限公司成达万高速铁路强电工程项目</v>
      </c>
      <c r="R3297" s="22" t="str">
        <f>_xlfn._xlws.FILTER(辅助信息!D:D,辅助信息!E:E=B3297)</f>
        <v>武汉电气化局成达万高铁强电项目</v>
      </c>
    </row>
    <row r="3298" hidden="1" spans="2:18">
      <c r="B3298" s="33" t="s">
        <v>177</v>
      </c>
      <c r="C3298" s="63">
        <v>45908</v>
      </c>
      <c r="D3298" s="33" t="str">
        <f>VLOOKUP(B3298,辅助信息!E:K,7,FALSE)</f>
        <v>JWDDCD2025062200016</v>
      </c>
      <c r="E3298" s="33" t="str">
        <f>VLOOKUP(F3298,辅助信息!A:B,2,FALSE)</f>
        <v>螺纹钢</v>
      </c>
      <c r="F3298" s="33" t="s">
        <v>65</v>
      </c>
      <c r="G3298" s="139">
        <v>3</v>
      </c>
      <c r="H3298" s="127"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33" t="str">
        <f>VLOOKUP(B3298,辅助信息!E:I,3,FALSE)</f>
        <v>(武汉电气化局成达万高铁强电项目-南充营山)四川省南充市营山县保真路景阳名城南50米(保真路东)</v>
      </c>
      <c r="J3298" s="33" t="str">
        <f>VLOOKUP(B3298,辅助信息!E:I,4,FALSE)</f>
        <v>周开亮</v>
      </c>
      <c r="K3298" s="33">
        <f>VLOOKUP(J3298,辅助信息!H:I,2,FALSE)</f>
        <v>18381485052</v>
      </c>
      <c r="L3298" s="102" t="str">
        <f>VLOOKUP(B3298,辅助信息!E:J,6,FALSE)</f>
        <v>锈货不收！！下雨天钢筋没盖篷布不收！！，装货前联系收货人核实到场规格,没提前告知进场规格现场不给予接收</v>
      </c>
      <c r="M3298" s="84">
        <v>45910</v>
      </c>
      <c r="O3298" s="55">
        <f ca="1" t="shared" si="186"/>
        <v>0</v>
      </c>
      <c r="P3298" s="55">
        <f ca="1" t="shared" si="187"/>
        <v>47</v>
      </c>
      <c r="Q3298" s="22" t="str">
        <f>VLOOKUP(B3298,辅助信息!E:M,9,FALSE)</f>
        <v>ZTWM-CDGS-XS-2025-0033-中铁武汉电气化局集团有限公司成达万高速铁路强电工程项目</v>
      </c>
      <c r="R3298" s="22" t="str">
        <f>_xlfn._xlws.FILTER(辅助信息!D:D,辅助信息!E:E=B3298)</f>
        <v>武汉电气化局成达万高铁强电项目</v>
      </c>
    </row>
    <row r="3299" hidden="1" spans="2:18">
      <c r="B3299" s="33" t="s">
        <v>176</v>
      </c>
      <c r="C3299" s="63">
        <v>45908</v>
      </c>
      <c r="D3299" s="33" t="str">
        <f>VLOOKUP(B3299,辅助信息!E:K,7,FALSE)</f>
        <v>JWDDCD2025062200016</v>
      </c>
      <c r="E3299" s="33" t="str">
        <f>VLOOKUP(F3299,辅助信息!A:B,2,FALSE)</f>
        <v>盘螺</v>
      </c>
      <c r="F3299" s="33" t="s">
        <v>41</v>
      </c>
      <c r="G3299" s="139">
        <v>10.47</v>
      </c>
      <c r="H3299" s="127"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33" t="str">
        <f>VLOOKUP(B3299,辅助信息!E:I,3,FALSE)</f>
        <v>(武汉电气化局成达万高铁强电项目-渠县)四川省达州市渠县渠北镇雷家湾渠县北站旁</v>
      </c>
      <c r="J3299" s="33" t="str">
        <f>VLOOKUP(B3299,辅助信息!E:I,4,FALSE)</f>
        <v>刘频</v>
      </c>
      <c r="K3299" s="33">
        <f>VLOOKUP(J3299,辅助信息!H:I,2,FALSE)</f>
        <v>18779627939</v>
      </c>
      <c r="L3299" s="102" t="str">
        <f>VLOOKUP(B3299,辅助信息!E:J,6,FALSE)</f>
        <v>锈货不收！！下雨天钢筋没盖篷布不收！！，装货前联系收货人核实到场规格,没提前告知进场规格现场不给予接收</v>
      </c>
      <c r="M3299" s="84">
        <v>45910</v>
      </c>
      <c r="O3299" s="55">
        <f ca="1" t="shared" si="186"/>
        <v>0</v>
      </c>
      <c r="P3299" s="55">
        <f ca="1" t="shared" si="187"/>
        <v>47</v>
      </c>
      <c r="Q3299" s="22" t="str">
        <f>VLOOKUP(B3299,辅助信息!E:M,9,FALSE)</f>
        <v>ZTWM-CDGS-XS-2025-0033-中铁武汉电气化局集团有限公司成达万高速铁路强电工程项目</v>
      </c>
      <c r="R3299" s="22" t="str">
        <f>_xlfn._xlws.FILTER(辅助信息!D:D,辅助信息!E:E=B3299)</f>
        <v>武汉电气化局成达万高铁强电项目</v>
      </c>
    </row>
    <row r="3300" hidden="1" spans="2:18">
      <c r="B3300" s="33" t="s">
        <v>176</v>
      </c>
      <c r="C3300" s="63">
        <v>45908</v>
      </c>
      <c r="D3300" s="33" t="str">
        <f>VLOOKUP(B3300,辅助信息!E:K,7,FALSE)</f>
        <v>JWDDCD2025062200016</v>
      </c>
      <c r="E3300" s="33" t="str">
        <f>VLOOKUP(F3300,辅助信息!A:B,2,FALSE)</f>
        <v>螺纹钢</v>
      </c>
      <c r="F3300" s="33" t="s">
        <v>27</v>
      </c>
      <c r="G3300" s="139">
        <v>9.23</v>
      </c>
      <c r="H3300" s="127">
        <f>IF(SUMIFS('[1]2025年已发货'!$E:$E,'[1]2025年已发货'!$F:$F,C3300,'[1]2025年已发货'!$C:$C,F3300,'[1]2025年已发货'!$G:$G,I3300,'[1]2025年已发货'!$H:$H,J3300)=0,"未发货",SUMIFS('[1]2025年已发货'!$E:$E,'[1]2025年已发货'!$F:$F,C3300,'[1]2025年已发货'!$C:$C,F3300,'[1]2025年已发货'!$G:$G,I3300,'[1]2025年已发货'!$H:$H,J3300))</f>
        <v>9</v>
      </c>
      <c r="I3300" s="33" t="str">
        <f>VLOOKUP(B3300,辅助信息!E:I,3,FALSE)</f>
        <v>(武汉电气化局成达万高铁强电项目-渠县)四川省达州市渠县渠北镇雷家湾渠县北站旁</v>
      </c>
      <c r="J3300" s="33" t="str">
        <f>VLOOKUP(B3300,辅助信息!E:I,4,FALSE)</f>
        <v>刘频</v>
      </c>
      <c r="K3300" s="33">
        <f>VLOOKUP(J3300,辅助信息!H:I,2,FALSE)</f>
        <v>18779627939</v>
      </c>
      <c r="L3300" s="102" t="str">
        <f>VLOOKUP(B3300,辅助信息!E:J,6,FALSE)</f>
        <v>锈货不收！！下雨天钢筋没盖篷布不收！！，装货前联系收货人核实到场规格,没提前告知进场规格现场不给予接收</v>
      </c>
      <c r="M3300" s="84">
        <v>45910</v>
      </c>
      <c r="O3300" s="55">
        <f ca="1" t="shared" si="186"/>
        <v>0</v>
      </c>
      <c r="P3300" s="55">
        <f ca="1" t="shared" si="187"/>
        <v>47</v>
      </c>
      <c r="Q3300" s="22" t="str">
        <f>VLOOKUP(B3300,辅助信息!E:M,9,FALSE)</f>
        <v>ZTWM-CDGS-XS-2025-0033-中铁武汉电气化局集团有限公司成达万高速铁路强电工程项目</v>
      </c>
      <c r="R3300" s="22" t="str">
        <f>_xlfn._xlws.FILTER(辅助信息!D:D,辅助信息!E:E=B3300)</f>
        <v>武汉电气化局成达万高铁强电项目</v>
      </c>
    </row>
    <row r="3301" hidden="1" spans="2:18">
      <c r="B3301" s="33" t="s">
        <v>176</v>
      </c>
      <c r="C3301" s="63">
        <v>45908</v>
      </c>
      <c r="D3301" s="33" t="str">
        <f>VLOOKUP(B3301,辅助信息!E:K,7,FALSE)</f>
        <v>JWDDCD2025062200016</v>
      </c>
      <c r="E3301" s="33" t="str">
        <f>VLOOKUP(F3301,辅助信息!A:B,2,FALSE)</f>
        <v>螺纹钢</v>
      </c>
      <c r="F3301" s="33" t="s">
        <v>19</v>
      </c>
      <c r="G3301" s="139">
        <v>3</v>
      </c>
      <c r="H3301" s="127">
        <f>IF(SUMIFS('[1]2025年已发货'!$E:$E,'[1]2025年已发货'!$F:$F,C3301,'[1]2025年已发货'!$C:$C,F3301,'[1]2025年已发货'!$G:$G,I3301,'[1]2025年已发货'!$H:$H,J3301)=0,"未发货",SUMIFS('[1]2025年已发货'!$E:$E,'[1]2025年已发货'!$F:$F,C3301,'[1]2025年已发货'!$C:$C,F3301,'[1]2025年已发货'!$G:$G,I3301,'[1]2025年已发货'!$H:$H,J3301))</f>
        <v>3</v>
      </c>
      <c r="I3301" s="33" t="str">
        <f>VLOOKUP(B3301,辅助信息!E:I,3,FALSE)</f>
        <v>(武汉电气化局成达万高铁强电项目-渠县)四川省达州市渠县渠北镇雷家湾渠县北站旁</v>
      </c>
      <c r="J3301" s="33" t="str">
        <f>VLOOKUP(B3301,辅助信息!E:I,4,FALSE)</f>
        <v>刘频</v>
      </c>
      <c r="K3301" s="33">
        <f>VLOOKUP(J3301,辅助信息!H:I,2,FALSE)</f>
        <v>18779627939</v>
      </c>
      <c r="L3301" s="102" t="str">
        <f>VLOOKUP(B3301,辅助信息!E:J,6,FALSE)</f>
        <v>锈货不收！！下雨天钢筋没盖篷布不收！！，装货前联系收货人核实到场规格,没提前告知进场规格现场不给予接收</v>
      </c>
      <c r="M3301" s="84">
        <v>45910</v>
      </c>
      <c r="O3301" s="55">
        <f ca="1" t="shared" si="186"/>
        <v>0</v>
      </c>
      <c r="P3301" s="55">
        <f ca="1" t="shared" si="187"/>
        <v>47</v>
      </c>
      <c r="Q3301" s="22" t="str">
        <f>VLOOKUP(B3301,辅助信息!E:M,9,FALSE)</f>
        <v>ZTWM-CDGS-XS-2025-0033-中铁武汉电气化局集团有限公司成达万高速铁路强电工程项目</v>
      </c>
      <c r="R3301" s="22" t="str">
        <f>_xlfn._xlws.FILTER(辅助信息!D:D,辅助信息!E:E=B3301)</f>
        <v>武汉电气化局成达万高铁强电项目</v>
      </c>
    </row>
    <row r="3302" hidden="1" spans="2:18">
      <c r="B3302" s="33" t="s">
        <v>176</v>
      </c>
      <c r="C3302" s="63">
        <v>45908</v>
      </c>
      <c r="D3302" s="33" t="str">
        <f>VLOOKUP(B3302,辅助信息!E:K,7,FALSE)</f>
        <v>JWDDCD2025062200016</v>
      </c>
      <c r="E3302" s="33" t="str">
        <f>VLOOKUP(F3302,辅助信息!A:B,2,FALSE)</f>
        <v>螺纹钢</v>
      </c>
      <c r="F3302" s="33" t="s">
        <v>32</v>
      </c>
      <c r="G3302" s="139">
        <v>20.78</v>
      </c>
      <c r="H3302" s="127">
        <f>IF(SUMIFS('[1]2025年已发货'!$E:$E,'[1]2025年已发货'!$F:$F,C3302,'[1]2025年已发货'!$C:$C,F3302,'[1]2025年已发货'!$G:$G,I3302,'[1]2025年已发货'!$H:$H,J3302)=0,"未发货",SUMIFS('[1]2025年已发货'!$E:$E,'[1]2025年已发货'!$F:$F,C3302,'[1]2025年已发货'!$C:$C,F3302,'[1]2025年已发货'!$G:$G,I3302,'[1]2025年已发货'!$H:$H,J3302))</f>
        <v>21</v>
      </c>
      <c r="I3302" s="33" t="str">
        <f>VLOOKUP(B3302,辅助信息!E:I,3,FALSE)</f>
        <v>(武汉电气化局成达万高铁强电项目-渠县)四川省达州市渠县渠北镇雷家湾渠县北站旁</v>
      </c>
      <c r="J3302" s="33" t="str">
        <f>VLOOKUP(B3302,辅助信息!E:I,4,FALSE)</f>
        <v>刘频</v>
      </c>
      <c r="K3302" s="33">
        <f>VLOOKUP(J3302,辅助信息!H:I,2,FALSE)</f>
        <v>18779627939</v>
      </c>
      <c r="L3302" s="102" t="str">
        <f>VLOOKUP(B3302,辅助信息!E:J,6,FALSE)</f>
        <v>锈货不收！！下雨天钢筋没盖篷布不收！！，装货前联系收货人核实到场规格,没提前告知进场规格现场不给予接收</v>
      </c>
      <c r="M3302" s="84">
        <v>45910</v>
      </c>
      <c r="O3302" s="55">
        <f ca="1" t="shared" si="186"/>
        <v>0</v>
      </c>
      <c r="P3302" s="55">
        <f ca="1" t="shared" si="187"/>
        <v>47</v>
      </c>
      <c r="Q3302" s="22" t="str">
        <f>VLOOKUP(B3302,辅助信息!E:M,9,FALSE)</f>
        <v>ZTWM-CDGS-XS-2025-0033-中铁武汉电气化局集团有限公司成达万高速铁路强电工程项目</v>
      </c>
      <c r="R3302" s="22" t="str">
        <f>_xlfn._xlws.FILTER(辅助信息!D:D,辅助信息!E:E=B3302)</f>
        <v>武汉电气化局成达万高铁强电项目</v>
      </c>
    </row>
    <row r="3303" hidden="1" spans="2:18">
      <c r="B3303" s="33" t="s">
        <v>176</v>
      </c>
      <c r="C3303" s="63">
        <v>45908</v>
      </c>
      <c r="D3303" s="33" t="str">
        <f>VLOOKUP(B3303,辅助信息!E:K,7,FALSE)</f>
        <v>JWDDCD2025062200016</v>
      </c>
      <c r="E3303" s="33" t="str">
        <f>VLOOKUP(F3303,辅助信息!A:B,2,FALSE)</f>
        <v>螺纹钢</v>
      </c>
      <c r="F3303" s="33" t="s">
        <v>30</v>
      </c>
      <c r="G3303" s="139">
        <v>7.13</v>
      </c>
      <c r="H3303" s="127"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33" t="str">
        <f>VLOOKUP(B3303,辅助信息!E:I,3,FALSE)</f>
        <v>(武汉电气化局成达万高铁强电项目-渠县)四川省达州市渠县渠北镇雷家湾渠县北站旁</v>
      </c>
      <c r="J3303" s="33" t="str">
        <f>VLOOKUP(B3303,辅助信息!E:I,4,FALSE)</f>
        <v>刘频</v>
      </c>
      <c r="K3303" s="33">
        <f>VLOOKUP(J3303,辅助信息!H:I,2,FALSE)</f>
        <v>18779627939</v>
      </c>
      <c r="L3303" s="102" t="str">
        <f>VLOOKUP(B3303,辅助信息!E:J,6,FALSE)</f>
        <v>锈货不收！！下雨天钢筋没盖篷布不收！！，装货前联系收货人核实到场规格,没提前告知进场规格现场不给予接收</v>
      </c>
      <c r="M3303" s="84">
        <v>45910</v>
      </c>
      <c r="O3303" s="55">
        <f ca="1" t="shared" si="186"/>
        <v>0</v>
      </c>
      <c r="P3303" s="55">
        <f ca="1" t="shared" si="187"/>
        <v>47</v>
      </c>
      <c r="Q3303" s="22" t="str">
        <f>VLOOKUP(B3303,辅助信息!E:M,9,FALSE)</f>
        <v>ZTWM-CDGS-XS-2025-0033-中铁武汉电气化局集团有限公司成达万高速铁路强电工程项目</v>
      </c>
      <c r="R3303" s="22" t="str">
        <f>_xlfn._xlws.FILTER(辅助信息!D:D,辅助信息!E:E=B3303)</f>
        <v>武汉电气化局成达万高铁强电项目</v>
      </c>
    </row>
    <row r="3304" hidden="1" spans="2:18">
      <c r="B3304" s="33" t="s">
        <v>176</v>
      </c>
      <c r="C3304" s="63">
        <v>45908</v>
      </c>
      <c r="D3304" s="33" t="str">
        <f>VLOOKUP(B3304,辅助信息!E:K,7,FALSE)</f>
        <v>JWDDCD2025062200016</v>
      </c>
      <c r="E3304" s="33" t="str">
        <f>VLOOKUP(F3304,辅助信息!A:B,2,FALSE)</f>
        <v>螺纹钢</v>
      </c>
      <c r="F3304" s="33" t="s">
        <v>33</v>
      </c>
      <c r="G3304" s="139">
        <v>7.46</v>
      </c>
      <c r="H3304" s="127"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33" t="str">
        <f>VLOOKUP(B3304,辅助信息!E:I,3,FALSE)</f>
        <v>(武汉电气化局成达万高铁强电项目-渠县)四川省达州市渠县渠北镇雷家湾渠县北站旁</v>
      </c>
      <c r="J3304" s="33" t="str">
        <f>VLOOKUP(B3304,辅助信息!E:I,4,FALSE)</f>
        <v>刘频</v>
      </c>
      <c r="K3304" s="33">
        <f>VLOOKUP(J3304,辅助信息!H:I,2,FALSE)</f>
        <v>18779627939</v>
      </c>
      <c r="L3304" s="102" t="str">
        <f>VLOOKUP(B3304,辅助信息!E:J,6,FALSE)</f>
        <v>锈货不收！！下雨天钢筋没盖篷布不收！！，装货前联系收货人核实到场规格,没提前告知进场规格现场不给予接收</v>
      </c>
      <c r="M3304" s="84">
        <v>45910</v>
      </c>
      <c r="O3304" s="55">
        <f ca="1" t="shared" si="186"/>
        <v>0</v>
      </c>
      <c r="P3304" s="55">
        <f ca="1" t="shared" si="187"/>
        <v>47</v>
      </c>
      <c r="Q3304" s="22" t="str">
        <f>VLOOKUP(B3304,辅助信息!E:M,9,FALSE)</f>
        <v>ZTWM-CDGS-XS-2025-0033-中铁武汉电气化局集团有限公司成达万高速铁路强电工程项目</v>
      </c>
      <c r="R3304" s="22" t="str">
        <f>_xlfn._xlws.FILTER(辅助信息!D:D,辅助信息!E:E=B3304)</f>
        <v>武汉电气化局成达万高铁强电项目</v>
      </c>
    </row>
    <row r="3305" hidden="1" spans="2:18">
      <c r="B3305" s="33" t="s">
        <v>176</v>
      </c>
      <c r="C3305" s="63">
        <v>45908</v>
      </c>
      <c r="D3305" s="33" t="str">
        <f>VLOOKUP(B3305,辅助信息!E:K,7,FALSE)</f>
        <v>JWDDCD2025062200016</v>
      </c>
      <c r="E3305" s="33" t="str">
        <f>VLOOKUP(F3305,辅助信息!A:B,2,FALSE)</f>
        <v>螺纹钢</v>
      </c>
      <c r="F3305" s="33" t="s">
        <v>28</v>
      </c>
      <c r="G3305" s="139">
        <v>7.98</v>
      </c>
      <c r="H3305" s="127"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33" t="str">
        <f>VLOOKUP(B3305,辅助信息!E:I,3,FALSE)</f>
        <v>(武汉电气化局成达万高铁强电项目-渠县)四川省达州市渠县渠北镇雷家湾渠县北站旁</v>
      </c>
      <c r="J3305" s="33" t="str">
        <f>VLOOKUP(B3305,辅助信息!E:I,4,FALSE)</f>
        <v>刘频</v>
      </c>
      <c r="K3305" s="33">
        <f>VLOOKUP(J3305,辅助信息!H:I,2,FALSE)</f>
        <v>18779627939</v>
      </c>
      <c r="L3305" s="102" t="str">
        <f>VLOOKUP(B3305,辅助信息!E:J,6,FALSE)</f>
        <v>锈货不收！！下雨天钢筋没盖篷布不收！！，装货前联系收货人核实到场规格,没提前告知进场规格现场不给予接收</v>
      </c>
      <c r="M3305" s="84">
        <v>45910</v>
      </c>
      <c r="O3305" s="55">
        <f ca="1" t="shared" si="186"/>
        <v>0</v>
      </c>
      <c r="P3305" s="55">
        <f ca="1" t="shared" si="187"/>
        <v>47</v>
      </c>
      <c r="Q3305" s="22" t="str">
        <f>VLOOKUP(B3305,辅助信息!E:M,9,FALSE)</f>
        <v>ZTWM-CDGS-XS-2025-0033-中铁武汉电气化局集团有限公司成达万高速铁路强电工程项目</v>
      </c>
      <c r="R3305" s="22" t="str">
        <f>_xlfn._xlws.FILTER(辅助信息!D:D,辅助信息!E:E=B3305)</f>
        <v>武汉电气化局成达万高铁强电项目</v>
      </c>
    </row>
    <row r="3306" hidden="1" spans="2:18">
      <c r="B3306" s="33" t="s">
        <v>176</v>
      </c>
      <c r="C3306" s="63">
        <v>45908</v>
      </c>
      <c r="D3306" s="33" t="str">
        <f>VLOOKUP(B3306,辅助信息!E:K,7,FALSE)</f>
        <v>JWDDCD2025062200016</v>
      </c>
      <c r="E3306" s="33" t="str">
        <f>VLOOKUP(F3306,辅助信息!A:B,2,FALSE)</f>
        <v>螺纹钢</v>
      </c>
      <c r="F3306" s="33" t="s">
        <v>18</v>
      </c>
      <c r="G3306" s="139">
        <v>8.34</v>
      </c>
      <c r="H3306" s="127"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33" t="str">
        <f>VLOOKUP(B3306,辅助信息!E:I,3,FALSE)</f>
        <v>(武汉电气化局成达万高铁强电项目-渠县)四川省达州市渠县渠北镇雷家湾渠县北站旁</v>
      </c>
      <c r="J3306" s="33" t="str">
        <f>VLOOKUP(B3306,辅助信息!E:I,4,FALSE)</f>
        <v>刘频</v>
      </c>
      <c r="K3306" s="33">
        <f>VLOOKUP(J3306,辅助信息!H:I,2,FALSE)</f>
        <v>18779627939</v>
      </c>
      <c r="L3306" s="102" t="str">
        <f>VLOOKUP(B3306,辅助信息!E:J,6,FALSE)</f>
        <v>锈货不收！！下雨天钢筋没盖篷布不收！！，装货前联系收货人核实到场规格,没提前告知进场规格现场不给予接收</v>
      </c>
      <c r="M3306" s="84">
        <v>45910</v>
      </c>
      <c r="O3306" s="55">
        <f ca="1" t="shared" si="186"/>
        <v>0</v>
      </c>
      <c r="P3306" s="55">
        <f ca="1" t="shared" si="187"/>
        <v>47</v>
      </c>
      <c r="Q3306" s="22" t="str">
        <f>VLOOKUP(B3306,辅助信息!E:M,9,FALSE)</f>
        <v>ZTWM-CDGS-XS-2025-0033-中铁武汉电气化局集团有限公司成达万高速铁路强电工程项目</v>
      </c>
      <c r="R3306" s="22" t="str">
        <f>_xlfn._xlws.FILTER(辅助信息!D:D,辅助信息!E:E=B3306)</f>
        <v>武汉电气化局成达万高铁强电项目</v>
      </c>
    </row>
    <row r="3307" hidden="1" spans="2:18">
      <c r="B3307" s="33" t="s">
        <v>176</v>
      </c>
      <c r="C3307" s="63">
        <v>45908</v>
      </c>
      <c r="D3307" s="33" t="str">
        <f>VLOOKUP(B3307,辅助信息!E:K,7,FALSE)</f>
        <v>JWDDCD2025062200016</v>
      </c>
      <c r="E3307" s="33" t="str">
        <f>VLOOKUP(F3307,辅助信息!A:B,2,FALSE)</f>
        <v>螺纹钢</v>
      </c>
      <c r="F3307" s="33" t="s">
        <v>65</v>
      </c>
      <c r="G3307" s="139">
        <v>3</v>
      </c>
      <c r="H3307" s="127">
        <f>IF(SUMIFS('[1]2025年已发货'!$E:$E,'[1]2025年已发货'!$F:$F,C3307,'[1]2025年已发货'!$C:$C,F3307,'[1]2025年已发货'!$G:$G,I3307,'[1]2025年已发货'!$H:$H,J3307)=0,"未发货",SUMIFS('[1]2025年已发货'!$E:$E,'[1]2025年已发货'!$F:$F,C3307,'[1]2025年已发货'!$C:$C,F3307,'[1]2025年已发货'!$G:$G,I3307,'[1]2025年已发货'!$H:$H,J3307))</f>
        <v>3</v>
      </c>
      <c r="I3307" s="33" t="str">
        <f>VLOOKUP(B3307,辅助信息!E:I,3,FALSE)</f>
        <v>(武汉电气化局成达万高铁强电项目-渠县)四川省达州市渠县渠北镇雷家湾渠县北站旁</v>
      </c>
      <c r="J3307" s="33" t="str">
        <f>VLOOKUP(B3307,辅助信息!E:I,4,FALSE)</f>
        <v>刘频</v>
      </c>
      <c r="K3307" s="33">
        <f>VLOOKUP(J3307,辅助信息!H:I,2,FALSE)</f>
        <v>18779627939</v>
      </c>
      <c r="L3307" s="102" t="str">
        <f>VLOOKUP(B3307,辅助信息!E:J,6,FALSE)</f>
        <v>锈货不收！！下雨天钢筋没盖篷布不收！！，装货前联系收货人核实到场规格,没提前告知进场规格现场不给予接收</v>
      </c>
      <c r="M3307" s="84">
        <v>45910</v>
      </c>
      <c r="O3307" s="55">
        <f ca="1" t="shared" si="186"/>
        <v>0</v>
      </c>
      <c r="P3307" s="55">
        <f ca="1" t="shared" si="187"/>
        <v>47</v>
      </c>
      <c r="Q3307" s="22" t="str">
        <f>VLOOKUP(B3307,辅助信息!E:M,9,FALSE)</f>
        <v>ZTWM-CDGS-XS-2025-0033-中铁武汉电气化局集团有限公司成达万高速铁路强电工程项目</v>
      </c>
      <c r="R3307" s="22" t="str">
        <f>_xlfn._xlws.FILTER(辅助信息!D:D,辅助信息!E:E=B3307)</f>
        <v>武汉电气化局成达万高铁强电项目</v>
      </c>
    </row>
    <row r="3308" hidden="1" spans="2:18">
      <c r="B3308" s="33" t="s">
        <v>204</v>
      </c>
      <c r="C3308" s="63">
        <v>45908</v>
      </c>
      <c r="D3308" s="33" t="str">
        <f>VLOOKUP(B3308,辅助信息!E:K,7,FALSE)</f>
        <v>JWDDCD2025062200016</v>
      </c>
      <c r="E3308" s="33" t="str">
        <f>VLOOKUP(F3308,辅助信息!A:B,2,FALSE)</f>
        <v>盘螺</v>
      </c>
      <c r="F3308" s="33" t="s">
        <v>41</v>
      </c>
      <c r="G3308" s="139">
        <v>8.67</v>
      </c>
      <c r="H3308" s="127"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33" t="str">
        <f>VLOOKUP(B3308,辅助信息!E:I,3,FALSE)</f>
        <v>(武汉电气化局成达万高铁强电项目-达州主城区-达州南站)四川省达州市达川区达州南站</v>
      </c>
      <c r="J3308" s="33" t="str">
        <f>VLOOKUP(B3308,辅助信息!E:I,4,FALSE)</f>
        <v>杨人志</v>
      </c>
      <c r="K3308" s="33">
        <f>VLOOKUP(J3308,辅助信息!H:I,2,FALSE)</f>
        <v>18782679099</v>
      </c>
      <c r="L3308" s="102" t="str">
        <f>VLOOKUP(B3308,辅助信息!E:J,6,FALSE)</f>
        <v>锈货不收！！下雨天钢筋没盖篷布不收！！，装货前联系收货人核实到场规格,没提前告知进场规格现场不给予接收</v>
      </c>
      <c r="M3308" s="84">
        <v>45910</v>
      </c>
      <c r="O3308" s="55">
        <f ca="1" t="shared" si="186"/>
        <v>0</v>
      </c>
      <c r="P3308" s="55">
        <f ca="1" t="shared" si="187"/>
        <v>47</v>
      </c>
      <c r="Q3308" s="22" t="str">
        <f>VLOOKUP(B3308,辅助信息!E:M,9,FALSE)</f>
        <v>ZTWM-CDGS-XS-2025-0033-中铁武汉电气化局集团有限公司成达万高速铁路强电工程项目</v>
      </c>
      <c r="R3308" s="22" t="str">
        <f>_xlfn._xlws.FILTER(辅助信息!D:D,辅助信息!E:E=B3308)</f>
        <v>武汉电气化局成达万高铁强电项目</v>
      </c>
    </row>
    <row r="3309" hidden="1" spans="2:18">
      <c r="B3309" s="33" t="s">
        <v>204</v>
      </c>
      <c r="C3309" s="63">
        <v>45908</v>
      </c>
      <c r="D3309" s="33" t="str">
        <f>VLOOKUP(B3309,辅助信息!E:K,7,FALSE)</f>
        <v>JWDDCD2025062200016</v>
      </c>
      <c r="E3309" s="33" t="str">
        <f>VLOOKUP(F3309,辅助信息!A:B,2,FALSE)</f>
        <v>螺纹钢</v>
      </c>
      <c r="F3309" s="33" t="s">
        <v>27</v>
      </c>
      <c r="G3309" s="139">
        <v>7.63</v>
      </c>
      <c r="H3309" s="127">
        <f>IF(SUMIFS('[1]2025年已发货'!$E:$E,'[1]2025年已发货'!$F:$F,C3309,'[1]2025年已发货'!$C:$C,F3309,'[1]2025年已发货'!$G:$G,I3309,'[1]2025年已发货'!$H:$H,J3309)=0,"未发货",SUMIFS('[1]2025年已发货'!$E:$E,'[1]2025年已发货'!$F:$F,C3309,'[1]2025年已发货'!$C:$C,F3309,'[1]2025年已发货'!$G:$G,I3309,'[1]2025年已发货'!$H:$H,J3309))</f>
        <v>6</v>
      </c>
      <c r="I3309" s="33" t="str">
        <f>VLOOKUP(B3309,辅助信息!E:I,3,FALSE)</f>
        <v>(武汉电气化局成达万高铁强电项目-达州主城区-达州南站)四川省达州市达川区达州南站</v>
      </c>
      <c r="J3309" s="33" t="str">
        <f>VLOOKUP(B3309,辅助信息!E:I,4,FALSE)</f>
        <v>杨人志</v>
      </c>
      <c r="K3309" s="33">
        <f>VLOOKUP(J3309,辅助信息!H:I,2,FALSE)</f>
        <v>18782679099</v>
      </c>
      <c r="L3309" s="102" t="str">
        <f>VLOOKUP(B3309,辅助信息!E:J,6,FALSE)</f>
        <v>锈货不收！！下雨天钢筋没盖篷布不收！！，装货前联系收货人核实到场规格,没提前告知进场规格现场不给予接收</v>
      </c>
      <c r="M3309" s="84">
        <v>45910</v>
      </c>
      <c r="O3309" s="55">
        <f ca="1" t="shared" si="186"/>
        <v>0</v>
      </c>
      <c r="P3309" s="55">
        <f ca="1" t="shared" si="187"/>
        <v>47</v>
      </c>
      <c r="Q3309" s="22" t="str">
        <f>VLOOKUP(B3309,辅助信息!E:M,9,FALSE)</f>
        <v>ZTWM-CDGS-XS-2025-0033-中铁武汉电气化局集团有限公司成达万高速铁路强电工程项目</v>
      </c>
      <c r="R3309" s="22" t="str">
        <f>_xlfn._xlws.FILTER(辅助信息!D:D,辅助信息!E:E=B3309)</f>
        <v>武汉电气化局成达万高铁强电项目</v>
      </c>
    </row>
    <row r="3310" hidden="1" spans="2:18">
      <c r="B3310" s="33" t="s">
        <v>204</v>
      </c>
      <c r="C3310" s="63">
        <v>45908</v>
      </c>
      <c r="D3310" s="33" t="str">
        <f>VLOOKUP(B3310,辅助信息!E:K,7,FALSE)</f>
        <v>JWDDCD2025062200016</v>
      </c>
      <c r="E3310" s="33" t="str">
        <f>VLOOKUP(F3310,辅助信息!A:B,2,FALSE)</f>
        <v>螺纹钢</v>
      </c>
      <c r="F3310" s="33" t="s">
        <v>19</v>
      </c>
      <c r="G3310" s="139">
        <v>3</v>
      </c>
      <c r="H3310" s="127">
        <f>IF(SUMIFS('[1]2025年已发货'!$E:$E,'[1]2025年已发货'!$F:$F,C3310,'[1]2025年已发货'!$C:$C,F3310,'[1]2025年已发货'!$G:$G,I3310,'[1]2025年已发货'!$H:$H,J3310)=0,"未发货",SUMIFS('[1]2025年已发货'!$E:$E,'[1]2025年已发货'!$F:$F,C3310,'[1]2025年已发货'!$C:$C,F3310,'[1]2025年已发货'!$G:$G,I3310,'[1]2025年已发货'!$H:$H,J3310))</f>
        <v>3</v>
      </c>
      <c r="I3310" s="33" t="str">
        <f>VLOOKUP(B3310,辅助信息!E:I,3,FALSE)</f>
        <v>(武汉电气化局成达万高铁强电项目-达州主城区-达州南站)四川省达州市达川区达州南站</v>
      </c>
      <c r="J3310" s="33" t="str">
        <f>VLOOKUP(B3310,辅助信息!E:I,4,FALSE)</f>
        <v>杨人志</v>
      </c>
      <c r="K3310" s="33">
        <f>VLOOKUP(J3310,辅助信息!H:I,2,FALSE)</f>
        <v>18782679099</v>
      </c>
      <c r="L3310" s="102" t="str">
        <f>VLOOKUP(B3310,辅助信息!E:J,6,FALSE)</f>
        <v>锈货不收！！下雨天钢筋没盖篷布不收！！，装货前联系收货人核实到场规格,没提前告知进场规格现场不给予接收</v>
      </c>
      <c r="M3310" s="84">
        <v>45910</v>
      </c>
      <c r="O3310" s="55">
        <f ca="1" t="shared" si="186"/>
        <v>0</v>
      </c>
      <c r="P3310" s="55">
        <f ca="1" t="shared" si="187"/>
        <v>47</v>
      </c>
      <c r="Q3310" s="22" t="str">
        <f>VLOOKUP(B3310,辅助信息!E:M,9,FALSE)</f>
        <v>ZTWM-CDGS-XS-2025-0033-中铁武汉电气化局集团有限公司成达万高速铁路强电工程项目</v>
      </c>
      <c r="R3310" s="22" t="str">
        <f>_xlfn._xlws.FILTER(辅助信息!D:D,辅助信息!E:E=B3310)</f>
        <v>武汉电气化局成达万高铁强电项目</v>
      </c>
    </row>
    <row r="3311" hidden="1" spans="2:18">
      <c r="B3311" s="33" t="s">
        <v>204</v>
      </c>
      <c r="C3311" s="63">
        <v>45908</v>
      </c>
      <c r="D3311" s="33" t="str">
        <f>VLOOKUP(B3311,辅助信息!E:K,7,FALSE)</f>
        <v>JWDDCD2025062200016</v>
      </c>
      <c r="E3311" s="33" t="str">
        <f>VLOOKUP(F3311,辅助信息!A:B,2,FALSE)</f>
        <v>螺纹钢</v>
      </c>
      <c r="F3311" s="33" t="s">
        <v>32</v>
      </c>
      <c r="G3311" s="139">
        <v>19.79</v>
      </c>
      <c r="H3311" s="127">
        <f>IF(SUMIFS('[1]2025年已发货'!$E:$E,'[1]2025年已发货'!$F:$F,C3311,'[1]2025年已发货'!$C:$C,F3311,'[1]2025年已发货'!$G:$G,I3311,'[1]2025年已发货'!$H:$H,J3311)=0,"未发货",SUMIFS('[1]2025年已发货'!$E:$E,'[1]2025年已发货'!$F:$F,C3311,'[1]2025年已发货'!$C:$C,F3311,'[1]2025年已发货'!$G:$G,I3311,'[1]2025年已发货'!$H:$H,J3311))</f>
        <v>21</v>
      </c>
      <c r="I3311" s="33" t="str">
        <f>VLOOKUP(B3311,辅助信息!E:I,3,FALSE)</f>
        <v>(武汉电气化局成达万高铁强电项目-达州主城区-达州南站)四川省达州市达川区达州南站</v>
      </c>
      <c r="J3311" s="33" t="str">
        <f>VLOOKUP(B3311,辅助信息!E:I,4,FALSE)</f>
        <v>杨人志</v>
      </c>
      <c r="K3311" s="33">
        <f>VLOOKUP(J3311,辅助信息!H:I,2,FALSE)</f>
        <v>18782679099</v>
      </c>
      <c r="L3311" s="102" t="str">
        <f>VLOOKUP(B3311,辅助信息!E:J,6,FALSE)</f>
        <v>锈货不收！！下雨天钢筋没盖篷布不收！！，装货前联系收货人核实到场规格,没提前告知进场规格现场不给予接收</v>
      </c>
      <c r="M3311" s="84">
        <v>45910</v>
      </c>
      <c r="O3311" s="55">
        <f ca="1" t="shared" si="186"/>
        <v>0</v>
      </c>
      <c r="P3311" s="55">
        <f ca="1" t="shared" si="187"/>
        <v>47</v>
      </c>
      <c r="Q3311" s="22" t="str">
        <f>VLOOKUP(B3311,辅助信息!E:M,9,FALSE)</f>
        <v>ZTWM-CDGS-XS-2025-0033-中铁武汉电气化局集团有限公司成达万高速铁路强电工程项目</v>
      </c>
      <c r="R3311" s="22" t="str">
        <f>_xlfn._xlws.FILTER(辅助信息!D:D,辅助信息!E:E=B3311)</f>
        <v>武汉电气化局成达万高铁强电项目</v>
      </c>
    </row>
    <row r="3312" hidden="1" spans="2:18">
      <c r="B3312" s="33" t="s">
        <v>204</v>
      </c>
      <c r="C3312" s="63">
        <v>45908</v>
      </c>
      <c r="D3312" s="33" t="str">
        <f>VLOOKUP(B3312,辅助信息!E:K,7,FALSE)</f>
        <v>JWDDCD2025062200016</v>
      </c>
      <c r="E3312" s="33" t="str">
        <f>VLOOKUP(F3312,辅助信息!A:B,2,FALSE)</f>
        <v>螺纹钢</v>
      </c>
      <c r="F3312" s="33" t="s">
        <v>30</v>
      </c>
      <c r="G3312" s="139">
        <v>7.13</v>
      </c>
      <c r="H3312" s="127"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33" t="str">
        <f>VLOOKUP(B3312,辅助信息!E:I,3,FALSE)</f>
        <v>(武汉电气化局成达万高铁强电项目-达州主城区-达州南站)四川省达州市达川区达州南站</v>
      </c>
      <c r="J3312" s="33" t="str">
        <f>VLOOKUP(B3312,辅助信息!E:I,4,FALSE)</f>
        <v>杨人志</v>
      </c>
      <c r="K3312" s="33">
        <f>VLOOKUP(J3312,辅助信息!H:I,2,FALSE)</f>
        <v>18782679099</v>
      </c>
      <c r="L3312" s="102" t="str">
        <f>VLOOKUP(B3312,辅助信息!E:J,6,FALSE)</f>
        <v>锈货不收！！下雨天钢筋没盖篷布不收！！，装货前联系收货人核实到场规格,没提前告知进场规格现场不给予接收</v>
      </c>
      <c r="M3312" s="84">
        <v>45910</v>
      </c>
      <c r="O3312" s="55">
        <f ca="1" t="shared" si="186"/>
        <v>0</v>
      </c>
      <c r="P3312" s="55">
        <f ca="1" t="shared" si="187"/>
        <v>47</v>
      </c>
      <c r="Q3312" s="22" t="str">
        <f>VLOOKUP(B3312,辅助信息!E:M,9,FALSE)</f>
        <v>ZTWM-CDGS-XS-2025-0033-中铁武汉电气化局集团有限公司成达万高速铁路强电工程项目</v>
      </c>
      <c r="R3312" s="22" t="str">
        <f>_xlfn._xlws.FILTER(辅助信息!D:D,辅助信息!E:E=B3312)</f>
        <v>武汉电气化局成达万高铁强电项目</v>
      </c>
    </row>
    <row r="3313" hidden="1" spans="2:18">
      <c r="B3313" s="33" t="s">
        <v>204</v>
      </c>
      <c r="C3313" s="63">
        <v>45908</v>
      </c>
      <c r="D3313" s="33" t="str">
        <f>VLOOKUP(B3313,辅助信息!E:K,7,FALSE)</f>
        <v>JWDDCD2025062200016</v>
      </c>
      <c r="E3313" s="33" t="str">
        <f>VLOOKUP(F3313,辅助信息!A:B,2,FALSE)</f>
        <v>螺纹钢</v>
      </c>
      <c r="F3313" s="33" t="s">
        <v>33</v>
      </c>
      <c r="G3313" s="139">
        <v>5.97</v>
      </c>
      <c r="H3313" s="127"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33" t="str">
        <f>VLOOKUP(B3313,辅助信息!E:I,3,FALSE)</f>
        <v>(武汉电气化局成达万高铁强电项目-达州主城区-达州南站)四川省达州市达川区达州南站</v>
      </c>
      <c r="J3313" s="33" t="str">
        <f>VLOOKUP(B3313,辅助信息!E:I,4,FALSE)</f>
        <v>杨人志</v>
      </c>
      <c r="K3313" s="33">
        <f>VLOOKUP(J3313,辅助信息!H:I,2,FALSE)</f>
        <v>18782679099</v>
      </c>
      <c r="L3313" s="102" t="str">
        <f>VLOOKUP(B3313,辅助信息!E:J,6,FALSE)</f>
        <v>锈货不收！！下雨天钢筋没盖篷布不收！！，装货前联系收货人核实到场规格,没提前告知进场规格现场不给予接收</v>
      </c>
      <c r="M3313" s="84">
        <v>45910</v>
      </c>
      <c r="O3313" s="55">
        <f ca="1" t="shared" si="186"/>
        <v>0</v>
      </c>
      <c r="P3313" s="55">
        <f ca="1" t="shared" si="187"/>
        <v>47</v>
      </c>
      <c r="Q3313" s="22" t="str">
        <f>VLOOKUP(B3313,辅助信息!E:M,9,FALSE)</f>
        <v>ZTWM-CDGS-XS-2025-0033-中铁武汉电气化局集团有限公司成达万高速铁路强电工程项目</v>
      </c>
      <c r="R3313" s="22" t="str">
        <f>_xlfn._xlws.FILTER(辅助信息!D:D,辅助信息!E:E=B3313)</f>
        <v>武汉电气化局成达万高铁强电项目</v>
      </c>
    </row>
    <row r="3314" hidden="1" spans="2:18">
      <c r="B3314" s="33" t="s">
        <v>204</v>
      </c>
      <c r="C3314" s="63">
        <v>45908</v>
      </c>
      <c r="D3314" s="33" t="str">
        <f>VLOOKUP(B3314,辅助信息!E:K,7,FALSE)</f>
        <v>JWDDCD2025062200016</v>
      </c>
      <c r="E3314" s="33" t="str">
        <f>VLOOKUP(F3314,辅助信息!A:B,2,FALSE)</f>
        <v>螺纹钢</v>
      </c>
      <c r="F3314" s="33" t="s">
        <v>28</v>
      </c>
      <c r="G3314" s="139">
        <v>7.53</v>
      </c>
      <c r="H3314" s="127">
        <f>IF(SUMIFS('[1]2025年已发货'!$E:$E,'[1]2025年已发货'!$F:$F,C3314,'[1]2025年已发货'!$C:$C,F3314,'[1]2025年已发货'!$G:$G,I3314,'[1]2025年已发货'!$H:$H,J3314)=0,"未发货",SUMIFS('[1]2025年已发货'!$E:$E,'[1]2025年已发货'!$F:$F,C3314,'[1]2025年已发货'!$C:$C,F3314,'[1]2025年已发货'!$G:$G,I3314,'[1]2025年已发货'!$H:$H,J3314))</f>
        <v>6</v>
      </c>
      <c r="I3314" s="33" t="str">
        <f>VLOOKUP(B3314,辅助信息!E:I,3,FALSE)</f>
        <v>(武汉电气化局成达万高铁强电项目-达州主城区-达州南站)四川省达州市达川区达州南站</v>
      </c>
      <c r="J3314" s="33" t="str">
        <f>VLOOKUP(B3314,辅助信息!E:I,4,FALSE)</f>
        <v>杨人志</v>
      </c>
      <c r="K3314" s="33">
        <f>VLOOKUP(J3314,辅助信息!H:I,2,FALSE)</f>
        <v>18782679099</v>
      </c>
      <c r="L3314" s="102" t="str">
        <f>VLOOKUP(B3314,辅助信息!E:J,6,FALSE)</f>
        <v>锈货不收！！下雨天钢筋没盖篷布不收！！，装货前联系收货人核实到场规格,没提前告知进场规格现场不给予接收</v>
      </c>
      <c r="M3314" s="84">
        <v>45910</v>
      </c>
      <c r="O3314" s="55">
        <f ca="1" t="shared" si="186"/>
        <v>0</v>
      </c>
      <c r="P3314" s="55">
        <f ca="1" t="shared" si="187"/>
        <v>47</v>
      </c>
      <c r="Q3314" s="22" t="str">
        <f>VLOOKUP(B3314,辅助信息!E:M,9,FALSE)</f>
        <v>ZTWM-CDGS-XS-2025-0033-中铁武汉电气化局集团有限公司成达万高速铁路强电工程项目</v>
      </c>
      <c r="R3314" s="22" t="str">
        <f>_xlfn._xlws.FILTER(辅助信息!D:D,辅助信息!E:E=B3314)</f>
        <v>武汉电气化局成达万高铁强电项目</v>
      </c>
    </row>
    <row r="3315" hidden="1" spans="2:18">
      <c r="B3315" s="33" t="s">
        <v>204</v>
      </c>
      <c r="C3315" s="63">
        <v>45908</v>
      </c>
      <c r="D3315" s="33" t="str">
        <f>VLOOKUP(B3315,辅助信息!E:K,7,FALSE)</f>
        <v>JWDDCD2025062200016</v>
      </c>
      <c r="E3315" s="33" t="str">
        <f>VLOOKUP(F3315,辅助信息!A:B,2,FALSE)</f>
        <v>螺纹钢</v>
      </c>
      <c r="F3315" s="33" t="s">
        <v>18</v>
      </c>
      <c r="G3315" s="139">
        <v>9.31</v>
      </c>
      <c r="H3315" s="127">
        <f>IF(SUMIFS('[1]2025年已发货'!$E:$E,'[1]2025年已发货'!$F:$F,C3315,'[1]2025年已发货'!$C:$C,F3315,'[1]2025年已发货'!$G:$G,I3315,'[1]2025年已发货'!$H:$H,J3315)=0,"未发货",SUMIFS('[1]2025年已发货'!$E:$E,'[1]2025年已发货'!$F:$F,C3315,'[1]2025年已发货'!$C:$C,F3315,'[1]2025年已发货'!$G:$G,I3315,'[1]2025年已发货'!$H:$H,J3315))</f>
        <v>9</v>
      </c>
      <c r="I3315" s="33" t="str">
        <f>VLOOKUP(B3315,辅助信息!E:I,3,FALSE)</f>
        <v>(武汉电气化局成达万高铁强电项目-达州主城区-达州南站)四川省达州市达川区达州南站</v>
      </c>
      <c r="J3315" s="33" t="str">
        <f>VLOOKUP(B3315,辅助信息!E:I,4,FALSE)</f>
        <v>杨人志</v>
      </c>
      <c r="K3315" s="33">
        <f>VLOOKUP(J3315,辅助信息!H:I,2,FALSE)</f>
        <v>18782679099</v>
      </c>
      <c r="L3315" s="102" t="str">
        <f>VLOOKUP(B3315,辅助信息!E:J,6,FALSE)</f>
        <v>锈货不收！！下雨天钢筋没盖篷布不收！！，装货前联系收货人核实到场规格,没提前告知进场规格现场不给予接收</v>
      </c>
      <c r="M3315" s="84">
        <v>45910</v>
      </c>
      <c r="O3315" s="55">
        <f ca="1" t="shared" si="186"/>
        <v>0</v>
      </c>
      <c r="P3315" s="55">
        <f ca="1" t="shared" si="187"/>
        <v>47</v>
      </c>
      <c r="Q3315" s="22" t="str">
        <f>VLOOKUP(B3315,辅助信息!E:M,9,FALSE)</f>
        <v>ZTWM-CDGS-XS-2025-0033-中铁武汉电气化局集团有限公司成达万高速铁路强电工程项目</v>
      </c>
      <c r="R3315" s="22" t="str">
        <f>_xlfn._xlws.FILTER(辅助信息!D:D,辅助信息!E:E=B3315)</f>
        <v>武汉电气化局成达万高铁强电项目</v>
      </c>
    </row>
    <row r="3316" hidden="1" spans="2:18">
      <c r="B3316" s="33" t="s">
        <v>204</v>
      </c>
      <c r="C3316" s="63">
        <v>45908</v>
      </c>
      <c r="D3316" s="33" t="str">
        <f>VLOOKUP(B3316,辅助信息!E:K,7,FALSE)</f>
        <v>JWDDCD2025062200016</v>
      </c>
      <c r="E3316" s="33" t="str">
        <f>VLOOKUP(F3316,辅助信息!A:B,2,FALSE)</f>
        <v>螺纹钢</v>
      </c>
      <c r="F3316" s="33" t="s">
        <v>65</v>
      </c>
      <c r="G3316" s="139">
        <v>3</v>
      </c>
      <c r="H3316" s="127">
        <f>IF(SUMIFS('[1]2025年已发货'!$E:$E,'[1]2025年已发货'!$F:$F,C3316,'[1]2025年已发货'!$C:$C,F3316,'[1]2025年已发货'!$G:$G,I3316,'[1]2025年已发货'!$H:$H,J3316)=0,"未发货",SUMIFS('[1]2025年已发货'!$E:$E,'[1]2025年已发货'!$F:$F,C3316,'[1]2025年已发货'!$C:$C,F3316,'[1]2025年已发货'!$G:$G,I3316,'[1]2025年已发货'!$H:$H,J3316))</f>
        <v>3</v>
      </c>
      <c r="I3316" s="33" t="str">
        <f>VLOOKUP(B3316,辅助信息!E:I,3,FALSE)</f>
        <v>(武汉电气化局成达万高铁强电项目-达州主城区-达州南站)四川省达州市达川区达州南站</v>
      </c>
      <c r="J3316" s="33" t="str">
        <f>VLOOKUP(B3316,辅助信息!E:I,4,FALSE)</f>
        <v>杨人志</v>
      </c>
      <c r="K3316" s="33">
        <f>VLOOKUP(J3316,辅助信息!H:I,2,FALSE)</f>
        <v>18782679099</v>
      </c>
      <c r="L3316" s="102" t="str">
        <f>VLOOKUP(B3316,辅助信息!E:J,6,FALSE)</f>
        <v>锈货不收！！下雨天钢筋没盖篷布不收！！，装货前联系收货人核实到场规格,没提前告知进场规格现场不给予接收</v>
      </c>
      <c r="M3316" s="84">
        <v>45910</v>
      </c>
      <c r="O3316" s="55">
        <f ca="1" t="shared" si="186"/>
        <v>0</v>
      </c>
      <c r="P3316" s="55">
        <f ca="1" t="shared" si="187"/>
        <v>47</v>
      </c>
      <c r="Q3316" s="22" t="str">
        <f>VLOOKUP(B3316,辅助信息!E:M,9,FALSE)</f>
        <v>ZTWM-CDGS-XS-2025-0033-中铁武汉电气化局集团有限公司成达万高速铁路强电工程项目</v>
      </c>
      <c r="R3316" s="22" t="str">
        <f>_xlfn._xlws.FILTER(辅助信息!D:D,辅助信息!E:E=B3316)</f>
        <v>武汉电气化局成达万高铁强电项目</v>
      </c>
    </row>
    <row r="3317" hidden="1" spans="1:18">
      <c r="A3317" s="64" t="s">
        <v>216</v>
      </c>
      <c r="B3317" s="33" t="s">
        <v>167</v>
      </c>
      <c r="C3317" s="63">
        <v>45905</v>
      </c>
      <c r="D3317" s="33" t="str">
        <f>VLOOKUP(B3317,辅助信息!E:K,7,FALSE)</f>
        <v>JWDDCD2025102100473</v>
      </c>
      <c r="E3317" s="33" t="str">
        <f>VLOOKUP(F3317,辅助信息!A:B,2,FALSE)</f>
        <v>螺纹钢</v>
      </c>
      <c r="F3317" s="33" t="s">
        <v>66</v>
      </c>
      <c r="G3317" s="29">
        <v>12</v>
      </c>
      <c r="H3317" s="127">
        <f>IF(SUMIFS('[1]2025年已发货'!$E:$E,'[1]2025年已发货'!$F:$F,C3317,'[1]2025年已发货'!$C:$C,F3317,'[1]2025年已发货'!$G:$G,I3317,'[1]2025年已发货'!$H:$H,J3317)=0,"未发货",SUMIFS('[1]2025年已发货'!$E:$E,'[1]2025年已发货'!$F:$F,C3317,'[1]2025年已发货'!$C:$C,F3317,'[1]2025年已发货'!$G:$G,I3317,'[1]2025年已发货'!$H:$H,J3317))</f>
        <v>12.5</v>
      </c>
      <c r="I3317" s="33" t="str">
        <f>VLOOKUP(B3317,辅助信息!E:I,3,FALSE)</f>
        <v>(五冶建设扩建艺体中学二期工程)四川省成都市双流区光荣路成都艺体中学南200米</v>
      </c>
      <c r="J3317" s="33" t="str">
        <f>VLOOKUP(B3317,辅助信息!E:I,4,FALSE)</f>
        <v>谢序强</v>
      </c>
      <c r="K3317" s="33">
        <f>VLOOKUP(J3317,辅助信息!H:I,2,FALSE)</f>
        <v>13458588232</v>
      </c>
      <c r="L3317" s="102"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55" t="str">
        <f ca="1" t="shared" si="186"/>
        <v/>
      </c>
      <c r="P3317" s="55" t="str">
        <f ca="1" t="shared" si="187"/>
        <v/>
      </c>
      <c r="Q3317" s="22" t="str">
        <f>VLOOKUP(B3317,辅助信息!E:M,9,FALSE)</f>
        <v>ZTWM-CDGS-XS-2025-0073-五冶天府-成都怡心湖片区及龙泉驿医院等项目</v>
      </c>
      <c r="R3317" s="22" t="str">
        <f>_xlfn._xlws.FILTER(辅助信息!D:D,辅助信息!E:E=B3317)</f>
        <v>五冶建设扩建艺体中学二期工程</v>
      </c>
    </row>
    <row r="3318" hidden="1" spans="1:18">
      <c r="A3318" s="64"/>
      <c r="B3318" s="33" t="s">
        <v>167</v>
      </c>
      <c r="C3318" s="63">
        <v>45905</v>
      </c>
      <c r="D3318" s="33" t="str">
        <f>VLOOKUP(B3318,辅助信息!E:K,7,FALSE)</f>
        <v>JWDDCD2025102100473</v>
      </c>
      <c r="E3318" s="33" t="str">
        <f>VLOOKUP(F3318,辅助信息!A:B,2,FALSE)</f>
        <v>螺纹钢</v>
      </c>
      <c r="F3318" s="33" t="s">
        <v>22</v>
      </c>
      <c r="G3318" s="29">
        <v>24</v>
      </c>
      <c r="H3318" s="127">
        <f>IF(SUMIFS('[1]2025年已发货'!$E:$E,'[1]2025年已发货'!$F:$F,C3318,'[1]2025年已发货'!$C:$C,F3318,'[1]2025年已发货'!$G:$G,I3318,'[1]2025年已发货'!$H:$H,J3318)=0,"未发货",SUMIFS('[1]2025年已发货'!$E:$E,'[1]2025年已发货'!$F:$F,C3318,'[1]2025年已发货'!$C:$C,F3318,'[1]2025年已发货'!$G:$G,I3318,'[1]2025年已发货'!$H:$H,J3318))</f>
        <v>43.5</v>
      </c>
      <c r="I3318" s="33" t="str">
        <f>VLOOKUP(B3318,辅助信息!E:I,3,FALSE)</f>
        <v>(五冶建设扩建艺体中学二期工程)四川省成都市双流区光荣路成都艺体中学南200米</v>
      </c>
      <c r="J3318" s="33" t="str">
        <f>VLOOKUP(B3318,辅助信息!E:I,4,FALSE)</f>
        <v>谢序强</v>
      </c>
      <c r="K3318" s="33">
        <f>VLOOKUP(J3318,辅助信息!H:I,2,FALSE)</f>
        <v>13458588232</v>
      </c>
      <c r="L3318" s="102"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55" t="str">
        <f ca="1" t="shared" si="186"/>
        <v/>
      </c>
      <c r="P3318" s="55" t="str">
        <f ca="1" t="shared" si="187"/>
        <v/>
      </c>
      <c r="Q3318" s="22" t="str">
        <f>VLOOKUP(B3318,辅助信息!E:M,9,FALSE)</f>
        <v>ZTWM-CDGS-XS-2025-0073-五冶天府-成都怡心湖片区及龙泉驿医院等项目</v>
      </c>
      <c r="R3318" s="22" t="str">
        <f>_xlfn._xlws.FILTER(辅助信息!D:D,辅助信息!E:E=B3318)</f>
        <v>五冶建设扩建艺体中学二期工程</v>
      </c>
    </row>
    <row r="3319" hidden="1" spans="2:18">
      <c r="B3319" s="33" t="s">
        <v>186</v>
      </c>
      <c r="C3319" s="63">
        <v>45905</v>
      </c>
      <c r="D3319" s="33" t="str">
        <f>VLOOKUP(B3319,辅助信息!E:K,7,FALSE)</f>
        <v>JWDDCD2025072900123</v>
      </c>
      <c r="E3319" s="33" t="str">
        <f>VLOOKUP(F3319,辅助信息!A:B,2,FALSE)</f>
        <v>盘螺</v>
      </c>
      <c r="F3319" s="33" t="s">
        <v>40</v>
      </c>
      <c r="G3319" s="29">
        <v>10</v>
      </c>
      <c r="H3319" s="127">
        <f>IF(SUMIFS('[1]2025年已发货'!$E:$E,'[1]2025年已发货'!$F:$F,C3319,'[1]2025年已发货'!$C:$C,F3319,'[1]2025年已发货'!$G:$G,I3319,'[1]2025年已发货'!$H:$H,J3319)=0,"未发货",SUMIFS('[1]2025年已发货'!$E:$E,'[1]2025年已发货'!$F:$F,C3319,'[1]2025年已发货'!$C:$C,F3319,'[1]2025年已发货'!$G:$G,I3319,'[1]2025年已发货'!$H:$H,J3319))</f>
        <v>10</v>
      </c>
      <c r="I3319" s="33" t="str">
        <f>VLOOKUP(B3319,辅助信息!E:I,3,FALSE)</f>
        <v>(乐山市校地共建产教融合基地建设项目二标段)四川省乐山市市中区苏稽镇</v>
      </c>
      <c r="J3319" s="33" t="str">
        <f>VLOOKUP(B3319,辅助信息!E:I,4,FALSE)</f>
        <v>彭江涛</v>
      </c>
      <c r="K3319" s="33">
        <f>VLOOKUP(J3319,辅助信息!H:I,2,FALSE)</f>
        <v>13990276572</v>
      </c>
      <c r="L3319" s="102" t="str">
        <f>VLOOKUP(B3319,辅助信息!E:J,6,FALSE)</f>
        <v>联系实际收货人（彭江涛13990276572）现场要求炉批号控制2个以下，超2个不给予签收。提前联系到场规格及数量</v>
      </c>
      <c r="O3319" s="55" t="str">
        <f ca="1" t="shared" si="186"/>
        <v/>
      </c>
      <c r="P3319" s="55" t="str">
        <f ca="1" t="shared" si="187"/>
        <v/>
      </c>
      <c r="Q3319" s="22" t="str">
        <f>VLOOKUP(B3319,辅助信息!E:M,9,FALSE)</f>
        <v>ZTWM-CDGS-XS-2025-0126-四川机司-乐山市校地共建产教融合基地配套设施项目施工二标段钢筋采购合同</v>
      </c>
      <c r="R3319" s="22" t="str">
        <f>_xlfn._xlws.FILTER(辅助信息!D:D,辅助信息!E:E=B3319)</f>
        <v>乐山市校地共建产教融合基地建设项目二标段</v>
      </c>
    </row>
    <row r="3320" hidden="1" spans="2:18">
      <c r="B3320" s="33" t="s">
        <v>186</v>
      </c>
      <c r="C3320" s="63">
        <v>45905</v>
      </c>
      <c r="D3320" s="33" t="str">
        <f>VLOOKUP(B3320,辅助信息!E:K,7,FALSE)</f>
        <v>JWDDCD2025072900123</v>
      </c>
      <c r="E3320" s="33" t="str">
        <f>VLOOKUP(F3320,辅助信息!A:B,2,FALSE)</f>
        <v>盘螺</v>
      </c>
      <c r="F3320" s="33" t="s">
        <v>26</v>
      </c>
      <c r="G3320" s="29">
        <v>15</v>
      </c>
      <c r="H3320" s="127">
        <f>IF(SUMIFS('[1]2025年已发货'!$E:$E,'[1]2025年已发货'!$F:$F,C3320,'[1]2025年已发货'!$C:$C,F3320,'[1]2025年已发货'!$G:$G,I3320,'[1]2025年已发货'!$H:$H,J3320)=0,"未发货",SUMIFS('[1]2025年已发货'!$E:$E,'[1]2025年已发货'!$F:$F,C3320,'[1]2025年已发货'!$C:$C,F3320,'[1]2025年已发货'!$G:$G,I3320,'[1]2025年已发货'!$H:$H,J3320))</f>
        <v>25</v>
      </c>
      <c r="I3320" s="33" t="str">
        <f>VLOOKUP(B3320,辅助信息!E:I,3,FALSE)</f>
        <v>(乐山市校地共建产教融合基地建设项目二标段)四川省乐山市市中区苏稽镇</v>
      </c>
      <c r="J3320" s="33" t="str">
        <f>VLOOKUP(B3320,辅助信息!E:I,4,FALSE)</f>
        <v>彭江涛</v>
      </c>
      <c r="K3320" s="33">
        <f>VLOOKUP(J3320,辅助信息!H:I,2,FALSE)</f>
        <v>13990276572</v>
      </c>
      <c r="L3320" s="102" t="str">
        <f>VLOOKUP(B3320,辅助信息!E:J,6,FALSE)</f>
        <v>联系实际收货人（彭江涛13990276572）现场要求炉批号控制2个以下，超2个不给予签收。提前联系到场规格及数量</v>
      </c>
      <c r="O3320" s="55" t="str">
        <f ca="1" t="shared" si="186"/>
        <v/>
      </c>
      <c r="P3320" s="55" t="str">
        <f ca="1" t="shared" si="187"/>
        <v/>
      </c>
      <c r="Q3320" s="22" t="str">
        <f>VLOOKUP(B3320,辅助信息!E:M,9,FALSE)</f>
        <v>ZTWM-CDGS-XS-2025-0126-四川机司-乐山市校地共建产教融合基地配套设施项目施工二标段钢筋采购合同</v>
      </c>
      <c r="R3320" s="22" t="str">
        <f>_xlfn._xlws.FILTER(辅助信息!D:D,辅助信息!E:E=B3320)</f>
        <v>乐山市校地共建产教融合基地建设项目二标段</v>
      </c>
    </row>
    <row r="3321" hidden="1" spans="2:18">
      <c r="B3321" s="33" t="s">
        <v>186</v>
      </c>
      <c r="C3321" s="63">
        <v>45905</v>
      </c>
      <c r="D3321" s="33" t="str">
        <f>VLOOKUP(B3321,辅助信息!E:K,7,FALSE)</f>
        <v>JWDDCD2025072900123</v>
      </c>
      <c r="E3321" s="33" t="str">
        <f>VLOOKUP(F3321,辅助信息!A:B,2,FALSE)</f>
        <v>螺纹钢</v>
      </c>
      <c r="F3321" s="33" t="s">
        <v>205</v>
      </c>
      <c r="G3321" s="29">
        <v>35</v>
      </c>
      <c r="H3321" s="127">
        <f>IF(SUMIFS('[1]2025年已发货'!$E:$E,'[1]2025年已发货'!$F:$F,C3321,'[1]2025年已发货'!$C:$C,F3321,'[1]2025年已发货'!$G:$G,I3321,'[1]2025年已发货'!$H:$H,J3321)=0,"未发货",SUMIFS('[1]2025年已发货'!$E:$E,'[1]2025年已发货'!$F:$F,C3321,'[1]2025年已发货'!$C:$C,F3321,'[1]2025年已发货'!$G:$G,I3321,'[1]2025年已发货'!$H:$H,J3321))</f>
        <v>25</v>
      </c>
      <c r="I3321" s="33" t="str">
        <f>VLOOKUP(B3321,辅助信息!E:I,3,FALSE)</f>
        <v>(乐山市校地共建产教融合基地建设项目二标段)四川省乐山市市中区苏稽镇</v>
      </c>
      <c r="J3321" s="33" t="str">
        <f>VLOOKUP(B3321,辅助信息!E:I,4,FALSE)</f>
        <v>彭江涛</v>
      </c>
      <c r="K3321" s="33">
        <f>VLOOKUP(J3321,辅助信息!H:I,2,FALSE)</f>
        <v>13990276572</v>
      </c>
      <c r="L3321" s="102" t="str">
        <f>VLOOKUP(B3321,辅助信息!E:J,6,FALSE)</f>
        <v>联系实际收货人（彭江涛13990276572）现场要求炉批号控制2个以下，超2个不给予签收。提前联系到场规格及数量</v>
      </c>
      <c r="O3321" s="55" t="str">
        <f ca="1" t="shared" si="186"/>
        <v/>
      </c>
      <c r="P3321" s="55" t="str">
        <f ca="1" t="shared" si="187"/>
        <v/>
      </c>
      <c r="Q3321" s="22" t="str">
        <f>VLOOKUP(B3321,辅助信息!E:M,9,FALSE)</f>
        <v>ZTWM-CDGS-XS-2025-0126-四川机司-乐山市校地共建产教融合基地配套设施项目施工二标段钢筋采购合同</v>
      </c>
      <c r="R3321" s="22" t="str">
        <f>_xlfn._xlws.FILTER(辅助信息!D:D,辅助信息!E:E=B3321)</f>
        <v>乐山市校地共建产教融合基地建设项目二标段</v>
      </c>
    </row>
    <row r="3322" hidden="1" spans="2:18">
      <c r="B3322" s="33" t="s">
        <v>186</v>
      </c>
      <c r="C3322" s="63">
        <v>45905</v>
      </c>
      <c r="D3322" s="33" t="str">
        <f>VLOOKUP(B3322,辅助信息!E:K,7,FALSE)</f>
        <v>JWDDCD2025072900123</v>
      </c>
      <c r="E3322" s="33" t="str">
        <f>VLOOKUP(F3322,辅助信息!A:B,2,FALSE)</f>
        <v>螺纹钢</v>
      </c>
      <c r="F3322" s="33" t="s">
        <v>140</v>
      </c>
      <c r="G3322" s="29">
        <v>10</v>
      </c>
      <c r="H3322" s="127">
        <f>IF(SUMIFS('[1]2025年已发货'!$E:$E,'[1]2025年已发货'!$F:$F,C3322,'[1]2025年已发货'!$C:$C,F3322,'[1]2025年已发货'!$G:$G,I3322,'[1]2025年已发货'!$H:$H,J3322)=0,"未发货",SUMIFS('[1]2025年已发货'!$E:$E,'[1]2025年已发货'!$F:$F,C3322,'[1]2025年已发货'!$C:$C,F3322,'[1]2025年已发货'!$G:$G,I3322,'[1]2025年已发货'!$H:$H,J3322))</f>
        <v>10</v>
      </c>
      <c r="I3322" s="33" t="str">
        <f>VLOOKUP(B3322,辅助信息!E:I,3,FALSE)</f>
        <v>(乐山市校地共建产教融合基地建设项目二标段)四川省乐山市市中区苏稽镇</v>
      </c>
      <c r="J3322" s="33" t="str">
        <f>VLOOKUP(B3322,辅助信息!E:I,4,FALSE)</f>
        <v>彭江涛</v>
      </c>
      <c r="K3322" s="33">
        <f>VLOOKUP(J3322,辅助信息!H:I,2,FALSE)</f>
        <v>13990276572</v>
      </c>
      <c r="L3322" s="102" t="str">
        <f>VLOOKUP(B3322,辅助信息!E:J,6,FALSE)</f>
        <v>联系实际收货人（彭江涛13990276572）现场要求炉批号控制2个以下，超2个不给予签收。提前联系到场规格及数量</v>
      </c>
      <c r="O3322" s="55" t="str">
        <f ca="1" t="shared" si="186"/>
        <v/>
      </c>
      <c r="P3322" s="55" t="str">
        <f ca="1" t="shared" si="187"/>
        <v/>
      </c>
      <c r="Q3322" s="22" t="str">
        <f>VLOOKUP(B3322,辅助信息!E:M,9,FALSE)</f>
        <v>ZTWM-CDGS-XS-2025-0126-四川机司-乐山市校地共建产教融合基地配套设施项目施工二标段钢筋采购合同</v>
      </c>
      <c r="R3322" s="22" t="str">
        <f>_xlfn._xlws.FILTER(辅助信息!D:D,辅助信息!E:E=B3322)</f>
        <v>乐山市校地共建产教融合基地建设项目二标段</v>
      </c>
    </row>
    <row r="3323" hidden="1" spans="2:18">
      <c r="B3323" s="33" t="s">
        <v>186</v>
      </c>
      <c r="C3323" s="63">
        <v>45905</v>
      </c>
      <c r="D3323" s="33" t="str">
        <f>VLOOKUP(B3323,辅助信息!E:K,7,FALSE)</f>
        <v>JWDDCD2025072900123</v>
      </c>
      <c r="E3323" s="33" t="str">
        <f>VLOOKUP(F3323,辅助信息!A:B,2,FALSE)</f>
        <v>螺纹钢</v>
      </c>
      <c r="F3323" s="33" t="s">
        <v>22</v>
      </c>
      <c r="G3323" s="29">
        <v>35</v>
      </c>
      <c r="H3323" s="127">
        <f>IF(SUMIFS('[1]2025年已发货'!$E:$E,'[1]2025年已发货'!$F:$F,C3323,'[1]2025年已发货'!$C:$C,F3323,'[1]2025年已发货'!$G:$G,I3323,'[1]2025年已发货'!$H:$H,J3323)=0,"未发货",SUMIFS('[1]2025年已发货'!$E:$E,'[1]2025年已发货'!$F:$F,C3323,'[1]2025年已发货'!$C:$C,F3323,'[1]2025年已发货'!$G:$G,I3323,'[1]2025年已发货'!$H:$H,J3323))</f>
        <v>35</v>
      </c>
      <c r="I3323" s="33" t="str">
        <f>VLOOKUP(B3323,辅助信息!E:I,3,FALSE)</f>
        <v>(乐山市校地共建产教融合基地建设项目二标段)四川省乐山市市中区苏稽镇</v>
      </c>
      <c r="J3323" s="33" t="str">
        <f>VLOOKUP(B3323,辅助信息!E:I,4,FALSE)</f>
        <v>彭江涛</v>
      </c>
      <c r="K3323" s="33">
        <f>VLOOKUP(J3323,辅助信息!H:I,2,FALSE)</f>
        <v>13990276572</v>
      </c>
      <c r="L3323" s="102" t="str">
        <f>VLOOKUP(B3323,辅助信息!E:J,6,FALSE)</f>
        <v>联系实际收货人（彭江涛13990276572）现场要求炉批号控制2个以下，超2个不给予签收。提前联系到场规格及数量</v>
      </c>
      <c r="O3323" s="55" t="str">
        <f ca="1" t="shared" si="186"/>
        <v/>
      </c>
      <c r="P3323" s="55" t="str">
        <f ca="1" t="shared" si="187"/>
        <v/>
      </c>
      <c r="Q3323" s="22" t="str">
        <f>VLOOKUP(B3323,辅助信息!E:M,9,FALSE)</f>
        <v>ZTWM-CDGS-XS-2025-0126-四川机司-乐山市校地共建产教融合基地配套设施项目施工二标段钢筋采购合同</v>
      </c>
      <c r="R3323" s="22" t="str">
        <f>_xlfn._xlws.FILTER(辅助信息!D:D,辅助信息!E:E=B3323)</f>
        <v>乐山市校地共建产教融合基地建设项目二标段</v>
      </c>
    </row>
    <row r="3324" hidden="1" spans="2:18">
      <c r="B3324" s="33" t="s">
        <v>186</v>
      </c>
      <c r="C3324" s="63">
        <v>45905</v>
      </c>
      <c r="D3324" s="33" t="str">
        <f>VLOOKUP(B3324,辅助信息!E:K,7,FALSE)</f>
        <v>JWDDCD2025072900123</v>
      </c>
      <c r="E3324" s="33" t="str">
        <f>VLOOKUP(F3324,辅助信息!A:B,2,FALSE)</f>
        <v>螺纹钢</v>
      </c>
      <c r="F3324" s="33" t="s">
        <v>142</v>
      </c>
      <c r="G3324" s="29">
        <v>35</v>
      </c>
      <c r="H3324" s="127">
        <f>IF(SUMIFS('[1]2025年已发货'!$E:$E,'[1]2025年已发货'!$F:$F,C3324,'[1]2025年已发货'!$C:$C,F3324,'[1]2025年已发货'!$G:$G,I3324,'[1]2025年已发货'!$H:$H,J3324)=0,"未发货",SUMIFS('[1]2025年已发货'!$E:$E,'[1]2025年已发货'!$F:$F,C3324,'[1]2025年已发货'!$C:$C,F3324,'[1]2025年已发货'!$G:$G,I3324,'[1]2025年已发货'!$H:$H,J3324))</f>
        <v>35</v>
      </c>
      <c r="I3324" s="33" t="str">
        <f>VLOOKUP(B3324,辅助信息!E:I,3,FALSE)</f>
        <v>(乐山市校地共建产教融合基地建设项目二标段)四川省乐山市市中区苏稽镇</v>
      </c>
      <c r="J3324" s="33" t="str">
        <f>VLOOKUP(B3324,辅助信息!E:I,4,FALSE)</f>
        <v>彭江涛</v>
      </c>
      <c r="K3324" s="33">
        <f>VLOOKUP(J3324,辅助信息!H:I,2,FALSE)</f>
        <v>13990276572</v>
      </c>
      <c r="L3324" s="102" t="str">
        <f>VLOOKUP(B3324,辅助信息!E:J,6,FALSE)</f>
        <v>联系实际收货人（彭江涛13990276572）现场要求炉批号控制2个以下，超2个不给予签收。提前联系到场规格及数量</v>
      </c>
      <c r="O3324" s="55" t="str">
        <f ca="1" t="shared" si="186"/>
        <v/>
      </c>
      <c r="P3324" s="55" t="str">
        <f ca="1" t="shared" si="187"/>
        <v/>
      </c>
      <c r="Q3324" s="22" t="str">
        <f>VLOOKUP(B3324,辅助信息!E:M,9,FALSE)</f>
        <v>ZTWM-CDGS-XS-2025-0126-四川机司-乐山市校地共建产教融合基地配套设施项目施工二标段钢筋采购合同</v>
      </c>
      <c r="R3324" s="22" t="str">
        <f>_xlfn._xlws.FILTER(辅助信息!D:D,辅助信息!E:E=B3324)</f>
        <v>乐山市校地共建产教融合基地建设项目二标段</v>
      </c>
    </row>
    <row r="3325" hidden="1" spans="2:18">
      <c r="B3325" s="33" t="s">
        <v>167</v>
      </c>
      <c r="C3325" s="63">
        <v>45905</v>
      </c>
      <c r="D3325" s="33" t="str">
        <f>VLOOKUP(B3325,辅助信息!E:K,7,FALSE)</f>
        <v>JWDDCD2025102100473</v>
      </c>
      <c r="E3325" s="33" t="str">
        <f>VLOOKUP(F3325,辅助信息!A:B,2,FALSE)</f>
        <v>盘螺</v>
      </c>
      <c r="F3325" s="33" t="s">
        <v>41</v>
      </c>
      <c r="G3325" s="29">
        <v>10</v>
      </c>
      <c r="H3325" s="127">
        <f>IF(SUMIFS('[1]2025年已发货'!$E:$E,'[1]2025年已发货'!$F:$F,C3325,'[1]2025年已发货'!$C:$C,F3325,'[1]2025年已发货'!$G:$G,I3325,'[1]2025年已发货'!$H:$H,J3325)=0,"未发货",SUMIFS('[1]2025年已发货'!$E:$E,'[1]2025年已发货'!$F:$F,C3325,'[1]2025年已发货'!$C:$C,F3325,'[1]2025年已发货'!$G:$G,I3325,'[1]2025年已发货'!$H:$H,J3325))</f>
        <v>10</v>
      </c>
      <c r="I3325" s="33" t="str">
        <f>VLOOKUP(B3325,辅助信息!E:I,3,FALSE)</f>
        <v>(五冶建设扩建艺体中学二期工程)四川省成都市双流区光荣路成都艺体中学南200米</v>
      </c>
      <c r="J3325" s="33" t="str">
        <f>VLOOKUP(B3325,辅助信息!E:I,4,FALSE)</f>
        <v>谢序强</v>
      </c>
      <c r="K3325" s="33">
        <f>VLOOKUP(J3325,辅助信息!H:I,2,FALSE)</f>
        <v>13458588232</v>
      </c>
      <c r="L3325" s="102"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84">
        <v>45908</v>
      </c>
      <c r="O3325" s="55">
        <f ca="1" t="shared" si="186"/>
        <v>0</v>
      </c>
      <c r="P3325" s="55">
        <f ca="1" t="shared" si="187"/>
        <v>49</v>
      </c>
      <c r="Q3325" s="22" t="str">
        <f>VLOOKUP(B3325,辅助信息!E:M,9,FALSE)</f>
        <v>ZTWM-CDGS-XS-2025-0073-五冶天府-成都怡心湖片区及龙泉驿医院等项目</v>
      </c>
      <c r="R3325" s="22" t="str">
        <f>_xlfn._xlws.FILTER(辅助信息!D:D,辅助信息!E:E=B3325)</f>
        <v>五冶建设扩建艺体中学二期工程</v>
      </c>
    </row>
    <row r="3326" hidden="1" spans="2:18">
      <c r="B3326" s="33" t="s">
        <v>167</v>
      </c>
      <c r="C3326" s="63">
        <v>45905</v>
      </c>
      <c r="D3326" s="33" t="str">
        <f>VLOOKUP(B3326,辅助信息!E:K,7,FALSE)</f>
        <v>JWDDCD2025102100473</v>
      </c>
      <c r="E3326" s="33" t="str">
        <f>VLOOKUP(F3326,辅助信息!A:B,2,FALSE)</f>
        <v>螺纹钢</v>
      </c>
      <c r="F3326" s="33" t="s">
        <v>27</v>
      </c>
      <c r="G3326" s="29">
        <v>21</v>
      </c>
      <c r="H3326" s="127">
        <f>IF(SUMIFS('[1]2025年已发货'!$E:$E,'[1]2025年已发货'!$F:$F,C3326,'[1]2025年已发货'!$C:$C,F3326,'[1]2025年已发货'!$G:$G,I3326,'[1]2025年已发货'!$H:$H,J3326)=0,"未发货",SUMIFS('[1]2025年已发货'!$E:$E,'[1]2025年已发货'!$F:$F,C3326,'[1]2025年已发货'!$C:$C,F3326,'[1]2025年已发货'!$G:$G,I3326,'[1]2025年已发货'!$H:$H,J3326))</f>
        <v>21</v>
      </c>
      <c r="I3326" s="33" t="str">
        <f>VLOOKUP(B3326,辅助信息!E:I,3,FALSE)</f>
        <v>(五冶建设扩建艺体中学二期工程)四川省成都市双流区光荣路成都艺体中学南200米</v>
      </c>
      <c r="J3326" s="33" t="str">
        <f>VLOOKUP(B3326,辅助信息!E:I,4,FALSE)</f>
        <v>谢序强</v>
      </c>
      <c r="K3326" s="33">
        <f>VLOOKUP(J3326,辅助信息!H:I,2,FALSE)</f>
        <v>13458588232</v>
      </c>
      <c r="L3326" s="102"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84">
        <v>45908</v>
      </c>
      <c r="O3326" s="55">
        <f ca="1" t="shared" si="186"/>
        <v>0</v>
      </c>
      <c r="P3326" s="55">
        <f ca="1" t="shared" si="187"/>
        <v>49</v>
      </c>
      <c r="Q3326" s="22" t="str">
        <f>VLOOKUP(B3326,辅助信息!E:M,9,FALSE)</f>
        <v>ZTWM-CDGS-XS-2025-0073-五冶天府-成都怡心湖片区及龙泉驿医院等项目</v>
      </c>
      <c r="R3326" s="22" t="str">
        <f>_xlfn._xlws.FILTER(辅助信息!D:D,辅助信息!E:E=B3326)</f>
        <v>五冶建设扩建艺体中学二期工程</v>
      </c>
    </row>
    <row r="3327" hidden="1" spans="2:18">
      <c r="B3327" s="33" t="s">
        <v>167</v>
      </c>
      <c r="C3327" s="63">
        <v>45905</v>
      </c>
      <c r="D3327" s="33" t="str">
        <f>VLOOKUP(B3327,辅助信息!E:K,7,FALSE)</f>
        <v>JWDDCD2025102100473</v>
      </c>
      <c r="E3327" s="33" t="str">
        <f>VLOOKUP(F3327,辅助信息!A:B,2,FALSE)</f>
        <v>螺纹钢</v>
      </c>
      <c r="F3327" s="33" t="s">
        <v>22</v>
      </c>
      <c r="G3327" s="29">
        <v>21</v>
      </c>
      <c r="H3327" s="127"/>
      <c r="I3327" s="33" t="str">
        <f>VLOOKUP(B3327,辅助信息!E:I,3,FALSE)</f>
        <v>(五冶建设扩建艺体中学二期工程)四川省成都市双流区光荣路成都艺体中学南200米</v>
      </c>
      <c r="J3327" s="33" t="str">
        <f>VLOOKUP(B3327,辅助信息!E:I,4,FALSE)</f>
        <v>谢序强</v>
      </c>
      <c r="K3327" s="33">
        <f>VLOOKUP(J3327,辅助信息!H:I,2,FALSE)</f>
        <v>13458588232</v>
      </c>
      <c r="L3327" s="102"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84">
        <v>45908</v>
      </c>
      <c r="O3327" s="55">
        <f ca="1" t="shared" si="186"/>
        <v>0</v>
      </c>
      <c r="P3327" s="55">
        <f ca="1" t="shared" si="187"/>
        <v>49</v>
      </c>
      <c r="Q3327" s="22" t="str">
        <f>VLOOKUP(B3327,辅助信息!E:M,9,FALSE)</f>
        <v>ZTWM-CDGS-XS-2025-0073-五冶天府-成都怡心湖片区及龙泉驿医院等项目</v>
      </c>
      <c r="R3327" s="22" t="str">
        <f>_xlfn._xlws.FILTER(辅助信息!D:D,辅助信息!E:E=B3327)</f>
        <v>五冶建设扩建艺体中学二期工程</v>
      </c>
    </row>
    <row r="3328" hidden="1" spans="2:18">
      <c r="B3328" s="33" t="s">
        <v>167</v>
      </c>
      <c r="C3328" s="63">
        <v>45905</v>
      </c>
      <c r="D3328" s="33" t="str">
        <f>VLOOKUP(B3328,辅助信息!E:K,7,FALSE)</f>
        <v>JWDDCD2025102100473</v>
      </c>
      <c r="E3328" s="33" t="str">
        <f>VLOOKUP(F3328,辅助信息!A:B,2,FALSE)</f>
        <v>螺纹钢</v>
      </c>
      <c r="F3328" s="33" t="s">
        <v>181</v>
      </c>
      <c r="G3328" s="29">
        <v>9</v>
      </c>
      <c r="H3328" s="127">
        <f>IF(SUMIFS('[1]2025年已发货'!$E:$E,'[1]2025年已发货'!$F:$F,C3328,'[1]2025年已发货'!$C:$C,F3328,'[1]2025年已发货'!$G:$G,I3328,'[1]2025年已发货'!$H:$H,J3328)=0,"未发货",SUMIFS('[1]2025年已发货'!$E:$E,'[1]2025年已发货'!$F:$F,C3328,'[1]2025年已发货'!$C:$C,F3328,'[1]2025年已发货'!$G:$G,I3328,'[1]2025年已发货'!$H:$H,J3328))</f>
        <v>9</v>
      </c>
      <c r="I3328" s="33" t="str">
        <f>VLOOKUP(B3328,辅助信息!E:I,3,FALSE)</f>
        <v>(五冶建设扩建艺体中学二期工程)四川省成都市双流区光荣路成都艺体中学南200米</v>
      </c>
      <c r="J3328" s="33" t="str">
        <f>VLOOKUP(B3328,辅助信息!E:I,4,FALSE)</f>
        <v>谢序强</v>
      </c>
      <c r="K3328" s="33">
        <f>VLOOKUP(J3328,辅助信息!H:I,2,FALSE)</f>
        <v>13458588232</v>
      </c>
      <c r="L3328" s="102"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84">
        <v>45908</v>
      </c>
      <c r="O3328" s="55">
        <f ca="1" t="shared" si="186"/>
        <v>0</v>
      </c>
      <c r="P3328" s="55">
        <f ca="1" t="shared" si="187"/>
        <v>49</v>
      </c>
      <c r="Q3328" s="22" t="str">
        <f>VLOOKUP(B3328,辅助信息!E:M,9,FALSE)</f>
        <v>ZTWM-CDGS-XS-2025-0073-五冶天府-成都怡心湖片区及龙泉驿医院等项目</v>
      </c>
      <c r="R3328" s="22" t="str">
        <f>_xlfn._xlws.FILTER(辅助信息!D:D,辅助信息!E:E=B3328)</f>
        <v>五冶建设扩建艺体中学二期工程</v>
      </c>
    </row>
    <row r="3329" hidden="1" spans="2:18">
      <c r="B3329" s="33" t="s">
        <v>167</v>
      </c>
      <c r="C3329" s="63">
        <v>45905</v>
      </c>
      <c r="D3329" s="33" t="str">
        <f>VLOOKUP(B3329,辅助信息!E:K,7,FALSE)</f>
        <v>JWDDCD2025102100473</v>
      </c>
      <c r="E3329" s="33" t="str">
        <f>VLOOKUP(F3329,辅助信息!A:B,2,FALSE)</f>
        <v>螺纹钢</v>
      </c>
      <c r="F3329" s="33" t="s">
        <v>182</v>
      </c>
      <c r="G3329" s="29">
        <v>9</v>
      </c>
      <c r="H3329" s="127">
        <f>IF(SUMIFS('[1]2025年已发货'!$E:$E,'[1]2025年已发货'!$F:$F,C3329,'[1]2025年已发货'!$C:$C,F3329,'[1]2025年已发货'!$G:$G,I3329,'[1]2025年已发货'!$H:$H,J3329)=0,"未发货",SUMIFS('[1]2025年已发货'!$E:$E,'[1]2025年已发货'!$F:$F,C3329,'[1]2025年已发货'!$C:$C,F3329,'[1]2025年已发货'!$G:$G,I3329,'[1]2025年已发货'!$H:$H,J3329))</f>
        <v>9</v>
      </c>
      <c r="I3329" s="33" t="str">
        <f>VLOOKUP(B3329,辅助信息!E:I,3,FALSE)</f>
        <v>(五冶建设扩建艺体中学二期工程)四川省成都市双流区光荣路成都艺体中学南200米</v>
      </c>
      <c r="J3329" s="33" t="str">
        <f>VLOOKUP(B3329,辅助信息!E:I,4,FALSE)</f>
        <v>谢序强</v>
      </c>
      <c r="K3329" s="33">
        <f>VLOOKUP(J3329,辅助信息!H:I,2,FALSE)</f>
        <v>13458588232</v>
      </c>
      <c r="L3329" s="102"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84">
        <v>45908</v>
      </c>
      <c r="O3329" s="55">
        <f ca="1" t="shared" si="186"/>
        <v>0</v>
      </c>
      <c r="P3329" s="55">
        <f ca="1" t="shared" si="187"/>
        <v>49</v>
      </c>
      <c r="Q3329" s="22" t="str">
        <f>VLOOKUP(B3329,辅助信息!E:M,9,FALSE)</f>
        <v>ZTWM-CDGS-XS-2025-0073-五冶天府-成都怡心湖片区及龙泉驿医院等项目</v>
      </c>
      <c r="R3329" s="22" t="str">
        <f>_xlfn._xlws.FILTER(辅助信息!D:D,辅助信息!E:E=B3329)</f>
        <v>五冶建设扩建艺体中学二期工程</v>
      </c>
    </row>
    <row r="3330" hidden="1" spans="2:18">
      <c r="B3330" s="33" t="s">
        <v>112</v>
      </c>
      <c r="C3330" s="63">
        <v>45909</v>
      </c>
      <c r="D3330" s="33" t="str">
        <f>VLOOKUP(B3330,辅助信息!E:K,7,FALSE)</f>
        <v>JWDDCD2025052800131</v>
      </c>
      <c r="E3330" s="33" t="str">
        <f>VLOOKUP(F3330,辅助信息!A:B,2,FALSE)</f>
        <v>盘螺</v>
      </c>
      <c r="F3330" s="33" t="s">
        <v>49</v>
      </c>
      <c r="G3330" s="29">
        <v>12</v>
      </c>
      <c r="H3330" s="127">
        <f>IF(SUMIFS('[1]2025年已发货'!$E:$E,'[1]2025年已发货'!$F:$F,C3330,'[1]2025年已发货'!$C:$C,F3330,'[1]2025年已发货'!$G:$G,I3330,'[1]2025年已发货'!$H:$H,J3330)=0,"未发货",SUMIFS('[1]2025年已发货'!$E:$E,'[1]2025年已发货'!$F:$F,C3330,'[1]2025年已发货'!$C:$C,F3330,'[1]2025年已发货'!$G:$G,I3330,'[1]2025年已发货'!$H:$H,J3330))</f>
        <v>12</v>
      </c>
      <c r="I3330" s="33" t="str">
        <f>VLOOKUP(B3330,辅助信息!E:I,3,FALSE)</f>
        <v>（商投建工达州中医药科技园-4工区-10号楼）达州市通川区达州中医药职业学院犀牛大道北段</v>
      </c>
      <c r="J3330" s="33" t="str">
        <f>VLOOKUP(B3330,辅助信息!E:I,4,FALSE)</f>
        <v>张扬</v>
      </c>
      <c r="K3330" s="33">
        <f>VLOOKUP(J3330,辅助信息!H:I,2,FALSE)</f>
        <v>18381904567</v>
      </c>
      <c r="L3330" s="102" t="str">
        <f>VLOOKUP(B3330,辅助信息!E:J,6,FALSE)</f>
        <v>控制炉批号！多了现场不收！,优先安排达钢,提前联系到场规格及数量</v>
      </c>
      <c r="M3330" s="84">
        <v>45910</v>
      </c>
      <c r="O3330" s="55">
        <f ca="1" t="shared" si="186"/>
        <v>0</v>
      </c>
      <c r="P3330" s="55">
        <f ca="1" t="shared" si="187"/>
        <v>47</v>
      </c>
      <c r="Q3330" s="22" t="str">
        <f>VLOOKUP(B3330,辅助信息!E:M,9,FALSE)</f>
        <v>ZTWM-CDGS-XS-2024-0134-商投建工达州中医药科技成果示范园项目</v>
      </c>
      <c r="R3330" s="22" t="str">
        <f>_xlfn._xlws.FILTER(辅助信息!D:D,辅助信息!E:E=B3330)</f>
        <v>商投建工达州中医药科技园</v>
      </c>
    </row>
    <row r="3331" hidden="1" spans="2:18">
      <c r="B3331" s="33" t="s">
        <v>112</v>
      </c>
      <c r="C3331" s="63">
        <v>45909</v>
      </c>
      <c r="D3331" s="33" t="str">
        <f>VLOOKUP(B3331,辅助信息!E:K,7,FALSE)</f>
        <v>JWDDCD2025052800131</v>
      </c>
      <c r="E3331" s="33" t="str">
        <f>VLOOKUP(F3331,辅助信息!A:B,2,FALSE)</f>
        <v>盘螺</v>
      </c>
      <c r="F3331" s="33" t="s">
        <v>40</v>
      </c>
      <c r="G3331" s="29">
        <v>13</v>
      </c>
      <c r="H3331" s="127">
        <f>IF(SUMIFS('[1]2025年已发货'!$E:$E,'[1]2025年已发货'!$F:$F,C3331,'[1]2025年已发货'!$C:$C,F3331,'[1]2025年已发货'!$G:$G,I3331,'[1]2025年已发货'!$H:$H,J3331)=0,"未发货",SUMIFS('[1]2025年已发货'!$E:$E,'[1]2025年已发货'!$F:$F,C3331,'[1]2025年已发货'!$C:$C,F3331,'[1]2025年已发货'!$G:$G,I3331,'[1]2025年已发货'!$H:$H,J3331))</f>
        <v>12</v>
      </c>
      <c r="I3331" s="33" t="str">
        <f>VLOOKUP(B3331,辅助信息!E:I,3,FALSE)</f>
        <v>（商投建工达州中医药科技园-4工区-10号楼）达州市通川区达州中医药职业学院犀牛大道北段</v>
      </c>
      <c r="J3331" s="33" t="str">
        <f>VLOOKUP(B3331,辅助信息!E:I,4,FALSE)</f>
        <v>张扬</v>
      </c>
      <c r="K3331" s="33">
        <f>VLOOKUP(J3331,辅助信息!H:I,2,FALSE)</f>
        <v>18381904567</v>
      </c>
      <c r="L3331" s="102" t="str">
        <f>VLOOKUP(B3331,辅助信息!E:J,6,FALSE)</f>
        <v>控制炉批号！多了现场不收！,优先安排达钢,提前联系到场规格及数量</v>
      </c>
      <c r="M3331" s="84"/>
      <c r="O3331" s="55" t="str">
        <f ca="1" t="shared" si="186"/>
        <v/>
      </c>
      <c r="P3331" s="55" t="str">
        <f ca="1" t="shared" si="187"/>
        <v/>
      </c>
      <c r="Q3331" s="22" t="str">
        <f>VLOOKUP(B3331,辅助信息!E:M,9,FALSE)</f>
        <v>ZTWM-CDGS-XS-2024-0134-商投建工达州中医药科技成果示范园项目</v>
      </c>
      <c r="R3331" s="22" t="str">
        <f>_xlfn._xlws.FILTER(辅助信息!D:D,辅助信息!E:E=B3331)</f>
        <v>商投建工达州中医药科技园</v>
      </c>
    </row>
    <row r="3332" hidden="1" spans="2:18">
      <c r="B3332" s="33" t="s">
        <v>112</v>
      </c>
      <c r="C3332" s="63">
        <v>45909</v>
      </c>
      <c r="D3332" s="33" t="str">
        <f>VLOOKUP(B3332,辅助信息!E:K,7,FALSE)</f>
        <v>JWDDCD2025052800131</v>
      </c>
      <c r="E3332" s="33" t="str">
        <f>VLOOKUP(F3332,辅助信息!A:B,2,FALSE)</f>
        <v>盘螺</v>
      </c>
      <c r="F3332" s="33" t="s">
        <v>41</v>
      </c>
      <c r="G3332" s="29">
        <v>18</v>
      </c>
      <c r="H3332" s="127">
        <f>IF(SUMIFS('[1]2025年已发货'!$E:$E,'[1]2025年已发货'!$F:$F,C3332,'[1]2025年已发货'!$C:$C,F3332,'[1]2025年已发货'!$G:$G,I3332,'[1]2025年已发货'!$H:$H,J3332)=0,"未发货",SUMIFS('[1]2025年已发货'!$E:$E,'[1]2025年已发货'!$F:$F,C3332,'[1]2025年已发货'!$C:$C,F3332,'[1]2025年已发货'!$G:$G,I3332,'[1]2025年已发货'!$H:$H,J3332))</f>
        <v>18</v>
      </c>
      <c r="I3332" s="33" t="str">
        <f>VLOOKUP(B3332,辅助信息!E:I,3,FALSE)</f>
        <v>（商投建工达州中医药科技园-4工区-10号楼）达州市通川区达州中医药职业学院犀牛大道北段</v>
      </c>
      <c r="J3332" s="33" t="str">
        <f>VLOOKUP(B3332,辅助信息!E:I,4,FALSE)</f>
        <v>张扬</v>
      </c>
      <c r="K3332" s="33">
        <f>VLOOKUP(J3332,辅助信息!H:I,2,FALSE)</f>
        <v>18381904567</v>
      </c>
      <c r="L3332" s="102" t="str">
        <f>VLOOKUP(B3332,辅助信息!E:J,6,FALSE)</f>
        <v>控制炉批号！多了现场不收！,优先安排达钢,提前联系到场规格及数量</v>
      </c>
      <c r="M3332" s="84">
        <v>45910</v>
      </c>
      <c r="O3332" s="55">
        <f ca="1" t="shared" si="186"/>
        <v>0</v>
      </c>
      <c r="P3332" s="55">
        <f ca="1" t="shared" si="187"/>
        <v>47</v>
      </c>
      <c r="Q3332" s="22" t="str">
        <f>VLOOKUP(B3332,辅助信息!E:M,9,FALSE)</f>
        <v>ZTWM-CDGS-XS-2024-0134-商投建工达州中医药科技成果示范园项目</v>
      </c>
      <c r="R3332" s="22" t="str">
        <f>_xlfn._xlws.FILTER(辅助信息!D:D,辅助信息!E:E=B3332)</f>
        <v>商投建工达州中医药科技园</v>
      </c>
    </row>
    <row r="3333" hidden="1" spans="2:18">
      <c r="B3333" s="33" t="s">
        <v>112</v>
      </c>
      <c r="C3333" s="63">
        <v>45909</v>
      </c>
      <c r="D3333" s="33" t="str">
        <f>VLOOKUP(B3333,辅助信息!E:K,7,FALSE)</f>
        <v>JWDDCD2025052800131</v>
      </c>
      <c r="E3333" s="33" t="str">
        <f>VLOOKUP(F3333,辅助信息!A:B,2,FALSE)</f>
        <v>螺纹钢</v>
      </c>
      <c r="F3333" s="33" t="s">
        <v>32</v>
      </c>
      <c r="G3333" s="29">
        <v>3</v>
      </c>
      <c r="H3333" s="127">
        <f>IF(SUMIFS('[1]2025年已发货'!$E:$E,'[1]2025年已发货'!$F:$F,C3333,'[1]2025年已发货'!$C:$C,F3333,'[1]2025年已发货'!$G:$G,I3333,'[1]2025年已发货'!$H:$H,J3333)=0,"未发货",SUMIFS('[1]2025年已发货'!$E:$E,'[1]2025年已发货'!$F:$F,C3333,'[1]2025年已发货'!$C:$C,F3333,'[1]2025年已发货'!$G:$G,I3333,'[1]2025年已发货'!$H:$H,J3333))</f>
        <v>3</v>
      </c>
      <c r="I3333" s="33" t="str">
        <f>VLOOKUP(B3333,辅助信息!E:I,3,FALSE)</f>
        <v>（商投建工达州中医药科技园-4工区-10号楼）达州市通川区达州中医药职业学院犀牛大道北段</v>
      </c>
      <c r="J3333" s="33" t="str">
        <f>VLOOKUP(B3333,辅助信息!E:I,4,FALSE)</f>
        <v>张扬</v>
      </c>
      <c r="K3333" s="33">
        <f>VLOOKUP(J3333,辅助信息!H:I,2,FALSE)</f>
        <v>18381904567</v>
      </c>
      <c r="L3333" s="102" t="str">
        <f>VLOOKUP(B3333,辅助信息!E:J,6,FALSE)</f>
        <v>控制炉批号！多了现场不收！,优先安排达钢,提前联系到场规格及数量</v>
      </c>
      <c r="M3333" s="84">
        <v>45910</v>
      </c>
      <c r="O3333" s="55">
        <f ca="1" t="shared" si="186"/>
        <v>0</v>
      </c>
      <c r="P3333" s="55">
        <f ca="1" t="shared" si="187"/>
        <v>47</v>
      </c>
      <c r="Q3333" s="22" t="str">
        <f>VLOOKUP(B3333,辅助信息!E:M,9,FALSE)</f>
        <v>ZTWM-CDGS-XS-2024-0134-商投建工达州中医药科技成果示范园项目</v>
      </c>
      <c r="R3333" s="22" t="str">
        <f>_xlfn._xlws.FILTER(辅助信息!D:D,辅助信息!E:E=B3333)</f>
        <v>商投建工达州中医药科技园</v>
      </c>
    </row>
    <row r="3334" hidden="1" spans="2:18">
      <c r="B3334" s="33" t="s">
        <v>112</v>
      </c>
      <c r="C3334" s="63">
        <v>45909</v>
      </c>
      <c r="D3334" s="33" t="str">
        <f>VLOOKUP(B3334,辅助信息!E:K,7,FALSE)</f>
        <v>JWDDCD2025052800131</v>
      </c>
      <c r="E3334" s="33" t="str">
        <f>VLOOKUP(F3334,辅助信息!A:B,2,FALSE)</f>
        <v>螺纹钢</v>
      </c>
      <c r="F3334" s="33" t="s">
        <v>33</v>
      </c>
      <c r="G3334" s="29">
        <v>6</v>
      </c>
      <c r="H3334" s="127">
        <f>IF(SUMIFS('[1]2025年已发货'!$E:$E,'[1]2025年已发货'!$F:$F,C3334,'[1]2025年已发货'!$C:$C,F3334,'[1]2025年已发货'!$G:$G,I3334,'[1]2025年已发货'!$H:$H,J3334)=0,"未发货",SUMIFS('[1]2025年已发货'!$E:$E,'[1]2025年已发货'!$F:$F,C3334,'[1]2025年已发货'!$C:$C,F3334,'[1]2025年已发货'!$G:$G,I3334,'[1]2025年已发货'!$H:$H,J3334))</f>
        <v>6</v>
      </c>
      <c r="I3334" s="33" t="str">
        <f>VLOOKUP(B3334,辅助信息!E:I,3,FALSE)</f>
        <v>（商投建工达州中医药科技园-4工区-10号楼）达州市通川区达州中医药职业学院犀牛大道北段</v>
      </c>
      <c r="J3334" s="33" t="str">
        <f>VLOOKUP(B3334,辅助信息!E:I,4,FALSE)</f>
        <v>张扬</v>
      </c>
      <c r="K3334" s="33">
        <f>VLOOKUP(J3334,辅助信息!H:I,2,FALSE)</f>
        <v>18381904567</v>
      </c>
      <c r="L3334" s="102" t="str">
        <f>VLOOKUP(B3334,辅助信息!E:J,6,FALSE)</f>
        <v>控制炉批号！多了现场不收！,优先安排达钢,提前联系到场规格及数量</v>
      </c>
      <c r="M3334" s="84">
        <v>45910</v>
      </c>
      <c r="O3334" s="55">
        <f ca="1" t="shared" si="186"/>
        <v>0</v>
      </c>
      <c r="P3334" s="55">
        <f ca="1" t="shared" si="187"/>
        <v>47</v>
      </c>
      <c r="Q3334" s="22" t="str">
        <f>VLOOKUP(B3334,辅助信息!E:M,9,FALSE)</f>
        <v>ZTWM-CDGS-XS-2024-0134-商投建工达州中医药科技成果示范园项目</v>
      </c>
      <c r="R3334" s="22" t="str">
        <f>_xlfn._xlws.FILTER(辅助信息!D:D,辅助信息!E:E=B3334)</f>
        <v>商投建工达州中医药科技园</v>
      </c>
    </row>
    <row r="3335" hidden="1" spans="2:18">
      <c r="B3335" s="33" t="s">
        <v>112</v>
      </c>
      <c r="C3335" s="63">
        <v>45909</v>
      </c>
      <c r="D3335" s="33" t="str">
        <f>VLOOKUP(B3335,辅助信息!E:K,7,FALSE)</f>
        <v>JWDDCD2025052800131</v>
      </c>
      <c r="E3335" s="33" t="str">
        <f>VLOOKUP(F3335,辅助信息!A:B,2,FALSE)</f>
        <v>螺纹钢</v>
      </c>
      <c r="F3335" s="33" t="s">
        <v>18</v>
      </c>
      <c r="G3335" s="29">
        <v>18</v>
      </c>
      <c r="H3335" s="127">
        <f>IF(SUMIFS('[1]2025年已发货'!$E:$E,'[1]2025年已发货'!$F:$F,C3335,'[1]2025年已发货'!$C:$C,F3335,'[1]2025年已发货'!$G:$G,I3335,'[1]2025年已发货'!$H:$H,J3335)=0,"未发货",SUMIFS('[1]2025年已发货'!$E:$E,'[1]2025年已发货'!$F:$F,C3335,'[1]2025年已发货'!$C:$C,F3335,'[1]2025年已发货'!$G:$G,I3335,'[1]2025年已发货'!$H:$H,J3335))</f>
        <v>18</v>
      </c>
      <c r="I3335" s="33" t="str">
        <f>VLOOKUP(B3335,辅助信息!E:I,3,FALSE)</f>
        <v>（商投建工达州中医药科技园-4工区-10号楼）达州市通川区达州中医药职业学院犀牛大道北段</v>
      </c>
      <c r="J3335" s="33" t="str">
        <f>VLOOKUP(B3335,辅助信息!E:I,4,FALSE)</f>
        <v>张扬</v>
      </c>
      <c r="K3335" s="33">
        <f>VLOOKUP(J3335,辅助信息!H:I,2,FALSE)</f>
        <v>18381904567</v>
      </c>
      <c r="L3335" s="102" t="str">
        <f>VLOOKUP(B3335,辅助信息!E:J,6,FALSE)</f>
        <v>控制炉批号！多了现场不收！,优先安排达钢,提前联系到场规格及数量</v>
      </c>
      <c r="M3335" s="84">
        <v>45910</v>
      </c>
      <c r="O3335" s="55">
        <f ca="1" t="shared" si="186"/>
        <v>0</v>
      </c>
      <c r="P3335" s="55">
        <f ca="1" t="shared" si="187"/>
        <v>47</v>
      </c>
      <c r="Q3335" s="22" t="str">
        <f>VLOOKUP(B3335,辅助信息!E:M,9,FALSE)</f>
        <v>ZTWM-CDGS-XS-2024-0134-商投建工达州中医药科技成果示范园项目</v>
      </c>
      <c r="R3335" s="22" t="str">
        <f>_xlfn._xlws.FILTER(辅助信息!D:D,辅助信息!E:E=B3335)</f>
        <v>商投建工达州中医药科技园</v>
      </c>
    </row>
    <row r="3336" hidden="1" spans="2:18">
      <c r="B3336" s="33" t="s">
        <v>68</v>
      </c>
      <c r="C3336" s="63">
        <v>45909</v>
      </c>
      <c r="D3336" s="33" t="str">
        <f>VLOOKUP(B3336,辅助信息!E:K,7,FALSE)</f>
        <v>JWDDCD2025052800131</v>
      </c>
      <c r="E3336" s="33" t="str">
        <f>VLOOKUP(F3336,辅助信息!A:B,2,FALSE)</f>
        <v>盘螺</v>
      </c>
      <c r="F3336" s="33" t="s">
        <v>49</v>
      </c>
      <c r="G3336" s="29">
        <v>15</v>
      </c>
      <c r="H3336" s="127">
        <f>IF(SUMIFS('[1]2025年已发货'!$E:$E,'[1]2025年已发货'!$F:$F,C3336,'[1]2025年已发货'!$C:$C,F3336,'[1]2025年已发货'!$G:$G,I3336,'[1]2025年已发货'!$H:$H,J3336)=0,"未发货",SUMIFS('[1]2025年已发货'!$E:$E,'[1]2025年已发货'!$F:$F,C3336,'[1]2025年已发货'!$C:$C,F3336,'[1]2025年已发货'!$G:$G,I3336,'[1]2025年已发货'!$H:$H,J3336))</f>
        <v>15</v>
      </c>
      <c r="I3336" s="33" t="str">
        <f>VLOOKUP(B3336,辅助信息!E:I,3,FALSE)</f>
        <v>（商投建工达州中医药科技园-2工区-景观桥）达州市通川区达州中医药职业学院犀牛大道北段</v>
      </c>
      <c r="J3336" s="33" t="str">
        <f>VLOOKUP(B3336,辅助信息!E:I,4,FALSE)</f>
        <v>李波</v>
      </c>
      <c r="K3336" s="33">
        <f>VLOOKUP(J3336,辅助信息!H:I,2,FALSE)</f>
        <v>18381899787</v>
      </c>
      <c r="L3336" s="102" t="str">
        <f>VLOOKUP(B3336,辅助信息!E:J,6,FALSE)</f>
        <v>控制炉批号！多了现场不收！,优先安排达钢,提前联系到场规格及数量</v>
      </c>
      <c r="M3336" s="84">
        <v>45910</v>
      </c>
      <c r="O3336" s="55">
        <f ca="1" t="shared" si="186"/>
        <v>0</v>
      </c>
      <c r="P3336" s="55">
        <f ca="1" t="shared" si="187"/>
        <v>47</v>
      </c>
      <c r="Q3336" s="22" t="str">
        <f>VLOOKUP(B3336,辅助信息!E:M,9,FALSE)</f>
        <v>ZTWM-CDGS-XS-2024-0134-商投建工达州中医药科技成果示范园项目</v>
      </c>
      <c r="R3336" s="22" t="str">
        <f>_xlfn._xlws.FILTER(辅助信息!D:D,辅助信息!E:E=B3336)</f>
        <v>商投建工达州中医药科技园</v>
      </c>
    </row>
    <row r="3337" hidden="1" spans="2:18">
      <c r="B3337" s="33" t="s">
        <v>68</v>
      </c>
      <c r="C3337" s="63">
        <v>45909</v>
      </c>
      <c r="D3337" s="33" t="str">
        <f>VLOOKUP(B3337,辅助信息!E:K,7,FALSE)</f>
        <v>JWDDCD2025052800131</v>
      </c>
      <c r="E3337" s="33" t="str">
        <f>VLOOKUP(F3337,辅助信息!A:B,2,FALSE)</f>
        <v>盘螺</v>
      </c>
      <c r="F3337" s="33" t="s">
        <v>40</v>
      </c>
      <c r="G3337" s="29">
        <v>5</v>
      </c>
      <c r="H3337" s="127">
        <f>IF(SUMIFS('[1]2025年已发货'!$E:$E,'[1]2025年已发货'!$F:$F,C3337,'[1]2025年已发货'!$C:$C,F3337,'[1]2025年已发货'!$G:$G,I3337,'[1]2025年已发货'!$H:$H,J3337)=0,"未发货",SUMIFS('[1]2025年已发货'!$E:$E,'[1]2025年已发货'!$F:$F,C3337,'[1]2025年已发货'!$C:$C,F3337,'[1]2025年已发货'!$G:$G,I3337,'[1]2025年已发货'!$H:$H,J3337))</f>
        <v>5</v>
      </c>
      <c r="I3337" s="33" t="str">
        <f>VLOOKUP(B3337,辅助信息!E:I,3,FALSE)</f>
        <v>（商投建工达州中医药科技园-2工区-景观桥）达州市通川区达州中医药职业学院犀牛大道北段</v>
      </c>
      <c r="J3337" s="33" t="str">
        <f>VLOOKUP(B3337,辅助信息!E:I,4,FALSE)</f>
        <v>李波</v>
      </c>
      <c r="K3337" s="33">
        <f>VLOOKUP(J3337,辅助信息!H:I,2,FALSE)</f>
        <v>18381899787</v>
      </c>
      <c r="L3337" s="102" t="str">
        <f>VLOOKUP(B3337,辅助信息!E:J,6,FALSE)</f>
        <v>控制炉批号！多了现场不收！,优先安排达钢,提前联系到场规格及数量</v>
      </c>
      <c r="M3337" s="84">
        <v>45910</v>
      </c>
      <c r="O3337" s="55">
        <f ca="1" t="shared" si="186"/>
        <v>0</v>
      </c>
      <c r="P3337" s="55">
        <f ca="1" t="shared" si="187"/>
        <v>47</v>
      </c>
      <c r="Q3337" s="22" t="str">
        <f>VLOOKUP(B3337,辅助信息!E:M,9,FALSE)</f>
        <v>ZTWM-CDGS-XS-2024-0134-商投建工达州中医药科技成果示范园项目</v>
      </c>
      <c r="R3337" s="22" t="str">
        <f>_xlfn._xlws.FILTER(辅助信息!D:D,辅助信息!E:E=B3337)</f>
        <v>商投建工达州中医药科技园</v>
      </c>
    </row>
    <row r="3338" hidden="1" spans="2:18">
      <c r="B3338" s="33" t="s">
        <v>68</v>
      </c>
      <c r="C3338" s="63">
        <v>45909</v>
      </c>
      <c r="D3338" s="33" t="str">
        <f>VLOOKUP(B3338,辅助信息!E:K,7,FALSE)</f>
        <v>JWDDCD2025052800131</v>
      </c>
      <c r="E3338" s="33" t="str">
        <f>VLOOKUP(F3338,辅助信息!A:B,2,FALSE)</f>
        <v>螺纹钢</v>
      </c>
      <c r="F3338" s="33" t="s">
        <v>28</v>
      </c>
      <c r="G3338" s="29">
        <v>15</v>
      </c>
      <c r="H3338" s="127">
        <f>IF(SUMIFS('[1]2025年已发货'!$E:$E,'[1]2025年已发货'!$F:$F,C3338,'[1]2025年已发货'!$C:$C,F3338,'[1]2025年已发货'!$G:$G,I3338,'[1]2025年已发货'!$H:$H,J3338)=0,"未发货",SUMIFS('[1]2025年已发货'!$E:$E,'[1]2025年已发货'!$F:$F,C3338,'[1]2025年已发货'!$C:$C,F3338,'[1]2025年已发货'!$G:$G,I3338,'[1]2025年已发货'!$H:$H,J3338))</f>
        <v>15</v>
      </c>
      <c r="I3338" s="33" t="str">
        <f>VLOOKUP(B3338,辅助信息!E:I,3,FALSE)</f>
        <v>（商投建工达州中医药科技园-2工区-景观桥）达州市通川区达州中医药职业学院犀牛大道北段</v>
      </c>
      <c r="J3338" s="33" t="str">
        <f>VLOOKUP(B3338,辅助信息!E:I,4,FALSE)</f>
        <v>李波</v>
      </c>
      <c r="K3338" s="33">
        <f>VLOOKUP(J3338,辅助信息!H:I,2,FALSE)</f>
        <v>18381899787</v>
      </c>
      <c r="L3338" s="102" t="str">
        <f>VLOOKUP(B3338,辅助信息!E:J,6,FALSE)</f>
        <v>控制炉批号！多了现场不收！,优先安排达钢,提前联系到场规格及数量</v>
      </c>
      <c r="M3338" s="84">
        <v>45910</v>
      </c>
      <c r="O3338" s="55">
        <f ca="1" t="shared" si="186"/>
        <v>0</v>
      </c>
      <c r="P3338" s="55">
        <f ca="1" t="shared" si="187"/>
        <v>47</v>
      </c>
      <c r="Q3338" s="22" t="str">
        <f>VLOOKUP(B3338,辅助信息!E:M,9,FALSE)</f>
        <v>ZTWM-CDGS-XS-2024-0134-商投建工达州中医药科技成果示范园项目</v>
      </c>
      <c r="R3338" s="22" t="str">
        <f>_xlfn._xlws.FILTER(辅助信息!D:D,辅助信息!E:E=B3338)</f>
        <v>商投建工达州中医药科技园</v>
      </c>
    </row>
    <row r="3339" hidden="1" spans="2:18">
      <c r="B3339" s="33" t="s">
        <v>194</v>
      </c>
      <c r="C3339" s="63">
        <v>45909</v>
      </c>
      <c r="D3339" s="33" t="str">
        <f>VLOOKUP(B3339,辅助信息!E:K,7,FALSE)</f>
        <v>JWDD2025071500089</v>
      </c>
      <c r="E3339" s="33" t="str">
        <f>VLOOKUP(F3339,辅助信息!A:B,2,FALSE)</f>
        <v>盘螺</v>
      </c>
      <c r="F3339" s="33" t="s">
        <v>49</v>
      </c>
      <c r="G3339" s="29">
        <v>8</v>
      </c>
      <c r="H3339" s="127">
        <f>IF(SUMIFS('[1]2025年已发货'!$E:$E,'[1]2025年已发货'!$F:$F,C3339,'[1]2025年已发货'!$C:$C,F3339,'[1]2025年已发货'!$G:$G,I3339,'[1]2025年已发货'!$H:$H,J3339)=0,"未发货",SUMIFS('[1]2025年已发货'!$E:$E,'[1]2025年已发货'!$F:$F,C3339,'[1]2025年已发货'!$C:$C,F3339,'[1]2025年已发货'!$G:$G,I3339,'[1]2025年已发货'!$H:$H,J3339))</f>
        <v>8</v>
      </c>
      <c r="I3339" s="33" t="str">
        <f>VLOOKUP(B3339,辅助信息!E:I,3,FALSE)</f>
        <v>(宜宾兴港三江新区长江工业园保障性租赁住房建设项目-土建)四川省宜宾市翠屏区永善路南段宜宾市三江新区长江工业园区</v>
      </c>
      <c r="J3339" s="33" t="str">
        <f>VLOOKUP(B3339,辅助信息!E:I,4,FALSE)</f>
        <v>赵元虎</v>
      </c>
      <c r="K3339" s="33">
        <f>VLOOKUP(J3339,辅助信息!H:I,2,FALSE)</f>
        <v>13684167136</v>
      </c>
      <c r="L3339" s="102" t="str">
        <f>VLOOKUP(B3339,辅助信息!E:J,6,FALSE)</f>
        <v>现场要求调度统一联系指定收货人，不单独发司机位置。锈货不收，装货前联系收货人核实到场规格,没提前告知进场规格现场不给予接收</v>
      </c>
      <c r="O3339" s="55" t="str">
        <f ca="1" t="shared" si="186"/>
        <v/>
      </c>
      <c r="P3339" s="55" t="str">
        <f ca="1" t="shared" si="187"/>
        <v/>
      </c>
      <c r="Q3339" s="22" t="str">
        <f>VLOOKUP(B3339,辅助信息!E:M,9,FALSE)</f>
        <v>ZTWM-CDYXGS-XS-2025-0014-宜宾兴港建材-三江新区长江工业园片区保障性租赁住房建设项目</v>
      </c>
      <c r="R3339" s="22" t="str">
        <f>_xlfn._xlws.FILTER(辅助信息!D:D,辅助信息!E:E=B3339)</f>
        <v>宜宾兴港三江新区长江工业园建设项目</v>
      </c>
    </row>
    <row r="3340" hidden="1" spans="2:18">
      <c r="B3340" s="33" t="s">
        <v>194</v>
      </c>
      <c r="C3340" s="63">
        <v>45909</v>
      </c>
      <c r="D3340" s="33" t="str">
        <f>VLOOKUP(B3340,辅助信息!E:K,7,FALSE)</f>
        <v>JWDD2025071500089</v>
      </c>
      <c r="E3340" s="33" t="str">
        <f>VLOOKUP(F3340,辅助信息!A:B,2,FALSE)</f>
        <v>盘螺</v>
      </c>
      <c r="F3340" s="33" t="s">
        <v>40</v>
      </c>
      <c r="G3340" s="29">
        <v>20</v>
      </c>
      <c r="H3340" s="127">
        <f>IF(SUMIFS('[1]2025年已发货'!$E:$E,'[1]2025年已发货'!$F:$F,C3340,'[1]2025年已发货'!$C:$C,F3340,'[1]2025年已发货'!$G:$G,I3340,'[1]2025年已发货'!$H:$H,J3340)=0,"未发货",SUMIFS('[1]2025年已发货'!$E:$E,'[1]2025年已发货'!$F:$F,C3340,'[1]2025年已发货'!$C:$C,F3340,'[1]2025年已发货'!$G:$G,I3340,'[1]2025年已发货'!$H:$H,J3340))</f>
        <v>20</v>
      </c>
      <c r="I3340" s="33" t="str">
        <f>VLOOKUP(B3340,辅助信息!E:I,3,FALSE)</f>
        <v>(宜宾兴港三江新区长江工业园保障性租赁住房建设项目-土建)四川省宜宾市翠屏区永善路南段宜宾市三江新区长江工业园区</v>
      </c>
      <c r="J3340" s="33" t="str">
        <f>VLOOKUP(B3340,辅助信息!E:I,4,FALSE)</f>
        <v>赵元虎</v>
      </c>
      <c r="K3340" s="33">
        <f>VLOOKUP(J3340,辅助信息!H:I,2,FALSE)</f>
        <v>13684167136</v>
      </c>
      <c r="L3340" s="102" t="str">
        <f>VLOOKUP(B3340,辅助信息!E:J,6,FALSE)</f>
        <v>现场要求调度统一联系指定收货人，不单独发司机位置。锈货不收，装货前联系收货人核实到场规格,没提前告知进场规格现场不给予接收</v>
      </c>
      <c r="O3340" s="55" t="str">
        <f ca="1" t="shared" si="186"/>
        <v/>
      </c>
      <c r="P3340" s="55" t="str">
        <f ca="1" t="shared" si="187"/>
        <v/>
      </c>
      <c r="Q3340" s="22" t="str">
        <f>VLOOKUP(B3340,辅助信息!E:M,9,FALSE)</f>
        <v>ZTWM-CDYXGS-XS-2025-0014-宜宾兴港建材-三江新区长江工业园片区保障性租赁住房建设项目</v>
      </c>
      <c r="R3340" s="22" t="str">
        <f>_xlfn._xlws.FILTER(辅助信息!D:D,辅助信息!E:E=B3340)</f>
        <v>宜宾兴港三江新区长江工业园建设项目</v>
      </c>
    </row>
    <row r="3341" hidden="1" spans="2:18">
      <c r="B3341" s="33" t="s">
        <v>194</v>
      </c>
      <c r="C3341" s="63">
        <v>45909</v>
      </c>
      <c r="D3341" s="33" t="str">
        <f>VLOOKUP(B3341,辅助信息!E:K,7,FALSE)</f>
        <v>JWDD2025071500089</v>
      </c>
      <c r="E3341" s="33" t="str">
        <f>VLOOKUP(F3341,辅助信息!A:B,2,FALSE)</f>
        <v>盘螺</v>
      </c>
      <c r="F3341" s="33" t="s">
        <v>41</v>
      </c>
      <c r="G3341" s="29">
        <v>6</v>
      </c>
      <c r="H3341" s="127">
        <f>IF(SUMIFS('[1]2025年已发货'!$E:$E,'[1]2025年已发货'!$F:$F,C3341,'[1]2025年已发货'!$C:$C,F3341,'[1]2025年已发货'!$G:$G,I3341,'[1]2025年已发货'!$H:$H,J3341)=0,"未发货",SUMIFS('[1]2025年已发货'!$E:$E,'[1]2025年已发货'!$F:$F,C3341,'[1]2025年已发货'!$C:$C,F3341,'[1]2025年已发货'!$G:$G,I3341,'[1]2025年已发货'!$H:$H,J3341))</f>
        <v>6</v>
      </c>
      <c r="I3341" s="33" t="str">
        <f>VLOOKUP(B3341,辅助信息!E:I,3,FALSE)</f>
        <v>(宜宾兴港三江新区长江工业园保障性租赁住房建设项目-土建)四川省宜宾市翠屏区永善路南段宜宾市三江新区长江工业园区</v>
      </c>
      <c r="J3341" s="33" t="str">
        <f>VLOOKUP(B3341,辅助信息!E:I,4,FALSE)</f>
        <v>赵元虎</v>
      </c>
      <c r="K3341" s="33">
        <f>VLOOKUP(J3341,辅助信息!H:I,2,FALSE)</f>
        <v>13684167136</v>
      </c>
      <c r="L3341" s="102" t="str">
        <f>VLOOKUP(B3341,辅助信息!E:J,6,FALSE)</f>
        <v>现场要求调度统一联系指定收货人，不单独发司机位置。锈货不收，装货前联系收货人核实到场规格,没提前告知进场规格现场不给予接收</v>
      </c>
      <c r="O3341" s="55" t="str">
        <f ca="1" t="shared" si="186"/>
        <v/>
      </c>
      <c r="P3341" s="55" t="str">
        <f ca="1" t="shared" si="187"/>
        <v/>
      </c>
      <c r="Q3341" s="22" t="str">
        <f>VLOOKUP(B3341,辅助信息!E:M,9,FALSE)</f>
        <v>ZTWM-CDYXGS-XS-2025-0014-宜宾兴港建材-三江新区长江工业园片区保障性租赁住房建设项目</v>
      </c>
      <c r="R3341" s="22" t="str">
        <f>_xlfn._xlws.FILTER(辅助信息!D:D,辅助信息!E:E=B3341)</f>
        <v>宜宾兴港三江新区长江工业园建设项目</v>
      </c>
    </row>
    <row r="3342" hidden="1" spans="2:18">
      <c r="B3342" s="33" t="s">
        <v>194</v>
      </c>
      <c r="C3342" s="63">
        <v>45909</v>
      </c>
      <c r="D3342" s="33" t="str">
        <f>VLOOKUP(B3342,辅助信息!E:K,7,FALSE)</f>
        <v>JWDD2025071500089</v>
      </c>
      <c r="E3342" s="33" t="str">
        <f>VLOOKUP(F3342,辅助信息!A:B,2,FALSE)</f>
        <v>螺纹钢</v>
      </c>
      <c r="F3342" s="33" t="s">
        <v>30</v>
      </c>
      <c r="G3342" s="29">
        <v>20</v>
      </c>
      <c r="H3342" s="127">
        <f>IF(SUMIFS('[1]2025年已发货'!$E:$E,'[1]2025年已发货'!$F:$F,C3342,'[1]2025年已发货'!$C:$C,F3342,'[1]2025年已发货'!$G:$G,I3342,'[1]2025年已发货'!$H:$H,J3342)=0,"未发货",SUMIFS('[1]2025年已发货'!$E:$E,'[1]2025年已发货'!$F:$F,C3342,'[1]2025年已发货'!$C:$C,F3342,'[1]2025年已发货'!$G:$G,I3342,'[1]2025年已发货'!$H:$H,J3342))</f>
        <v>20</v>
      </c>
      <c r="I3342" s="33" t="str">
        <f>VLOOKUP(B3342,辅助信息!E:I,3,FALSE)</f>
        <v>(宜宾兴港三江新区长江工业园保障性租赁住房建设项目-土建)四川省宜宾市翠屏区永善路南段宜宾市三江新区长江工业园区</v>
      </c>
      <c r="J3342" s="33" t="str">
        <f>VLOOKUP(B3342,辅助信息!E:I,4,FALSE)</f>
        <v>赵元虎</v>
      </c>
      <c r="K3342" s="33">
        <f>VLOOKUP(J3342,辅助信息!H:I,2,FALSE)</f>
        <v>13684167136</v>
      </c>
      <c r="L3342" s="102" t="str">
        <f>VLOOKUP(B3342,辅助信息!E:J,6,FALSE)</f>
        <v>现场要求调度统一联系指定收货人，不单独发司机位置。锈货不收，装货前联系收货人核实到场规格,没提前告知进场规格现场不给予接收</v>
      </c>
      <c r="O3342" s="55" t="str">
        <f ca="1" t="shared" si="186"/>
        <v/>
      </c>
      <c r="P3342" s="55" t="str">
        <f ca="1" t="shared" si="187"/>
        <v/>
      </c>
      <c r="Q3342" s="22" t="str">
        <f>VLOOKUP(B3342,辅助信息!E:M,9,FALSE)</f>
        <v>ZTWM-CDYXGS-XS-2025-0014-宜宾兴港建材-三江新区长江工业园片区保障性租赁住房建设项目</v>
      </c>
      <c r="R3342" s="22" t="str">
        <f>_xlfn._xlws.FILTER(辅助信息!D:D,辅助信息!E:E=B3342)</f>
        <v>宜宾兴港三江新区长江工业园建设项目</v>
      </c>
    </row>
    <row r="3343" hidden="1" spans="2:18">
      <c r="B3343" s="33" t="s">
        <v>194</v>
      </c>
      <c r="C3343" s="63">
        <v>45909</v>
      </c>
      <c r="D3343" s="33" t="str">
        <f>VLOOKUP(B3343,辅助信息!E:K,7,FALSE)</f>
        <v>JWDD2025071500089</v>
      </c>
      <c r="E3343" s="33" t="str">
        <f>VLOOKUP(F3343,辅助信息!A:B,2,FALSE)</f>
        <v>螺纹钢</v>
      </c>
      <c r="F3343" s="33" t="s">
        <v>28</v>
      </c>
      <c r="G3343" s="29">
        <v>6</v>
      </c>
      <c r="H3343" s="127">
        <f>IF(SUMIFS('[1]2025年已发货'!$E:$E,'[1]2025年已发货'!$F:$F,C3343,'[1]2025年已发货'!$C:$C,F3343,'[1]2025年已发货'!$G:$G,I3343,'[1]2025年已发货'!$H:$H,J3343)=0,"未发货",SUMIFS('[1]2025年已发货'!$E:$E,'[1]2025年已发货'!$F:$F,C3343,'[1]2025年已发货'!$C:$C,F3343,'[1]2025年已发货'!$G:$G,I3343,'[1]2025年已发货'!$H:$H,J3343))</f>
        <v>6</v>
      </c>
      <c r="I3343" s="33" t="str">
        <f>VLOOKUP(B3343,辅助信息!E:I,3,FALSE)</f>
        <v>(宜宾兴港三江新区长江工业园保障性租赁住房建设项目-土建)四川省宜宾市翠屏区永善路南段宜宾市三江新区长江工业园区</v>
      </c>
      <c r="J3343" s="33" t="str">
        <f>VLOOKUP(B3343,辅助信息!E:I,4,FALSE)</f>
        <v>赵元虎</v>
      </c>
      <c r="K3343" s="33">
        <f>VLOOKUP(J3343,辅助信息!H:I,2,FALSE)</f>
        <v>13684167136</v>
      </c>
      <c r="L3343" s="102" t="str">
        <f>VLOOKUP(B3343,辅助信息!E:J,6,FALSE)</f>
        <v>现场要求调度统一联系指定收货人，不单独发司机位置。锈货不收，装货前联系收货人核实到场规格,没提前告知进场规格现场不给予接收</v>
      </c>
      <c r="O3343" s="55" t="str">
        <f ca="1" t="shared" si="186"/>
        <v/>
      </c>
      <c r="P3343" s="55" t="str">
        <f ca="1" t="shared" si="187"/>
        <v/>
      </c>
      <c r="Q3343" s="22" t="str">
        <f>VLOOKUP(B3343,辅助信息!E:M,9,FALSE)</f>
        <v>ZTWM-CDYXGS-XS-2025-0014-宜宾兴港建材-三江新区长江工业园片区保障性租赁住房建设项目</v>
      </c>
      <c r="R3343" s="22" t="str">
        <f>_xlfn._xlws.FILTER(辅助信息!D:D,辅助信息!E:E=B3343)</f>
        <v>宜宾兴港三江新区长江工业园建设项目</v>
      </c>
    </row>
    <row r="3344" hidden="1" spans="2:18">
      <c r="B3344" s="33" t="s">
        <v>194</v>
      </c>
      <c r="C3344" s="63">
        <v>45909</v>
      </c>
      <c r="D3344" s="33" t="str">
        <f>VLOOKUP(B3344,辅助信息!E:K,7,FALSE)</f>
        <v>JWDD2025071500089</v>
      </c>
      <c r="E3344" s="33" t="str">
        <f>VLOOKUP(F3344,辅助信息!A:B,2,FALSE)</f>
        <v>螺纹钢</v>
      </c>
      <c r="F3344" s="33" t="s">
        <v>18</v>
      </c>
      <c r="G3344" s="29">
        <v>10</v>
      </c>
      <c r="H3344" s="127">
        <f>IF(SUMIFS('[1]2025年已发货'!$E:$E,'[1]2025年已发货'!$F:$F,C3344,'[1]2025年已发货'!$C:$C,F3344,'[1]2025年已发货'!$G:$G,I3344,'[1]2025年已发货'!$H:$H,J3344)=0,"未发货",SUMIFS('[1]2025年已发货'!$E:$E,'[1]2025年已发货'!$F:$F,C3344,'[1]2025年已发货'!$C:$C,F3344,'[1]2025年已发货'!$G:$G,I3344,'[1]2025年已发货'!$H:$H,J3344))</f>
        <v>10</v>
      </c>
      <c r="I3344" s="33" t="str">
        <f>VLOOKUP(B3344,辅助信息!E:I,3,FALSE)</f>
        <v>(宜宾兴港三江新区长江工业园保障性租赁住房建设项目-土建)四川省宜宾市翠屏区永善路南段宜宾市三江新区长江工业园区</v>
      </c>
      <c r="J3344" s="33" t="str">
        <f>VLOOKUP(B3344,辅助信息!E:I,4,FALSE)</f>
        <v>赵元虎</v>
      </c>
      <c r="K3344" s="33">
        <f>VLOOKUP(J3344,辅助信息!H:I,2,FALSE)</f>
        <v>13684167136</v>
      </c>
      <c r="L3344" s="102" t="str">
        <f>VLOOKUP(B3344,辅助信息!E:J,6,FALSE)</f>
        <v>现场要求调度统一联系指定收货人，不单独发司机位置。锈货不收，装货前联系收货人核实到场规格,没提前告知进场规格现场不给予接收</v>
      </c>
      <c r="O3344" s="55" t="str">
        <f ca="1" t="shared" si="186"/>
        <v/>
      </c>
      <c r="P3344" s="55" t="str">
        <f ca="1" t="shared" si="187"/>
        <v/>
      </c>
      <c r="Q3344" s="22" t="str">
        <f>VLOOKUP(B3344,辅助信息!E:M,9,FALSE)</f>
        <v>ZTWM-CDYXGS-XS-2025-0014-宜宾兴港建材-三江新区长江工业园片区保障性租赁住房建设项目</v>
      </c>
      <c r="R3344" s="22" t="str">
        <f>_xlfn._xlws.FILTER(辅助信息!D:D,辅助信息!E:E=B3344)</f>
        <v>宜宾兴港三江新区长江工业园建设项目</v>
      </c>
    </row>
    <row r="3345" hidden="1" spans="1:18">
      <c r="A3345" s="93">
        <v>45909</v>
      </c>
      <c r="B3345" s="33" t="s">
        <v>169</v>
      </c>
      <c r="C3345" s="63">
        <v>45909</v>
      </c>
      <c r="D3345" s="33" t="str">
        <f>VLOOKUP(B3345,辅助信息!E:K,7,FALSE)</f>
        <v>JWDDCD2025051800044</v>
      </c>
      <c r="E3345" s="33" t="str">
        <f>VLOOKUP(F3345,辅助信息!A:B,2,FALSE)</f>
        <v>螺纹钢</v>
      </c>
      <c r="F3345" s="33" t="s">
        <v>32</v>
      </c>
      <c r="G3345" s="29">
        <v>6</v>
      </c>
      <c r="H3345" s="127">
        <f>IF(SUMIFS('[1]2025年已发货'!$E:$E,'[1]2025年已发货'!$F:$F,C3345,'[1]2025年已发货'!$C:$C,F3345,'[1]2025年已发货'!$G:$G,I3345,'[1]2025年已发货'!$H:$H,J3345)=0,"未发货",SUMIFS('[1]2025年已发货'!$E:$E,'[1]2025年已发货'!$F:$F,C3345,'[1]2025年已发货'!$C:$C,F3345,'[1]2025年已发货'!$G:$G,I3345,'[1]2025年已发货'!$H:$H,J3345))</f>
        <v>6</v>
      </c>
      <c r="I3345" s="33" t="str">
        <f>VLOOKUP(B3345,辅助信息!E:I,3,FALSE)</f>
        <v>(五冶建设龙泉芙蓉花语项目-1,3地块)龙泉驿区北川路双堰塘钓鱼东100米(北川路)</v>
      </c>
      <c r="J3345" s="33" t="str">
        <f>VLOOKUP(B3345,辅助信息!E:I,4,FALSE)</f>
        <v>祝斯阳</v>
      </c>
      <c r="K3345" s="33">
        <f>VLOOKUP(J3345,辅助信息!H:I,2,FALSE)</f>
        <v>15583590797</v>
      </c>
      <c r="L3345" s="102"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55" t="str">
        <f ca="1" t="shared" si="186"/>
        <v/>
      </c>
      <c r="P3345" s="55" t="str">
        <f ca="1" t="shared" si="187"/>
        <v/>
      </c>
      <c r="Q3345" s="22" t="str">
        <f>VLOOKUP(B3345,辅助信息!E:M,9,FALSE)</f>
        <v>ZTWM-CDGS-XS-2025-0073-五冶天府-成都怡心湖片区及龙泉驿医院等项目</v>
      </c>
      <c r="R3345" s="22" t="str">
        <f>_xlfn._xlws.FILTER(辅助信息!D:D,辅助信息!E:E=B3345)</f>
        <v>五冶建设龙泉芙蓉花语项目</v>
      </c>
    </row>
    <row r="3346" hidden="1" spans="1:18">
      <c r="A3346" s="93">
        <v>45909</v>
      </c>
      <c r="B3346" s="33" t="s">
        <v>169</v>
      </c>
      <c r="C3346" s="63">
        <v>45909</v>
      </c>
      <c r="D3346" s="33" t="str">
        <f>VLOOKUP(B3346,辅助信息!E:K,7,FALSE)</f>
        <v>JWDDCD2025051800044</v>
      </c>
      <c r="E3346" s="33" t="str">
        <f>VLOOKUP(F3346,辅助信息!A:B,2,FALSE)</f>
        <v>螺纹钢</v>
      </c>
      <c r="F3346" s="33" t="s">
        <v>28</v>
      </c>
      <c r="G3346" s="29">
        <v>27</v>
      </c>
      <c r="H3346" s="127">
        <f>IF(SUMIFS('[1]2025年已发货'!$E:$E,'[1]2025年已发货'!$F:$F,C3346,'[1]2025年已发货'!$C:$C,F3346,'[1]2025年已发货'!$G:$G,I3346,'[1]2025年已发货'!$H:$H,J3346)=0,"未发货",SUMIFS('[1]2025年已发货'!$E:$E,'[1]2025年已发货'!$F:$F,C3346,'[1]2025年已发货'!$C:$C,F3346,'[1]2025年已发货'!$G:$G,I3346,'[1]2025年已发货'!$H:$H,J3346))</f>
        <v>27</v>
      </c>
      <c r="I3346" s="33" t="str">
        <f>VLOOKUP(B3346,辅助信息!E:I,3,FALSE)</f>
        <v>(五冶建设龙泉芙蓉花语项目-1,3地块)龙泉驿区北川路双堰塘钓鱼东100米(北川路)</v>
      </c>
      <c r="J3346" s="33" t="str">
        <f>VLOOKUP(B3346,辅助信息!E:I,4,FALSE)</f>
        <v>祝斯阳</v>
      </c>
      <c r="K3346" s="33">
        <f>VLOOKUP(J3346,辅助信息!H:I,2,FALSE)</f>
        <v>15583590797</v>
      </c>
      <c r="L3346" s="102"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55" t="str">
        <f ca="1" t="shared" si="186"/>
        <v/>
      </c>
      <c r="P3346" s="55" t="str">
        <f ca="1" t="shared" si="187"/>
        <v/>
      </c>
      <c r="Q3346" s="22" t="str">
        <f>VLOOKUP(B3346,辅助信息!E:M,9,FALSE)</f>
        <v>ZTWM-CDGS-XS-2025-0073-五冶天府-成都怡心湖片区及龙泉驿医院等项目</v>
      </c>
      <c r="R3346" s="22" t="str">
        <f>_xlfn._xlws.FILTER(辅助信息!D:D,辅助信息!E:E=B3346)</f>
        <v>五冶建设龙泉芙蓉花语项目</v>
      </c>
    </row>
    <row r="3347" hidden="1" spans="1:18">
      <c r="A3347" s="93"/>
      <c r="B3347" s="33" t="s">
        <v>92</v>
      </c>
      <c r="C3347" s="63">
        <v>45910</v>
      </c>
      <c r="D3347" s="33" t="str">
        <f>VLOOKUP(B3347,辅助信息!E:K,7,FALSE)</f>
        <v>JWDDCD2025051800046</v>
      </c>
      <c r="E3347" s="33" t="str">
        <f>VLOOKUP(F3347,辅助信息!A:B,2,FALSE)</f>
        <v>高线</v>
      </c>
      <c r="F3347" s="33" t="s">
        <v>57</v>
      </c>
      <c r="G3347" s="29">
        <v>2.5</v>
      </c>
      <c r="H3347" s="127">
        <f>IF(SUMIFS('[1]2025年已发货'!$E:$E,'[1]2025年已发货'!$F:$F,C3347,'[1]2025年已发货'!$C:$C,F3347,'[1]2025年已发货'!$G:$G,I3347,'[1]2025年已发货'!$H:$H,J3347)=0,"未发货",SUMIFS('[1]2025年已发货'!$E:$E,'[1]2025年已发货'!$F:$F,C3347,'[1]2025年已发货'!$C:$C,F3347,'[1]2025年已发货'!$G:$G,I3347,'[1]2025年已发货'!$H:$H,J3347))</f>
        <v>2.5</v>
      </c>
      <c r="I3347" s="33" t="str">
        <f>VLOOKUP(B3347,辅助信息!E:I,3,FALSE)</f>
        <v>（华西萌海科创农业生态谷）成都市简阳市白金山水库</v>
      </c>
      <c r="J3347" s="33" t="str">
        <f>VLOOKUP(B3347,辅助信息!E:I,4,FALSE)</f>
        <v>石清国</v>
      </c>
      <c r="K3347" s="33">
        <f>VLOOKUP(J3347,辅助信息!H:I,2,FALSE)</f>
        <v>13458642015</v>
      </c>
      <c r="L3347" s="102" t="str">
        <f>VLOOKUP(B3347,辅助信息!E:J,6,FALSE)</f>
        <v>优先威钢,我方卸车,新老国标钢厂不加价可直发</v>
      </c>
      <c r="O3347" s="55" t="str">
        <f ca="1" t="shared" si="186"/>
        <v/>
      </c>
      <c r="P3347" s="55" t="str">
        <f ca="1" t="shared" si="187"/>
        <v/>
      </c>
      <c r="Q3347" s="22" t="str">
        <f>VLOOKUP(B3347,辅助信息!E:M,9,FALSE)</f>
        <v>ZTWM-CDGS-XS-2024-0092-华西-萌海科创农业生态谷</v>
      </c>
      <c r="R3347" s="22" t="str">
        <f>_xlfn._xlws.FILTER(辅助信息!D:D,辅助信息!E:E=B3347)</f>
        <v>华西萌海-科创农业生态谷</v>
      </c>
    </row>
    <row r="3348" hidden="1" spans="2:18">
      <c r="B3348" s="33" t="s">
        <v>92</v>
      </c>
      <c r="C3348" s="63">
        <v>45910</v>
      </c>
      <c r="D3348" s="33" t="str">
        <f>VLOOKUP(B3348,辅助信息!E:K,7,FALSE)</f>
        <v>JWDDCD2025051800046</v>
      </c>
      <c r="E3348" s="33" t="str">
        <f>VLOOKUP(F3348,辅助信息!A:B,2,FALSE)</f>
        <v>盘螺</v>
      </c>
      <c r="F3348" s="33" t="s">
        <v>40</v>
      </c>
      <c r="G3348" s="29">
        <v>18</v>
      </c>
      <c r="H3348" s="127">
        <f>IF(SUMIFS('[1]2025年已发货'!$E:$E,'[1]2025年已发货'!$F:$F,C3348,'[1]2025年已发货'!$C:$C,F3348,'[1]2025年已发货'!$G:$G,I3348,'[1]2025年已发货'!$H:$H,J3348)=0,"未发货",SUMIFS('[1]2025年已发货'!$E:$E,'[1]2025年已发货'!$F:$F,C3348,'[1]2025年已发货'!$C:$C,F3348,'[1]2025年已发货'!$G:$G,I3348,'[1]2025年已发货'!$H:$H,J3348))</f>
        <v>18</v>
      </c>
      <c r="I3348" s="33" t="str">
        <f>VLOOKUP(B3348,辅助信息!E:I,3,FALSE)</f>
        <v>（华西萌海科创农业生态谷）成都市简阳市白金山水库</v>
      </c>
      <c r="J3348" s="33" t="str">
        <f>VLOOKUP(B3348,辅助信息!E:I,4,FALSE)</f>
        <v>石清国</v>
      </c>
      <c r="K3348" s="33">
        <f>VLOOKUP(J3348,辅助信息!H:I,2,FALSE)</f>
        <v>13458642015</v>
      </c>
      <c r="L3348" s="102" t="str">
        <f>VLOOKUP(B3348,辅助信息!E:J,6,FALSE)</f>
        <v>优先威钢,我方卸车,新老国标钢厂不加价可直发</v>
      </c>
      <c r="M3348" s="84">
        <v>45912</v>
      </c>
      <c r="O3348" s="55">
        <f ca="1" t="shared" si="186"/>
        <v>0</v>
      </c>
      <c r="P3348" s="55">
        <f ca="1" t="shared" si="187"/>
        <v>45</v>
      </c>
      <c r="Q3348" s="22" t="str">
        <f>VLOOKUP(B3348,辅助信息!E:M,9,FALSE)</f>
        <v>ZTWM-CDGS-XS-2024-0092-华西-萌海科创农业生态谷</v>
      </c>
      <c r="R3348" s="22" t="str">
        <f>_xlfn._xlws.FILTER(辅助信息!D:D,辅助信息!E:E=B3348)</f>
        <v>华西萌海-科创农业生态谷</v>
      </c>
    </row>
    <row r="3349" hidden="1" spans="2:18">
      <c r="B3349" s="33" t="s">
        <v>92</v>
      </c>
      <c r="C3349" s="63">
        <v>45910</v>
      </c>
      <c r="D3349" s="33" t="str">
        <f>VLOOKUP(B3349,辅助信息!E:K,7,FALSE)</f>
        <v>JWDDCD2025051800046</v>
      </c>
      <c r="E3349" s="33" t="str">
        <f>VLOOKUP(F3349,辅助信息!A:B,2,FALSE)</f>
        <v>盘螺</v>
      </c>
      <c r="F3349" s="33" t="s">
        <v>41</v>
      </c>
      <c r="G3349" s="29">
        <v>6</v>
      </c>
      <c r="H3349" s="127">
        <f>IF(SUMIFS('[1]2025年已发货'!$E:$E,'[1]2025年已发货'!$F:$F,C3349,'[1]2025年已发货'!$C:$C,F3349,'[1]2025年已发货'!$G:$G,I3349,'[1]2025年已发货'!$H:$H,J3349)=0,"未发货",SUMIFS('[1]2025年已发货'!$E:$E,'[1]2025年已发货'!$F:$F,C3349,'[1]2025年已发货'!$C:$C,F3349,'[1]2025年已发货'!$G:$G,I3349,'[1]2025年已发货'!$H:$H,J3349))</f>
        <v>6</v>
      </c>
      <c r="I3349" s="33" t="str">
        <f>VLOOKUP(B3349,辅助信息!E:I,3,FALSE)</f>
        <v>（华西萌海科创农业生态谷）成都市简阳市白金山水库</v>
      </c>
      <c r="J3349" s="33" t="str">
        <f>VLOOKUP(B3349,辅助信息!E:I,4,FALSE)</f>
        <v>石清国</v>
      </c>
      <c r="K3349" s="33">
        <f>VLOOKUP(J3349,辅助信息!H:I,2,FALSE)</f>
        <v>13458642015</v>
      </c>
      <c r="L3349" s="102" t="str">
        <f>VLOOKUP(B3349,辅助信息!E:J,6,FALSE)</f>
        <v>优先威钢,我方卸车,新老国标钢厂不加价可直发</v>
      </c>
      <c r="M3349" s="84">
        <v>45912</v>
      </c>
      <c r="O3349" s="55">
        <f ca="1" t="shared" si="186"/>
        <v>0</v>
      </c>
      <c r="P3349" s="55">
        <f ca="1" t="shared" si="187"/>
        <v>45</v>
      </c>
      <c r="Q3349" s="22" t="str">
        <f>VLOOKUP(B3349,辅助信息!E:M,9,FALSE)</f>
        <v>ZTWM-CDGS-XS-2024-0092-华西-萌海科创农业生态谷</v>
      </c>
      <c r="R3349" s="22" t="str">
        <f>_xlfn._xlws.FILTER(辅助信息!D:D,辅助信息!E:E=B3349)</f>
        <v>华西萌海-科创农业生态谷</v>
      </c>
    </row>
    <row r="3350" hidden="1" spans="2:18">
      <c r="B3350" s="33" t="s">
        <v>92</v>
      </c>
      <c r="C3350" s="63">
        <v>45910</v>
      </c>
      <c r="D3350" s="33" t="str">
        <f>VLOOKUP(B3350,辅助信息!E:K,7,FALSE)</f>
        <v>JWDDCD2025051800046</v>
      </c>
      <c r="E3350" s="33" t="str">
        <f>VLOOKUP(F3350,辅助信息!A:B,2,FALSE)</f>
        <v>螺纹钢</v>
      </c>
      <c r="F3350" s="33" t="s">
        <v>65</v>
      </c>
      <c r="G3350" s="29">
        <v>5</v>
      </c>
      <c r="H3350" s="127">
        <f>IF(SUMIFS('[1]2025年已发货'!$E:$E,'[1]2025年已发货'!$F:$F,C3350,'[1]2025年已发货'!$C:$C,F3350,'[1]2025年已发货'!$G:$G,I3350,'[1]2025年已发货'!$H:$H,J3350)=0,"未发货",SUMIFS('[1]2025年已发货'!$E:$E,'[1]2025年已发货'!$F:$F,C3350,'[1]2025年已发货'!$C:$C,F3350,'[1]2025年已发货'!$G:$G,I3350,'[1]2025年已发货'!$H:$H,J3350))</f>
        <v>5</v>
      </c>
      <c r="I3350" s="33" t="str">
        <f>VLOOKUP(B3350,辅助信息!E:I,3,FALSE)</f>
        <v>（华西萌海科创农业生态谷）成都市简阳市白金山水库</v>
      </c>
      <c r="J3350" s="33" t="str">
        <f>VLOOKUP(B3350,辅助信息!E:I,4,FALSE)</f>
        <v>石清国</v>
      </c>
      <c r="K3350" s="33">
        <f>VLOOKUP(J3350,辅助信息!H:I,2,FALSE)</f>
        <v>13458642015</v>
      </c>
      <c r="L3350" s="102" t="str">
        <f>VLOOKUP(B3350,辅助信息!E:J,6,FALSE)</f>
        <v>优先威钢,我方卸车,新老国标钢厂不加价可直发</v>
      </c>
      <c r="M3350" s="84">
        <v>45912</v>
      </c>
      <c r="O3350" s="55">
        <f ca="1" t="shared" si="186"/>
        <v>0</v>
      </c>
      <c r="P3350" s="55">
        <f ca="1" t="shared" si="187"/>
        <v>45</v>
      </c>
      <c r="Q3350" s="22" t="str">
        <f>VLOOKUP(B3350,辅助信息!E:M,9,FALSE)</f>
        <v>ZTWM-CDGS-XS-2024-0092-华西-萌海科创农业生态谷</v>
      </c>
      <c r="R3350" s="22" t="str">
        <f>_xlfn._xlws.FILTER(辅助信息!D:D,辅助信息!E:E=B3350)</f>
        <v>华西萌海-科创农业生态谷</v>
      </c>
    </row>
    <row r="3351" hidden="1" spans="2:18">
      <c r="B3351" s="33" t="s">
        <v>92</v>
      </c>
      <c r="C3351" s="63">
        <v>45910</v>
      </c>
      <c r="D3351" s="33" t="str">
        <f>VLOOKUP(B3351,辅助信息!E:K,7,FALSE)</f>
        <v>JWDDCD2025051800046</v>
      </c>
      <c r="E3351" s="33" t="str">
        <f>VLOOKUP(F3351,辅助信息!A:B,2,FALSE)</f>
        <v>螺纹钢</v>
      </c>
      <c r="F3351" s="33" t="s">
        <v>21</v>
      </c>
      <c r="G3351" s="29">
        <v>3</v>
      </c>
      <c r="H3351" s="127">
        <f>IF(SUMIFS('[1]2025年已发货'!$E:$E,'[1]2025年已发货'!$F:$F,C3351,'[1]2025年已发货'!$C:$C,F3351,'[1]2025年已发货'!$G:$G,I3351,'[1]2025年已发货'!$H:$H,J3351)=0,"未发货",SUMIFS('[1]2025年已发货'!$E:$E,'[1]2025年已发货'!$F:$F,C3351,'[1]2025年已发货'!$C:$C,F3351,'[1]2025年已发货'!$G:$G,I3351,'[1]2025年已发货'!$H:$H,J3351))</f>
        <v>3</v>
      </c>
      <c r="I3351" s="33" t="str">
        <f>VLOOKUP(B3351,辅助信息!E:I,3,FALSE)</f>
        <v>（华西萌海科创农业生态谷）成都市简阳市白金山水库</v>
      </c>
      <c r="J3351" s="33" t="str">
        <f>VLOOKUP(B3351,辅助信息!E:I,4,FALSE)</f>
        <v>石清国</v>
      </c>
      <c r="K3351" s="33">
        <f>VLOOKUP(J3351,辅助信息!H:I,2,FALSE)</f>
        <v>13458642015</v>
      </c>
      <c r="L3351" s="102" t="str">
        <f>VLOOKUP(B3351,辅助信息!E:J,6,FALSE)</f>
        <v>优先威钢,我方卸车,新老国标钢厂不加价可直发</v>
      </c>
      <c r="M3351" s="84">
        <v>45912</v>
      </c>
      <c r="O3351" s="55">
        <f ca="1" t="shared" si="186"/>
        <v>0</v>
      </c>
      <c r="P3351" s="55">
        <f ca="1" t="shared" si="187"/>
        <v>45</v>
      </c>
      <c r="Q3351" s="22" t="str">
        <f>VLOOKUP(B3351,辅助信息!E:M,9,FALSE)</f>
        <v>ZTWM-CDGS-XS-2024-0092-华西-萌海科创农业生态谷</v>
      </c>
      <c r="R3351" s="22" t="str">
        <f>_xlfn._xlws.FILTER(辅助信息!D:D,辅助信息!E:E=B3351)</f>
        <v>华西萌海-科创农业生态谷</v>
      </c>
    </row>
    <row r="3352" hidden="1" spans="2:18">
      <c r="B3352" s="33" t="s">
        <v>92</v>
      </c>
      <c r="C3352" s="63">
        <v>45910</v>
      </c>
      <c r="D3352" s="33" t="str">
        <f>VLOOKUP(B3352,辅助信息!E:K,7,FALSE)</f>
        <v>JWDDCD2025051800046</v>
      </c>
      <c r="E3352" s="33" t="str">
        <f>VLOOKUP(F3352,辅助信息!A:B,2,FALSE)</f>
        <v>螺纹钢</v>
      </c>
      <c r="F3352" s="33" t="s">
        <v>58</v>
      </c>
      <c r="G3352" s="29">
        <v>6</v>
      </c>
      <c r="H3352" s="127">
        <f>IF(SUMIFS('[1]2025年已发货'!$E:$E,'[1]2025年已发货'!$F:$F,C3352,'[1]2025年已发货'!$C:$C,F3352,'[1]2025年已发货'!$G:$G,I3352,'[1]2025年已发货'!$H:$H,J3352)=0,"未发货",SUMIFS('[1]2025年已发货'!$E:$E,'[1]2025年已发货'!$F:$F,C3352,'[1]2025年已发货'!$C:$C,F3352,'[1]2025年已发货'!$G:$G,I3352,'[1]2025年已发货'!$H:$H,J3352))</f>
        <v>6</v>
      </c>
      <c r="I3352" s="33" t="str">
        <f>VLOOKUP(B3352,辅助信息!E:I,3,FALSE)</f>
        <v>（华西萌海科创农业生态谷）成都市简阳市白金山水库</v>
      </c>
      <c r="J3352" s="33" t="str">
        <f>VLOOKUP(B3352,辅助信息!E:I,4,FALSE)</f>
        <v>石清国</v>
      </c>
      <c r="K3352" s="33">
        <f>VLOOKUP(J3352,辅助信息!H:I,2,FALSE)</f>
        <v>13458642015</v>
      </c>
      <c r="L3352" s="102" t="str">
        <f>VLOOKUP(B3352,辅助信息!E:J,6,FALSE)</f>
        <v>优先威钢,我方卸车,新老国标钢厂不加价可直发</v>
      </c>
      <c r="M3352" s="84">
        <v>45912</v>
      </c>
      <c r="O3352" s="55">
        <f ca="1" t="shared" si="186"/>
        <v>0</v>
      </c>
      <c r="P3352" s="55">
        <f ca="1" t="shared" si="187"/>
        <v>45</v>
      </c>
      <c r="Q3352" s="22" t="str">
        <f>VLOOKUP(B3352,辅助信息!E:M,9,FALSE)</f>
        <v>ZTWM-CDGS-XS-2024-0092-华西-萌海科创农业生态谷</v>
      </c>
      <c r="R3352" s="22" t="str">
        <f>_xlfn._xlws.FILTER(辅助信息!D:D,辅助信息!E:E=B3352)</f>
        <v>华西萌海-科创农业生态谷</v>
      </c>
    </row>
    <row r="3353" hidden="1" spans="2:18">
      <c r="B3353" s="33" t="s">
        <v>92</v>
      </c>
      <c r="C3353" s="63">
        <v>45910</v>
      </c>
      <c r="D3353" s="33" t="str">
        <f>VLOOKUP(B3353,辅助信息!E:K,7,FALSE)</f>
        <v>JWDDCD2025051800046</v>
      </c>
      <c r="E3353" s="33" t="str">
        <f>VLOOKUP(F3353,辅助信息!A:B,2,FALSE)</f>
        <v>螺纹钢</v>
      </c>
      <c r="F3353" s="33" t="s">
        <v>22</v>
      </c>
      <c r="G3353" s="29">
        <v>28</v>
      </c>
      <c r="H3353" s="127">
        <f>IF(SUMIFS('[1]2025年已发货'!$E:$E,'[1]2025年已发货'!$F:$F,C3353,'[1]2025年已发货'!$C:$C,F3353,'[1]2025年已发货'!$G:$G,I3353,'[1]2025年已发货'!$H:$H,J3353)=0,"未发货",SUMIFS('[1]2025年已发货'!$E:$E,'[1]2025年已发货'!$F:$F,C3353,'[1]2025年已发货'!$C:$C,F3353,'[1]2025年已发货'!$G:$G,I3353,'[1]2025年已发货'!$H:$H,J3353))</f>
        <v>28</v>
      </c>
      <c r="I3353" s="33" t="str">
        <f>VLOOKUP(B3353,辅助信息!E:I,3,FALSE)</f>
        <v>（华西萌海科创农业生态谷）成都市简阳市白金山水库</v>
      </c>
      <c r="J3353" s="33" t="str">
        <f>VLOOKUP(B3353,辅助信息!E:I,4,FALSE)</f>
        <v>石清国</v>
      </c>
      <c r="K3353" s="33">
        <f>VLOOKUP(J3353,辅助信息!H:I,2,FALSE)</f>
        <v>13458642015</v>
      </c>
      <c r="L3353" s="102" t="str">
        <f>VLOOKUP(B3353,辅助信息!E:J,6,FALSE)</f>
        <v>优先威钢,我方卸车,新老国标钢厂不加价可直发</v>
      </c>
      <c r="M3353" s="84">
        <v>45912</v>
      </c>
      <c r="O3353" s="55">
        <f ca="1" t="shared" si="186"/>
        <v>0</v>
      </c>
      <c r="P3353" s="55">
        <f ca="1" t="shared" si="187"/>
        <v>45</v>
      </c>
      <c r="Q3353" s="22" t="str">
        <f>VLOOKUP(B3353,辅助信息!E:M,9,FALSE)</f>
        <v>ZTWM-CDGS-XS-2024-0092-华西-萌海科创农业生态谷</v>
      </c>
      <c r="R3353" s="22" t="str">
        <f>_xlfn._xlws.FILTER(辅助信息!D:D,辅助信息!E:E=B3353)</f>
        <v>华西萌海-科创农业生态谷</v>
      </c>
    </row>
    <row r="3354" hidden="1" spans="2:18">
      <c r="B3354" s="33" t="s">
        <v>186</v>
      </c>
      <c r="C3354" s="63">
        <v>45909</v>
      </c>
      <c r="D3354" s="33" t="str">
        <f>VLOOKUP(B3354,辅助信息!E:K,7,FALSE)</f>
        <v>JWDDCD2025072900123</v>
      </c>
      <c r="E3354" s="33" t="str">
        <f>VLOOKUP(F3354,辅助信息!A:B,2,FALSE)</f>
        <v>螺纹钢</v>
      </c>
      <c r="F3354" s="33" t="s">
        <v>76</v>
      </c>
      <c r="G3354" s="29">
        <v>10</v>
      </c>
      <c r="H3354" s="127">
        <f>IF(SUMIFS('[1]2025年已发货'!$E:$E,'[1]2025年已发货'!$F:$F,C3354,'[1]2025年已发货'!$C:$C,F3354,'[1]2025年已发货'!$G:$G,I3354,'[1]2025年已发货'!$H:$H,J3354)=0,"未发货",SUMIFS('[1]2025年已发货'!$E:$E,'[1]2025年已发货'!$F:$F,C3354,'[1]2025年已发货'!$C:$C,F3354,'[1]2025年已发货'!$G:$G,I3354,'[1]2025年已发货'!$H:$H,J3354))</f>
        <v>10</v>
      </c>
      <c r="I3354" s="33" t="str">
        <f>VLOOKUP(B3354,辅助信息!E:I,3,FALSE)</f>
        <v>(乐山市校地共建产教融合基地建设项目二标段)四川省乐山市市中区苏稽镇</v>
      </c>
      <c r="J3354" s="33" t="str">
        <f>VLOOKUP(B3354,辅助信息!E:I,4,FALSE)</f>
        <v>彭江涛</v>
      </c>
      <c r="K3354" s="33">
        <f>VLOOKUP(J3354,辅助信息!H:I,2,FALSE)</f>
        <v>13990276572</v>
      </c>
      <c r="L3354" s="102" t="str">
        <f>VLOOKUP(B3354,辅助信息!E:J,6,FALSE)</f>
        <v>联系实际收货人（彭江涛13990276572）现场要求炉批号控制2个以下，超2个不给予签收。提前联系到场规格及数量</v>
      </c>
      <c r="O3354" s="55" t="str">
        <f ca="1" t="shared" si="186"/>
        <v/>
      </c>
      <c r="P3354" s="55" t="str">
        <f ca="1" t="shared" si="187"/>
        <v/>
      </c>
      <c r="Q3354" s="22" t="str">
        <f>VLOOKUP(B3354,辅助信息!E:M,9,FALSE)</f>
        <v>ZTWM-CDGS-XS-2025-0126-四川机司-乐山市校地共建产教融合基地配套设施项目施工二标段钢筋采购合同</v>
      </c>
      <c r="R3354" s="22" t="str">
        <f>_xlfn._xlws.FILTER(辅助信息!D:D,辅助信息!E:E=B3354)</f>
        <v>乐山市校地共建产教融合基地建设项目二标段</v>
      </c>
    </row>
    <row r="3355" hidden="1" spans="2:18">
      <c r="B3355" s="33" t="s">
        <v>186</v>
      </c>
      <c r="C3355" s="63">
        <v>45909</v>
      </c>
      <c r="D3355" s="33" t="str">
        <f>VLOOKUP(B3355,辅助信息!E:K,7,FALSE)</f>
        <v>JWDDCD2025072900123</v>
      </c>
      <c r="E3355" s="33" t="str">
        <f>VLOOKUP(F3355,辅助信息!A:B,2,FALSE)</f>
        <v>螺纹钢</v>
      </c>
      <c r="F3355" s="33" t="s">
        <v>90</v>
      </c>
      <c r="G3355" s="29">
        <v>25</v>
      </c>
      <c r="H3355" s="127">
        <f>IF(SUMIFS('[1]2025年已发货'!$E:$E,'[1]2025年已发货'!$F:$F,C3355,'[1]2025年已发货'!$C:$C,F3355,'[1]2025年已发货'!$G:$G,I3355,'[1]2025年已发货'!$H:$H,J3355)=0,"未发货",SUMIFS('[1]2025年已发货'!$E:$E,'[1]2025年已发货'!$F:$F,C3355,'[1]2025年已发货'!$C:$C,F3355,'[1]2025年已发货'!$G:$G,I3355,'[1]2025年已发货'!$H:$H,J3355))</f>
        <v>25</v>
      </c>
      <c r="I3355" s="33" t="str">
        <f>VLOOKUP(B3355,辅助信息!E:I,3,FALSE)</f>
        <v>(乐山市校地共建产教融合基地建设项目二标段)四川省乐山市市中区苏稽镇</v>
      </c>
      <c r="J3355" s="33" t="str">
        <f>VLOOKUP(B3355,辅助信息!E:I,4,FALSE)</f>
        <v>彭江涛</v>
      </c>
      <c r="K3355" s="33">
        <f>VLOOKUP(J3355,辅助信息!H:I,2,FALSE)</f>
        <v>13990276572</v>
      </c>
      <c r="L3355" s="102" t="str">
        <f>VLOOKUP(B3355,辅助信息!E:J,6,FALSE)</f>
        <v>联系实际收货人（彭江涛13990276572）现场要求炉批号控制2个以下，超2个不给予签收。提前联系到场规格及数量</v>
      </c>
      <c r="O3355" s="55" t="str">
        <f ca="1" t="shared" si="186"/>
        <v/>
      </c>
      <c r="P3355" s="55" t="str">
        <f ca="1" t="shared" si="187"/>
        <v/>
      </c>
      <c r="Q3355" s="22" t="str">
        <f>VLOOKUP(B3355,辅助信息!E:M,9,FALSE)</f>
        <v>ZTWM-CDGS-XS-2025-0126-四川机司-乐山市校地共建产教融合基地配套设施项目施工二标段钢筋采购合同</v>
      </c>
      <c r="R3355" s="22" t="str">
        <f>_xlfn._xlws.FILTER(辅助信息!D:D,辅助信息!E:E=B3355)</f>
        <v>乐山市校地共建产教融合基地建设项目二标段</v>
      </c>
    </row>
    <row r="3356" hidden="1" spans="2:18">
      <c r="B3356" s="33" t="s">
        <v>186</v>
      </c>
      <c r="C3356" s="63">
        <v>45909</v>
      </c>
      <c r="D3356" s="33" t="str">
        <f>VLOOKUP(B3356,辅助信息!E:K,7,FALSE)</f>
        <v>JWDDCD2025072900123</v>
      </c>
      <c r="E3356" s="33" t="str">
        <f>VLOOKUP(F3356,辅助信息!A:B,2,FALSE)</f>
        <v>螺纹钢</v>
      </c>
      <c r="F3356" s="33" t="s">
        <v>130</v>
      </c>
      <c r="G3356" s="29">
        <v>15</v>
      </c>
      <c r="H3356" s="127">
        <f>IF(SUMIFS('[1]2025年已发货'!$E:$E,'[1]2025年已发货'!$F:$F,C3356,'[1]2025年已发货'!$C:$C,F3356,'[1]2025年已发货'!$G:$G,I3356,'[1]2025年已发货'!$H:$H,J3356)=0,"未发货",SUMIFS('[1]2025年已发货'!$E:$E,'[1]2025年已发货'!$F:$F,C3356,'[1]2025年已发货'!$C:$C,F3356,'[1]2025年已发货'!$G:$G,I3356,'[1]2025年已发货'!$H:$H,J3356))</f>
        <v>15</v>
      </c>
      <c r="I3356" s="33" t="str">
        <f>VLOOKUP(B3356,辅助信息!E:I,3,FALSE)</f>
        <v>(乐山市校地共建产教融合基地建设项目二标段)四川省乐山市市中区苏稽镇</v>
      </c>
      <c r="J3356" s="33" t="str">
        <f>VLOOKUP(B3356,辅助信息!E:I,4,FALSE)</f>
        <v>彭江涛</v>
      </c>
      <c r="K3356" s="33">
        <f>VLOOKUP(J3356,辅助信息!H:I,2,FALSE)</f>
        <v>13990276572</v>
      </c>
      <c r="L3356" s="102" t="str">
        <f>VLOOKUP(B3356,辅助信息!E:J,6,FALSE)</f>
        <v>联系实际收货人（彭江涛13990276572）现场要求炉批号控制2个以下，超2个不给予签收。提前联系到场规格及数量</v>
      </c>
      <c r="O3356" s="55" t="str">
        <f ca="1" t="shared" si="186"/>
        <v/>
      </c>
      <c r="P3356" s="55" t="str">
        <f ca="1" t="shared" si="187"/>
        <v/>
      </c>
      <c r="Q3356" s="22" t="str">
        <f>VLOOKUP(B3356,辅助信息!E:M,9,FALSE)</f>
        <v>ZTWM-CDGS-XS-2025-0126-四川机司-乐山市校地共建产教融合基地配套设施项目施工二标段钢筋采购合同</v>
      </c>
      <c r="R3356" s="22" t="str">
        <f>_xlfn._xlws.FILTER(辅助信息!D:D,辅助信息!E:E=B3356)</f>
        <v>乐山市校地共建产教融合基地建设项目二标段</v>
      </c>
    </row>
    <row r="3357" hidden="1" spans="2:18">
      <c r="B3357" s="33" t="s">
        <v>186</v>
      </c>
      <c r="C3357" s="63">
        <v>45909</v>
      </c>
      <c r="D3357" s="33" t="str">
        <f>VLOOKUP(B3357,辅助信息!E:K,7,FALSE)</f>
        <v>JWDDCD2025072900123</v>
      </c>
      <c r="E3357" s="33" t="str">
        <f>VLOOKUP(F3357,辅助信息!A:B,2,FALSE)</f>
        <v>螺纹钢</v>
      </c>
      <c r="F3357" s="33" t="s">
        <v>138</v>
      </c>
      <c r="G3357" s="29">
        <v>10</v>
      </c>
      <c r="H3357" s="127">
        <f>IF(SUMIFS('[1]2025年已发货'!$E:$E,'[1]2025年已发货'!$F:$F,C3357,'[1]2025年已发货'!$C:$C,F3357,'[1]2025年已发货'!$G:$G,I3357,'[1]2025年已发货'!$H:$H,J3357)=0,"未发货",SUMIFS('[1]2025年已发货'!$E:$E,'[1]2025年已发货'!$F:$F,C3357,'[1]2025年已发货'!$C:$C,F3357,'[1]2025年已发货'!$G:$G,I3357,'[1]2025年已发货'!$H:$H,J3357))</f>
        <v>10</v>
      </c>
      <c r="I3357" s="33" t="str">
        <f>VLOOKUP(B3357,辅助信息!E:I,3,FALSE)</f>
        <v>(乐山市校地共建产教融合基地建设项目二标段)四川省乐山市市中区苏稽镇</v>
      </c>
      <c r="J3357" s="33" t="str">
        <f>VLOOKUP(B3357,辅助信息!E:I,4,FALSE)</f>
        <v>彭江涛</v>
      </c>
      <c r="K3357" s="33">
        <f>VLOOKUP(J3357,辅助信息!H:I,2,FALSE)</f>
        <v>13990276572</v>
      </c>
      <c r="L3357" s="102" t="str">
        <f>VLOOKUP(B3357,辅助信息!E:J,6,FALSE)</f>
        <v>联系实际收货人（彭江涛13990276572）现场要求炉批号控制2个以下，超2个不给予签收。提前联系到场规格及数量</v>
      </c>
      <c r="O3357" s="55" t="str">
        <f ca="1" t="shared" si="186"/>
        <v/>
      </c>
      <c r="P3357" s="55" t="str">
        <f ca="1" t="shared" si="187"/>
        <v/>
      </c>
      <c r="Q3357" s="22" t="str">
        <f>VLOOKUP(B3357,辅助信息!E:M,9,FALSE)</f>
        <v>ZTWM-CDGS-XS-2025-0126-四川机司-乐山市校地共建产教融合基地配套设施项目施工二标段钢筋采购合同</v>
      </c>
      <c r="R3357" s="22" t="str">
        <f>_xlfn._xlws.FILTER(辅助信息!D:D,辅助信息!E:E=B3357)</f>
        <v>乐山市校地共建产教融合基地建设项目二标段</v>
      </c>
    </row>
    <row r="3358" hidden="1" spans="2:18">
      <c r="B3358" s="33" t="s">
        <v>186</v>
      </c>
      <c r="C3358" s="63">
        <v>45909</v>
      </c>
      <c r="D3358" s="33" t="str">
        <f>VLOOKUP(B3358,辅助信息!E:K,7,FALSE)</f>
        <v>JWDDCD2025072900123</v>
      </c>
      <c r="E3358" s="33" t="str">
        <f>VLOOKUP(F3358,辅助信息!A:B,2,FALSE)</f>
        <v>螺纹钢</v>
      </c>
      <c r="F3358" s="33" t="s">
        <v>91</v>
      </c>
      <c r="G3358" s="29">
        <v>10</v>
      </c>
      <c r="H3358" s="127">
        <f>IF(SUMIFS('[1]2025年已发货'!$E:$E,'[1]2025年已发货'!$F:$F,C3358,'[1]2025年已发货'!$C:$C,F3358,'[1]2025年已发货'!$G:$G,I3358,'[1]2025年已发货'!$H:$H,J3358)=0,"未发货",SUMIFS('[1]2025年已发货'!$E:$E,'[1]2025年已发货'!$F:$F,C3358,'[1]2025年已发货'!$C:$C,F3358,'[1]2025年已发货'!$G:$G,I3358,'[1]2025年已发货'!$H:$H,J3358))</f>
        <v>10</v>
      </c>
      <c r="I3358" s="33" t="str">
        <f>VLOOKUP(B3358,辅助信息!E:I,3,FALSE)</f>
        <v>(乐山市校地共建产教融合基地建设项目二标段)四川省乐山市市中区苏稽镇</v>
      </c>
      <c r="J3358" s="33" t="str">
        <f>VLOOKUP(B3358,辅助信息!E:I,4,FALSE)</f>
        <v>彭江涛</v>
      </c>
      <c r="K3358" s="33">
        <f>VLOOKUP(J3358,辅助信息!H:I,2,FALSE)</f>
        <v>13990276572</v>
      </c>
      <c r="L3358" s="102" t="str">
        <f>VLOOKUP(B3358,辅助信息!E:J,6,FALSE)</f>
        <v>联系实际收货人（彭江涛13990276572）现场要求炉批号控制2个以下，超2个不给予签收。提前联系到场规格及数量</v>
      </c>
      <c r="O3358" s="55" t="str">
        <f ca="1" t="shared" si="186"/>
        <v/>
      </c>
      <c r="P3358" s="55" t="str">
        <f ca="1" t="shared" si="187"/>
        <v/>
      </c>
      <c r="Q3358" s="22" t="str">
        <f>VLOOKUP(B3358,辅助信息!E:M,9,FALSE)</f>
        <v>ZTWM-CDGS-XS-2025-0126-四川机司-乐山市校地共建产教融合基地配套设施项目施工二标段钢筋采购合同</v>
      </c>
      <c r="R3358" s="22" t="str">
        <f>_xlfn._xlws.FILTER(辅助信息!D:D,辅助信息!E:E=B3358)</f>
        <v>乐山市校地共建产教融合基地建设项目二标段</v>
      </c>
    </row>
    <row r="3359" hidden="1" spans="2:18">
      <c r="B3359" s="33" t="s">
        <v>81</v>
      </c>
      <c r="C3359" s="63">
        <v>45910</v>
      </c>
      <c r="D3359" s="33" t="str">
        <f>VLOOKUP(B3359,辅助信息!E:K,7,FALSE)</f>
        <v>JWDDCD2025060900080</v>
      </c>
      <c r="E3359" s="33" t="str">
        <f>VLOOKUP(F3359,辅助信息!A:B,2,FALSE)</f>
        <v>盘螺</v>
      </c>
      <c r="F3359" s="33" t="s">
        <v>49</v>
      </c>
      <c r="G3359" s="29">
        <v>4</v>
      </c>
      <c r="H3359" s="127">
        <f>IF(SUMIFS('[1]2025年已发货'!$E:$E,'[1]2025年已发货'!$F:$F,C3359,'[1]2025年已发货'!$C:$C,F3359,'[1]2025年已发货'!$G:$G,I3359,'[1]2025年已发货'!$H:$H,J3359)=0,"未发货",SUMIFS('[1]2025年已发货'!$E:$E,'[1]2025年已发货'!$F:$F,C3359,'[1]2025年已发货'!$C:$C,F3359,'[1]2025年已发货'!$G:$G,I3359,'[1]2025年已发货'!$H:$H,J3359))</f>
        <v>4</v>
      </c>
      <c r="I3359" s="33" t="str">
        <f>VLOOKUP(B3359,辅助信息!E:I,3,FALSE)</f>
        <v>（华西简阳西城嘉苑）四川省成都市简阳市简城街道高屋村</v>
      </c>
      <c r="J3359" s="33" t="str">
        <f>VLOOKUP(B3359,辅助信息!E:I,4,FALSE)</f>
        <v>张瀚镭</v>
      </c>
      <c r="K3359" s="33">
        <f>VLOOKUP(J3359,辅助信息!H:I,2,FALSE)</f>
        <v>15884666220</v>
      </c>
      <c r="L3359" s="102" t="str">
        <f>VLOOKUP(B3359,辅助信息!E:J,6,FALSE)</f>
        <v>现场禁止使用氢能源挂车！优先威钢发货,我方卸车,新老国标钢厂不加价可直发，因陕钢多次出现磅差，项目拒绝使用</v>
      </c>
      <c r="O3359" s="55" t="str">
        <f ca="1" t="shared" si="186"/>
        <v/>
      </c>
      <c r="P3359" s="55" t="str">
        <f ca="1" t="shared" si="187"/>
        <v/>
      </c>
      <c r="Q3359" s="22" t="str">
        <f>VLOOKUP(B3359,辅助信息!E:M,9,FALSE)</f>
        <v>ZTWM-CDGS-XS-2024-0030-华西集采-简州大道</v>
      </c>
      <c r="R3359" s="22" t="str">
        <f>_xlfn._xlws.FILTER(辅助信息!D:D,辅助信息!E:E=B3359)</f>
        <v>华西简阳西城嘉苑</v>
      </c>
    </row>
    <row r="3360" hidden="1" spans="2:18">
      <c r="B3360" s="33" t="s">
        <v>81</v>
      </c>
      <c r="C3360" s="63">
        <v>45910</v>
      </c>
      <c r="D3360" s="33" t="str">
        <f>VLOOKUP(B3360,辅助信息!E:K,7,FALSE)</f>
        <v>JWDDCD2025060900080</v>
      </c>
      <c r="E3360" s="33" t="str">
        <f>VLOOKUP(F3360,辅助信息!A:B,2,FALSE)</f>
        <v>盘螺</v>
      </c>
      <c r="F3360" s="33" t="s">
        <v>40</v>
      </c>
      <c r="G3360" s="29">
        <v>40</v>
      </c>
      <c r="H3360" s="127">
        <f>IF(SUMIFS('[1]2025年已发货'!$E:$E,'[1]2025年已发货'!$F:$F,C3360,'[1]2025年已发货'!$C:$C,F3360,'[1]2025年已发货'!$G:$G,I3360,'[1]2025年已发货'!$H:$H,J3360)=0,"未发货",SUMIFS('[1]2025年已发货'!$E:$E,'[1]2025年已发货'!$F:$F,C3360,'[1]2025年已发货'!$C:$C,F3360,'[1]2025年已发货'!$G:$G,I3360,'[1]2025年已发货'!$H:$H,J3360))</f>
        <v>40</v>
      </c>
      <c r="I3360" s="33" t="str">
        <f>VLOOKUP(B3360,辅助信息!E:I,3,FALSE)</f>
        <v>（华西简阳西城嘉苑）四川省成都市简阳市简城街道高屋村</v>
      </c>
      <c r="J3360" s="33" t="str">
        <f>VLOOKUP(B3360,辅助信息!E:I,4,FALSE)</f>
        <v>张瀚镭</v>
      </c>
      <c r="K3360" s="33">
        <f>VLOOKUP(J3360,辅助信息!H:I,2,FALSE)</f>
        <v>15884666220</v>
      </c>
      <c r="L3360" s="102" t="str">
        <f>VLOOKUP(B3360,辅助信息!E:J,6,FALSE)</f>
        <v>现场禁止使用氢能源挂车！优先威钢发货,我方卸车,新老国标钢厂不加价可直发，因陕钢多次出现磅差，项目拒绝使用</v>
      </c>
      <c r="O3360" s="55" t="str">
        <f ca="1" t="shared" ref="O3360:O3423" si="188">IF(OR(M3360="",N3360&lt;&gt;""),"",MAX(M3360-TODAY(),0))</f>
        <v/>
      </c>
      <c r="P3360" s="55" t="str">
        <f ca="1" t="shared" ref="P3360:P3423" si="189">IF(M3360="","",IF(N3360&lt;&gt;"",MAX(N3360-M3360,0),IF(TODAY()&gt;M3360,TODAY()-M3360,0)))</f>
        <v/>
      </c>
      <c r="Q3360" s="22" t="str">
        <f>VLOOKUP(B3360,辅助信息!E:M,9,FALSE)</f>
        <v>ZTWM-CDGS-XS-2024-0030-华西集采-简州大道</v>
      </c>
      <c r="R3360" s="22" t="str">
        <f>_xlfn._xlws.FILTER(辅助信息!D:D,辅助信息!E:E=B3360)</f>
        <v>华西简阳西城嘉苑</v>
      </c>
    </row>
    <row r="3361" hidden="1" spans="2:18">
      <c r="B3361" s="33" t="s">
        <v>81</v>
      </c>
      <c r="C3361" s="63">
        <v>45910</v>
      </c>
      <c r="D3361" s="33" t="str">
        <f>VLOOKUP(B3361,辅助信息!E:K,7,FALSE)</f>
        <v>JWDDCD2025060900080</v>
      </c>
      <c r="E3361" s="33" t="str">
        <f>VLOOKUP(F3361,辅助信息!A:B,2,FALSE)</f>
        <v>盘螺</v>
      </c>
      <c r="F3361" s="33" t="s">
        <v>41</v>
      </c>
      <c r="G3361" s="29">
        <v>20</v>
      </c>
      <c r="H3361" s="127">
        <f>IF(SUMIFS('[1]2025年已发货'!$E:$E,'[1]2025年已发货'!$F:$F,C3361,'[1]2025年已发货'!$C:$C,F3361,'[1]2025年已发货'!$G:$G,I3361,'[1]2025年已发货'!$H:$H,J3361)=0,"未发货",SUMIFS('[1]2025年已发货'!$E:$E,'[1]2025年已发货'!$F:$F,C3361,'[1]2025年已发货'!$C:$C,F3361,'[1]2025年已发货'!$G:$G,I3361,'[1]2025年已发货'!$H:$H,J3361))</f>
        <v>20</v>
      </c>
      <c r="I3361" s="33" t="str">
        <f>VLOOKUP(B3361,辅助信息!E:I,3,FALSE)</f>
        <v>（华西简阳西城嘉苑）四川省成都市简阳市简城街道高屋村</v>
      </c>
      <c r="J3361" s="33" t="str">
        <f>VLOOKUP(B3361,辅助信息!E:I,4,FALSE)</f>
        <v>张瀚镭</v>
      </c>
      <c r="K3361" s="33">
        <f>VLOOKUP(J3361,辅助信息!H:I,2,FALSE)</f>
        <v>15884666220</v>
      </c>
      <c r="L3361" s="102" t="str">
        <f>VLOOKUP(B3361,辅助信息!E:J,6,FALSE)</f>
        <v>现场禁止使用氢能源挂车！优先威钢发货,我方卸车,新老国标钢厂不加价可直发，因陕钢多次出现磅差，项目拒绝使用</v>
      </c>
      <c r="O3361" s="55" t="str">
        <f ca="1" t="shared" si="188"/>
        <v/>
      </c>
      <c r="P3361" s="55" t="str">
        <f ca="1" t="shared" si="189"/>
        <v/>
      </c>
      <c r="Q3361" s="22" t="str">
        <f>VLOOKUP(B3361,辅助信息!E:M,9,FALSE)</f>
        <v>ZTWM-CDGS-XS-2024-0030-华西集采-简州大道</v>
      </c>
      <c r="R3361" s="22" t="str">
        <f>_xlfn._xlws.FILTER(辅助信息!D:D,辅助信息!E:E=B3361)</f>
        <v>华西简阳西城嘉苑</v>
      </c>
    </row>
    <row r="3362" hidden="1" spans="2:18">
      <c r="B3362" s="33" t="s">
        <v>81</v>
      </c>
      <c r="C3362" s="63">
        <v>45910</v>
      </c>
      <c r="D3362" s="33" t="str">
        <f>VLOOKUP(B3362,辅助信息!E:K,7,FALSE)</f>
        <v>JWDDCD2025060900080</v>
      </c>
      <c r="E3362" s="33" t="str">
        <f>VLOOKUP(F3362,辅助信息!A:B,2,FALSE)</f>
        <v>盘螺</v>
      </c>
      <c r="F3362" s="33" t="s">
        <v>26</v>
      </c>
      <c r="G3362" s="29">
        <v>12</v>
      </c>
      <c r="H3362" s="127">
        <f>IF(SUMIFS('[1]2025年已发货'!$E:$E,'[1]2025年已发货'!$F:$F,C3362,'[1]2025年已发货'!$C:$C,F3362,'[1]2025年已发货'!$G:$G,I3362,'[1]2025年已发货'!$H:$H,J3362)=0,"未发货",SUMIFS('[1]2025年已发货'!$E:$E,'[1]2025年已发货'!$F:$F,C3362,'[1]2025年已发货'!$C:$C,F3362,'[1]2025年已发货'!$G:$G,I3362,'[1]2025年已发货'!$H:$H,J3362))</f>
        <v>12</v>
      </c>
      <c r="I3362" s="33" t="str">
        <f>VLOOKUP(B3362,辅助信息!E:I,3,FALSE)</f>
        <v>（华西简阳西城嘉苑）四川省成都市简阳市简城街道高屋村</v>
      </c>
      <c r="J3362" s="33" t="str">
        <f>VLOOKUP(B3362,辅助信息!E:I,4,FALSE)</f>
        <v>张瀚镭</v>
      </c>
      <c r="K3362" s="33">
        <f>VLOOKUP(J3362,辅助信息!H:I,2,FALSE)</f>
        <v>15884666220</v>
      </c>
      <c r="L3362" s="102" t="str">
        <f>VLOOKUP(B3362,辅助信息!E:J,6,FALSE)</f>
        <v>现场禁止使用氢能源挂车！优先威钢发货,我方卸车,新老国标钢厂不加价可直发，因陕钢多次出现磅差，项目拒绝使用</v>
      </c>
      <c r="O3362" s="55" t="str">
        <f ca="1" t="shared" si="188"/>
        <v/>
      </c>
      <c r="P3362" s="55" t="str">
        <f ca="1" t="shared" si="189"/>
        <v/>
      </c>
      <c r="Q3362" s="22" t="str">
        <f>VLOOKUP(B3362,辅助信息!E:M,9,FALSE)</f>
        <v>ZTWM-CDGS-XS-2024-0030-华西集采-简州大道</v>
      </c>
      <c r="R3362" s="22" t="str">
        <f>_xlfn._xlws.FILTER(辅助信息!D:D,辅助信息!E:E=B3362)</f>
        <v>华西简阳西城嘉苑</v>
      </c>
    </row>
    <row r="3363" hidden="1" spans="2:18">
      <c r="B3363" s="33" t="s">
        <v>81</v>
      </c>
      <c r="C3363" s="63">
        <v>45910</v>
      </c>
      <c r="D3363" s="33" t="str">
        <f>VLOOKUP(B3363,辅助信息!E:K,7,FALSE)</f>
        <v>JWDDCD2025060900080</v>
      </c>
      <c r="E3363" s="33" t="str">
        <f>VLOOKUP(F3363,辅助信息!A:B,2,FALSE)</f>
        <v>螺纹钢</v>
      </c>
      <c r="F3363" s="33" t="s">
        <v>19</v>
      </c>
      <c r="G3363" s="29">
        <v>10</v>
      </c>
      <c r="H3363" s="127">
        <f>IF(SUMIFS('[1]2025年已发货'!$E:$E,'[1]2025年已发货'!$F:$F,C3363,'[1]2025年已发货'!$C:$C,F3363,'[1]2025年已发货'!$G:$G,I3363,'[1]2025年已发货'!$H:$H,J3363)=0,"未发货",SUMIFS('[1]2025年已发货'!$E:$E,'[1]2025年已发货'!$F:$F,C3363,'[1]2025年已发货'!$C:$C,F3363,'[1]2025年已发货'!$G:$G,I3363,'[1]2025年已发货'!$H:$H,J3363))</f>
        <v>10</v>
      </c>
      <c r="I3363" s="33" t="str">
        <f>VLOOKUP(B3363,辅助信息!E:I,3,FALSE)</f>
        <v>（华西简阳西城嘉苑）四川省成都市简阳市简城街道高屋村</v>
      </c>
      <c r="J3363" s="33" t="str">
        <f>VLOOKUP(B3363,辅助信息!E:I,4,FALSE)</f>
        <v>张瀚镭</v>
      </c>
      <c r="K3363" s="33">
        <f>VLOOKUP(J3363,辅助信息!H:I,2,FALSE)</f>
        <v>15884666220</v>
      </c>
      <c r="L3363" s="102" t="str">
        <f>VLOOKUP(B3363,辅助信息!E:J,6,FALSE)</f>
        <v>现场禁止使用氢能源挂车！优先威钢发货,我方卸车,新老国标钢厂不加价可直发，因陕钢多次出现磅差，项目拒绝使用</v>
      </c>
      <c r="O3363" s="55" t="str">
        <f ca="1" t="shared" si="188"/>
        <v/>
      </c>
      <c r="P3363" s="55" t="str">
        <f ca="1" t="shared" si="189"/>
        <v/>
      </c>
      <c r="Q3363" s="22" t="str">
        <f>VLOOKUP(B3363,辅助信息!E:M,9,FALSE)</f>
        <v>ZTWM-CDGS-XS-2024-0030-华西集采-简州大道</v>
      </c>
      <c r="R3363" s="22" t="str">
        <f>_xlfn._xlws.FILTER(辅助信息!D:D,辅助信息!E:E=B3363)</f>
        <v>华西简阳西城嘉苑</v>
      </c>
    </row>
    <row r="3364" hidden="1" spans="2:18">
      <c r="B3364" s="33" t="s">
        <v>81</v>
      </c>
      <c r="C3364" s="63">
        <v>45910</v>
      </c>
      <c r="D3364" s="33" t="str">
        <f>VLOOKUP(B3364,辅助信息!E:K,7,FALSE)</f>
        <v>JWDDCD2025060900080</v>
      </c>
      <c r="E3364" s="33" t="str">
        <f>VLOOKUP(F3364,辅助信息!A:B,2,FALSE)</f>
        <v>螺纹钢</v>
      </c>
      <c r="F3364" s="33" t="s">
        <v>32</v>
      </c>
      <c r="G3364" s="29">
        <v>12</v>
      </c>
      <c r="H3364" s="127">
        <f>IF(SUMIFS('[1]2025年已发货'!$E:$E,'[1]2025年已发货'!$F:$F,C3364,'[1]2025年已发货'!$C:$C,F3364,'[1]2025年已发货'!$G:$G,I3364,'[1]2025年已发货'!$H:$H,J3364)=0,"未发货",SUMIFS('[1]2025年已发货'!$E:$E,'[1]2025年已发货'!$F:$F,C3364,'[1]2025年已发货'!$C:$C,F3364,'[1]2025年已发货'!$G:$G,I3364,'[1]2025年已发货'!$H:$H,J3364))</f>
        <v>12</v>
      </c>
      <c r="I3364" s="33" t="str">
        <f>VLOOKUP(B3364,辅助信息!E:I,3,FALSE)</f>
        <v>（华西简阳西城嘉苑）四川省成都市简阳市简城街道高屋村</v>
      </c>
      <c r="J3364" s="33" t="str">
        <f>VLOOKUP(B3364,辅助信息!E:I,4,FALSE)</f>
        <v>张瀚镭</v>
      </c>
      <c r="K3364" s="33">
        <f>VLOOKUP(J3364,辅助信息!H:I,2,FALSE)</f>
        <v>15884666220</v>
      </c>
      <c r="L3364" s="102" t="str">
        <f>VLOOKUP(B3364,辅助信息!E:J,6,FALSE)</f>
        <v>现场禁止使用氢能源挂车！优先威钢发货,我方卸车,新老国标钢厂不加价可直发，因陕钢多次出现磅差，项目拒绝使用</v>
      </c>
      <c r="O3364" s="55" t="str">
        <f ca="1" t="shared" si="188"/>
        <v/>
      </c>
      <c r="P3364" s="55" t="str">
        <f ca="1" t="shared" si="189"/>
        <v/>
      </c>
      <c r="Q3364" s="22" t="str">
        <f>VLOOKUP(B3364,辅助信息!E:M,9,FALSE)</f>
        <v>ZTWM-CDGS-XS-2024-0030-华西集采-简州大道</v>
      </c>
      <c r="R3364" s="22" t="str">
        <f>_xlfn._xlws.FILTER(辅助信息!D:D,辅助信息!E:E=B3364)</f>
        <v>华西简阳西城嘉苑</v>
      </c>
    </row>
    <row r="3365" hidden="1" spans="2:18">
      <c r="B3365" s="33" t="s">
        <v>81</v>
      </c>
      <c r="C3365" s="63">
        <v>45910</v>
      </c>
      <c r="D3365" s="33" t="str">
        <f>VLOOKUP(B3365,辅助信息!E:K,7,FALSE)</f>
        <v>JWDDCD2025060900080</v>
      </c>
      <c r="E3365" s="33" t="str">
        <f>VLOOKUP(F3365,辅助信息!A:B,2,FALSE)</f>
        <v>螺纹钢</v>
      </c>
      <c r="F3365" s="33" t="s">
        <v>30</v>
      </c>
      <c r="G3365" s="29">
        <v>6</v>
      </c>
      <c r="H3365" s="127">
        <f>IF(SUMIFS('[1]2025年已发货'!$E:$E,'[1]2025年已发货'!$F:$F,C3365,'[1]2025年已发货'!$C:$C,F3365,'[1]2025年已发货'!$G:$G,I3365,'[1]2025年已发货'!$H:$H,J3365)=0,"未发货",SUMIFS('[1]2025年已发货'!$E:$E,'[1]2025年已发货'!$F:$F,C3365,'[1]2025年已发货'!$C:$C,F3365,'[1]2025年已发货'!$G:$G,I3365,'[1]2025年已发货'!$H:$H,J3365))</f>
        <v>6</v>
      </c>
      <c r="I3365" s="33" t="str">
        <f>VLOOKUP(B3365,辅助信息!E:I,3,FALSE)</f>
        <v>（华西简阳西城嘉苑）四川省成都市简阳市简城街道高屋村</v>
      </c>
      <c r="J3365" s="33" t="str">
        <f>VLOOKUP(B3365,辅助信息!E:I,4,FALSE)</f>
        <v>张瀚镭</v>
      </c>
      <c r="K3365" s="33">
        <f>VLOOKUP(J3365,辅助信息!H:I,2,FALSE)</f>
        <v>15884666220</v>
      </c>
      <c r="L3365" s="102" t="str">
        <f>VLOOKUP(B3365,辅助信息!E:J,6,FALSE)</f>
        <v>现场禁止使用氢能源挂车！优先威钢发货,我方卸车,新老国标钢厂不加价可直发，因陕钢多次出现磅差，项目拒绝使用</v>
      </c>
      <c r="O3365" s="55" t="str">
        <f ca="1" t="shared" si="188"/>
        <v/>
      </c>
      <c r="P3365" s="55" t="str">
        <f ca="1" t="shared" si="189"/>
        <v/>
      </c>
      <c r="Q3365" s="22" t="str">
        <f>VLOOKUP(B3365,辅助信息!E:M,9,FALSE)</f>
        <v>ZTWM-CDGS-XS-2024-0030-华西集采-简州大道</v>
      </c>
      <c r="R3365" s="22" t="str">
        <f>_xlfn._xlws.FILTER(辅助信息!D:D,辅助信息!E:E=B3365)</f>
        <v>华西简阳西城嘉苑</v>
      </c>
    </row>
    <row r="3366" hidden="1" spans="2:18">
      <c r="B3366" s="33" t="s">
        <v>81</v>
      </c>
      <c r="C3366" s="63">
        <v>45910</v>
      </c>
      <c r="D3366" s="33" t="str">
        <f>VLOOKUP(B3366,辅助信息!E:K,7,FALSE)</f>
        <v>JWDDCD2025060900080</v>
      </c>
      <c r="E3366" s="33" t="str">
        <f>VLOOKUP(F3366,辅助信息!A:B,2,FALSE)</f>
        <v>螺纹钢</v>
      </c>
      <c r="F3366" s="33" t="s">
        <v>33</v>
      </c>
      <c r="G3366" s="29">
        <v>2</v>
      </c>
      <c r="H3366" s="127">
        <f>IF(SUMIFS('[1]2025年已发货'!$E:$E,'[1]2025年已发货'!$F:$F,C3366,'[1]2025年已发货'!$C:$C,F3366,'[1]2025年已发货'!$G:$G,I3366,'[1]2025年已发货'!$H:$H,J3366)=0,"未发货",SUMIFS('[1]2025年已发货'!$E:$E,'[1]2025年已发货'!$F:$F,C3366,'[1]2025年已发货'!$C:$C,F3366,'[1]2025年已发货'!$G:$G,I3366,'[1]2025年已发货'!$H:$H,J3366))</f>
        <v>2</v>
      </c>
      <c r="I3366" s="33" t="str">
        <f>VLOOKUP(B3366,辅助信息!E:I,3,FALSE)</f>
        <v>（华西简阳西城嘉苑）四川省成都市简阳市简城街道高屋村</v>
      </c>
      <c r="J3366" s="33" t="str">
        <f>VLOOKUP(B3366,辅助信息!E:I,4,FALSE)</f>
        <v>张瀚镭</v>
      </c>
      <c r="K3366" s="33">
        <f>VLOOKUP(J3366,辅助信息!H:I,2,FALSE)</f>
        <v>15884666220</v>
      </c>
      <c r="L3366" s="102" t="str">
        <f>VLOOKUP(B3366,辅助信息!E:J,6,FALSE)</f>
        <v>现场禁止使用氢能源挂车！优先威钢发货,我方卸车,新老国标钢厂不加价可直发，因陕钢多次出现磅差，项目拒绝使用</v>
      </c>
      <c r="O3366" s="55" t="str">
        <f ca="1" t="shared" si="188"/>
        <v/>
      </c>
      <c r="P3366" s="55" t="str">
        <f ca="1" t="shared" si="189"/>
        <v/>
      </c>
      <c r="Q3366" s="22" t="str">
        <f>VLOOKUP(B3366,辅助信息!E:M,9,FALSE)</f>
        <v>ZTWM-CDGS-XS-2024-0030-华西集采-简州大道</v>
      </c>
      <c r="R3366" s="22" t="str">
        <f>_xlfn._xlws.FILTER(辅助信息!D:D,辅助信息!E:E=B3366)</f>
        <v>华西简阳西城嘉苑</v>
      </c>
    </row>
    <row r="3367" hidden="1" spans="2:18">
      <c r="B3367" s="33" t="s">
        <v>196</v>
      </c>
      <c r="C3367" s="63">
        <v>45910</v>
      </c>
      <c r="D3367" s="33" t="str">
        <f>VLOOKUP(B3367,辅助信息!E:K,7,FALSE)</f>
        <v>JWDDCD2025102100476</v>
      </c>
      <c r="E3367" s="33" t="str">
        <f>VLOOKUP(F3367,辅助信息!A:B,2,FALSE)</f>
        <v>盘螺</v>
      </c>
      <c r="F3367" s="33" t="s">
        <v>40</v>
      </c>
      <c r="G3367" s="29">
        <v>10</v>
      </c>
      <c r="H3367" s="127">
        <f>IF(SUMIFS('[1]2025年已发货'!$E:$E,'[1]2025年已发货'!$F:$F,C3367,'[1]2025年已发货'!$C:$C,F3367,'[1]2025年已发货'!$G:$G,I3367,'[1]2025年已发货'!$H:$H,J3367)=0,"未发货",SUMIFS('[1]2025年已发货'!$E:$E,'[1]2025年已发货'!$F:$F,C3367,'[1]2025年已发货'!$C:$C,F3367,'[1]2025年已发货'!$G:$G,I3367,'[1]2025年已发货'!$H:$H,J3367))</f>
        <v>10</v>
      </c>
      <c r="I3367" s="33" t="str">
        <f>VLOOKUP(B3367,辅助信息!E:I,3,FALSE)</f>
        <v>(五冶建设师大附中外语校新建教学楼工程)四川省成都市成华区大观堰2号(四川师范大学附属中学外国语学校)</v>
      </c>
      <c r="J3367" s="33" t="str">
        <f>VLOOKUP(B3367,辅助信息!E:I,4,FALSE)</f>
        <v>蔡浩</v>
      </c>
      <c r="K3367" s="33">
        <f>VLOOKUP(J3367,辅助信息!H:I,2,FALSE)</f>
        <v>13980880820</v>
      </c>
      <c r="L3367" s="102"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84">
        <v>45911</v>
      </c>
      <c r="O3367" s="55">
        <f ca="1" t="shared" si="188"/>
        <v>0</v>
      </c>
      <c r="P3367" s="55">
        <f ca="1" t="shared" si="189"/>
        <v>46</v>
      </c>
      <c r="Q3367" s="22" t="str">
        <f>VLOOKUP(B3367,辅助信息!E:M,9,FALSE)</f>
        <v>ZTWM-CDGS-XS-2025-0073-五冶天府-成都怡心湖片区及龙泉驿医院等项目</v>
      </c>
      <c r="R3367" s="22" t="str">
        <f>_xlfn._xlws.FILTER(辅助信息!D:D,辅助信息!E:E=B3367)</f>
        <v>五冶建设师大附中外语校新建教学楼工程</v>
      </c>
    </row>
    <row r="3368" hidden="1" spans="2:18">
      <c r="B3368" s="33" t="s">
        <v>196</v>
      </c>
      <c r="C3368" s="63">
        <v>45910</v>
      </c>
      <c r="D3368" s="33" t="str">
        <f>VLOOKUP(B3368,辅助信息!E:K,7,FALSE)</f>
        <v>JWDDCD2025102100476</v>
      </c>
      <c r="E3368" s="33" t="str">
        <f>VLOOKUP(F3368,辅助信息!A:B,2,FALSE)</f>
        <v>盘螺</v>
      </c>
      <c r="F3368" s="33" t="s">
        <v>41</v>
      </c>
      <c r="G3368" s="29">
        <v>10</v>
      </c>
      <c r="H3368" s="127">
        <f>IF(SUMIFS('[1]2025年已发货'!$E:$E,'[1]2025年已发货'!$F:$F,C3368,'[1]2025年已发货'!$C:$C,F3368,'[1]2025年已发货'!$G:$G,I3368,'[1]2025年已发货'!$H:$H,J3368)=0,"未发货",SUMIFS('[1]2025年已发货'!$E:$E,'[1]2025年已发货'!$F:$F,C3368,'[1]2025年已发货'!$C:$C,F3368,'[1]2025年已发货'!$G:$G,I3368,'[1]2025年已发货'!$H:$H,J3368))</f>
        <v>10</v>
      </c>
      <c r="I3368" s="33" t="str">
        <f>VLOOKUP(B3368,辅助信息!E:I,3,FALSE)</f>
        <v>(五冶建设师大附中外语校新建教学楼工程)四川省成都市成华区大观堰2号(四川师范大学附属中学外国语学校)</v>
      </c>
      <c r="J3368" s="33" t="str">
        <f>VLOOKUP(B3368,辅助信息!E:I,4,FALSE)</f>
        <v>蔡浩</v>
      </c>
      <c r="K3368" s="33">
        <f>VLOOKUP(J3368,辅助信息!H:I,2,FALSE)</f>
        <v>13980880820</v>
      </c>
      <c r="L3368" s="102"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84">
        <v>45911</v>
      </c>
      <c r="O3368" s="55">
        <f ca="1" t="shared" si="188"/>
        <v>0</v>
      </c>
      <c r="P3368" s="55">
        <f ca="1" t="shared" si="189"/>
        <v>46</v>
      </c>
      <c r="Q3368" s="22" t="str">
        <f>VLOOKUP(B3368,辅助信息!E:M,9,FALSE)</f>
        <v>ZTWM-CDGS-XS-2025-0073-五冶天府-成都怡心湖片区及龙泉驿医院等项目</v>
      </c>
      <c r="R3368" s="22" t="str">
        <f>_xlfn._xlws.FILTER(辅助信息!D:D,辅助信息!E:E=B3368)</f>
        <v>五冶建设师大附中外语校新建教学楼工程</v>
      </c>
    </row>
    <row r="3369" hidden="1" spans="2:18">
      <c r="B3369" s="33" t="s">
        <v>196</v>
      </c>
      <c r="C3369" s="63">
        <v>45910</v>
      </c>
      <c r="D3369" s="33" t="str">
        <f>VLOOKUP(B3369,辅助信息!E:K,7,FALSE)</f>
        <v>JWDDCD2025102100476</v>
      </c>
      <c r="E3369" s="33" t="str">
        <f>VLOOKUP(F3369,辅助信息!A:B,2,FALSE)</f>
        <v>螺纹钢</v>
      </c>
      <c r="F3369" s="33" t="s">
        <v>66</v>
      </c>
      <c r="G3369" s="29">
        <v>2.5</v>
      </c>
      <c r="H3369" s="127">
        <f>IF(SUMIFS('[1]2025年已发货'!$E:$E,'[1]2025年已发货'!$F:$F,C3369,'[1]2025年已发货'!$C:$C,F3369,'[1]2025年已发货'!$G:$G,I3369,'[1]2025年已发货'!$H:$H,J3369)=0,"未发货",SUMIFS('[1]2025年已发货'!$E:$E,'[1]2025年已发货'!$F:$F,C3369,'[1]2025年已发货'!$C:$C,F3369,'[1]2025年已发货'!$G:$G,I3369,'[1]2025年已发货'!$H:$H,J3369))</f>
        <v>2.5</v>
      </c>
      <c r="I3369" s="33" t="str">
        <f>VLOOKUP(B3369,辅助信息!E:I,3,FALSE)</f>
        <v>(五冶建设师大附中外语校新建教学楼工程)四川省成都市成华区大观堰2号(四川师范大学附属中学外国语学校)</v>
      </c>
      <c r="J3369" s="33" t="str">
        <f>VLOOKUP(B3369,辅助信息!E:I,4,FALSE)</f>
        <v>蔡浩</v>
      </c>
      <c r="K3369" s="33">
        <f>VLOOKUP(J3369,辅助信息!H:I,2,FALSE)</f>
        <v>13980880820</v>
      </c>
      <c r="L3369" s="102"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84">
        <v>45911</v>
      </c>
      <c r="O3369" s="55">
        <f ca="1" t="shared" si="188"/>
        <v>0</v>
      </c>
      <c r="P3369" s="55">
        <f ca="1" t="shared" si="189"/>
        <v>46</v>
      </c>
      <c r="Q3369" s="22" t="str">
        <f>VLOOKUP(B3369,辅助信息!E:M,9,FALSE)</f>
        <v>ZTWM-CDGS-XS-2025-0073-五冶天府-成都怡心湖片区及龙泉驿医院等项目</v>
      </c>
      <c r="R3369" s="22" t="str">
        <f>_xlfn._xlws.FILTER(辅助信息!D:D,辅助信息!E:E=B3369)</f>
        <v>五冶建设师大附中外语校新建教学楼工程</v>
      </c>
    </row>
    <row r="3370" hidden="1" spans="2:18">
      <c r="B3370" s="33" t="s">
        <v>196</v>
      </c>
      <c r="C3370" s="63">
        <v>45910</v>
      </c>
      <c r="D3370" s="33" t="str">
        <f>VLOOKUP(B3370,辅助信息!E:K,7,FALSE)</f>
        <v>JWDDCD2025102100476</v>
      </c>
      <c r="E3370" s="33" t="str">
        <f>VLOOKUP(F3370,辅助信息!A:B,2,FALSE)</f>
        <v>螺纹钢</v>
      </c>
      <c r="F3370" s="33" t="s">
        <v>82</v>
      </c>
      <c r="G3370" s="29">
        <v>2.5</v>
      </c>
      <c r="H3370" s="127">
        <f>IF(SUMIFS('[1]2025年已发货'!$E:$E,'[1]2025年已发货'!$F:$F,C3370,'[1]2025年已发货'!$C:$C,F3370,'[1]2025年已发货'!$G:$G,I3370,'[1]2025年已发货'!$H:$H,J3370)=0,"未发货",SUMIFS('[1]2025年已发货'!$E:$E,'[1]2025年已发货'!$F:$F,C3370,'[1]2025年已发货'!$C:$C,F3370,'[1]2025年已发货'!$G:$G,I3370,'[1]2025年已发货'!$H:$H,J3370))</f>
        <v>2.5</v>
      </c>
      <c r="I3370" s="33" t="str">
        <f>VLOOKUP(B3370,辅助信息!E:I,3,FALSE)</f>
        <v>(五冶建设师大附中外语校新建教学楼工程)四川省成都市成华区大观堰2号(四川师范大学附属中学外国语学校)</v>
      </c>
      <c r="J3370" s="33" t="str">
        <f>VLOOKUP(B3370,辅助信息!E:I,4,FALSE)</f>
        <v>蔡浩</v>
      </c>
      <c r="K3370" s="33">
        <f>VLOOKUP(J3370,辅助信息!H:I,2,FALSE)</f>
        <v>13980880820</v>
      </c>
      <c r="L3370" s="102"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84">
        <v>45911</v>
      </c>
      <c r="O3370" s="55">
        <f ca="1" t="shared" si="188"/>
        <v>0</v>
      </c>
      <c r="P3370" s="55">
        <f ca="1" t="shared" si="189"/>
        <v>46</v>
      </c>
      <c r="Q3370" s="22" t="str">
        <f>VLOOKUP(B3370,辅助信息!E:M,9,FALSE)</f>
        <v>ZTWM-CDGS-XS-2025-0073-五冶天府-成都怡心湖片区及龙泉驿医院等项目</v>
      </c>
      <c r="R3370" s="22" t="str">
        <f>_xlfn._xlws.FILTER(辅助信息!D:D,辅助信息!E:E=B3370)</f>
        <v>五冶建设师大附中外语校新建教学楼工程</v>
      </c>
    </row>
    <row r="3371" hidden="1" spans="2:18">
      <c r="B3371" s="33" t="s">
        <v>196</v>
      </c>
      <c r="C3371" s="63">
        <v>45910</v>
      </c>
      <c r="D3371" s="33" t="str">
        <f>VLOOKUP(B3371,辅助信息!E:K,7,FALSE)</f>
        <v>JWDDCD2025102100476</v>
      </c>
      <c r="E3371" s="33" t="str">
        <f>VLOOKUP(F3371,辅助信息!A:B,2,FALSE)</f>
        <v>螺纹钢</v>
      </c>
      <c r="F3371" s="33" t="s">
        <v>45</v>
      </c>
      <c r="G3371" s="29">
        <v>2.5</v>
      </c>
      <c r="H3371" s="127">
        <f>IF(SUMIFS('[1]2025年已发货'!$E:$E,'[1]2025年已发货'!$F:$F,C3371,'[1]2025年已发货'!$C:$C,F3371,'[1]2025年已发货'!$G:$G,I3371,'[1]2025年已发货'!$H:$H,J3371)=0,"未发货",SUMIFS('[1]2025年已发货'!$E:$E,'[1]2025年已发货'!$F:$F,C3371,'[1]2025年已发货'!$C:$C,F3371,'[1]2025年已发货'!$G:$G,I3371,'[1]2025年已发货'!$H:$H,J3371))</f>
        <v>2.5</v>
      </c>
      <c r="I3371" s="33" t="str">
        <f>VLOOKUP(B3371,辅助信息!E:I,3,FALSE)</f>
        <v>(五冶建设师大附中外语校新建教学楼工程)四川省成都市成华区大观堰2号(四川师范大学附属中学外国语学校)</v>
      </c>
      <c r="J3371" s="33" t="str">
        <f>VLOOKUP(B3371,辅助信息!E:I,4,FALSE)</f>
        <v>蔡浩</v>
      </c>
      <c r="K3371" s="33">
        <f>VLOOKUP(J3371,辅助信息!H:I,2,FALSE)</f>
        <v>13980880820</v>
      </c>
      <c r="L3371" s="102"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84">
        <v>45911</v>
      </c>
      <c r="O3371" s="55">
        <f ca="1" t="shared" si="188"/>
        <v>0</v>
      </c>
      <c r="P3371" s="55">
        <f ca="1" t="shared" si="189"/>
        <v>46</v>
      </c>
      <c r="Q3371" s="22" t="str">
        <f>VLOOKUP(B3371,辅助信息!E:M,9,FALSE)</f>
        <v>ZTWM-CDGS-XS-2025-0073-五冶天府-成都怡心湖片区及龙泉驿医院等项目</v>
      </c>
      <c r="R3371" s="22" t="str">
        <f>_xlfn._xlws.FILTER(辅助信息!D:D,辅助信息!E:E=B3371)</f>
        <v>五冶建设师大附中外语校新建教学楼工程</v>
      </c>
    </row>
    <row r="3372" hidden="1" spans="2:18">
      <c r="B3372" s="33" t="s">
        <v>196</v>
      </c>
      <c r="C3372" s="63">
        <v>45910</v>
      </c>
      <c r="D3372" s="33" t="str">
        <f>VLOOKUP(B3372,辅助信息!E:K,7,FALSE)</f>
        <v>JWDDCD2025102100476</v>
      </c>
      <c r="E3372" s="33" t="str">
        <f>VLOOKUP(F3372,辅助信息!A:B,2,FALSE)</f>
        <v>螺纹钢</v>
      </c>
      <c r="F3372" s="33" t="s">
        <v>21</v>
      </c>
      <c r="G3372" s="29">
        <v>2.5</v>
      </c>
      <c r="H3372" s="127">
        <f>IF(SUMIFS('[1]2025年已发货'!$E:$E,'[1]2025年已发货'!$F:$F,C3372,'[1]2025年已发货'!$C:$C,F3372,'[1]2025年已发货'!$G:$G,I3372,'[1]2025年已发货'!$H:$H,J3372)=0,"未发货",SUMIFS('[1]2025年已发货'!$E:$E,'[1]2025年已发货'!$F:$F,C3372,'[1]2025年已发货'!$C:$C,F3372,'[1]2025年已发货'!$G:$G,I3372,'[1]2025年已发货'!$H:$H,J3372))</f>
        <v>2.5</v>
      </c>
      <c r="I3372" s="33" t="str">
        <f>VLOOKUP(B3372,辅助信息!E:I,3,FALSE)</f>
        <v>(五冶建设师大附中外语校新建教学楼工程)四川省成都市成华区大观堰2号(四川师范大学附属中学外国语学校)</v>
      </c>
      <c r="J3372" s="33" t="str">
        <f>VLOOKUP(B3372,辅助信息!E:I,4,FALSE)</f>
        <v>蔡浩</v>
      </c>
      <c r="K3372" s="33">
        <f>VLOOKUP(J3372,辅助信息!H:I,2,FALSE)</f>
        <v>13980880820</v>
      </c>
      <c r="L3372" s="102"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84">
        <v>45911</v>
      </c>
      <c r="O3372" s="55">
        <f ca="1" t="shared" si="188"/>
        <v>0</v>
      </c>
      <c r="P3372" s="55">
        <f ca="1" t="shared" si="189"/>
        <v>46</v>
      </c>
      <c r="Q3372" s="22" t="str">
        <f>VLOOKUP(B3372,辅助信息!E:M,9,FALSE)</f>
        <v>ZTWM-CDGS-XS-2025-0073-五冶天府-成都怡心湖片区及龙泉驿医院等项目</v>
      </c>
      <c r="R3372" s="22" t="str">
        <f>_xlfn._xlws.FILTER(辅助信息!D:D,辅助信息!E:E=B3372)</f>
        <v>五冶建设师大附中外语校新建教学楼工程</v>
      </c>
    </row>
    <row r="3373" hidden="1" spans="2:18">
      <c r="B3373" s="33" t="s">
        <v>196</v>
      </c>
      <c r="C3373" s="63">
        <v>45910</v>
      </c>
      <c r="D3373" s="33" t="str">
        <f>VLOOKUP(B3373,辅助信息!E:K,7,FALSE)</f>
        <v>JWDDCD2025102100476</v>
      </c>
      <c r="E3373" s="33" t="str">
        <f>VLOOKUP(F3373,辅助信息!A:B,2,FALSE)</f>
        <v>螺纹钢</v>
      </c>
      <c r="F3373" s="33" t="s">
        <v>58</v>
      </c>
      <c r="G3373" s="29">
        <v>10</v>
      </c>
      <c r="H3373" s="127">
        <f>IF(SUMIFS('[1]2025年已发货'!$E:$E,'[1]2025年已发货'!$F:$F,C3373,'[1]2025年已发货'!$C:$C,F3373,'[1]2025年已发货'!$G:$G,I3373,'[1]2025年已发货'!$H:$H,J3373)=0,"未发货",SUMIFS('[1]2025年已发货'!$E:$E,'[1]2025年已发货'!$F:$F,C3373,'[1]2025年已发货'!$C:$C,F3373,'[1]2025年已发货'!$G:$G,I3373,'[1]2025年已发货'!$H:$H,J3373))</f>
        <v>10</v>
      </c>
      <c r="I3373" s="33" t="str">
        <f>VLOOKUP(B3373,辅助信息!E:I,3,FALSE)</f>
        <v>(五冶建设师大附中外语校新建教学楼工程)四川省成都市成华区大观堰2号(四川师范大学附属中学外国语学校)</v>
      </c>
      <c r="J3373" s="33" t="str">
        <f>VLOOKUP(B3373,辅助信息!E:I,4,FALSE)</f>
        <v>蔡浩</v>
      </c>
      <c r="K3373" s="33">
        <f>VLOOKUP(J3373,辅助信息!H:I,2,FALSE)</f>
        <v>13980880820</v>
      </c>
      <c r="L3373" s="102"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84">
        <v>45911</v>
      </c>
      <c r="O3373" s="55">
        <f ca="1" t="shared" si="188"/>
        <v>0</v>
      </c>
      <c r="P3373" s="55">
        <f ca="1" t="shared" si="189"/>
        <v>46</v>
      </c>
      <c r="Q3373" s="22" t="str">
        <f>VLOOKUP(B3373,辅助信息!E:M,9,FALSE)</f>
        <v>ZTWM-CDGS-XS-2025-0073-五冶天府-成都怡心湖片区及龙泉驿医院等项目</v>
      </c>
      <c r="R3373" s="22" t="str">
        <f>_xlfn._xlws.FILTER(辅助信息!D:D,辅助信息!E:E=B3373)</f>
        <v>五冶建设师大附中外语校新建教学楼工程</v>
      </c>
    </row>
    <row r="3374" hidden="1" spans="2:18">
      <c r="B3374" s="33" t="s">
        <v>196</v>
      </c>
      <c r="C3374" s="63">
        <v>45910</v>
      </c>
      <c r="D3374" s="33" t="str">
        <f>VLOOKUP(B3374,辅助信息!E:K,7,FALSE)</f>
        <v>JWDDCD2025102100476</v>
      </c>
      <c r="E3374" s="33" t="str">
        <f>VLOOKUP(F3374,辅助信息!A:B,2,FALSE)</f>
        <v>螺纹钢</v>
      </c>
      <c r="F3374" s="33" t="s">
        <v>46</v>
      </c>
      <c r="G3374" s="29">
        <v>10</v>
      </c>
      <c r="H3374" s="127">
        <f>IF(SUMIFS('[1]2025年已发货'!$E:$E,'[1]2025年已发货'!$F:$F,C3374,'[1]2025年已发货'!$C:$C,F3374,'[1]2025年已发货'!$G:$G,I3374,'[1]2025年已发货'!$H:$H,J3374)=0,"未发货",SUMIFS('[1]2025年已发货'!$E:$E,'[1]2025年已发货'!$F:$F,C3374,'[1]2025年已发货'!$C:$C,F3374,'[1]2025年已发货'!$G:$G,I3374,'[1]2025年已发货'!$H:$H,J3374))</f>
        <v>10</v>
      </c>
      <c r="I3374" s="33" t="str">
        <f>VLOOKUP(B3374,辅助信息!E:I,3,FALSE)</f>
        <v>(五冶建设师大附中外语校新建教学楼工程)四川省成都市成华区大观堰2号(四川师范大学附属中学外国语学校)</v>
      </c>
      <c r="J3374" s="33" t="str">
        <f>VLOOKUP(B3374,辅助信息!E:I,4,FALSE)</f>
        <v>蔡浩</v>
      </c>
      <c r="K3374" s="33">
        <f>VLOOKUP(J3374,辅助信息!H:I,2,FALSE)</f>
        <v>13980880820</v>
      </c>
      <c r="L3374" s="102"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84">
        <v>45911</v>
      </c>
      <c r="O3374" s="55">
        <f ca="1" t="shared" si="188"/>
        <v>0</v>
      </c>
      <c r="P3374" s="55">
        <f ca="1" t="shared" si="189"/>
        <v>46</v>
      </c>
      <c r="Q3374" s="22" t="str">
        <f>VLOOKUP(B3374,辅助信息!E:M,9,FALSE)</f>
        <v>ZTWM-CDGS-XS-2025-0073-五冶天府-成都怡心湖片区及龙泉驿医院等项目</v>
      </c>
      <c r="R3374" s="22" t="str">
        <f>_xlfn._xlws.FILTER(辅助信息!D:D,辅助信息!E:E=B3374)</f>
        <v>五冶建设师大附中外语校新建教学楼工程</v>
      </c>
    </row>
    <row r="3375" hidden="1" spans="2:18">
      <c r="B3375" s="33" t="s">
        <v>196</v>
      </c>
      <c r="C3375" s="63">
        <v>45910</v>
      </c>
      <c r="D3375" s="33" t="str">
        <f>VLOOKUP(B3375,辅助信息!E:K,7,FALSE)</f>
        <v>JWDDCD2025102100476</v>
      </c>
      <c r="E3375" s="33" t="str">
        <f>VLOOKUP(F3375,辅助信息!A:B,2,FALSE)</f>
        <v>螺纹钢</v>
      </c>
      <c r="F3375" s="33" t="s">
        <v>22</v>
      </c>
      <c r="G3375" s="29">
        <v>20</v>
      </c>
      <c r="H3375" s="127">
        <f>IF(SUMIFS('[1]2025年已发货'!$E:$E,'[1]2025年已发货'!$F:$F,C3375,'[1]2025年已发货'!$C:$C,F3375,'[1]2025年已发货'!$G:$G,I3375,'[1]2025年已发货'!$H:$H,J3375)=0,"未发货",SUMIFS('[1]2025年已发货'!$E:$E,'[1]2025年已发货'!$F:$F,C3375,'[1]2025年已发货'!$C:$C,F3375,'[1]2025年已发货'!$G:$G,I3375,'[1]2025年已发货'!$H:$H,J3375))</f>
        <v>20.5</v>
      </c>
      <c r="I3375" s="33" t="str">
        <f>VLOOKUP(B3375,辅助信息!E:I,3,FALSE)</f>
        <v>(五冶建设师大附中外语校新建教学楼工程)四川省成都市成华区大观堰2号(四川师范大学附属中学外国语学校)</v>
      </c>
      <c r="J3375" s="33" t="str">
        <f>VLOOKUP(B3375,辅助信息!E:I,4,FALSE)</f>
        <v>蔡浩</v>
      </c>
      <c r="K3375" s="33">
        <f>VLOOKUP(J3375,辅助信息!H:I,2,FALSE)</f>
        <v>13980880820</v>
      </c>
      <c r="L3375" s="102"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84">
        <v>45911</v>
      </c>
      <c r="O3375" s="55">
        <f ca="1" t="shared" si="188"/>
        <v>0</v>
      </c>
      <c r="P3375" s="55">
        <f ca="1" t="shared" si="189"/>
        <v>46</v>
      </c>
      <c r="Q3375" s="22" t="str">
        <f>VLOOKUP(B3375,辅助信息!E:M,9,FALSE)</f>
        <v>ZTWM-CDGS-XS-2025-0073-五冶天府-成都怡心湖片区及龙泉驿医院等项目</v>
      </c>
      <c r="R3375" s="22" t="str">
        <f>_xlfn._xlws.FILTER(辅助信息!D:D,辅助信息!E:E=B3375)</f>
        <v>五冶建设师大附中外语校新建教学楼工程</v>
      </c>
    </row>
    <row r="3376" hidden="1" spans="1:18">
      <c r="A3376" s="64" t="s">
        <v>217</v>
      </c>
      <c r="B3376" s="33" t="s">
        <v>211</v>
      </c>
      <c r="C3376" s="63">
        <v>45912</v>
      </c>
      <c r="D3376" s="33" t="e">
        <f>VLOOKUP(B3376,辅助信息!E:K,7,FALSE)</f>
        <v>#N/A</v>
      </c>
      <c r="E3376" s="33" t="str">
        <f>VLOOKUP(F3376,辅助信息!A:B,2,FALSE)</f>
        <v>盘螺</v>
      </c>
      <c r="F3376" s="33" t="s">
        <v>26</v>
      </c>
      <c r="G3376" s="29">
        <v>5</v>
      </c>
      <c r="H3376" s="127"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33" t="e">
        <f>VLOOKUP(B3376,辅助信息!E:I,3,FALSE)</f>
        <v>#N/A</v>
      </c>
      <c r="J3376" s="33" t="e">
        <f>VLOOKUP(B3376,辅助信息!E:I,4,FALSE)</f>
        <v>#N/A</v>
      </c>
      <c r="K3376" s="33" t="e">
        <f>VLOOKUP(J3376,辅助信息!H:I,2,FALSE)</f>
        <v>#N/A</v>
      </c>
      <c r="L3376" s="102" t="e">
        <f>VLOOKUP(B3376,辅助信息!E:J,6,FALSE)</f>
        <v>#N/A</v>
      </c>
      <c r="O3376" s="55" t="str">
        <f ca="1" t="shared" si="188"/>
        <v/>
      </c>
      <c r="P3376" s="55" t="str">
        <f ca="1" t="shared" si="189"/>
        <v/>
      </c>
      <c r="Q3376" s="22" t="e">
        <f>VLOOKUP(B3376,辅助信息!E:M,9,FALSE)</f>
        <v>#N/A</v>
      </c>
      <c r="R3376" s="22" vm="1" t="e">
        <f>_xlfn._xlws.FILTER(辅助信息!D:D,辅助信息!E:E=B3376)</f>
        <v>#VALUE!</v>
      </c>
    </row>
    <row r="3377" hidden="1" spans="1:18">
      <c r="A3377" s="64"/>
      <c r="B3377" s="33" t="s">
        <v>211</v>
      </c>
      <c r="C3377" s="63">
        <v>45912</v>
      </c>
      <c r="D3377" s="33" t="e">
        <f>VLOOKUP(B3377,辅助信息!E:K,7,FALSE)</f>
        <v>#N/A</v>
      </c>
      <c r="E3377" s="33" t="str">
        <f>VLOOKUP(F3377,辅助信息!A:B,2,FALSE)</f>
        <v>螺纹钢</v>
      </c>
      <c r="F3377" s="33" t="s">
        <v>19</v>
      </c>
      <c r="G3377" s="29">
        <v>3</v>
      </c>
      <c r="H3377" s="127"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33" t="e">
        <f>VLOOKUP(B3377,辅助信息!E:I,3,FALSE)</f>
        <v>#N/A</v>
      </c>
      <c r="J3377" s="33" t="e">
        <f>VLOOKUP(B3377,辅助信息!E:I,4,FALSE)</f>
        <v>#N/A</v>
      </c>
      <c r="K3377" s="33" t="e">
        <f>VLOOKUP(J3377,辅助信息!H:I,2,FALSE)</f>
        <v>#N/A</v>
      </c>
      <c r="L3377" s="102" t="e">
        <f>VLOOKUP(B3377,辅助信息!E:J,6,FALSE)</f>
        <v>#N/A</v>
      </c>
      <c r="O3377" s="55" t="str">
        <f ca="1" t="shared" si="188"/>
        <v/>
      </c>
      <c r="P3377" s="55" t="str">
        <f ca="1" t="shared" si="189"/>
        <v/>
      </c>
      <c r="Q3377" s="22" t="e">
        <f>VLOOKUP(B3377,辅助信息!E:M,9,FALSE)</f>
        <v>#N/A</v>
      </c>
      <c r="R3377" s="22" vm="1" t="e">
        <f>_xlfn._xlws.FILTER(辅助信息!D:D,辅助信息!E:E=B3377)</f>
        <v>#VALUE!</v>
      </c>
    </row>
    <row r="3378" hidden="1" spans="1:18">
      <c r="A3378" s="64"/>
      <c r="B3378" s="33" t="s">
        <v>211</v>
      </c>
      <c r="C3378" s="63">
        <v>45912</v>
      </c>
      <c r="D3378" s="33" t="e">
        <f>VLOOKUP(B3378,辅助信息!E:K,7,FALSE)</f>
        <v>#N/A</v>
      </c>
      <c r="E3378" s="33" t="str">
        <f>VLOOKUP(F3378,辅助信息!A:B,2,FALSE)</f>
        <v>螺纹钢</v>
      </c>
      <c r="F3378" s="33" t="s">
        <v>32</v>
      </c>
      <c r="G3378" s="29">
        <v>9</v>
      </c>
      <c r="H3378" s="127"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33" t="e">
        <f>VLOOKUP(B3378,辅助信息!E:I,3,FALSE)</f>
        <v>#N/A</v>
      </c>
      <c r="J3378" s="33" t="e">
        <f>VLOOKUP(B3378,辅助信息!E:I,4,FALSE)</f>
        <v>#N/A</v>
      </c>
      <c r="K3378" s="33" t="e">
        <f>VLOOKUP(J3378,辅助信息!H:I,2,FALSE)</f>
        <v>#N/A</v>
      </c>
      <c r="L3378" s="102" t="e">
        <f>VLOOKUP(B3378,辅助信息!E:J,6,FALSE)</f>
        <v>#N/A</v>
      </c>
      <c r="O3378" s="55" t="str">
        <f ca="1" t="shared" si="188"/>
        <v/>
      </c>
      <c r="P3378" s="55" t="str">
        <f ca="1" t="shared" si="189"/>
        <v/>
      </c>
      <c r="Q3378" s="22" t="e">
        <f>VLOOKUP(B3378,辅助信息!E:M,9,FALSE)</f>
        <v>#N/A</v>
      </c>
      <c r="R3378" s="22" vm="1" t="e">
        <f>_xlfn._xlws.FILTER(辅助信息!D:D,辅助信息!E:E=B3378)</f>
        <v>#VALUE!</v>
      </c>
    </row>
    <row r="3379" hidden="1" spans="1:18">
      <c r="A3379" s="64"/>
      <c r="B3379" s="33" t="s">
        <v>211</v>
      </c>
      <c r="C3379" s="63">
        <v>45912</v>
      </c>
      <c r="D3379" s="33" t="e">
        <f>VLOOKUP(B3379,辅助信息!E:K,7,FALSE)</f>
        <v>#N/A</v>
      </c>
      <c r="E3379" s="33" t="str">
        <f>VLOOKUP(F3379,辅助信息!A:B,2,FALSE)</f>
        <v>螺纹钢</v>
      </c>
      <c r="F3379" s="33" t="s">
        <v>30</v>
      </c>
      <c r="G3379" s="29">
        <v>6</v>
      </c>
      <c r="H3379" s="127"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33" t="e">
        <f>VLOOKUP(B3379,辅助信息!E:I,3,FALSE)</f>
        <v>#N/A</v>
      </c>
      <c r="J3379" s="33" t="e">
        <f>VLOOKUP(B3379,辅助信息!E:I,4,FALSE)</f>
        <v>#N/A</v>
      </c>
      <c r="K3379" s="33" t="e">
        <f>VLOOKUP(J3379,辅助信息!H:I,2,FALSE)</f>
        <v>#N/A</v>
      </c>
      <c r="L3379" s="102" t="e">
        <f>VLOOKUP(B3379,辅助信息!E:J,6,FALSE)</f>
        <v>#N/A</v>
      </c>
      <c r="O3379" s="55" t="str">
        <f ca="1" t="shared" si="188"/>
        <v/>
      </c>
      <c r="P3379" s="55" t="str">
        <f ca="1" t="shared" si="189"/>
        <v/>
      </c>
      <c r="Q3379" s="22" t="e">
        <f>VLOOKUP(B3379,辅助信息!E:M,9,FALSE)</f>
        <v>#N/A</v>
      </c>
      <c r="R3379" s="22" vm="1" t="e">
        <f>_xlfn._xlws.FILTER(辅助信息!D:D,辅助信息!E:E=B3379)</f>
        <v>#VALUE!</v>
      </c>
    </row>
    <row r="3380" hidden="1" spans="1:18">
      <c r="A3380" s="64"/>
      <c r="B3380" s="33" t="s">
        <v>211</v>
      </c>
      <c r="C3380" s="63">
        <v>45912</v>
      </c>
      <c r="D3380" s="33" t="e">
        <f>VLOOKUP(B3380,辅助信息!E:K,7,FALSE)</f>
        <v>#N/A</v>
      </c>
      <c r="E3380" s="33" t="str">
        <f>VLOOKUP(F3380,辅助信息!A:B,2,FALSE)</f>
        <v>螺纹钢</v>
      </c>
      <c r="F3380" s="33" t="s">
        <v>33</v>
      </c>
      <c r="G3380" s="29">
        <v>3</v>
      </c>
      <c r="H3380" s="127"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33" t="e">
        <f>VLOOKUP(B3380,辅助信息!E:I,3,FALSE)</f>
        <v>#N/A</v>
      </c>
      <c r="J3380" s="33" t="e">
        <f>VLOOKUP(B3380,辅助信息!E:I,4,FALSE)</f>
        <v>#N/A</v>
      </c>
      <c r="K3380" s="33" t="e">
        <f>VLOOKUP(J3380,辅助信息!H:I,2,FALSE)</f>
        <v>#N/A</v>
      </c>
      <c r="L3380" s="102" t="e">
        <f>VLOOKUP(B3380,辅助信息!E:J,6,FALSE)</f>
        <v>#N/A</v>
      </c>
      <c r="O3380" s="55" t="str">
        <f ca="1" t="shared" si="188"/>
        <v/>
      </c>
      <c r="P3380" s="55" t="str">
        <f ca="1" t="shared" si="189"/>
        <v/>
      </c>
      <c r="Q3380" s="22" t="e">
        <f>VLOOKUP(B3380,辅助信息!E:M,9,FALSE)</f>
        <v>#N/A</v>
      </c>
      <c r="R3380" s="22" vm="1" t="e">
        <f>_xlfn._xlws.FILTER(辅助信息!D:D,辅助信息!E:E=B3380)</f>
        <v>#VALUE!</v>
      </c>
    </row>
    <row r="3381" hidden="1" spans="1:18">
      <c r="A3381" s="64"/>
      <c r="B3381" s="33" t="s">
        <v>211</v>
      </c>
      <c r="C3381" s="63">
        <v>45912</v>
      </c>
      <c r="D3381" s="33" t="e">
        <f>VLOOKUP(B3381,辅助信息!E:K,7,FALSE)</f>
        <v>#N/A</v>
      </c>
      <c r="E3381" s="33" t="str">
        <f>VLOOKUP(F3381,辅助信息!A:B,2,FALSE)</f>
        <v>螺纹钢</v>
      </c>
      <c r="F3381" s="33" t="s">
        <v>28</v>
      </c>
      <c r="G3381" s="29">
        <v>3</v>
      </c>
      <c r="H3381" s="127"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33" t="e">
        <f>VLOOKUP(B3381,辅助信息!E:I,3,FALSE)</f>
        <v>#N/A</v>
      </c>
      <c r="J3381" s="33" t="e">
        <f>VLOOKUP(B3381,辅助信息!E:I,4,FALSE)</f>
        <v>#N/A</v>
      </c>
      <c r="K3381" s="33" t="e">
        <f>VLOOKUP(J3381,辅助信息!H:I,2,FALSE)</f>
        <v>#N/A</v>
      </c>
      <c r="L3381" s="102" t="e">
        <f>VLOOKUP(B3381,辅助信息!E:J,6,FALSE)</f>
        <v>#N/A</v>
      </c>
      <c r="O3381" s="55" t="str">
        <f ca="1" t="shared" si="188"/>
        <v/>
      </c>
      <c r="P3381" s="55" t="str">
        <f ca="1" t="shared" si="189"/>
        <v/>
      </c>
      <c r="Q3381" s="22" t="e">
        <f>VLOOKUP(B3381,辅助信息!E:M,9,FALSE)</f>
        <v>#N/A</v>
      </c>
      <c r="R3381" s="22" vm="1" t="e">
        <f>_xlfn._xlws.FILTER(辅助信息!D:D,辅助信息!E:E=B3381)</f>
        <v>#VALUE!</v>
      </c>
    </row>
    <row r="3382" hidden="1" spans="1:18">
      <c r="A3382" s="64"/>
      <c r="B3382" s="33" t="s">
        <v>211</v>
      </c>
      <c r="C3382" s="63">
        <v>45912</v>
      </c>
      <c r="D3382" s="33" t="e">
        <f>VLOOKUP(B3382,辅助信息!E:K,7,FALSE)</f>
        <v>#N/A</v>
      </c>
      <c r="E3382" s="33" t="str">
        <f>VLOOKUP(F3382,辅助信息!A:B,2,FALSE)</f>
        <v>螺纹钢</v>
      </c>
      <c r="F3382" s="33" t="s">
        <v>18</v>
      </c>
      <c r="G3382" s="29">
        <v>6</v>
      </c>
      <c r="H3382" s="127"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33" t="e">
        <f>VLOOKUP(B3382,辅助信息!E:I,3,FALSE)</f>
        <v>#N/A</v>
      </c>
      <c r="J3382" s="33" t="e">
        <f>VLOOKUP(B3382,辅助信息!E:I,4,FALSE)</f>
        <v>#N/A</v>
      </c>
      <c r="K3382" s="33" t="e">
        <f>VLOOKUP(J3382,辅助信息!H:I,2,FALSE)</f>
        <v>#N/A</v>
      </c>
      <c r="L3382" s="102" t="e">
        <f>VLOOKUP(B3382,辅助信息!E:J,6,FALSE)</f>
        <v>#N/A</v>
      </c>
      <c r="O3382" s="55" t="str">
        <f ca="1" t="shared" si="188"/>
        <v/>
      </c>
      <c r="P3382" s="55" t="str">
        <f ca="1" t="shared" si="189"/>
        <v/>
      </c>
      <c r="Q3382" s="22" t="e">
        <f>VLOOKUP(B3382,辅助信息!E:M,9,FALSE)</f>
        <v>#N/A</v>
      </c>
      <c r="R3382" s="22" vm="1" t="e">
        <f>_xlfn._xlws.FILTER(辅助信息!D:D,辅助信息!E:E=B3382)</f>
        <v>#VALUE!</v>
      </c>
    </row>
    <row r="3383" hidden="1" spans="2:18">
      <c r="B3383" s="33" t="s">
        <v>186</v>
      </c>
      <c r="C3383" s="63">
        <v>45911</v>
      </c>
      <c r="D3383" s="33" t="str">
        <f>VLOOKUP(B3383,辅助信息!E:K,7,FALSE)</f>
        <v>JWDDCD2025072900123</v>
      </c>
      <c r="E3383" s="33" t="str">
        <f>VLOOKUP(F3383,辅助信息!A:B,2,FALSE)</f>
        <v>高线</v>
      </c>
      <c r="F3383" s="33" t="s">
        <v>57</v>
      </c>
      <c r="G3383" s="29">
        <v>8</v>
      </c>
      <c r="H3383" s="127"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33" t="str">
        <f>VLOOKUP(B3383,辅助信息!E:I,3,FALSE)</f>
        <v>(乐山市校地共建产教融合基地建设项目二标段)四川省乐山市市中区苏稽镇</v>
      </c>
      <c r="J3383" s="33" t="str">
        <f>VLOOKUP(B3383,辅助信息!E:I,4,FALSE)</f>
        <v>彭江涛</v>
      </c>
      <c r="K3383" s="33">
        <f>VLOOKUP(J3383,辅助信息!H:I,2,FALSE)</f>
        <v>13990276572</v>
      </c>
      <c r="L3383" s="102" t="str">
        <f>VLOOKUP(B3383,辅助信息!E:J,6,FALSE)</f>
        <v>联系实际收货人（彭江涛13990276572）现场要求炉批号控制2个以下，超2个不给予签收。提前联系到场规格及数量</v>
      </c>
      <c r="O3383" s="55" t="str">
        <f ca="1" t="shared" si="188"/>
        <v/>
      </c>
      <c r="P3383" s="55" t="str">
        <f ca="1" t="shared" si="189"/>
        <v/>
      </c>
      <c r="Q3383" s="22" t="str">
        <f>VLOOKUP(B3383,辅助信息!E:M,9,FALSE)</f>
        <v>ZTWM-CDGS-XS-2025-0126-四川机司-乐山市校地共建产教融合基地配套设施项目施工二标段钢筋采购合同</v>
      </c>
      <c r="R3383" s="22" t="str">
        <f>_xlfn._xlws.FILTER(辅助信息!D:D,辅助信息!E:E=B3383)</f>
        <v>乐山市校地共建产教融合基地建设项目二标段</v>
      </c>
    </row>
    <row r="3384" hidden="1" spans="2:18">
      <c r="B3384" s="33" t="s">
        <v>186</v>
      </c>
      <c r="C3384" s="63">
        <v>45911</v>
      </c>
      <c r="D3384" s="33" t="str">
        <f>VLOOKUP(B3384,辅助信息!E:K,7,FALSE)</f>
        <v>JWDDCD2025072900123</v>
      </c>
      <c r="E3384" s="33" t="str">
        <f>VLOOKUP(F3384,辅助信息!A:B,2,FALSE)</f>
        <v>螺纹钢</v>
      </c>
      <c r="F3384" s="33" t="s">
        <v>76</v>
      </c>
      <c r="G3384" s="29">
        <v>9</v>
      </c>
      <c r="H3384" s="127">
        <f>IF(SUMIFS('[1]2025年已发货'!$E:$E,'[1]2025年已发货'!$F:$F,C3384,'[1]2025年已发货'!$C:$C,F3384,'[1]2025年已发货'!$G:$G,I3384,'[1]2025年已发货'!$H:$H,J3384)=0,"未发货",SUMIFS('[1]2025年已发货'!$E:$E,'[1]2025年已发货'!$F:$F,C3384,'[1]2025年已发货'!$C:$C,F3384,'[1]2025年已发货'!$G:$G,I3384,'[1]2025年已发货'!$H:$H,J3384))</f>
        <v>9</v>
      </c>
      <c r="I3384" s="33" t="str">
        <f>VLOOKUP(B3384,辅助信息!E:I,3,FALSE)</f>
        <v>(乐山市校地共建产教融合基地建设项目二标段)四川省乐山市市中区苏稽镇</v>
      </c>
      <c r="J3384" s="33" t="str">
        <f>VLOOKUP(B3384,辅助信息!E:I,4,FALSE)</f>
        <v>彭江涛</v>
      </c>
      <c r="K3384" s="33">
        <f>VLOOKUP(J3384,辅助信息!H:I,2,FALSE)</f>
        <v>13990276572</v>
      </c>
      <c r="L3384" s="102" t="str">
        <f>VLOOKUP(B3384,辅助信息!E:J,6,FALSE)</f>
        <v>联系实际收货人（彭江涛13990276572）现场要求炉批号控制2个以下，超2个不给予签收。提前联系到场规格及数量</v>
      </c>
      <c r="O3384" s="55" t="str">
        <f ca="1" t="shared" si="188"/>
        <v/>
      </c>
      <c r="P3384" s="55" t="str">
        <f ca="1" t="shared" si="189"/>
        <v/>
      </c>
      <c r="Q3384" s="22" t="str">
        <f>VLOOKUP(B3384,辅助信息!E:M,9,FALSE)</f>
        <v>ZTWM-CDGS-XS-2025-0126-四川机司-乐山市校地共建产教融合基地配套设施项目施工二标段钢筋采购合同</v>
      </c>
      <c r="R3384" s="22" t="str">
        <f>_xlfn._xlws.FILTER(辅助信息!D:D,辅助信息!E:E=B3384)</f>
        <v>乐山市校地共建产教融合基地建设项目二标段</v>
      </c>
    </row>
    <row r="3385" hidden="1" spans="2:18">
      <c r="B3385" s="33" t="s">
        <v>186</v>
      </c>
      <c r="C3385" s="63">
        <v>45911</v>
      </c>
      <c r="D3385" s="33" t="str">
        <f>VLOOKUP(B3385,辅助信息!E:K,7,FALSE)</f>
        <v>JWDDCD2025072900123</v>
      </c>
      <c r="E3385" s="33" t="str">
        <f>VLOOKUP(F3385,辅助信息!A:B,2,FALSE)</f>
        <v>螺纹钢</v>
      </c>
      <c r="F3385" s="33" t="s">
        <v>19</v>
      </c>
      <c r="G3385" s="29">
        <v>18</v>
      </c>
      <c r="H3385" s="127">
        <f>IF(SUMIFS('[1]2025年已发货'!$E:$E,'[1]2025年已发货'!$F:$F,C3385,'[1]2025年已发货'!$C:$C,F3385,'[1]2025年已发货'!$G:$G,I3385,'[1]2025年已发货'!$H:$H,J3385)=0,"未发货",SUMIFS('[1]2025年已发货'!$E:$E,'[1]2025年已发货'!$F:$F,C3385,'[1]2025年已发货'!$C:$C,F3385,'[1]2025年已发货'!$G:$G,I3385,'[1]2025年已发货'!$H:$H,J3385))</f>
        <v>18</v>
      </c>
      <c r="I3385" s="33" t="str">
        <f>VLOOKUP(B3385,辅助信息!E:I,3,FALSE)</f>
        <v>(乐山市校地共建产教融合基地建设项目二标段)四川省乐山市市中区苏稽镇</v>
      </c>
      <c r="J3385" s="33" t="str">
        <f>VLOOKUP(B3385,辅助信息!E:I,4,FALSE)</f>
        <v>彭江涛</v>
      </c>
      <c r="K3385" s="33">
        <f>VLOOKUP(J3385,辅助信息!H:I,2,FALSE)</f>
        <v>13990276572</v>
      </c>
      <c r="L3385" s="102" t="str">
        <f>VLOOKUP(B3385,辅助信息!E:J,6,FALSE)</f>
        <v>联系实际收货人（彭江涛13990276572）现场要求炉批号控制2个以下，超2个不给予签收。提前联系到场规格及数量</v>
      </c>
      <c r="O3385" s="55" t="str">
        <f ca="1" t="shared" si="188"/>
        <v/>
      </c>
      <c r="P3385" s="55" t="str">
        <f ca="1" t="shared" si="189"/>
        <v/>
      </c>
      <c r="Q3385" s="22" t="str">
        <f>VLOOKUP(B3385,辅助信息!E:M,9,FALSE)</f>
        <v>ZTWM-CDGS-XS-2025-0126-四川机司-乐山市校地共建产教融合基地配套设施项目施工二标段钢筋采购合同</v>
      </c>
      <c r="R3385" s="22" t="str">
        <f>_xlfn._xlws.FILTER(辅助信息!D:D,辅助信息!E:E=B3385)</f>
        <v>乐山市校地共建产教融合基地建设项目二标段</v>
      </c>
    </row>
    <row r="3386" hidden="1" spans="2:18">
      <c r="B3386" s="33" t="s">
        <v>186</v>
      </c>
      <c r="C3386" s="63">
        <v>45911</v>
      </c>
      <c r="D3386" s="33" t="str">
        <f>VLOOKUP(B3386,辅助信息!E:K,7,FALSE)</f>
        <v>JWDDCD2025072900123</v>
      </c>
      <c r="E3386" s="33" t="str">
        <f>VLOOKUP(F3386,辅助信息!A:B,2,FALSE)</f>
        <v>螺纹钢</v>
      </c>
      <c r="F3386" s="33" t="s">
        <v>32</v>
      </c>
      <c r="G3386" s="29">
        <v>10</v>
      </c>
      <c r="H3386" s="127">
        <f>IF(SUMIFS('[1]2025年已发货'!$E:$E,'[1]2025年已发货'!$F:$F,C3386,'[1]2025年已发货'!$C:$C,F3386,'[1]2025年已发货'!$G:$G,I3386,'[1]2025年已发货'!$H:$H,J3386)=0,"未发货",SUMIFS('[1]2025年已发货'!$E:$E,'[1]2025年已发货'!$F:$F,C3386,'[1]2025年已发货'!$C:$C,F3386,'[1]2025年已发货'!$G:$G,I3386,'[1]2025年已发货'!$H:$H,J3386))</f>
        <v>10</v>
      </c>
      <c r="I3386" s="33" t="str">
        <f>VLOOKUP(B3386,辅助信息!E:I,3,FALSE)</f>
        <v>(乐山市校地共建产教融合基地建设项目二标段)四川省乐山市市中区苏稽镇</v>
      </c>
      <c r="J3386" s="33" t="str">
        <f>VLOOKUP(B3386,辅助信息!E:I,4,FALSE)</f>
        <v>彭江涛</v>
      </c>
      <c r="K3386" s="33">
        <f>VLOOKUP(J3386,辅助信息!H:I,2,FALSE)</f>
        <v>13990276572</v>
      </c>
      <c r="L3386" s="102" t="str">
        <f>VLOOKUP(B3386,辅助信息!E:J,6,FALSE)</f>
        <v>联系实际收货人（彭江涛13990276572）现场要求炉批号控制2个以下，超2个不给予签收。提前联系到场规格及数量</v>
      </c>
      <c r="O3386" s="55" t="str">
        <f ca="1" t="shared" si="188"/>
        <v/>
      </c>
      <c r="P3386" s="55" t="str">
        <f ca="1" t="shared" si="189"/>
        <v/>
      </c>
      <c r="Q3386" s="22" t="str">
        <f>VLOOKUP(B3386,辅助信息!E:M,9,FALSE)</f>
        <v>ZTWM-CDGS-XS-2025-0126-四川机司-乐山市校地共建产教融合基地配套设施项目施工二标段钢筋采购合同</v>
      </c>
      <c r="R3386" s="22" t="str">
        <f>_xlfn._xlws.FILTER(辅助信息!D:D,辅助信息!E:E=B3386)</f>
        <v>乐山市校地共建产教融合基地建设项目二标段</v>
      </c>
    </row>
    <row r="3387" hidden="1" spans="2:18">
      <c r="B3387" s="33" t="s">
        <v>186</v>
      </c>
      <c r="C3387" s="63">
        <v>45911</v>
      </c>
      <c r="D3387" s="33" t="str">
        <f>VLOOKUP(B3387,辅助信息!E:K,7,FALSE)</f>
        <v>JWDDCD2025072900123</v>
      </c>
      <c r="E3387" s="33" t="str">
        <f>VLOOKUP(F3387,辅助信息!A:B,2,FALSE)</f>
        <v>螺纹钢</v>
      </c>
      <c r="F3387" s="33" t="s">
        <v>30</v>
      </c>
      <c r="G3387" s="29">
        <v>15</v>
      </c>
      <c r="H3387" s="127">
        <f>IF(SUMIFS('[1]2025年已发货'!$E:$E,'[1]2025年已发货'!$F:$F,C3387,'[1]2025年已发货'!$C:$C,F3387,'[1]2025年已发货'!$G:$G,I3387,'[1]2025年已发货'!$H:$H,J3387)=0,"未发货",SUMIFS('[1]2025年已发货'!$E:$E,'[1]2025年已发货'!$F:$F,C3387,'[1]2025年已发货'!$C:$C,F3387,'[1]2025年已发货'!$G:$G,I3387,'[1]2025年已发货'!$H:$H,J3387))</f>
        <v>15</v>
      </c>
      <c r="I3387" s="33" t="str">
        <f>VLOOKUP(B3387,辅助信息!E:I,3,FALSE)</f>
        <v>(乐山市校地共建产教融合基地建设项目二标段)四川省乐山市市中区苏稽镇</v>
      </c>
      <c r="J3387" s="33" t="str">
        <f>VLOOKUP(B3387,辅助信息!E:I,4,FALSE)</f>
        <v>彭江涛</v>
      </c>
      <c r="K3387" s="33">
        <f>VLOOKUP(J3387,辅助信息!H:I,2,FALSE)</f>
        <v>13990276572</v>
      </c>
      <c r="L3387" s="102" t="str">
        <f>VLOOKUP(B3387,辅助信息!E:J,6,FALSE)</f>
        <v>联系实际收货人（彭江涛13990276572）现场要求炉批号控制2个以下，超2个不给予签收。提前联系到场规格及数量</v>
      </c>
      <c r="O3387" s="55" t="str">
        <f ca="1" t="shared" si="188"/>
        <v/>
      </c>
      <c r="P3387" s="55" t="str">
        <f ca="1" t="shared" si="189"/>
        <v/>
      </c>
      <c r="Q3387" s="22" t="str">
        <f>VLOOKUP(B3387,辅助信息!E:M,9,FALSE)</f>
        <v>ZTWM-CDGS-XS-2025-0126-四川机司-乐山市校地共建产教融合基地配套设施项目施工二标段钢筋采购合同</v>
      </c>
      <c r="R3387" s="22" t="str">
        <f>_xlfn._xlws.FILTER(辅助信息!D:D,辅助信息!E:E=B3387)</f>
        <v>乐山市校地共建产教融合基地建设项目二标段</v>
      </c>
    </row>
    <row r="3388" hidden="1" spans="2:18">
      <c r="B3388" s="33" t="s">
        <v>186</v>
      </c>
      <c r="C3388" s="63">
        <v>45911</v>
      </c>
      <c r="D3388" s="33" t="str">
        <f>VLOOKUP(B3388,辅助信息!E:K,7,FALSE)</f>
        <v>JWDDCD2025072900123</v>
      </c>
      <c r="E3388" s="33" t="str">
        <f>VLOOKUP(F3388,辅助信息!A:B,2,FALSE)</f>
        <v>螺纹钢</v>
      </c>
      <c r="F3388" s="33" t="s">
        <v>33</v>
      </c>
      <c r="G3388" s="29">
        <v>35</v>
      </c>
      <c r="H3388" s="127">
        <f>IF(SUMIFS('[1]2025年已发货'!$E:$E,'[1]2025年已发货'!$F:$F,C3388,'[1]2025年已发货'!$C:$C,F3388,'[1]2025年已发货'!$G:$G,I3388,'[1]2025年已发货'!$H:$H,J3388)=0,"未发货",SUMIFS('[1]2025年已发货'!$E:$E,'[1]2025年已发货'!$F:$F,C3388,'[1]2025年已发货'!$C:$C,F3388,'[1]2025年已发货'!$G:$G,I3388,'[1]2025年已发货'!$H:$H,J3388))</f>
        <v>35</v>
      </c>
      <c r="I3388" s="33" t="str">
        <f>VLOOKUP(B3388,辅助信息!E:I,3,FALSE)</f>
        <v>(乐山市校地共建产教融合基地建设项目二标段)四川省乐山市市中区苏稽镇</v>
      </c>
      <c r="J3388" s="33" t="str">
        <f>VLOOKUP(B3388,辅助信息!E:I,4,FALSE)</f>
        <v>彭江涛</v>
      </c>
      <c r="K3388" s="33">
        <f>VLOOKUP(J3388,辅助信息!H:I,2,FALSE)</f>
        <v>13990276572</v>
      </c>
      <c r="L3388" s="102" t="str">
        <f>VLOOKUP(B3388,辅助信息!E:J,6,FALSE)</f>
        <v>联系实际收货人（彭江涛13990276572）现场要求炉批号控制2个以下，超2个不给予签收。提前联系到场规格及数量</v>
      </c>
      <c r="O3388" s="55" t="str">
        <f ca="1" t="shared" si="188"/>
        <v/>
      </c>
      <c r="P3388" s="55" t="str">
        <f ca="1" t="shared" si="189"/>
        <v/>
      </c>
      <c r="Q3388" s="22" t="str">
        <f>VLOOKUP(B3388,辅助信息!E:M,9,FALSE)</f>
        <v>ZTWM-CDGS-XS-2025-0126-四川机司-乐山市校地共建产教融合基地配套设施项目施工二标段钢筋采购合同</v>
      </c>
      <c r="R3388" s="22" t="str">
        <f>_xlfn._xlws.FILTER(辅助信息!D:D,辅助信息!E:E=B3388)</f>
        <v>乐山市校地共建产教融合基地建设项目二标段</v>
      </c>
    </row>
    <row r="3389" hidden="1" spans="2:18">
      <c r="B3389" s="33" t="s">
        <v>186</v>
      </c>
      <c r="C3389" s="63">
        <v>45911</v>
      </c>
      <c r="D3389" s="33" t="str">
        <f>VLOOKUP(B3389,辅助信息!E:K,7,FALSE)</f>
        <v>JWDDCD2025072900123</v>
      </c>
      <c r="E3389" s="33" t="str">
        <f>VLOOKUP(F3389,辅助信息!A:B,2,FALSE)</f>
        <v>螺纹钢</v>
      </c>
      <c r="F3389" s="33" t="s">
        <v>28</v>
      </c>
      <c r="G3389" s="29">
        <v>10</v>
      </c>
      <c r="H3389" s="127">
        <f>IF(SUMIFS('[1]2025年已发货'!$E:$E,'[1]2025年已发货'!$F:$F,C3389,'[1]2025年已发货'!$C:$C,F3389,'[1]2025年已发货'!$G:$G,I3389,'[1]2025年已发货'!$H:$H,J3389)=0,"未发货",SUMIFS('[1]2025年已发货'!$E:$E,'[1]2025年已发货'!$F:$F,C3389,'[1]2025年已发货'!$C:$C,F3389,'[1]2025年已发货'!$G:$G,I3389,'[1]2025年已发货'!$H:$H,J3389))</f>
        <v>10</v>
      </c>
      <c r="I3389" s="33" t="str">
        <f>VLOOKUP(B3389,辅助信息!E:I,3,FALSE)</f>
        <v>(乐山市校地共建产教融合基地建设项目二标段)四川省乐山市市中区苏稽镇</v>
      </c>
      <c r="J3389" s="33" t="str">
        <f>VLOOKUP(B3389,辅助信息!E:I,4,FALSE)</f>
        <v>彭江涛</v>
      </c>
      <c r="K3389" s="33">
        <f>VLOOKUP(J3389,辅助信息!H:I,2,FALSE)</f>
        <v>13990276572</v>
      </c>
      <c r="L3389" s="102" t="str">
        <f>VLOOKUP(B3389,辅助信息!E:J,6,FALSE)</f>
        <v>联系实际收货人（彭江涛13990276572）现场要求炉批号控制2个以下，超2个不给予签收。提前联系到场规格及数量</v>
      </c>
      <c r="O3389" s="55" t="str">
        <f ca="1" t="shared" si="188"/>
        <v/>
      </c>
      <c r="P3389" s="55" t="str">
        <f ca="1" t="shared" si="189"/>
        <v/>
      </c>
      <c r="Q3389" s="22" t="str">
        <f>VLOOKUP(B3389,辅助信息!E:M,9,FALSE)</f>
        <v>ZTWM-CDGS-XS-2025-0126-四川机司-乐山市校地共建产教融合基地配套设施项目施工二标段钢筋采购合同</v>
      </c>
      <c r="R3389" s="22" t="str">
        <f>_xlfn._xlws.FILTER(辅助信息!D:D,辅助信息!E:E=B3389)</f>
        <v>乐山市校地共建产教融合基地建设项目二标段</v>
      </c>
    </row>
    <row r="3390" hidden="1" spans="2:18">
      <c r="B3390" s="33" t="s">
        <v>186</v>
      </c>
      <c r="C3390" s="63">
        <v>45911</v>
      </c>
      <c r="D3390" s="33" t="str">
        <f>VLOOKUP(B3390,辅助信息!E:K,7,FALSE)</f>
        <v>JWDDCD2025072900123</v>
      </c>
      <c r="E3390" s="33" t="str">
        <f>VLOOKUP(F3390,辅助信息!A:B,2,FALSE)</f>
        <v>螺纹钢</v>
      </c>
      <c r="F3390" s="33" t="s">
        <v>18</v>
      </c>
      <c r="G3390" s="29">
        <v>17</v>
      </c>
      <c r="H3390" s="127">
        <f>IF(SUMIFS('[1]2025年已发货'!$E:$E,'[1]2025年已发货'!$F:$F,C3390,'[1]2025年已发货'!$C:$C,F3390,'[1]2025年已发货'!$G:$G,I3390,'[1]2025年已发货'!$H:$H,J3390)=0,"未发货",SUMIFS('[1]2025年已发货'!$E:$E,'[1]2025年已发货'!$F:$F,C3390,'[1]2025年已发货'!$C:$C,F3390,'[1]2025年已发货'!$G:$G,I3390,'[1]2025年已发货'!$H:$H,J3390))</f>
        <v>17</v>
      </c>
      <c r="I3390" s="33" t="str">
        <f>VLOOKUP(B3390,辅助信息!E:I,3,FALSE)</f>
        <v>(乐山市校地共建产教融合基地建设项目二标段)四川省乐山市市中区苏稽镇</v>
      </c>
      <c r="J3390" s="33" t="str">
        <f>VLOOKUP(B3390,辅助信息!E:I,4,FALSE)</f>
        <v>彭江涛</v>
      </c>
      <c r="K3390" s="33">
        <f>VLOOKUP(J3390,辅助信息!H:I,2,FALSE)</f>
        <v>13990276572</v>
      </c>
      <c r="L3390" s="102" t="str">
        <f>VLOOKUP(B3390,辅助信息!E:J,6,FALSE)</f>
        <v>联系实际收货人（彭江涛13990276572）现场要求炉批号控制2个以下，超2个不给予签收。提前联系到场规格及数量</v>
      </c>
      <c r="O3390" s="55" t="str">
        <f ca="1" t="shared" si="188"/>
        <v/>
      </c>
      <c r="P3390" s="55" t="str">
        <f ca="1" t="shared" si="189"/>
        <v/>
      </c>
      <c r="Q3390" s="22" t="str">
        <f>VLOOKUP(B3390,辅助信息!E:M,9,FALSE)</f>
        <v>ZTWM-CDGS-XS-2025-0126-四川机司-乐山市校地共建产教融合基地配套设施项目施工二标段钢筋采购合同</v>
      </c>
      <c r="R3390" s="22" t="str">
        <f>_xlfn._xlws.FILTER(辅助信息!D:D,辅助信息!E:E=B3390)</f>
        <v>乐山市校地共建产教融合基地建设项目二标段</v>
      </c>
    </row>
    <row r="3391" hidden="1" spans="2:18">
      <c r="B3391" s="33" t="s">
        <v>186</v>
      </c>
      <c r="C3391" s="63">
        <v>45911</v>
      </c>
      <c r="D3391" s="33" t="str">
        <f>VLOOKUP(B3391,辅助信息!E:K,7,FALSE)</f>
        <v>JWDDCD2025072900123</v>
      </c>
      <c r="E3391" s="33" t="str">
        <f>VLOOKUP(F3391,辅助信息!A:B,2,FALSE)</f>
        <v>螺纹钢</v>
      </c>
      <c r="F3391" s="33" t="s">
        <v>205</v>
      </c>
      <c r="G3391" s="29">
        <v>12</v>
      </c>
      <c r="H3391" s="127"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33" t="str">
        <f>VLOOKUP(B3391,辅助信息!E:I,3,FALSE)</f>
        <v>(乐山市校地共建产教融合基地建设项目二标段)四川省乐山市市中区苏稽镇</v>
      </c>
      <c r="J3391" s="33" t="str">
        <f>VLOOKUP(B3391,辅助信息!E:I,4,FALSE)</f>
        <v>彭江涛</v>
      </c>
      <c r="K3391" s="33">
        <f>VLOOKUP(J3391,辅助信息!H:I,2,FALSE)</f>
        <v>13990276572</v>
      </c>
      <c r="L3391" s="102" t="str">
        <f>VLOOKUP(B3391,辅助信息!E:J,6,FALSE)</f>
        <v>联系实际收货人（彭江涛13990276572）现场要求炉批号控制2个以下，超2个不给予签收。提前联系到场规格及数量</v>
      </c>
      <c r="O3391" s="55" t="str">
        <f ca="1" t="shared" si="188"/>
        <v/>
      </c>
      <c r="P3391" s="55" t="str">
        <f ca="1" t="shared" si="189"/>
        <v/>
      </c>
      <c r="Q3391" s="22" t="str">
        <f>VLOOKUP(B3391,辅助信息!E:M,9,FALSE)</f>
        <v>ZTWM-CDGS-XS-2025-0126-四川机司-乐山市校地共建产教融合基地配套设施项目施工二标段钢筋采购合同</v>
      </c>
      <c r="R3391" s="22" t="str">
        <f>_xlfn._xlws.FILTER(辅助信息!D:D,辅助信息!E:E=B3391)</f>
        <v>乐山市校地共建产教融合基地建设项目二标段</v>
      </c>
    </row>
    <row r="3392" hidden="1" spans="2:18">
      <c r="B3392" s="33" t="s">
        <v>186</v>
      </c>
      <c r="C3392" s="63">
        <v>45911</v>
      </c>
      <c r="D3392" s="33" t="str">
        <f>VLOOKUP(B3392,辅助信息!E:K,7,FALSE)</f>
        <v>JWDDCD2025072900123</v>
      </c>
      <c r="E3392" s="33" t="str">
        <f>VLOOKUP(F3392,辅助信息!A:B,2,FALSE)</f>
        <v>螺纹钢</v>
      </c>
      <c r="F3392" s="33" t="s">
        <v>82</v>
      </c>
      <c r="G3392" s="29">
        <v>3</v>
      </c>
      <c r="H3392" s="127">
        <f>IF(SUMIFS('[1]2025年已发货'!$E:$E,'[1]2025年已发货'!$F:$F,C3392,'[1]2025年已发货'!$C:$C,F3392,'[1]2025年已发货'!$G:$G,I3392,'[1]2025年已发货'!$H:$H,J3392)=0,"未发货",SUMIFS('[1]2025年已发货'!$E:$E,'[1]2025年已发货'!$F:$F,C3392,'[1]2025年已发货'!$C:$C,F3392,'[1]2025年已发货'!$G:$G,I3392,'[1]2025年已发货'!$H:$H,J3392))</f>
        <v>3</v>
      </c>
      <c r="I3392" s="33" t="str">
        <f>VLOOKUP(B3392,辅助信息!E:I,3,FALSE)</f>
        <v>(乐山市校地共建产教融合基地建设项目二标段)四川省乐山市市中区苏稽镇</v>
      </c>
      <c r="J3392" s="33" t="str">
        <f>VLOOKUP(B3392,辅助信息!E:I,4,FALSE)</f>
        <v>彭江涛</v>
      </c>
      <c r="K3392" s="33">
        <f>VLOOKUP(J3392,辅助信息!H:I,2,FALSE)</f>
        <v>13990276572</v>
      </c>
      <c r="L3392" s="102" t="str">
        <f>VLOOKUP(B3392,辅助信息!E:J,6,FALSE)</f>
        <v>联系实际收货人（彭江涛13990276572）现场要求炉批号控制2个以下，超2个不给予签收。提前联系到场规格及数量</v>
      </c>
      <c r="O3392" s="55" t="str">
        <f ca="1" t="shared" si="188"/>
        <v/>
      </c>
      <c r="P3392" s="55" t="str">
        <f ca="1" t="shared" si="189"/>
        <v/>
      </c>
      <c r="Q3392" s="22" t="str">
        <f>VLOOKUP(B3392,辅助信息!E:M,9,FALSE)</f>
        <v>ZTWM-CDGS-XS-2025-0126-四川机司-乐山市校地共建产教融合基地配套设施项目施工二标段钢筋采购合同</v>
      </c>
      <c r="R3392" s="22" t="str">
        <f>_xlfn._xlws.FILTER(辅助信息!D:D,辅助信息!E:E=B3392)</f>
        <v>乐山市校地共建产教融合基地建设项目二标段</v>
      </c>
    </row>
    <row r="3393" hidden="1" spans="2:18">
      <c r="B3393" s="33" t="s">
        <v>186</v>
      </c>
      <c r="C3393" s="63">
        <v>45911</v>
      </c>
      <c r="D3393" s="33" t="str">
        <f>VLOOKUP(B3393,辅助信息!E:K,7,FALSE)</f>
        <v>JWDDCD2025072900123</v>
      </c>
      <c r="E3393" s="33" t="str">
        <f>VLOOKUP(F3393,辅助信息!A:B,2,FALSE)</f>
        <v>螺纹钢</v>
      </c>
      <c r="F3393" s="33" t="s">
        <v>140</v>
      </c>
      <c r="G3393" s="29">
        <v>14</v>
      </c>
      <c r="H3393" s="127">
        <f>IF(SUMIFS('[1]2025年已发货'!$E:$E,'[1]2025年已发货'!$F:$F,C3393,'[1]2025年已发货'!$C:$C,F3393,'[1]2025年已发货'!$G:$G,I3393,'[1]2025年已发货'!$H:$H,J3393)=0,"未发货",SUMIFS('[1]2025年已发货'!$E:$E,'[1]2025年已发货'!$F:$F,C3393,'[1]2025年已发货'!$C:$C,F3393,'[1]2025年已发货'!$G:$G,I3393,'[1]2025年已发货'!$H:$H,J3393))</f>
        <v>14</v>
      </c>
      <c r="I3393" s="33" t="str">
        <f>VLOOKUP(B3393,辅助信息!E:I,3,FALSE)</f>
        <v>(乐山市校地共建产教融合基地建设项目二标段)四川省乐山市市中区苏稽镇</v>
      </c>
      <c r="J3393" s="33" t="str">
        <f>VLOOKUP(B3393,辅助信息!E:I,4,FALSE)</f>
        <v>彭江涛</v>
      </c>
      <c r="K3393" s="33">
        <f>VLOOKUP(J3393,辅助信息!H:I,2,FALSE)</f>
        <v>13990276572</v>
      </c>
      <c r="L3393" s="102" t="str">
        <f>VLOOKUP(B3393,辅助信息!E:J,6,FALSE)</f>
        <v>联系实际收货人（彭江涛13990276572）现场要求炉批号控制2个以下，超2个不给予签收。提前联系到场规格及数量</v>
      </c>
      <c r="O3393" s="55" t="str">
        <f ca="1" t="shared" si="188"/>
        <v/>
      </c>
      <c r="P3393" s="55" t="str">
        <f ca="1" t="shared" si="189"/>
        <v/>
      </c>
      <c r="Q3393" s="22" t="str">
        <f>VLOOKUP(B3393,辅助信息!E:M,9,FALSE)</f>
        <v>ZTWM-CDGS-XS-2025-0126-四川机司-乐山市校地共建产教融合基地配套设施项目施工二标段钢筋采购合同</v>
      </c>
      <c r="R3393" s="22" t="str">
        <f>_xlfn._xlws.FILTER(辅助信息!D:D,辅助信息!E:E=B3393)</f>
        <v>乐山市校地共建产教融合基地建设项目二标段</v>
      </c>
    </row>
    <row r="3394" hidden="1" spans="2:18">
      <c r="B3394" s="33" t="s">
        <v>186</v>
      </c>
      <c r="C3394" s="63">
        <v>45911</v>
      </c>
      <c r="D3394" s="33" t="str">
        <f>VLOOKUP(B3394,辅助信息!E:K,7,FALSE)</f>
        <v>JWDDCD2025072900123</v>
      </c>
      <c r="E3394" s="33" t="str">
        <f>VLOOKUP(F3394,辅助信息!A:B,2,FALSE)</f>
        <v>螺纹钢</v>
      </c>
      <c r="F3394" s="33" t="s">
        <v>45</v>
      </c>
      <c r="G3394" s="29">
        <v>3</v>
      </c>
      <c r="H3394" s="127">
        <f>IF(SUMIFS('[1]2025年已发货'!$E:$E,'[1]2025年已发货'!$F:$F,C3394,'[1]2025年已发货'!$C:$C,F3394,'[1]2025年已发货'!$G:$G,I3394,'[1]2025年已发货'!$H:$H,J3394)=0,"未发货",SUMIFS('[1]2025年已发货'!$E:$E,'[1]2025年已发货'!$F:$F,C3394,'[1]2025年已发货'!$C:$C,F3394,'[1]2025年已发货'!$G:$G,I3394,'[1]2025年已发货'!$H:$H,J3394))</f>
        <v>3</v>
      </c>
      <c r="I3394" s="33" t="str">
        <f>VLOOKUP(B3394,辅助信息!E:I,3,FALSE)</f>
        <v>(乐山市校地共建产教融合基地建设项目二标段)四川省乐山市市中区苏稽镇</v>
      </c>
      <c r="J3394" s="33" t="str">
        <f>VLOOKUP(B3394,辅助信息!E:I,4,FALSE)</f>
        <v>彭江涛</v>
      </c>
      <c r="K3394" s="33">
        <f>VLOOKUP(J3394,辅助信息!H:I,2,FALSE)</f>
        <v>13990276572</v>
      </c>
      <c r="L3394" s="102" t="str">
        <f>VLOOKUP(B3394,辅助信息!E:J,6,FALSE)</f>
        <v>联系实际收货人（彭江涛13990276572）现场要求炉批号控制2个以下，超2个不给予签收。提前联系到场规格及数量</v>
      </c>
      <c r="O3394" s="55" t="str">
        <f ca="1" t="shared" si="188"/>
        <v/>
      </c>
      <c r="P3394" s="55" t="str">
        <f ca="1" t="shared" si="189"/>
        <v/>
      </c>
      <c r="Q3394" s="22" t="str">
        <f>VLOOKUP(B3394,辅助信息!E:M,9,FALSE)</f>
        <v>ZTWM-CDGS-XS-2025-0126-四川机司-乐山市校地共建产教融合基地配套设施项目施工二标段钢筋采购合同</v>
      </c>
      <c r="R3394" s="22" t="str">
        <f>_xlfn._xlws.FILTER(辅助信息!D:D,辅助信息!E:E=B3394)</f>
        <v>乐山市校地共建产教融合基地建设项目二标段</v>
      </c>
    </row>
    <row r="3395" hidden="1" spans="2:18">
      <c r="B3395" s="33" t="s">
        <v>186</v>
      </c>
      <c r="C3395" s="63">
        <v>45911</v>
      </c>
      <c r="D3395" s="33" t="str">
        <f>VLOOKUP(B3395,辅助信息!E:K,7,FALSE)</f>
        <v>JWDDCD2025072900123</v>
      </c>
      <c r="E3395" s="33" t="str">
        <f>VLOOKUP(F3395,辅助信息!A:B,2,FALSE)</f>
        <v>螺纹钢</v>
      </c>
      <c r="F3395" s="33" t="s">
        <v>197</v>
      </c>
      <c r="G3395" s="29">
        <v>1</v>
      </c>
      <c r="H3395" s="127">
        <f>IF(SUMIFS('[1]2025年已发货'!$E:$E,'[1]2025年已发货'!$F:$F,C3395,'[1]2025年已发货'!$C:$C,F3395,'[1]2025年已发货'!$G:$G,I3395,'[1]2025年已发货'!$H:$H,J3395)=0,"未发货",SUMIFS('[1]2025年已发货'!$E:$E,'[1]2025年已发货'!$F:$F,C3395,'[1]2025年已发货'!$C:$C,F3395,'[1]2025年已发货'!$G:$G,I3395,'[1]2025年已发货'!$H:$H,J3395))</f>
        <v>3</v>
      </c>
      <c r="I3395" s="33" t="str">
        <f>VLOOKUP(B3395,辅助信息!E:I,3,FALSE)</f>
        <v>(乐山市校地共建产教融合基地建设项目二标段)四川省乐山市市中区苏稽镇</v>
      </c>
      <c r="J3395" s="33" t="str">
        <f>VLOOKUP(B3395,辅助信息!E:I,4,FALSE)</f>
        <v>彭江涛</v>
      </c>
      <c r="K3395" s="33">
        <f>VLOOKUP(J3395,辅助信息!H:I,2,FALSE)</f>
        <v>13990276572</v>
      </c>
      <c r="L3395" s="102" t="str">
        <f>VLOOKUP(B3395,辅助信息!E:J,6,FALSE)</f>
        <v>联系实际收货人（彭江涛13990276572）现场要求炉批号控制2个以下，超2个不给予签收。提前联系到场规格及数量</v>
      </c>
      <c r="O3395" s="55" t="str">
        <f ca="1" t="shared" si="188"/>
        <v/>
      </c>
      <c r="P3395" s="55" t="str">
        <f ca="1" t="shared" si="189"/>
        <v/>
      </c>
      <c r="Q3395" s="22" t="str">
        <f>VLOOKUP(B3395,辅助信息!E:M,9,FALSE)</f>
        <v>ZTWM-CDGS-XS-2025-0126-四川机司-乐山市校地共建产教融合基地配套设施项目施工二标段钢筋采购合同</v>
      </c>
      <c r="R3395" s="22" t="str">
        <f>_xlfn._xlws.FILTER(辅助信息!D:D,辅助信息!E:E=B3395)</f>
        <v>乐山市校地共建产教融合基地建设项目二标段</v>
      </c>
    </row>
    <row r="3396" hidden="1" spans="2:18">
      <c r="B3396" s="33" t="s">
        <v>186</v>
      </c>
      <c r="C3396" s="63">
        <v>45911</v>
      </c>
      <c r="D3396" s="33" t="str">
        <f>VLOOKUP(B3396,辅助信息!E:K,7,FALSE)</f>
        <v>JWDDCD2025072900123</v>
      </c>
      <c r="E3396" s="33" t="str">
        <f>VLOOKUP(F3396,辅助信息!A:B,2,FALSE)</f>
        <v>螺纹钢</v>
      </c>
      <c r="F3396" s="33" t="s">
        <v>21</v>
      </c>
      <c r="G3396" s="29">
        <v>3</v>
      </c>
      <c r="H3396" s="127">
        <f>IF(SUMIFS('[1]2025年已发货'!$E:$E,'[1]2025年已发货'!$F:$F,C3396,'[1]2025年已发货'!$C:$C,F3396,'[1]2025年已发货'!$G:$G,I3396,'[1]2025年已发货'!$H:$H,J3396)=0,"未发货",SUMIFS('[1]2025年已发货'!$E:$E,'[1]2025年已发货'!$F:$F,C3396,'[1]2025年已发货'!$C:$C,F3396,'[1]2025年已发货'!$G:$G,I3396,'[1]2025年已发货'!$H:$H,J3396))</f>
        <v>3</v>
      </c>
      <c r="I3396" s="33" t="str">
        <f>VLOOKUP(B3396,辅助信息!E:I,3,FALSE)</f>
        <v>(乐山市校地共建产教融合基地建设项目二标段)四川省乐山市市中区苏稽镇</v>
      </c>
      <c r="J3396" s="33" t="str">
        <f>VLOOKUP(B3396,辅助信息!E:I,4,FALSE)</f>
        <v>彭江涛</v>
      </c>
      <c r="K3396" s="33">
        <f>VLOOKUP(J3396,辅助信息!H:I,2,FALSE)</f>
        <v>13990276572</v>
      </c>
      <c r="L3396" s="102" t="str">
        <f>VLOOKUP(B3396,辅助信息!E:J,6,FALSE)</f>
        <v>联系实际收货人（彭江涛13990276572）现场要求炉批号控制2个以下，超2个不给予签收。提前联系到场规格及数量</v>
      </c>
      <c r="O3396" s="55" t="str">
        <f ca="1" t="shared" si="188"/>
        <v/>
      </c>
      <c r="P3396" s="55" t="str">
        <f ca="1" t="shared" si="189"/>
        <v/>
      </c>
      <c r="Q3396" s="22" t="str">
        <f>VLOOKUP(B3396,辅助信息!E:M,9,FALSE)</f>
        <v>ZTWM-CDGS-XS-2025-0126-四川机司-乐山市校地共建产教融合基地配套设施项目施工二标段钢筋采购合同</v>
      </c>
      <c r="R3396" s="22" t="str">
        <f>_xlfn._xlws.FILTER(辅助信息!D:D,辅助信息!E:E=B3396)</f>
        <v>乐山市校地共建产教融合基地建设项目二标段</v>
      </c>
    </row>
    <row r="3397" hidden="1" spans="2:18">
      <c r="B3397" s="33" t="s">
        <v>186</v>
      </c>
      <c r="C3397" s="63">
        <v>45911</v>
      </c>
      <c r="D3397" s="33" t="str">
        <f>VLOOKUP(B3397,辅助信息!E:K,7,FALSE)</f>
        <v>JWDDCD2025072900123</v>
      </c>
      <c r="E3397" s="33" t="str">
        <f>VLOOKUP(F3397,辅助信息!A:B,2,FALSE)</f>
        <v>螺纹钢</v>
      </c>
      <c r="F3397" s="33" t="s">
        <v>198</v>
      </c>
      <c r="G3397" s="29">
        <v>1</v>
      </c>
      <c r="H3397" s="127">
        <f>IF(SUMIFS('[1]2025年已发货'!$E:$E,'[1]2025年已发货'!$F:$F,C3397,'[1]2025年已发货'!$C:$C,F3397,'[1]2025年已发货'!$G:$G,I3397,'[1]2025年已发货'!$H:$H,J3397)=0,"未发货",SUMIFS('[1]2025年已发货'!$E:$E,'[1]2025年已发货'!$F:$F,C3397,'[1]2025年已发货'!$C:$C,F3397,'[1]2025年已发货'!$G:$G,I3397,'[1]2025年已发货'!$H:$H,J3397))</f>
        <v>3</v>
      </c>
      <c r="I3397" s="33" t="str">
        <f>VLOOKUP(B3397,辅助信息!E:I,3,FALSE)</f>
        <v>(乐山市校地共建产教融合基地建设项目二标段)四川省乐山市市中区苏稽镇</v>
      </c>
      <c r="J3397" s="33" t="str">
        <f>VLOOKUP(B3397,辅助信息!E:I,4,FALSE)</f>
        <v>彭江涛</v>
      </c>
      <c r="K3397" s="33">
        <f>VLOOKUP(J3397,辅助信息!H:I,2,FALSE)</f>
        <v>13990276572</v>
      </c>
      <c r="L3397" s="102" t="str">
        <f>VLOOKUP(B3397,辅助信息!E:J,6,FALSE)</f>
        <v>联系实际收货人（彭江涛13990276572）现场要求炉批号控制2个以下，超2个不给予签收。提前联系到场规格及数量</v>
      </c>
      <c r="O3397" s="55" t="str">
        <f ca="1" t="shared" si="188"/>
        <v/>
      </c>
      <c r="P3397" s="55" t="str">
        <f ca="1" t="shared" si="189"/>
        <v/>
      </c>
      <c r="Q3397" s="22" t="str">
        <f>VLOOKUP(B3397,辅助信息!E:M,9,FALSE)</f>
        <v>ZTWM-CDGS-XS-2025-0126-四川机司-乐山市校地共建产教融合基地配套设施项目施工二标段钢筋采购合同</v>
      </c>
      <c r="R3397" s="22" t="str">
        <f>_xlfn._xlws.FILTER(辅助信息!D:D,辅助信息!E:E=B3397)</f>
        <v>乐山市校地共建产教融合基地建设项目二标段</v>
      </c>
    </row>
    <row r="3398" hidden="1" spans="2:18">
      <c r="B3398" s="33" t="s">
        <v>186</v>
      </c>
      <c r="C3398" s="63">
        <v>45911</v>
      </c>
      <c r="D3398" s="33" t="str">
        <f>VLOOKUP(B3398,辅助信息!E:K,7,FALSE)</f>
        <v>JWDDCD2025072900123</v>
      </c>
      <c r="E3398" s="33" t="str">
        <f>VLOOKUP(F3398,辅助信息!A:B,2,FALSE)</f>
        <v>螺纹钢</v>
      </c>
      <c r="F3398" s="33" t="s">
        <v>58</v>
      </c>
      <c r="G3398" s="29">
        <v>10</v>
      </c>
      <c r="H3398" s="127">
        <f>IF(SUMIFS('[1]2025年已发货'!$E:$E,'[1]2025年已发货'!$F:$F,C3398,'[1]2025年已发货'!$C:$C,F3398,'[1]2025年已发货'!$G:$G,I3398,'[1]2025年已发货'!$H:$H,J3398)=0,"未发货",SUMIFS('[1]2025年已发货'!$E:$E,'[1]2025年已发货'!$F:$F,C3398,'[1]2025年已发货'!$C:$C,F3398,'[1]2025年已发货'!$G:$G,I3398,'[1]2025年已发货'!$H:$H,J3398))</f>
        <v>10</v>
      </c>
      <c r="I3398" s="33" t="str">
        <f>VLOOKUP(B3398,辅助信息!E:I,3,FALSE)</f>
        <v>(乐山市校地共建产教融合基地建设项目二标段)四川省乐山市市中区苏稽镇</v>
      </c>
      <c r="J3398" s="33" t="str">
        <f>VLOOKUP(B3398,辅助信息!E:I,4,FALSE)</f>
        <v>彭江涛</v>
      </c>
      <c r="K3398" s="33">
        <f>VLOOKUP(J3398,辅助信息!H:I,2,FALSE)</f>
        <v>13990276572</v>
      </c>
      <c r="L3398" s="102" t="str">
        <f>VLOOKUP(B3398,辅助信息!E:J,6,FALSE)</f>
        <v>联系实际收货人（彭江涛13990276572）现场要求炉批号控制2个以下，超2个不给予签收。提前联系到场规格及数量</v>
      </c>
      <c r="O3398" s="55" t="str">
        <f ca="1" t="shared" si="188"/>
        <v/>
      </c>
      <c r="P3398" s="55" t="str">
        <f ca="1" t="shared" si="189"/>
        <v/>
      </c>
      <c r="Q3398" s="22" t="str">
        <f>VLOOKUP(B3398,辅助信息!E:M,9,FALSE)</f>
        <v>ZTWM-CDGS-XS-2025-0126-四川机司-乐山市校地共建产教融合基地配套设施项目施工二标段钢筋采购合同</v>
      </c>
      <c r="R3398" s="22" t="str">
        <f>_xlfn._xlws.FILTER(辅助信息!D:D,辅助信息!E:E=B3398)</f>
        <v>乐山市校地共建产教融合基地建设项目二标段</v>
      </c>
    </row>
    <row r="3399" hidden="1" spans="2:18">
      <c r="B3399" s="33" t="s">
        <v>186</v>
      </c>
      <c r="C3399" s="63">
        <v>45911</v>
      </c>
      <c r="D3399" s="33" t="str">
        <f>VLOOKUP(B3399,辅助信息!E:K,7,FALSE)</f>
        <v>JWDDCD2025072900123</v>
      </c>
      <c r="E3399" s="33" t="str">
        <f>VLOOKUP(F3399,辅助信息!A:B,2,FALSE)</f>
        <v>螺纹钢</v>
      </c>
      <c r="F3399" s="33" t="s">
        <v>199</v>
      </c>
      <c r="G3399" s="29">
        <v>18</v>
      </c>
      <c r="H3399" s="127">
        <f>IF(SUMIFS('[1]2025年已发货'!$E:$E,'[1]2025年已发货'!$F:$F,C3399,'[1]2025年已发货'!$C:$C,F3399,'[1]2025年已发货'!$G:$G,I3399,'[1]2025年已发货'!$H:$H,J3399)=0,"未发货",SUMIFS('[1]2025年已发货'!$E:$E,'[1]2025年已发货'!$F:$F,C3399,'[1]2025年已发货'!$C:$C,F3399,'[1]2025年已发货'!$G:$G,I3399,'[1]2025年已发货'!$H:$H,J3399))</f>
        <v>18</v>
      </c>
      <c r="I3399" s="33" t="str">
        <f>VLOOKUP(B3399,辅助信息!E:I,3,FALSE)</f>
        <v>(乐山市校地共建产教融合基地建设项目二标段)四川省乐山市市中区苏稽镇</v>
      </c>
      <c r="J3399" s="33" t="str">
        <f>VLOOKUP(B3399,辅助信息!E:I,4,FALSE)</f>
        <v>彭江涛</v>
      </c>
      <c r="K3399" s="33">
        <f>VLOOKUP(J3399,辅助信息!H:I,2,FALSE)</f>
        <v>13990276572</v>
      </c>
      <c r="L3399" s="102" t="str">
        <f>VLOOKUP(B3399,辅助信息!E:J,6,FALSE)</f>
        <v>联系实际收货人（彭江涛13990276572）现场要求炉批号控制2个以下，超2个不给予签收。提前联系到场规格及数量</v>
      </c>
      <c r="O3399" s="55" t="str">
        <f ca="1" t="shared" si="188"/>
        <v/>
      </c>
      <c r="P3399" s="55" t="str">
        <f ca="1" t="shared" si="189"/>
        <v/>
      </c>
      <c r="Q3399" s="22" t="str">
        <f>VLOOKUP(B3399,辅助信息!E:M,9,FALSE)</f>
        <v>ZTWM-CDGS-XS-2025-0126-四川机司-乐山市校地共建产教融合基地配套设施项目施工二标段钢筋采购合同</v>
      </c>
      <c r="R3399" s="22" t="str">
        <f>_xlfn._xlws.FILTER(辅助信息!D:D,辅助信息!E:E=B3399)</f>
        <v>乐山市校地共建产教融合基地建设项目二标段</v>
      </c>
    </row>
    <row r="3400" hidden="1" spans="2:18">
      <c r="B3400" s="33" t="s">
        <v>186</v>
      </c>
      <c r="C3400" s="63">
        <v>45911</v>
      </c>
      <c r="D3400" s="33" t="str">
        <f>VLOOKUP(B3400,辅助信息!E:K,7,FALSE)</f>
        <v>JWDDCD2025072900123</v>
      </c>
      <c r="E3400" s="33" t="str">
        <f>VLOOKUP(F3400,辅助信息!A:B,2,FALSE)</f>
        <v>螺纹钢</v>
      </c>
      <c r="F3400" s="33" t="s">
        <v>46</v>
      </c>
      <c r="G3400" s="29">
        <v>12</v>
      </c>
      <c r="H3400" s="127">
        <f>IF(SUMIFS('[1]2025年已发货'!$E:$E,'[1]2025年已发货'!$F:$F,C3400,'[1]2025年已发货'!$C:$C,F3400,'[1]2025年已发货'!$G:$G,I3400,'[1]2025年已发货'!$H:$H,J3400)=0,"未发货",SUMIFS('[1]2025年已发货'!$E:$E,'[1]2025年已发货'!$F:$F,C3400,'[1]2025年已发货'!$C:$C,F3400,'[1]2025年已发货'!$G:$G,I3400,'[1]2025年已发货'!$H:$H,J3400))</f>
        <v>12</v>
      </c>
      <c r="I3400" s="33" t="str">
        <f>VLOOKUP(B3400,辅助信息!E:I,3,FALSE)</f>
        <v>(乐山市校地共建产教融合基地建设项目二标段)四川省乐山市市中区苏稽镇</v>
      </c>
      <c r="J3400" s="33" t="str">
        <f>VLOOKUP(B3400,辅助信息!E:I,4,FALSE)</f>
        <v>彭江涛</v>
      </c>
      <c r="K3400" s="33">
        <f>VLOOKUP(J3400,辅助信息!H:I,2,FALSE)</f>
        <v>13990276572</v>
      </c>
      <c r="L3400" s="102" t="str">
        <f>VLOOKUP(B3400,辅助信息!E:J,6,FALSE)</f>
        <v>联系实际收货人（彭江涛13990276572）现场要求炉批号控制2个以下，超2个不给予签收。提前联系到场规格及数量</v>
      </c>
      <c r="O3400" s="55" t="str">
        <f ca="1" t="shared" si="188"/>
        <v/>
      </c>
      <c r="P3400" s="55" t="str">
        <f ca="1" t="shared" si="189"/>
        <v/>
      </c>
      <c r="Q3400" s="22" t="str">
        <f>VLOOKUP(B3400,辅助信息!E:M,9,FALSE)</f>
        <v>ZTWM-CDGS-XS-2025-0126-四川机司-乐山市校地共建产教融合基地配套设施项目施工二标段钢筋采购合同</v>
      </c>
      <c r="R3400" s="22" t="str">
        <f>_xlfn._xlws.FILTER(辅助信息!D:D,辅助信息!E:E=B3400)</f>
        <v>乐山市校地共建产教融合基地建设项目二标段</v>
      </c>
    </row>
    <row r="3401" hidden="1" spans="2:18">
      <c r="B3401" s="33" t="s">
        <v>186</v>
      </c>
      <c r="C3401" s="63">
        <v>45911</v>
      </c>
      <c r="D3401" s="33" t="str">
        <f>VLOOKUP(B3401,辅助信息!E:K,7,FALSE)</f>
        <v>JWDDCD2025072900123</v>
      </c>
      <c r="E3401" s="33" t="str">
        <f>VLOOKUP(F3401,辅助信息!A:B,2,FALSE)</f>
        <v>螺纹钢</v>
      </c>
      <c r="F3401" s="33" t="s">
        <v>141</v>
      </c>
      <c r="G3401" s="29">
        <v>25</v>
      </c>
      <c r="H3401" s="127">
        <f>IF(SUMIFS('[1]2025年已发货'!$E:$E,'[1]2025年已发货'!$F:$F,C3401,'[1]2025年已发货'!$C:$C,F3401,'[1]2025年已发货'!$G:$G,I3401,'[1]2025年已发货'!$H:$H,J3401)=0,"未发货",SUMIFS('[1]2025年已发货'!$E:$E,'[1]2025年已发货'!$F:$F,C3401,'[1]2025年已发货'!$C:$C,F3401,'[1]2025年已发货'!$G:$G,I3401,'[1]2025年已发货'!$H:$H,J3401))</f>
        <v>25</v>
      </c>
      <c r="I3401" s="33" t="str">
        <f>VLOOKUP(B3401,辅助信息!E:I,3,FALSE)</f>
        <v>(乐山市校地共建产教融合基地建设项目二标段)四川省乐山市市中区苏稽镇</v>
      </c>
      <c r="J3401" s="33" t="str">
        <f>VLOOKUP(B3401,辅助信息!E:I,4,FALSE)</f>
        <v>彭江涛</v>
      </c>
      <c r="K3401" s="33">
        <f>VLOOKUP(J3401,辅助信息!H:I,2,FALSE)</f>
        <v>13990276572</v>
      </c>
      <c r="L3401" s="102" t="str">
        <f>VLOOKUP(B3401,辅助信息!E:J,6,FALSE)</f>
        <v>联系实际收货人（彭江涛13990276572）现场要求炉批号控制2个以下，超2个不给予签收。提前联系到场规格及数量</v>
      </c>
      <c r="O3401" s="55" t="str">
        <f ca="1" t="shared" si="188"/>
        <v/>
      </c>
      <c r="P3401" s="55" t="str">
        <f ca="1" t="shared" si="189"/>
        <v/>
      </c>
      <c r="Q3401" s="22" t="str">
        <f>VLOOKUP(B3401,辅助信息!E:M,9,FALSE)</f>
        <v>ZTWM-CDGS-XS-2025-0126-四川机司-乐山市校地共建产教融合基地配套设施项目施工二标段钢筋采购合同</v>
      </c>
      <c r="R3401" s="22" t="str">
        <f>_xlfn._xlws.FILTER(辅助信息!D:D,辅助信息!E:E=B3401)</f>
        <v>乐山市校地共建产教融合基地建设项目二标段</v>
      </c>
    </row>
    <row r="3402" hidden="1" spans="2:18">
      <c r="B3402" s="33" t="s">
        <v>186</v>
      </c>
      <c r="C3402" s="63">
        <v>45911</v>
      </c>
      <c r="D3402" s="33" t="str">
        <f>VLOOKUP(B3402,辅助信息!E:K,7,FALSE)</f>
        <v>JWDDCD2025072900123</v>
      </c>
      <c r="E3402" s="33" t="str">
        <f>VLOOKUP(F3402,辅助信息!A:B,2,FALSE)</f>
        <v>螺纹钢</v>
      </c>
      <c r="F3402" s="33" t="s">
        <v>22</v>
      </c>
      <c r="G3402" s="29">
        <v>72</v>
      </c>
      <c r="H3402" s="127">
        <f>IF(SUMIFS('[1]2025年已发货'!$E:$E,'[1]2025年已发货'!$F:$F,C3402,'[1]2025年已发货'!$C:$C,F3402,'[1]2025年已发货'!$G:$G,I3402,'[1]2025年已发货'!$H:$H,J3402)=0,"未发货",SUMIFS('[1]2025年已发货'!$E:$E,'[1]2025年已发货'!$F:$F,C3402,'[1]2025年已发货'!$C:$C,F3402,'[1]2025年已发货'!$G:$G,I3402,'[1]2025年已发货'!$H:$H,J3402))</f>
        <v>72</v>
      </c>
      <c r="I3402" s="33" t="str">
        <f>VLOOKUP(B3402,辅助信息!E:I,3,FALSE)</f>
        <v>(乐山市校地共建产教融合基地建设项目二标段)四川省乐山市市中区苏稽镇</v>
      </c>
      <c r="J3402" s="33" t="str">
        <f>VLOOKUP(B3402,辅助信息!E:I,4,FALSE)</f>
        <v>彭江涛</v>
      </c>
      <c r="K3402" s="33">
        <f>VLOOKUP(J3402,辅助信息!H:I,2,FALSE)</f>
        <v>13990276572</v>
      </c>
      <c r="L3402" s="102" t="str">
        <f>VLOOKUP(B3402,辅助信息!E:J,6,FALSE)</f>
        <v>联系实际收货人（彭江涛13990276572）现场要求炉批号控制2个以下，超2个不给予签收。提前联系到场规格及数量</v>
      </c>
      <c r="O3402" s="55" t="str">
        <f ca="1" t="shared" si="188"/>
        <v/>
      </c>
      <c r="P3402" s="55" t="str">
        <f ca="1" t="shared" si="189"/>
        <v/>
      </c>
      <c r="Q3402" s="22" t="str">
        <f>VLOOKUP(B3402,辅助信息!E:M,9,FALSE)</f>
        <v>ZTWM-CDGS-XS-2025-0126-四川机司-乐山市校地共建产教融合基地配套设施项目施工二标段钢筋采购合同</v>
      </c>
      <c r="R3402" s="22" t="str">
        <f>_xlfn._xlws.FILTER(辅助信息!D:D,辅助信息!E:E=B3402)</f>
        <v>乐山市校地共建产教融合基地建设项目二标段</v>
      </c>
    </row>
    <row r="3403" hidden="1" spans="2:18">
      <c r="B3403" s="33" t="s">
        <v>186</v>
      </c>
      <c r="C3403" s="63">
        <v>45911</v>
      </c>
      <c r="D3403" s="33" t="str">
        <f>VLOOKUP(B3403,辅助信息!E:K,7,FALSE)</f>
        <v>JWDDCD2025072900123</v>
      </c>
      <c r="E3403" s="33" t="str">
        <f>VLOOKUP(F3403,辅助信息!A:B,2,FALSE)</f>
        <v>螺纹钢</v>
      </c>
      <c r="F3403" s="33" t="s">
        <v>142</v>
      </c>
      <c r="G3403" s="29">
        <v>111</v>
      </c>
      <c r="H3403" s="127">
        <f>IF(SUMIFS('[1]2025年已发货'!$E:$E,'[1]2025年已发货'!$F:$F,C3403,'[1]2025年已发货'!$C:$C,F3403,'[1]2025年已发货'!$G:$G,I3403,'[1]2025年已发货'!$H:$H,J3403)=0,"未发货",SUMIFS('[1]2025年已发货'!$E:$E,'[1]2025年已发货'!$F:$F,C3403,'[1]2025年已发货'!$C:$C,F3403,'[1]2025年已发货'!$G:$G,I3403,'[1]2025年已发货'!$H:$H,J3403))</f>
        <v>100</v>
      </c>
      <c r="I3403" s="33" t="str">
        <f>VLOOKUP(B3403,辅助信息!E:I,3,FALSE)</f>
        <v>(乐山市校地共建产教融合基地建设项目二标段)四川省乐山市市中区苏稽镇</v>
      </c>
      <c r="J3403" s="33" t="str">
        <f>VLOOKUP(B3403,辅助信息!E:I,4,FALSE)</f>
        <v>彭江涛</v>
      </c>
      <c r="K3403" s="33">
        <f>VLOOKUP(J3403,辅助信息!H:I,2,FALSE)</f>
        <v>13990276572</v>
      </c>
      <c r="L3403" s="102" t="str">
        <f>VLOOKUP(B3403,辅助信息!E:J,6,FALSE)</f>
        <v>联系实际收货人（彭江涛13990276572）现场要求炉批号控制2个以下，超2个不给予签收。提前联系到场规格及数量</v>
      </c>
      <c r="O3403" s="55" t="str">
        <f ca="1" t="shared" si="188"/>
        <v/>
      </c>
      <c r="P3403" s="55" t="str">
        <f ca="1" t="shared" si="189"/>
        <v/>
      </c>
      <c r="Q3403" s="22" t="str">
        <f>VLOOKUP(B3403,辅助信息!E:M,9,FALSE)</f>
        <v>ZTWM-CDGS-XS-2025-0126-四川机司-乐山市校地共建产教融合基地配套设施项目施工二标段钢筋采购合同</v>
      </c>
      <c r="R3403" s="22" t="str">
        <f>_xlfn._xlws.FILTER(辅助信息!D:D,辅助信息!E:E=B3403)</f>
        <v>乐山市校地共建产教融合基地建设项目二标段</v>
      </c>
    </row>
    <row r="3404" hidden="1" spans="2:18">
      <c r="B3404" s="33" t="s">
        <v>186</v>
      </c>
      <c r="C3404" s="63">
        <v>45911</v>
      </c>
      <c r="D3404" s="33" t="str">
        <f>VLOOKUP(B3404,辅助信息!E:K,7,FALSE)</f>
        <v>JWDDCD2025072900123</v>
      </c>
      <c r="E3404" s="33" t="str">
        <f>VLOOKUP(F3404,辅助信息!A:B,2,FALSE)</f>
        <v>螺纹钢</v>
      </c>
      <c r="F3404" s="33" t="s">
        <v>201</v>
      </c>
      <c r="G3404" s="29">
        <v>22</v>
      </c>
      <c r="H3404" s="127">
        <f>IF(SUMIFS('[1]2025年已发货'!$E:$E,'[1]2025年已发货'!$F:$F,C3404,'[1]2025年已发货'!$C:$C,F3404,'[1]2025年已发货'!$G:$G,I3404,'[1]2025年已发货'!$H:$H,J3404)=0,"未发货",SUMIFS('[1]2025年已发货'!$E:$E,'[1]2025年已发货'!$F:$F,C3404,'[1]2025年已发货'!$C:$C,F3404,'[1]2025年已发货'!$G:$G,I3404,'[1]2025年已发货'!$H:$H,J3404))</f>
        <v>22</v>
      </c>
      <c r="I3404" s="33" t="str">
        <f>VLOOKUP(B3404,辅助信息!E:I,3,FALSE)</f>
        <v>(乐山市校地共建产教融合基地建设项目二标段)四川省乐山市市中区苏稽镇</v>
      </c>
      <c r="J3404" s="33" t="str">
        <f>VLOOKUP(B3404,辅助信息!E:I,4,FALSE)</f>
        <v>彭江涛</v>
      </c>
      <c r="K3404" s="33">
        <f>VLOOKUP(J3404,辅助信息!H:I,2,FALSE)</f>
        <v>13990276572</v>
      </c>
      <c r="L3404" s="102" t="str">
        <f>VLOOKUP(B3404,辅助信息!E:J,6,FALSE)</f>
        <v>联系实际收货人（彭江涛13990276572）现场要求炉批号控制2个以下，超2个不给予签收。提前联系到场规格及数量</v>
      </c>
      <c r="O3404" s="55" t="str">
        <f ca="1" t="shared" si="188"/>
        <v/>
      </c>
      <c r="P3404" s="55" t="str">
        <f ca="1" t="shared" si="189"/>
        <v/>
      </c>
      <c r="Q3404" s="22" t="str">
        <f>VLOOKUP(B3404,辅助信息!E:M,9,FALSE)</f>
        <v>ZTWM-CDGS-XS-2025-0126-四川机司-乐山市校地共建产教融合基地配套设施项目施工二标段钢筋采购合同</v>
      </c>
      <c r="R3404" s="22" t="str">
        <f>_xlfn._xlws.FILTER(辅助信息!D:D,辅助信息!E:E=B3404)</f>
        <v>乐山市校地共建产教融合基地建设项目二标段</v>
      </c>
    </row>
    <row r="3405" hidden="1" spans="2:18">
      <c r="B3405" s="33" t="s">
        <v>186</v>
      </c>
      <c r="C3405" s="63">
        <v>45911</v>
      </c>
      <c r="D3405" s="33" t="str">
        <f>VLOOKUP(B3405,辅助信息!E:K,7,FALSE)</f>
        <v>JWDDCD2025072900123</v>
      </c>
      <c r="E3405" s="33" t="str">
        <f>VLOOKUP(F3405,辅助信息!A:B,2,FALSE)</f>
        <v>盘螺</v>
      </c>
      <c r="F3405" s="33" t="s">
        <v>41</v>
      </c>
      <c r="G3405" s="29">
        <v>36</v>
      </c>
      <c r="H3405" s="127">
        <f>IF(SUMIFS('[1]2025年已发货'!$E:$E,'[1]2025年已发货'!$F:$F,C3405,'[1]2025年已发货'!$C:$C,F3405,'[1]2025年已发货'!$G:$G,I3405,'[1]2025年已发货'!$H:$H,J3405)=0,"未发货",SUMIFS('[1]2025年已发货'!$E:$E,'[1]2025年已发货'!$F:$F,C3405,'[1]2025年已发货'!$C:$C,F3405,'[1]2025年已发货'!$G:$G,I3405,'[1]2025年已发货'!$H:$H,J3405))</f>
        <v>20</v>
      </c>
      <c r="I3405" s="33" t="str">
        <f>VLOOKUP(B3405,辅助信息!E:I,3,FALSE)</f>
        <v>(乐山市校地共建产教融合基地建设项目二标段)四川省乐山市市中区苏稽镇</v>
      </c>
      <c r="J3405" s="33" t="str">
        <f>VLOOKUP(B3405,辅助信息!E:I,4,FALSE)</f>
        <v>彭江涛</v>
      </c>
      <c r="K3405" s="33">
        <f>VLOOKUP(J3405,辅助信息!H:I,2,FALSE)</f>
        <v>13990276572</v>
      </c>
      <c r="L3405" s="102" t="str">
        <f>VLOOKUP(B3405,辅助信息!E:J,6,FALSE)</f>
        <v>联系实际收货人（彭江涛13990276572）现场要求炉批号控制2个以下，超2个不给予签收。提前联系到场规格及数量</v>
      </c>
      <c r="O3405" s="55" t="str">
        <f ca="1" t="shared" si="188"/>
        <v/>
      </c>
      <c r="P3405" s="55" t="str">
        <f ca="1" t="shared" si="189"/>
        <v/>
      </c>
      <c r="Q3405" s="22" t="str">
        <f>VLOOKUP(B3405,辅助信息!E:M,9,FALSE)</f>
        <v>ZTWM-CDGS-XS-2025-0126-四川机司-乐山市校地共建产教融合基地配套设施项目施工二标段钢筋采购合同</v>
      </c>
      <c r="R3405" s="22" t="str">
        <f>_xlfn._xlws.FILTER(辅助信息!D:D,辅助信息!E:E=B3405)</f>
        <v>乐山市校地共建产教融合基地建设项目二标段</v>
      </c>
    </row>
    <row r="3406" hidden="1" spans="2:18">
      <c r="B3406" s="33" t="s">
        <v>186</v>
      </c>
      <c r="C3406" s="63">
        <v>45911</v>
      </c>
      <c r="D3406" s="33" t="str">
        <f>VLOOKUP(B3406,辅助信息!E:K,7,FALSE)</f>
        <v>JWDDCD2025072900123</v>
      </c>
      <c r="E3406" s="33" t="str">
        <f>VLOOKUP(F3406,辅助信息!A:B,2,FALSE)</f>
        <v>盘螺</v>
      </c>
      <c r="F3406" s="33" t="s">
        <v>26</v>
      </c>
      <c r="G3406" s="29">
        <v>65.4</v>
      </c>
      <c r="H3406" s="127"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33" t="str">
        <f>VLOOKUP(B3406,辅助信息!E:I,3,FALSE)</f>
        <v>(乐山市校地共建产教融合基地建设项目二标段)四川省乐山市市中区苏稽镇</v>
      </c>
      <c r="J3406" s="33" t="str">
        <f>VLOOKUP(B3406,辅助信息!E:I,4,FALSE)</f>
        <v>彭江涛</v>
      </c>
      <c r="K3406" s="33">
        <f>VLOOKUP(J3406,辅助信息!H:I,2,FALSE)</f>
        <v>13990276572</v>
      </c>
      <c r="L3406" s="102" t="str">
        <f>VLOOKUP(B3406,辅助信息!E:J,6,FALSE)</f>
        <v>联系实际收货人（彭江涛13990276572）现场要求炉批号控制2个以下，超2个不给予签收。提前联系到场规格及数量</v>
      </c>
      <c r="O3406" s="55" t="str">
        <f ca="1" t="shared" si="188"/>
        <v/>
      </c>
      <c r="P3406" s="55" t="str">
        <f ca="1" t="shared" si="189"/>
        <v/>
      </c>
      <c r="Q3406" s="22" t="str">
        <f>VLOOKUP(B3406,辅助信息!E:M,9,FALSE)</f>
        <v>ZTWM-CDGS-XS-2025-0126-四川机司-乐山市校地共建产教融合基地配套设施项目施工二标段钢筋采购合同</v>
      </c>
      <c r="R3406" s="22" t="str">
        <f>_xlfn._xlws.FILTER(辅助信息!D:D,辅助信息!E:E=B3406)</f>
        <v>乐山市校地共建产教融合基地建设项目二标段</v>
      </c>
    </row>
    <row r="3407" hidden="1" spans="2:18">
      <c r="B3407" s="33" t="s">
        <v>186</v>
      </c>
      <c r="C3407" s="63">
        <v>45911</v>
      </c>
      <c r="D3407" s="33" t="str">
        <f>VLOOKUP(B3407,辅助信息!E:K,7,FALSE)</f>
        <v>JWDDCD2025072900123</v>
      </c>
      <c r="E3407" s="33" t="str">
        <f>VLOOKUP(F3407,辅助信息!A:B,2,FALSE)</f>
        <v>盘螺</v>
      </c>
      <c r="F3407" s="33" t="s">
        <v>49</v>
      </c>
      <c r="G3407" s="29">
        <v>16</v>
      </c>
      <c r="H3407" s="127">
        <f>IF(SUMIFS('[1]2025年已发货'!$E:$E,'[1]2025年已发货'!$F:$F,C3407,'[1]2025年已发货'!$C:$C,F3407,'[1]2025年已发货'!$G:$G,I3407,'[1]2025年已发货'!$H:$H,J3407)=0,"未发货",SUMIFS('[1]2025年已发货'!$E:$E,'[1]2025年已发货'!$F:$F,C3407,'[1]2025年已发货'!$C:$C,F3407,'[1]2025年已发货'!$G:$G,I3407,'[1]2025年已发货'!$H:$H,J3407))</f>
        <v>16</v>
      </c>
      <c r="I3407" s="33" t="str">
        <f>VLOOKUP(B3407,辅助信息!E:I,3,FALSE)</f>
        <v>(乐山市校地共建产教融合基地建设项目二标段)四川省乐山市市中区苏稽镇</v>
      </c>
      <c r="J3407" s="33" t="str">
        <f>VLOOKUP(B3407,辅助信息!E:I,4,FALSE)</f>
        <v>彭江涛</v>
      </c>
      <c r="K3407" s="33">
        <f>VLOOKUP(J3407,辅助信息!H:I,2,FALSE)</f>
        <v>13990276572</v>
      </c>
      <c r="L3407" s="102" t="str">
        <f>VLOOKUP(B3407,辅助信息!E:J,6,FALSE)</f>
        <v>联系实际收货人（彭江涛13990276572）现场要求炉批号控制2个以下，超2个不给予签收。提前联系到场规格及数量</v>
      </c>
      <c r="O3407" s="55" t="str">
        <f ca="1" t="shared" si="188"/>
        <v/>
      </c>
      <c r="P3407" s="55" t="str">
        <f ca="1" t="shared" si="189"/>
        <v/>
      </c>
      <c r="Q3407" s="22" t="str">
        <f>VLOOKUP(B3407,辅助信息!E:M,9,FALSE)</f>
        <v>ZTWM-CDGS-XS-2025-0126-四川机司-乐山市校地共建产教融合基地配套设施项目施工二标段钢筋采购合同</v>
      </c>
      <c r="R3407" s="22" t="str">
        <f>_xlfn._xlws.FILTER(辅助信息!D:D,辅助信息!E:E=B3407)</f>
        <v>乐山市校地共建产教融合基地建设项目二标段</v>
      </c>
    </row>
    <row r="3408" hidden="1" spans="2:18">
      <c r="B3408" s="33" t="s">
        <v>186</v>
      </c>
      <c r="C3408" s="63">
        <v>45911</v>
      </c>
      <c r="D3408" s="33" t="str">
        <f>VLOOKUP(B3408,辅助信息!E:K,7,FALSE)</f>
        <v>JWDDCD2025072900123</v>
      </c>
      <c r="E3408" s="33" t="str">
        <f>VLOOKUP(F3408,辅助信息!A:B,2,FALSE)</f>
        <v>盘螺</v>
      </c>
      <c r="F3408" s="33" t="s">
        <v>40</v>
      </c>
      <c r="G3408" s="29">
        <v>26</v>
      </c>
      <c r="H3408" s="127">
        <f>IF(SUMIFS('[1]2025年已发货'!$E:$E,'[1]2025年已发货'!$F:$F,C3408,'[1]2025年已发货'!$C:$C,F3408,'[1]2025年已发货'!$G:$G,I3408,'[1]2025年已发货'!$H:$H,J3408)=0,"未发货",SUMIFS('[1]2025年已发货'!$E:$E,'[1]2025年已发货'!$F:$F,C3408,'[1]2025年已发货'!$C:$C,F3408,'[1]2025年已发货'!$G:$G,I3408,'[1]2025年已发货'!$H:$H,J3408))</f>
        <v>26</v>
      </c>
      <c r="I3408" s="33" t="str">
        <f>VLOOKUP(B3408,辅助信息!E:I,3,FALSE)</f>
        <v>(乐山市校地共建产教融合基地建设项目二标段)四川省乐山市市中区苏稽镇</v>
      </c>
      <c r="J3408" s="33" t="str">
        <f>VLOOKUP(B3408,辅助信息!E:I,4,FALSE)</f>
        <v>彭江涛</v>
      </c>
      <c r="K3408" s="33">
        <f>VLOOKUP(J3408,辅助信息!H:I,2,FALSE)</f>
        <v>13990276572</v>
      </c>
      <c r="L3408" s="102" t="str">
        <f>VLOOKUP(B3408,辅助信息!E:J,6,FALSE)</f>
        <v>联系实际收货人（彭江涛13990276572）现场要求炉批号控制2个以下，超2个不给予签收。提前联系到场规格及数量</v>
      </c>
      <c r="O3408" s="55" t="str">
        <f ca="1" t="shared" si="188"/>
        <v/>
      </c>
      <c r="P3408" s="55" t="str">
        <f ca="1" t="shared" si="189"/>
        <v/>
      </c>
      <c r="Q3408" s="22" t="str">
        <f>VLOOKUP(B3408,辅助信息!E:M,9,FALSE)</f>
        <v>ZTWM-CDGS-XS-2025-0126-四川机司-乐山市校地共建产教融合基地配套设施项目施工二标段钢筋采购合同</v>
      </c>
      <c r="R3408" s="22" t="str">
        <f>_xlfn._xlws.FILTER(辅助信息!D:D,辅助信息!E:E=B3408)</f>
        <v>乐山市校地共建产教融合基地建设项目二标段</v>
      </c>
    </row>
    <row r="3409" hidden="1" spans="2:18">
      <c r="B3409" s="113" t="s">
        <v>186</v>
      </c>
      <c r="C3409" s="63">
        <v>45912</v>
      </c>
      <c r="D3409" s="33" t="str">
        <f>VLOOKUP(B3409,辅助信息!E:K,7,FALSE)</f>
        <v>JWDDCD2025072900123</v>
      </c>
      <c r="E3409" s="33" t="str">
        <f>VLOOKUP(F3409,辅助信息!A:B,2,FALSE)</f>
        <v>高线</v>
      </c>
      <c r="F3409" s="33" t="s">
        <v>57</v>
      </c>
      <c r="G3409" s="29">
        <v>8</v>
      </c>
      <c r="H3409" s="127"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33" t="str">
        <f>VLOOKUP(B3409,辅助信息!E:I,3,FALSE)</f>
        <v>(乐山市校地共建产教融合基地建设项目二标段)四川省乐山市市中区苏稽镇</v>
      </c>
      <c r="J3409" s="33" t="str">
        <f>VLOOKUP(B3409,辅助信息!E:I,4,FALSE)</f>
        <v>彭江涛</v>
      </c>
      <c r="K3409" s="33">
        <f>VLOOKUP(J3409,辅助信息!H:I,2,FALSE)</f>
        <v>13990276572</v>
      </c>
      <c r="L3409" s="102" t="str">
        <f>VLOOKUP(B3409,辅助信息!E:J,6,FALSE)</f>
        <v>联系实际收货人（彭江涛13990276572）现场要求炉批号控制2个以下，超2个不给予签收。提前联系到场规格及数量</v>
      </c>
      <c r="O3409" s="55" t="str">
        <f ca="1" t="shared" si="188"/>
        <v/>
      </c>
      <c r="P3409" s="55" t="str">
        <f ca="1" t="shared" si="189"/>
        <v/>
      </c>
      <c r="Q3409" s="22" t="str">
        <f>VLOOKUP(B3409,辅助信息!E:M,9,FALSE)</f>
        <v>ZTWM-CDGS-XS-2025-0126-四川机司-乐山市校地共建产教融合基地配套设施项目施工二标段钢筋采购合同</v>
      </c>
      <c r="R3409" s="22" t="str">
        <f>_xlfn._xlws.FILTER(辅助信息!D:D,辅助信息!E:E=B3409)</f>
        <v>乐山市校地共建产教融合基地建设项目二标段</v>
      </c>
    </row>
    <row r="3410" hidden="1" spans="2:18">
      <c r="B3410" s="113" t="s">
        <v>186</v>
      </c>
      <c r="C3410" s="63">
        <v>45912</v>
      </c>
      <c r="D3410" s="33" t="str">
        <f>VLOOKUP(B3410,辅助信息!E:K,7,FALSE)</f>
        <v>JWDDCD2025072900123</v>
      </c>
      <c r="E3410" s="33" t="str">
        <f>VLOOKUP(F3410,辅助信息!A:B,2,FALSE)</f>
        <v>螺纹钢</v>
      </c>
      <c r="F3410" s="33" t="s">
        <v>205</v>
      </c>
      <c r="G3410" s="29">
        <v>12</v>
      </c>
      <c r="H3410" s="127"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33" t="str">
        <f>VLOOKUP(B3410,辅助信息!E:I,3,FALSE)</f>
        <v>(乐山市校地共建产教融合基地建设项目二标段)四川省乐山市市中区苏稽镇</v>
      </c>
      <c r="J3410" s="33" t="str">
        <f>VLOOKUP(B3410,辅助信息!E:I,4,FALSE)</f>
        <v>彭江涛</v>
      </c>
      <c r="K3410" s="33">
        <f>VLOOKUP(J3410,辅助信息!H:I,2,FALSE)</f>
        <v>13990276572</v>
      </c>
      <c r="L3410" s="102" t="str">
        <f>VLOOKUP(B3410,辅助信息!E:J,6,FALSE)</f>
        <v>联系实际收货人（彭江涛13990276572）现场要求炉批号控制2个以下，超2个不给予签收。提前联系到场规格及数量</v>
      </c>
      <c r="O3410" s="55" t="str">
        <f ca="1" t="shared" si="188"/>
        <v/>
      </c>
      <c r="P3410" s="55" t="str">
        <f ca="1" t="shared" si="189"/>
        <v/>
      </c>
      <c r="Q3410" s="22" t="str">
        <f>VLOOKUP(B3410,辅助信息!E:M,9,FALSE)</f>
        <v>ZTWM-CDGS-XS-2025-0126-四川机司-乐山市校地共建产教融合基地配套设施项目施工二标段钢筋采购合同</v>
      </c>
      <c r="R3410" s="22" t="str">
        <f>_xlfn._xlws.FILTER(辅助信息!D:D,辅助信息!E:E=B3410)</f>
        <v>乐山市校地共建产教融合基地建设项目二标段</v>
      </c>
    </row>
    <row r="3411" hidden="1" spans="2:18">
      <c r="B3411" s="113" t="s">
        <v>186</v>
      </c>
      <c r="C3411" s="63">
        <v>45912</v>
      </c>
      <c r="D3411" s="33" t="str">
        <f>VLOOKUP(B3411,辅助信息!E:K,7,FALSE)</f>
        <v>JWDDCD2025072900123</v>
      </c>
      <c r="E3411" s="33" t="str">
        <f>VLOOKUP(F3411,辅助信息!A:B,2,FALSE)</f>
        <v>螺纹钢</v>
      </c>
      <c r="F3411" s="33" t="s">
        <v>142</v>
      </c>
      <c r="G3411" s="29">
        <v>11</v>
      </c>
      <c r="H3411" s="127">
        <f>IF(SUMIFS('[1]2025年已发货'!$E:$E,'[1]2025年已发货'!$F:$F,C3411,'[1]2025年已发货'!$C:$C,F3411,'[1]2025年已发货'!$G:$G,I3411,'[1]2025年已发货'!$H:$H,J3411)=0,"未发货",SUMIFS('[1]2025年已发货'!$E:$E,'[1]2025年已发货'!$F:$F,C3411,'[1]2025年已发货'!$C:$C,F3411,'[1]2025年已发货'!$G:$G,I3411,'[1]2025年已发货'!$H:$H,J3411))</f>
        <v>11</v>
      </c>
      <c r="I3411" s="33" t="str">
        <f>VLOOKUP(B3411,辅助信息!E:I,3,FALSE)</f>
        <v>(乐山市校地共建产教融合基地建设项目二标段)四川省乐山市市中区苏稽镇</v>
      </c>
      <c r="J3411" s="33" t="str">
        <f>VLOOKUP(B3411,辅助信息!E:I,4,FALSE)</f>
        <v>彭江涛</v>
      </c>
      <c r="K3411" s="33">
        <f>VLOOKUP(J3411,辅助信息!H:I,2,FALSE)</f>
        <v>13990276572</v>
      </c>
      <c r="L3411" s="102" t="str">
        <f>VLOOKUP(B3411,辅助信息!E:J,6,FALSE)</f>
        <v>联系实际收货人（彭江涛13990276572）现场要求炉批号控制2个以下，超2个不给予签收。提前联系到场规格及数量</v>
      </c>
      <c r="O3411" s="55" t="str">
        <f ca="1" t="shared" si="188"/>
        <v/>
      </c>
      <c r="P3411" s="55" t="str">
        <f ca="1" t="shared" si="189"/>
        <v/>
      </c>
      <c r="Q3411" s="22" t="str">
        <f>VLOOKUP(B3411,辅助信息!E:M,9,FALSE)</f>
        <v>ZTWM-CDGS-XS-2025-0126-四川机司-乐山市校地共建产教融合基地配套设施项目施工二标段钢筋采购合同</v>
      </c>
      <c r="R3411" s="22" t="str">
        <f>_xlfn._xlws.FILTER(辅助信息!D:D,辅助信息!E:E=B3411)</f>
        <v>乐山市校地共建产教融合基地建设项目二标段</v>
      </c>
    </row>
    <row r="3412" hidden="1" spans="2:18">
      <c r="B3412" s="113" t="s">
        <v>186</v>
      </c>
      <c r="C3412" s="63">
        <v>45912</v>
      </c>
      <c r="D3412" s="33" t="str">
        <f>VLOOKUP(B3412,辅助信息!E:K,7,FALSE)</f>
        <v>JWDDCD2025072900123</v>
      </c>
      <c r="E3412" s="33" t="str">
        <f>VLOOKUP(F3412,辅助信息!A:B,2,FALSE)</f>
        <v>盘螺</v>
      </c>
      <c r="F3412" s="33" t="s">
        <v>41</v>
      </c>
      <c r="G3412" s="29">
        <v>16</v>
      </c>
      <c r="H3412" s="127"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33" t="str">
        <f>VLOOKUP(B3412,辅助信息!E:I,3,FALSE)</f>
        <v>(乐山市校地共建产教融合基地建设项目二标段)四川省乐山市市中区苏稽镇</v>
      </c>
      <c r="J3412" s="33" t="str">
        <f>VLOOKUP(B3412,辅助信息!E:I,4,FALSE)</f>
        <v>彭江涛</v>
      </c>
      <c r="K3412" s="33">
        <f>VLOOKUP(J3412,辅助信息!H:I,2,FALSE)</f>
        <v>13990276572</v>
      </c>
      <c r="L3412" s="102" t="str">
        <f>VLOOKUP(B3412,辅助信息!E:J,6,FALSE)</f>
        <v>联系实际收货人（彭江涛13990276572）现场要求炉批号控制2个以下，超2个不给予签收。提前联系到场规格及数量</v>
      </c>
      <c r="O3412" s="55" t="str">
        <f ca="1" t="shared" si="188"/>
        <v/>
      </c>
      <c r="P3412" s="55" t="str">
        <f ca="1" t="shared" si="189"/>
        <v/>
      </c>
      <c r="Q3412" s="22" t="str">
        <f>VLOOKUP(B3412,辅助信息!E:M,9,FALSE)</f>
        <v>ZTWM-CDGS-XS-2025-0126-四川机司-乐山市校地共建产教融合基地配套设施项目施工二标段钢筋采购合同</v>
      </c>
      <c r="R3412" s="22" t="str">
        <f>_xlfn._xlws.FILTER(辅助信息!D:D,辅助信息!E:E=B3412)</f>
        <v>乐山市校地共建产教融合基地建设项目二标段</v>
      </c>
    </row>
    <row r="3413" hidden="1" spans="2:18">
      <c r="B3413" s="113" t="s">
        <v>186</v>
      </c>
      <c r="C3413" s="63">
        <v>45912</v>
      </c>
      <c r="D3413" s="33" t="str">
        <f>VLOOKUP(B3413,辅助信息!E:K,7,FALSE)</f>
        <v>JWDDCD2025072900123</v>
      </c>
      <c r="E3413" s="33" t="str">
        <f>VLOOKUP(F3413,辅助信息!A:B,2,FALSE)</f>
        <v>盘螺</v>
      </c>
      <c r="F3413" s="33" t="s">
        <v>26</v>
      </c>
      <c r="G3413" s="29">
        <v>65.4</v>
      </c>
      <c r="H3413" s="127">
        <f>IF(SUMIFS('[1]2025年已发货'!$E:$E,'[1]2025年已发货'!$F:$F,C3413,'[1]2025年已发货'!$C:$C,F3413,'[1]2025年已发货'!$G:$G,I3413,'[1]2025年已发货'!$H:$H,J3413)=0,"未发货",SUMIFS('[1]2025年已发货'!$E:$E,'[1]2025年已发货'!$F:$F,C3413,'[1]2025年已发货'!$C:$C,F3413,'[1]2025年已发货'!$G:$G,I3413,'[1]2025年已发货'!$H:$H,J3413))</f>
        <v>57.5</v>
      </c>
      <c r="I3413" s="33" t="str">
        <f>VLOOKUP(B3413,辅助信息!E:I,3,FALSE)</f>
        <v>(乐山市校地共建产教融合基地建设项目二标段)四川省乐山市市中区苏稽镇</v>
      </c>
      <c r="J3413" s="33" t="str">
        <f>VLOOKUP(B3413,辅助信息!E:I,4,FALSE)</f>
        <v>彭江涛</v>
      </c>
      <c r="K3413" s="33">
        <f>VLOOKUP(J3413,辅助信息!H:I,2,FALSE)</f>
        <v>13990276572</v>
      </c>
      <c r="L3413" s="102" t="str">
        <f>VLOOKUP(B3413,辅助信息!E:J,6,FALSE)</f>
        <v>联系实际收货人（彭江涛13990276572）现场要求炉批号控制2个以下，超2个不给予签收。提前联系到场规格及数量</v>
      </c>
      <c r="O3413" s="55" t="str">
        <f ca="1" t="shared" si="188"/>
        <v/>
      </c>
      <c r="P3413" s="55" t="str">
        <f ca="1" t="shared" si="189"/>
        <v/>
      </c>
      <c r="Q3413" s="22" t="str">
        <f>VLOOKUP(B3413,辅助信息!E:M,9,FALSE)</f>
        <v>ZTWM-CDGS-XS-2025-0126-四川机司-乐山市校地共建产教融合基地配套设施项目施工二标段钢筋采购合同</v>
      </c>
      <c r="R3413" s="22" t="str">
        <f>_xlfn._xlws.FILTER(辅助信息!D:D,辅助信息!E:E=B3413)</f>
        <v>乐山市校地共建产教融合基地建设项目二标段</v>
      </c>
    </row>
    <row r="3414" hidden="1" spans="1:18">
      <c r="A3414" s="64" t="s">
        <v>218</v>
      </c>
      <c r="B3414" s="33" t="s">
        <v>203</v>
      </c>
      <c r="C3414" s="63">
        <v>45912</v>
      </c>
      <c r="D3414" s="33" t="str">
        <f>VLOOKUP(B3414,辅助信息!E:K,7,FALSE)</f>
        <v>JWDDCD2025102100479</v>
      </c>
      <c r="E3414" s="33" t="str">
        <f>VLOOKUP(F3414,辅助信息!A:B,2,FALSE)</f>
        <v>螺纹钢</v>
      </c>
      <c r="F3414" s="33" t="s">
        <v>27</v>
      </c>
      <c r="G3414" s="29">
        <v>10</v>
      </c>
      <c r="H3414" s="127"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33" t="str">
        <f>VLOOKUP(B3414,辅助信息!E:I,3,FALSE)</f>
        <v>(五冶建设空港兴城怡心街道83亩项目)成都市双流区怡心街道高峰社区一组剑和路一段空港兴城怡心街道83亩项目中国五冶项目部</v>
      </c>
      <c r="J3414" s="33" t="str">
        <f>VLOOKUP(B3414,辅助信息!E:I,4,FALSE)</f>
        <v>王刚</v>
      </c>
      <c r="K3414" s="33">
        <f>VLOOKUP(J3414,辅助信息!H:I,2,FALSE)</f>
        <v>15881190525</v>
      </c>
      <c r="L3414" s="102"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55" t="str">
        <f ca="1" t="shared" si="188"/>
        <v/>
      </c>
      <c r="P3414" s="55" t="str">
        <f ca="1" t="shared" si="189"/>
        <v/>
      </c>
      <c r="Q3414" s="22" t="str">
        <f>VLOOKUP(B3414,辅助信息!E:M,9,FALSE)</f>
        <v>ZTWM-CDGS-XS-2025-0073-五冶天府-成都怡心湖片区及龙泉驿医院等项目</v>
      </c>
      <c r="R3414" s="22" t="str">
        <f>_xlfn._xlws.FILTER(辅助信息!D:D,辅助信息!E:E=B3414)</f>
        <v>五冶建设空港兴城怡心街道83亩项目</v>
      </c>
    </row>
    <row r="3415" hidden="1" spans="1:18">
      <c r="A3415" s="64"/>
      <c r="B3415" s="33" t="s">
        <v>203</v>
      </c>
      <c r="C3415" s="63">
        <v>45912</v>
      </c>
      <c r="D3415" s="33" t="str">
        <f>VLOOKUP(B3415,辅助信息!E:K,7,FALSE)</f>
        <v>JWDDCD2025102100479</v>
      </c>
      <c r="E3415" s="33" t="str">
        <f>VLOOKUP(F3415,辅助信息!A:B,2,FALSE)</f>
        <v>螺纹钢</v>
      </c>
      <c r="F3415" s="33" t="s">
        <v>19</v>
      </c>
      <c r="G3415" s="29">
        <v>25</v>
      </c>
      <c r="H3415" s="127"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33" t="str">
        <f>VLOOKUP(B3415,辅助信息!E:I,3,FALSE)</f>
        <v>(五冶建设空港兴城怡心街道83亩项目)成都市双流区怡心街道高峰社区一组剑和路一段空港兴城怡心街道83亩项目中国五冶项目部</v>
      </c>
      <c r="J3415" s="33" t="str">
        <f>VLOOKUP(B3415,辅助信息!E:I,4,FALSE)</f>
        <v>王刚</v>
      </c>
      <c r="K3415" s="33">
        <f>VLOOKUP(J3415,辅助信息!H:I,2,FALSE)</f>
        <v>15881190525</v>
      </c>
      <c r="L3415" s="102"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55" t="str">
        <f ca="1" t="shared" si="188"/>
        <v/>
      </c>
      <c r="P3415" s="55" t="str">
        <f ca="1" t="shared" si="189"/>
        <v/>
      </c>
      <c r="Q3415" s="22" t="str">
        <f>VLOOKUP(B3415,辅助信息!E:M,9,FALSE)</f>
        <v>ZTWM-CDGS-XS-2025-0073-五冶天府-成都怡心湖片区及龙泉驿医院等项目</v>
      </c>
      <c r="R3415" s="22" t="str">
        <f>_xlfn._xlws.FILTER(辅助信息!D:D,辅助信息!E:E=B3415)</f>
        <v>五冶建设空港兴城怡心街道83亩项目</v>
      </c>
    </row>
    <row r="3416" hidden="1" spans="2:18">
      <c r="B3416" s="33" t="s">
        <v>112</v>
      </c>
      <c r="C3416" s="63">
        <v>45915</v>
      </c>
      <c r="D3416" s="33" t="str">
        <f>VLOOKUP(B3416,辅助信息!E:K,7,FALSE)</f>
        <v>JWDDCD2025052800131</v>
      </c>
      <c r="E3416" s="33" t="str">
        <f>VLOOKUP(F3416,辅助信息!A:B,2,FALSE)</f>
        <v>螺纹钢</v>
      </c>
      <c r="F3416" s="33" t="s">
        <v>27</v>
      </c>
      <c r="G3416" s="29">
        <v>6</v>
      </c>
      <c r="H3416" s="127"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33" t="str">
        <f>VLOOKUP(B3416,辅助信息!E:I,3,FALSE)</f>
        <v>（商投建工达州中医药科技园-4工区-10号楼）达州市通川区达州中医药职业学院犀牛大道北段</v>
      </c>
      <c r="J3416" s="33" t="str">
        <f>VLOOKUP(B3416,辅助信息!E:I,4,FALSE)</f>
        <v>张扬</v>
      </c>
      <c r="K3416" s="33">
        <f>VLOOKUP(J3416,辅助信息!H:I,2,FALSE)</f>
        <v>18381904567</v>
      </c>
      <c r="L3416" s="102" t="str">
        <f>VLOOKUP(B3416,辅助信息!E:J,6,FALSE)</f>
        <v>控制炉批号！多了现场不收！,优先安排达钢,提前联系到场规格及数量</v>
      </c>
      <c r="O3416" s="55" t="str">
        <f ca="1" t="shared" si="188"/>
        <v/>
      </c>
      <c r="P3416" s="55" t="str">
        <f ca="1" t="shared" si="189"/>
        <v/>
      </c>
      <c r="Q3416" s="22" t="str">
        <f>VLOOKUP(B3416,辅助信息!E:M,9,FALSE)</f>
        <v>ZTWM-CDGS-XS-2024-0134-商投建工达州中医药科技成果示范园项目</v>
      </c>
      <c r="R3416" s="22" t="str">
        <f>_xlfn._xlws.FILTER(辅助信息!D:D,辅助信息!E:E=B3416)</f>
        <v>商投建工达州中医药科技园</v>
      </c>
    </row>
    <row r="3417" hidden="1" spans="2:18">
      <c r="B3417" s="33" t="s">
        <v>112</v>
      </c>
      <c r="C3417" s="63">
        <v>45915</v>
      </c>
      <c r="D3417" s="33" t="str">
        <f>VLOOKUP(B3417,辅助信息!E:K,7,FALSE)</f>
        <v>JWDDCD2025052800131</v>
      </c>
      <c r="E3417" s="33" t="str">
        <f>VLOOKUP(F3417,辅助信息!A:B,2,FALSE)</f>
        <v>螺纹钢</v>
      </c>
      <c r="F3417" s="33" t="s">
        <v>45</v>
      </c>
      <c r="G3417" s="29">
        <v>6</v>
      </c>
      <c r="H3417" s="127"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33" t="str">
        <f>VLOOKUP(B3417,辅助信息!E:I,3,FALSE)</f>
        <v>（商投建工达州中医药科技园-4工区-10号楼）达州市通川区达州中医药职业学院犀牛大道北段</v>
      </c>
      <c r="J3417" s="33" t="str">
        <f>VLOOKUP(B3417,辅助信息!E:I,4,FALSE)</f>
        <v>张扬</v>
      </c>
      <c r="K3417" s="33">
        <f>VLOOKUP(J3417,辅助信息!H:I,2,FALSE)</f>
        <v>18381904567</v>
      </c>
      <c r="L3417" s="102" t="str">
        <f>VLOOKUP(B3417,辅助信息!E:J,6,FALSE)</f>
        <v>控制炉批号！多了现场不收！,优先安排达钢,提前联系到场规格及数量</v>
      </c>
      <c r="O3417" s="55" t="str">
        <f ca="1" t="shared" si="188"/>
        <v/>
      </c>
      <c r="P3417" s="55" t="str">
        <f ca="1" t="shared" si="189"/>
        <v/>
      </c>
      <c r="Q3417" s="22" t="str">
        <f>VLOOKUP(B3417,辅助信息!E:M,9,FALSE)</f>
        <v>ZTWM-CDGS-XS-2024-0134-商投建工达州中医药科技成果示范园项目</v>
      </c>
      <c r="R3417" s="22" t="str">
        <f>_xlfn._xlws.FILTER(辅助信息!D:D,辅助信息!E:E=B3417)</f>
        <v>商投建工达州中医药科技园</v>
      </c>
    </row>
    <row r="3418" hidden="1" spans="2:18">
      <c r="B3418" s="33" t="s">
        <v>112</v>
      </c>
      <c r="C3418" s="63">
        <v>45915</v>
      </c>
      <c r="D3418" s="33" t="str">
        <f>VLOOKUP(B3418,辅助信息!E:K,7,FALSE)</f>
        <v>JWDDCD2025052800131</v>
      </c>
      <c r="E3418" s="33" t="str">
        <f>VLOOKUP(F3418,辅助信息!A:B,2,FALSE)</f>
        <v>螺纹钢</v>
      </c>
      <c r="F3418" s="33" t="s">
        <v>21</v>
      </c>
      <c r="G3418" s="29">
        <v>12</v>
      </c>
      <c r="H3418" s="127"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33" t="str">
        <f>VLOOKUP(B3418,辅助信息!E:I,3,FALSE)</f>
        <v>（商投建工达州中医药科技园-4工区-10号楼）达州市通川区达州中医药职业学院犀牛大道北段</v>
      </c>
      <c r="J3418" s="33" t="str">
        <f>VLOOKUP(B3418,辅助信息!E:I,4,FALSE)</f>
        <v>张扬</v>
      </c>
      <c r="K3418" s="33">
        <f>VLOOKUP(J3418,辅助信息!H:I,2,FALSE)</f>
        <v>18381904567</v>
      </c>
      <c r="L3418" s="102" t="str">
        <f>VLOOKUP(B3418,辅助信息!E:J,6,FALSE)</f>
        <v>控制炉批号！多了现场不收！,优先安排达钢,提前联系到场规格及数量</v>
      </c>
      <c r="O3418" s="55" t="str">
        <f ca="1" t="shared" si="188"/>
        <v/>
      </c>
      <c r="P3418" s="55" t="str">
        <f ca="1" t="shared" si="189"/>
        <v/>
      </c>
      <c r="Q3418" s="22" t="str">
        <f>VLOOKUP(B3418,辅助信息!E:M,9,FALSE)</f>
        <v>ZTWM-CDGS-XS-2024-0134-商投建工达州中医药科技成果示范园项目</v>
      </c>
      <c r="R3418" s="22" t="str">
        <f>_xlfn._xlws.FILTER(辅助信息!D:D,辅助信息!E:E=B3418)</f>
        <v>商投建工达州中医药科技园</v>
      </c>
    </row>
    <row r="3419" hidden="1" spans="2:18">
      <c r="B3419" s="33" t="s">
        <v>112</v>
      </c>
      <c r="C3419" s="63">
        <v>45915</v>
      </c>
      <c r="D3419" s="33" t="str">
        <f>VLOOKUP(B3419,辅助信息!E:K,7,FALSE)</f>
        <v>JWDDCD2025052800131</v>
      </c>
      <c r="E3419" s="33" t="str">
        <f>VLOOKUP(F3419,辅助信息!A:B,2,FALSE)</f>
        <v>螺纹钢</v>
      </c>
      <c r="F3419" s="33" t="s">
        <v>58</v>
      </c>
      <c r="G3419" s="29">
        <v>9</v>
      </c>
      <c r="H3419" s="127"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33" t="str">
        <f>VLOOKUP(B3419,辅助信息!E:I,3,FALSE)</f>
        <v>（商投建工达州中医药科技园-4工区-10号楼）达州市通川区达州中医药职业学院犀牛大道北段</v>
      </c>
      <c r="J3419" s="33" t="str">
        <f>VLOOKUP(B3419,辅助信息!E:I,4,FALSE)</f>
        <v>张扬</v>
      </c>
      <c r="K3419" s="33">
        <f>VLOOKUP(J3419,辅助信息!H:I,2,FALSE)</f>
        <v>18381904567</v>
      </c>
      <c r="L3419" s="102" t="str">
        <f>VLOOKUP(B3419,辅助信息!E:J,6,FALSE)</f>
        <v>控制炉批号！多了现场不收！,优先安排达钢,提前联系到场规格及数量</v>
      </c>
      <c r="O3419" s="55" t="str">
        <f ca="1" t="shared" si="188"/>
        <v/>
      </c>
      <c r="P3419" s="55" t="str">
        <f ca="1" t="shared" si="189"/>
        <v/>
      </c>
      <c r="Q3419" s="22" t="str">
        <f>VLOOKUP(B3419,辅助信息!E:M,9,FALSE)</f>
        <v>ZTWM-CDGS-XS-2024-0134-商投建工达州中医药科技成果示范园项目</v>
      </c>
      <c r="R3419" s="22" t="str">
        <f>_xlfn._xlws.FILTER(辅助信息!D:D,辅助信息!E:E=B3419)</f>
        <v>商投建工达州中医药科技园</v>
      </c>
    </row>
    <row r="3420" hidden="1" spans="2:18">
      <c r="B3420" s="33" t="s">
        <v>112</v>
      </c>
      <c r="C3420" s="63">
        <v>45915</v>
      </c>
      <c r="D3420" s="33" t="str">
        <f>VLOOKUP(B3420,辅助信息!E:K,7,FALSE)</f>
        <v>JWDDCD2025052800131</v>
      </c>
      <c r="E3420" s="33" t="str">
        <f>VLOOKUP(F3420,辅助信息!A:B,2,FALSE)</f>
        <v>螺纹钢</v>
      </c>
      <c r="F3420" s="33" t="s">
        <v>46</v>
      </c>
      <c r="G3420" s="29">
        <v>15</v>
      </c>
      <c r="H3420" s="127"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33" t="str">
        <f>VLOOKUP(B3420,辅助信息!E:I,3,FALSE)</f>
        <v>（商投建工达州中医药科技园-4工区-10号楼）达州市通川区达州中医药职业学院犀牛大道北段</v>
      </c>
      <c r="J3420" s="33" t="str">
        <f>VLOOKUP(B3420,辅助信息!E:I,4,FALSE)</f>
        <v>张扬</v>
      </c>
      <c r="K3420" s="33">
        <f>VLOOKUP(J3420,辅助信息!H:I,2,FALSE)</f>
        <v>18381904567</v>
      </c>
      <c r="L3420" s="102" t="str">
        <f>VLOOKUP(B3420,辅助信息!E:J,6,FALSE)</f>
        <v>控制炉批号！多了现场不收！,优先安排达钢,提前联系到场规格及数量</v>
      </c>
      <c r="O3420" s="55" t="str">
        <f ca="1" t="shared" si="188"/>
        <v/>
      </c>
      <c r="P3420" s="55" t="str">
        <f ca="1" t="shared" si="189"/>
        <v/>
      </c>
      <c r="Q3420" s="22" t="str">
        <f>VLOOKUP(B3420,辅助信息!E:M,9,FALSE)</f>
        <v>ZTWM-CDGS-XS-2024-0134-商投建工达州中医药科技成果示范园项目</v>
      </c>
      <c r="R3420" s="22" t="str">
        <f>_xlfn._xlws.FILTER(辅助信息!D:D,辅助信息!E:E=B3420)</f>
        <v>商投建工达州中医药科技园</v>
      </c>
    </row>
    <row r="3421" hidden="1" spans="2:18">
      <c r="B3421" s="33" t="s">
        <v>112</v>
      </c>
      <c r="C3421" s="63">
        <v>45915</v>
      </c>
      <c r="D3421" s="33" t="str">
        <f>VLOOKUP(B3421,辅助信息!E:K,7,FALSE)</f>
        <v>JWDDCD2025052800131</v>
      </c>
      <c r="E3421" s="33" t="str">
        <f>VLOOKUP(F3421,辅助信息!A:B,2,FALSE)</f>
        <v>螺纹钢</v>
      </c>
      <c r="F3421" s="33" t="s">
        <v>22</v>
      </c>
      <c r="G3421" s="29">
        <v>21</v>
      </c>
      <c r="H3421" s="127"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33" t="str">
        <f>VLOOKUP(B3421,辅助信息!E:I,3,FALSE)</f>
        <v>（商投建工达州中医药科技园-4工区-10号楼）达州市通川区达州中医药职业学院犀牛大道北段</v>
      </c>
      <c r="J3421" s="33" t="str">
        <f>VLOOKUP(B3421,辅助信息!E:I,4,FALSE)</f>
        <v>张扬</v>
      </c>
      <c r="K3421" s="33">
        <f>VLOOKUP(J3421,辅助信息!H:I,2,FALSE)</f>
        <v>18381904567</v>
      </c>
      <c r="L3421" s="102" t="str">
        <f>VLOOKUP(B3421,辅助信息!E:J,6,FALSE)</f>
        <v>控制炉批号！多了现场不收！,优先安排达钢,提前联系到场规格及数量</v>
      </c>
      <c r="O3421" s="55" t="str">
        <f ca="1" t="shared" si="188"/>
        <v/>
      </c>
      <c r="P3421" s="55" t="str">
        <f ca="1" t="shared" si="189"/>
        <v/>
      </c>
      <c r="Q3421" s="22" t="str">
        <f>VLOOKUP(B3421,辅助信息!E:M,9,FALSE)</f>
        <v>ZTWM-CDGS-XS-2024-0134-商投建工达州中医药科技成果示范园项目</v>
      </c>
      <c r="R3421" s="22" t="str">
        <f>_xlfn._xlws.FILTER(辅助信息!D:D,辅助信息!E:E=B3421)</f>
        <v>商投建工达州中医药科技园</v>
      </c>
    </row>
    <row r="3422" hidden="1" spans="2:18">
      <c r="B3422" s="33" t="s">
        <v>186</v>
      </c>
      <c r="C3422" s="63">
        <v>45915</v>
      </c>
      <c r="D3422" s="33" t="str">
        <f>VLOOKUP(B3422,辅助信息!E:K,7,FALSE)</f>
        <v>JWDDCD2025072900123</v>
      </c>
      <c r="E3422" s="33" t="str">
        <f>VLOOKUP(F3422,辅助信息!A:B,2,FALSE)</f>
        <v>螺纹钢</v>
      </c>
      <c r="F3422" s="33" t="s">
        <v>111</v>
      </c>
      <c r="G3422" s="29">
        <v>35</v>
      </c>
      <c r="H3422" s="127">
        <f>IF(SUMIFS('[1]2025年已发货'!$E:$E,'[1]2025年已发货'!$F:$F,C3422,'[1]2025年已发货'!$C:$C,F3422,'[1]2025年已发货'!$G:$G,I3422,'[1]2025年已发货'!$H:$H,J3422)=0,"未发货",SUMIFS('[1]2025年已发货'!$E:$E,'[1]2025年已发货'!$F:$F,C3422,'[1]2025年已发货'!$C:$C,F3422,'[1]2025年已发货'!$G:$G,I3422,'[1]2025年已发货'!$H:$H,J3422))</f>
        <v>35</v>
      </c>
      <c r="I3422" s="33" t="str">
        <f>VLOOKUP(B3422,辅助信息!E:I,3,FALSE)</f>
        <v>(乐山市校地共建产教融合基地建设项目二标段)四川省乐山市市中区苏稽镇</v>
      </c>
      <c r="J3422" s="33" t="str">
        <f>VLOOKUP(B3422,辅助信息!E:I,4,FALSE)</f>
        <v>彭江涛</v>
      </c>
      <c r="K3422" s="33">
        <f>VLOOKUP(J3422,辅助信息!H:I,2,FALSE)</f>
        <v>13990276572</v>
      </c>
      <c r="L3422" s="102" t="str">
        <f>VLOOKUP(B3422,辅助信息!E:J,6,FALSE)</f>
        <v>联系实际收货人（彭江涛13990276572）现场要求炉批号控制2个以下，超2个不给予签收。提前联系到场规格及数量</v>
      </c>
      <c r="O3422" s="55" t="str">
        <f ca="1" t="shared" si="188"/>
        <v/>
      </c>
      <c r="P3422" s="55" t="str">
        <f ca="1" t="shared" si="189"/>
        <v/>
      </c>
      <c r="Q3422" s="22" t="str">
        <f>VLOOKUP(B3422,辅助信息!E:M,9,FALSE)</f>
        <v>ZTWM-CDGS-XS-2025-0126-四川机司-乐山市校地共建产教融合基地配套设施项目施工二标段钢筋采购合同</v>
      </c>
      <c r="R3422" s="22" t="str">
        <f>_xlfn._xlws.FILTER(辅助信息!D:D,辅助信息!E:E=B3422)</f>
        <v>乐山市校地共建产教融合基地建设项目二标段</v>
      </c>
    </row>
    <row r="3423" hidden="1" spans="2:18">
      <c r="B3423" s="33" t="s">
        <v>186</v>
      </c>
      <c r="C3423" s="63">
        <v>45915</v>
      </c>
      <c r="D3423" s="33" t="str">
        <f>VLOOKUP(B3423,辅助信息!E:K,7,FALSE)</f>
        <v>JWDDCD2025072900123</v>
      </c>
      <c r="E3423" s="33" t="str">
        <f>VLOOKUP(F3423,辅助信息!A:B,2,FALSE)</f>
        <v>螺纹钢</v>
      </c>
      <c r="F3423" s="33" t="s">
        <v>142</v>
      </c>
      <c r="G3423" s="29">
        <v>35</v>
      </c>
      <c r="H3423" s="127">
        <f>IF(SUMIFS('[1]2025年已发货'!$E:$E,'[1]2025年已发货'!$F:$F,C3423,'[1]2025年已发货'!$C:$C,F3423,'[1]2025年已发货'!$G:$G,I3423,'[1]2025年已发货'!$H:$H,J3423)=0,"未发货",SUMIFS('[1]2025年已发货'!$E:$E,'[1]2025年已发货'!$F:$F,C3423,'[1]2025年已发货'!$C:$C,F3423,'[1]2025年已发货'!$G:$G,I3423,'[1]2025年已发货'!$H:$H,J3423))</f>
        <v>35</v>
      </c>
      <c r="I3423" s="33" t="str">
        <f>VLOOKUP(B3423,辅助信息!E:I,3,FALSE)</f>
        <v>(乐山市校地共建产教融合基地建设项目二标段)四川省乐山市市中区苏稽镇</v>
      </c>
      <c r="J3423" s="33" t="str">
        <f>VLOOKUP(B3423,辅助信息!E:I,4,FALSE)</f>
        <v>彭江涛</v>
      </c>
      <c r="K3423" s="33">
        <f>VLOOKUP(J3423,辅助信息!H:I,2,FALSE)</f>
        <v>13990276572</v>
      </c>
      <c r="L3423" s="102" t="str">
        <f>VLOOKUP(B3423,辅助信息!E:J,6,FALSE)</f>
        <v>联系实际收货人（彭江涛13990276572）现场要求炉批号控制2个以下，超2个不给予签收。提前联系到场规格及数量</v>
      </c>
      <c r="O3423" s="55" t="str">
        <f ca="1" t="shared" si="188"/>
        <v/>
      </c>
      <c r="P3423" s="55" t="str">
        <f ca="1" t="shared" si="189"/>
        <v/>
      </c>
      <c r="Q3423" s="22" t="str">
        <f>VLOOKUP(B3423,辅助信息!E:M,9,FALSE)</f>
        <v>ZTWM-CDGS-XS-2025-0126-四川机司-乐山市校地共建产教融合基地配套设施项目施工二标段钢筋采购合同</v>
      </c>
      <c r="R3423" s="22" t="str">
        <f>_xlfn._xlws.FILTER(辅助信息!D:D,辅助信息!E:E=B3423)</f>
        <v>乐山市校地共建产教融合基地建设项目二标段</v>
      </c>
    </row>
    <row r="3424" hidden="1" spans="2:18">
      <c r="B3424" s="33" t="s">
        <v>208</v>
      </c>
      <c r="C3424" s="63">
        <v>45915</v>
      </c>
      <c r="D3424" s="33" t="str">
        <f>VLOOKUP(B3424,辅助信息!E:K,7,FALSE)</f>
        <v>JWDDCD2025102100480</v>
      </c>
      <c r="E3424" s="33" t="str">
        <f>VLOOKUP(F3424,辅助信息!A:B,2,FALSE)</f>
        <v>高线</v>
      </c>
      <c r="F3424" s="33" t="s">
        <v>61</v>
      </c>
      <c r="G3424" s="29">
        <v>5</v>
      </c>
      <c r="H3424" s="127"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33" t="str">
        <f>VLOOKUP(B3424,辅助信息!E:I,3,FALSE)</f>
        <v>(五冶建设锦江区林家坝片区20号地块商业项目)锦江区泰昌路锦江28亩项目部</v>
      </c>
      <c r="J3424" s="33" t="str">
        <f>VLOOKUP(B3424,辅助信息!E:I,4,FALSE)</f>
        <v>陶杰</v>
      </c>
      <c r="K3424" s="33">
        <f>VLOOKUP(J3424,辅助信息!H:I,2,FALSE)</f>
        <v>13980247952</v>
      </c>
      <c r="L3424" s="102" t="str">
        <f>VLOOKUP(B3424,辅助信息!E:J,6,FALSE)</f>
        <v>联系实际收货人（陶杰13980247952）五冶建设送货单,6份材质书,锈货不收，装货前联系收货人核实到场规格,没提前告知进场规格现场不给予接收</v>
      </c>
      <c r="O3424" s="55" t="str">
        <f ca="1" t="shared" ref="O3424:O3487" si="190">IF(OR(M3424="",N3424&lt;&gt;""),"",MAX(M3424-TODAY(),0))</f>
        <v/>
      </c>
      <c r="P3424" s="55" t="str">
        <f ca="1" t="shared" ref="P3424:P3487" si="191">IF(M3424="","",IF(N3424&lt;&gt;"",MAX(N3424-M3424,0),IF(TODAY()&gt;M3424,TODAY()-M3424,0)))</f>
        <v/>
      </c>
      <c r="Q3424" s="22" t="str">
        <f>VLOOKUP(B3424,辅助信息!E:M,9,FALSE)</f>
        <v>ZTWM-CDGS-XS-2025-0073-五冶天府-成都怡心湖片区及龙泉驿医院等项目</v>
      </c>
      <c r="R3424" s="22" t="str">
        <f>_xlfn._xlws.FILTER(辅助信息!D:D,辅助信息!E:E=B3424)</f>
        <v>五冶建设锦江区林家坝片区20号地块商业项目</v>
      </c>
    </row>
    <row r="3425" hidden="1" spans="2:18">
      <c r="B3425" s="33" t="s">
        <v>208</v>
      </c>
      <c r="C3425" s="63">
        <v>45915</v>
      </c>
      <c r="D3425" s="33" t="str">
        <f>VLOOKUP(B3425,辅助信息!E:K,7,FALSE)</f>
        <v>JWDDCD2025102100480</v>
      </c>
      <c r="E3425" s="33" t="str">
        <f>VLOOKUP(F3425,辅助信息!A:B,2,FALSE)</f>
        <v>螺纹钢</v>
      </c>
      <c r="F3425" s="33" t="s">
        <v>30</v>
      </c>
      <c r="G3425" s="29">
        <v>7.5</v>
      </c>
      <c r="H3425" s="127"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33" t="str">
        <f>VLOOKUP(B3425,辅助信息!E:I,3,FALSE)</f>
        <v>(五冶建设锦江区林家坝片区20号地块商业项目)锦江区泰昌路锦江28亩项目部</v>
      </c>
      <c r="J3425" s="33" t="str">
        <f>VLOOKUP(B3425,辅助信息!E:I,4,FALSE)</f>
        <v>陶杰</v>
      </c>
      <c r="K3425" s="33">
        <f>VLOOKUP(J3425,辅助信息!H:I,2,FALSE)</f>
        <v>13980247952</v>
      </c>
      <c r="L3425" s="102" t="str">
        <f>VLOOKUP(B3425,辅助信息!E:J,6,FALSE)</f>
        <v>联系实际收货人（陶杰13980247952）五冶建设送货单,6份材质书,锈货不收，装货前联系收货人核实到场规格,没提前告知进场规格现场不给予接收</v>
      </c>
      <c r="O3425" s="55" t="str">
        <f ca="1" t="shared" si="190"/>
        <v/>
      </c>
      <c r="P3425" s="55" t="str">
        <f ca="1" t="shared" si="191"/>
        <v/>
      </c>
      <c r="Q3425" s="22" t="str">
        <f>VLOOKUP(B3425,辅助信息!E:M,9,FALSE)</f>
        <v>ZTWM-CDGS-XS-2025-0073-五冶天府-成都怡心湖片区及龙泉驿医院等项目</v>
      </c>
      <c r="R3425" s="22" t="str">
        <f>_xlfn._xlws.FILTER(辅助信息!D:D,辅助信息!E:E=B3425)</f>
        <v>五冶建设锦江区林家坝片区20号地块商业项目</v>
      </c>
    </row>
    <row r="3426" hidden="1" spans="2:18">
      <c r="B3426" s="33" t="s">
        <v>208</v>
      </c>
      <c r="C3426" s="63">
        <v>45915</v>
      </c>
      <c r="D3426" s="33" t="str">
        <f>VLOOKUP(B3426,辅助信息!E:K,7,FALSE)</f>
        <v>JWDDCD2025102100480</v>
      </c>
      <c r="E3426" s="33" t="str">
        <f>VLOOKUP(F3426,辅助信息!A:B,2,FALSE)</f>
        <v>螺纹钢</v>
      </c>
      <c r="F3426" s="33" t="s">
        <v>28</v>
      </c>
      <c r="G3426" s="29">
        <v>23.5</v>
      </c>
      <c r="H3426" s="127"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33" t="str">
        <f>VLOOKUP(B3426,辅助信息!E:I,3,FALSE)</f>
        <v>(五冶建设锦江区林家坝片区20号地块商业项目)锦江区泰昌路锦江28亩项目部</v>
      </c>
      <c r="J3426" s="33" t="str">
        <f>VLOOKUP(B3426,辅助信息!E:I,4,FALSE)</f>
        <v>陶杰</v>
      </c>
      <c r="K3426" s="33">
        <f>VLOOKUP(J3426,辅助信息!H:I,2,FALSE)</f>
        <v>13980247952</v>
      </c>
      <c r="L3426" s="102" t="str">
        <f>VLOOKUP(B3426,辅助信息!E:J,6,FALSE)</f>
        <v>联系实际收货人（陶杰13980247952）五冶建设送货单,6份材质书,锈货不收，装货前联系收货人核实到场规格,没提前告知进场规格现场不给予接收</v>
      </c>
      <c r="O3426" s="55" t="str">
        <f ca="1" t="shared" si="190"/>
        <v/>
      </c>
      <c r="P3426" s="55" t="str">
        <f ca="1" t="shared" si="191"/>
        <v/>
      </c>
      <c r="Q3426" s="22" t="str">
        <f>VLOOKUP(B3426,辅助信息!E:M,9,FALSE)</f>
        <v>ZTWM-CDGS-XS-2025-0073-五冶天府-成都怡心湖片区及龙泉驿医院等项目</v>
      </c>
      <c r="R3426" s="22" t="str">
        <f>_xlfn._xlws.FILTER(辅助信息!D:D,辅助信息!E:E=B3426)</f>
        <v>五冶建设锦江区林家坝片区20号地块商业项目</v>
      </c>
    </row>
    <row r="3427" hidden="1" spans="1:18">
      <c r="A3427" s="64" t="s">
        <v>219</v>
      </c>
      <c r="B3427" s="33" t="s">
        <v>169</v>
      </c>
      <c r="C3427" s="63">
        <v>45915</v>
      </c>
      <c r="D3427" s="33" t="str">
        <f>VLOOKUP(B3427,辅助信息!E:K,7,FALSE)</f>
        <v>JWDDCD2025051800044</v>
      </c>
      <c r="E3427" s="33" t="str">
        <f>VLOOKUP(F3427,辅助信息!A:B,2,FALSE)</f>
        <v>高线</v>
      </c>
      <c r="F3427" s="33" t="s">
        <v>51</v>
      </c>
      <c r="G3427" s="29">
        <v>32</v>
      </c>
      <c r="H3427" s="127">
        <f>IF(SUMIFS('[1]2025年已发货'!$E:$E,'[1]2025年已发货'!$F:$F,C3427,'[1]2025年已发货'!$C:$C,F3427,'[1]2025年已发货'!$G:$G,I3427,'[1]2025年已发货'!$H:$H,J3427)=0,"未发货",SUMIFS('[1]2025年已发货'!$E:$E,'[1]2025年已发货'!$F:$F,C3427,'[1]2025年已发货'!$C:$C,F3427,'[1]2025年已发货'!$G:$G,I3427,'[1]2025年已发货'!$H:$H,J3427))</f>
        <v>32</v>
      </c>
      <c r="I3427" s="33" t="str">
        <f>VLOOKUP(B3427,辅助信息!E:I,3,FALSE)</f>
        <v>(五冶建设龙泉芙蓉花语项目-1,3地块)龙泉驿区北川路双堰塘钓鱼东100米(北川路)</v>
      </c>
      <c r="J3427" s="33" t="str">
        <f>VLOOKUP(B3427,辅助信息!E:I,4,FALSE)</f>
        <v>祝斯阳</v>
      </c>
      <c r="K3427" s="33">
        <f>VLOOKUP(J3427,辅助信息!H:I,2,FALSE)</f>
        <v>15583590797</v>
      </c>
      <c r="L3427" s="140"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55" t="str">
        <f ca="1" t="shared" si="190"/>
        <v/>
      </c>
      <c r="P3427" s="55" t="str">
        <f ca="1" t="shared" si="191"/>
        <v/>
      </c>
      <c r="Q3427" s="22" t="str">
        <f>VLOOKUP(B3427,辅助信息!E:M,9,FALSE)</f>
        <v>ZTWM-CDGS-XS-2025-0073-五冶天府-成都怡心湖片区及龙泉驿医院等项目</v>
      </c>
      <c r="R3427" s="22" t="str">
        <f>_xlfn._xlws.FILTER(辅助信息!D:D,辅助信息!E:E=B3427)</f>
        <v>五冶建设龙泉芙蓉花语项目</v>
      </c>
    </row>
    <row r="3428" hidden="1" spans="1:18">
      <c r="A3428" s="64"/>
      <c r="B3428" s="33" t="s">
        <v>169</v>
      </c>
      <c r="C3428" s="63">
        <v>45915</v>
      </c>
      <c r="D3428" s="33" t="str">
        <f>VLOOKUP(B3428,辅助信息!E:K,7,FALSE)</f>
        <v>JWDDCD2025051800044</v>
      </c>
      <c r="E3428" s="33" t="str">
        <f>VLOOKUP(F3428,辅助信息!A:B,2,FALSE)</f>
        <v>螺纹钢</v>
      </c>
      <c r="F3428" s="33" t="s">
        <v>28</v>
      </c>
      <c r="G3428" s="29">
        <v>64</v>
      </c>
      <c r="H3428" s="127">
        <f>IF(SUMIFS('[1]2025年已发货'!$E:$E,'[1]2025年已发货'!$F:$F,C3428,'[1]2025年已发货'!$C:$C,F3428,'[1]2025年已发货'!$G:$G,I3428,'[1]2025年已发货'!$H:$H,J3428)=0,"未发货",SUMIFS('[1]2025年已发货'!$E:$E,'[1]2025年已发货'!$F:$F,C3428,'[1]2025年已发货'!$C:$C,F3428,'[1]2025年已发货'!$G:$G,I3428,'[1]2025年已发货'!$H:$H,J3428))</f>
        <v>70</v>
      </c>
      <c r="I3428" s="33" t="str">
        <f>VLOOKUP(B3428,辅助信息!E:I,3,FALSE)</f>
        <v>(五冶建设龙泉芙蓉花语项目-1,3地块)龙泉驿区北川路双堰塘钓鱼东100米(北川路)</v>
      </c>
      <c r="J3428" s="33" t="str">
        <f>VLOOKUP(B3428,辅助信息!E:I,4,FALSE)</f>
        <v>祝斯阳</v>
      </c>
      <c r="K3428" s="33">
        <f>VLOOKUP(J3428,辅助信息!H:I,2,FALSE)</f>
        <v>15583590797</v>
      </c>
      <c r="L3428" s="140"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55" t="str">
        <f ca="1" t="shared" si="190"/>
        <v/>
      </c>
      <c r="P3428" s="55" t="str">
        <f ca="1" t="shared" si="191"/>
        <v/>
      </c>
      <c r="Q3428" s="22" t="str">
        <f>VLOOKUP(B3428,辅助信息!E:M,9,FALSE)</f>
        <v>ZTWM-CDGS-XS-2025-0073-五冶天府-成都怡心湖片区及龙泉驿医院等项目</v>
      </c>
      <c r="R3428" s="22" t="str">
        <f>_xlfn._xlws.FILTER(辅助信息!D:D,辅助信息!E:E=B3428)</f>
        <v>五冶建设龙泉芙蓉花语项目</v>
      </c>
    </row>
    <row r="3429" hidden="1" spans="2:18">
      <c r="B3429" s="33" t="s">
        <v>186</v>
      </c>
      <c r="C3429" s="63">
        <v>45915</v>
      </c>
      <c r="D3429" s="33" t="str">
        <f>VLOOKUP(B3429,辅助信息!E:K,7,FALSE)</f>
        <v>JWDDCD2025072900123</v>
      </c>
      <c r="E3429" s="33" t="str">
        <f>VLOOKUP(F3429,辅助信息!A:B,2,FALSE)</f>
        <v>高线</v>
      </c>
      <c r="F3429" s="33" t="s">
        <v>53</v>
      </c>
      <c r="G3429" s="29">
        <v>10</v>
      </c>
      <c r="H3429" s="127"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33" t="str">
        <f>VLOOKUP(B3429,辅助信息!E:I,3,FALSE)</f>
        <v>(乐山市校地共建产教融合基地建设项目二标段)四川省乐山市市中区苏稽镇</v>
      </c>
      <c r="J3429" s="33" t="str">
        <f>VLOOKUP(B3429,辅助信息!E:I,4,FALSE)</f>
        <v>彭江涛</v>
      </c>
      <c r="K3429" s="33">
        <f>VLOOKUP(J3429,辅助信息!H:I,2,FALSE)</f>
        <v>13990276572</v>
      </c>
      <c r="L3429" s="102" t="str">
        <f>VLOOKUP(B3429,辅助信息!E:J,6,FALSE)</f>
        <v>联系实际收货人（彭江涛13990276572）现场要求炉批号控制2个以下，超2个不给予签收。提前联系到场规格及数量</v>
      </c>
      <c r="O3429" s="55" t="str">
        <f ca="1" t="shared" si="190"/>
        <v/>
      </c>
      <c r="P3429" s="55" t="str">
        <f ca="1" t="shared" si="191"/>
        <v/>
      </c>
      <c r="Q3429" s="22" t="str">
        <f>VLOOKUP(B3429,辅助信息!E:M,9,FALSE)</f>
        <v>ZTWM-CDGS-XS-2025-0126-四川机司-乐山市校地共建产教融合基地配套设施项目施工二标段钢筋采购合同</v>
      </c>
      <c r="R3429" s="22" t="str">
        <f>_xlfn._xlws.FILTER(辅助信息!D:D,辅助信息!E:E=B3429)</f>
        <v>乐山市校地共建产教融合基地建设项目二标段</v>
      </c>
    </row>
    <row r="3430" hidden="1" spans="2:18">
      <c r="B3430" s="33" t="s">
        <v>186</v>
      </c>
      <c r="C3430" s="63">
        <v>45915</v>
      </c>
      <c r="D3430" s="33" t="str">
        <f>VLOOKUP(B3430,辅助信息!E:K,7,FALSE)</f>
        <v>JWDDCD2025072900123</v>
      </c>
      <c r="E3430" s="33" t="str">
        <f>VLOOKUP(F3430,辅助信息!A:B,2,FALSE)</f>
        <v>盘螺</v>
      </c>
      <c r="F3430" s="33" t="s">
        <v>49</v>
      </c>
      <c r="G3430" s="29">
        <v>5</v>
      </c>
      <c r="H3430" s="127"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33" t="str">
        <f>VLOOKUP(B3430,辅助信息!E:I,3,FALSE)</f>
        <v>(乐山市校地共建产教融合基地建设项目二标段)四川省乐山市市中区苏稽镇</v>
      </c>
      <c r="J3430" s="33" t="str">
        <f>VLOOKUP(B3430,辅助信息!E:I,4,FALSE)</f>
        <v>彭江涛</v>
      </c>
      <c r="K3430" s="33">
        <f>VLOOKUP(J3430,辅助信息!H:I,2,FALSE)</f>
        <v>13990276572</v>
      </c>
      <c r="L3430" s="102" t="str">
        <f>VLOOKUP(B3430,辅助信息!E:J,6,FALSE)</f>
        <v>联系实际收货人（彭江涛13990276572）现场要求炉批号控制2个以下，超2个不给予签收。提前联系到场规格及数量</v>
      </c>
      <c r="O3430" s="55" t="str">
        <f ca="1" t="shared" si="190"/>
        <v/>
      </c>
      <c r="P3430" s="55" t="str">
        <f ca="1" t="shared" si="191"/>
        <v/>
      </c>
      <c r="Q3430" s="22" t="str">
        <f>VLOOKUP(B3430,辅助信息!E:M,9,FALSE)</f>
        <v>ZTWM-CDGS-XS-2025-0126-四川机司-乐山市校地共建产教融合基地配套设施项目施工二标段钢筋采购合同</v>
      </c>
      <c r="R3430" s="22" t="str">
        <f>_xlfn._xlws.FILTER(辅助信息!D:D,辅助信息!E:E=B3430)</f>
        <v>乐山市校地共建产教融合基地建设项目二标段</v>
      </c>
    </row>
    <row r="3431" hidden="1" spans="2:18">
      <c r="B3431" s="33" t="s">
        <v>186</v>
      </c>
      <c r="C3431" s="63">
        <v>45915</v>
      </c>
      <c r="D3431" s="33" t="str">
        <f>VLOOKUP(B3431,辅助信息!E:K,7,FALSE)</f>
        <v>JWDDCD2025072900123</v>
      </c>
      <c r="E3431" s="33" t="str">
        <f>VLOOKUP(F3431,辅助信息!A:B,2,FALSE)</f>
        <v>螺纹钢</v>
      </c>
      <c r="F3431" s="33" t="s">
        <v>90</v>
      </c>
      <c r="G3431" s="29">
        <v>20</v>
      </c>
      <c r="H3431" s="127"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33" t="str">
        <f>VLOOKUP(B3431,辅助信息!E:I,3,FALSE)</f>
        <v>(乐山市校地共建产教融合基地建设项目二标段)四川省乐山市市中区苏稽镇</v>
      </c>
      <c r="J3431" s="33" t="str">
        <f>VLOOKUP(B3431,辅助信息!E:I,4,FALSE)</f>
        <v>彭江涛</v>
      </c>
      <c r="K3431" s="33">
        <f>VLOOKUP(J3431,辅助信息!H:I,2,FALSE)</f>
        <v>13990276572</v>
      </c>
      <c r="L3431" s="102" t="str">
        <f>VLOOKUP(B3431,辅助信息!E:J,6,FALSE)</f>
        <v>联系实际收货人（彭江涛13990276572）现场要求炉批号控制2个以下，超2个不给予签收。提前联系到场规格及数量</v>
      </c>
      <c r="O3431" s="55" t="str">
        <f ca="1" t="shared" si="190"/>
        <v/>
      </c>
      <c r="P3431" s="55" t="str">
        <f ca="1" t="shared" si="191"/>
        <v/>
      </c>
      <c r="Q3431" s="22" t="str">
        <f>VLOOKUP(B3431,辅助信息!E:M,9,FALSE)</f>
        <v>ZTWM-CDGS-XS-2025-0126-四川机司-乐山市校地共建产教融合基地配套设施项目施工二标段钢筋采购合同</v>
      </c>
      <c r="R3431" s="22" t="str">
        <f>_xlfn._xlws.FILTER(辅助信息!D:D,辅助信息!E:E=B3431)</f>
        <v>乐山市校地共建产教融合基地建设项目二标段</v>
      </c>
    </row>
    <row r="3432" hidden="1" spans="2:18">
      <c r="B3432" s="33" t="s">
        <v>92</v>
      </c>
      <c r="C3432" s="63">
        <v>45915</v>
      </c>
      <c r="D3432" s="33" t="str">
        <f>VLOOKUP(B3432,辅助信息!E:K,7,FALSE)</f>
        <v>JWDDCD2025051800046</v>
      </c>
      <c r="E3432" s="33" t="str">
        <f>VLOOKUP(F3432,辅助信息!A:B,2,FALSE)</f>
        <v>盘螺</v>
      </c>
      <c r="F3432" s="33" t="s">
        <v>40</v>
      </c>
      <c r="G3432" s="29">
        <v>18</v>
      </c>
      <c r="H3432" s="127">
        <f>IF(SUMIFS('[1]2025年已发货'!$E:$E,'[1]2025年已发货'!$F:$F,C3432,'[1]2025年已发货'!$C:$C,F3432,'[1]2025年已发货'!$G:$G,I3432,'[1]2025年已发货'!$H:$H,J3432)=0,"未发货",SUMIFS('[1]2025年已发货'!$E:$E,'[1]2025年已发货'!$F:$F,C3432,'[1]2025年已发货'!$C:$C,F3432,'[1]2025年已发货'!$G:$G,I3432,'[1]2025年已发货'!$H:$H,J3432))</f>
        <v>18</v>
      </c>
      <c r="I3432" s="33" t="str">
        <f>VLOOKUP(B3432,辅助信息!E:I,3,FALSE)</f>
        <v>（华西萌海科创农业生态谷）成都市简阳市白金山水库</v>
      </c>
      <c r="J3432" s="33" t="str">
        <f>VLOOKUP(B3432,辅助信息!E:I,4,FALSE)</f>
        <v>石清国</v>
      </c>
      <c r="K3432" s="33">
        <f>VLOOKUP(J3432,辅助信息!H:I,2,FALSE)</f>
        <v>13458642015</v>
      </c>
      <c r="L3432" s="102" t="str">
        <f>VLOOKUP(B3432,辅助信息!E:J,6,FALSE)</f>
        <v>优先威钢,我方卸车,新老国标钢厂不加价可直发</v>
      </c>
      <c r="M3432" s="141">
        <v>45918</v>
      </c>
      <c r="O3432" s="55">
        <f ca="1" t="shared" si="190"/>
        <v>0</v>
      </c>
      <c r="P3432" s="55">
        <f ca="1" t="shared" si="191"/>
        <v>39</v>
      </c>
      <c r="Q3432" s="22" t="str">
        <f>VLOOKUP(B3432,辅助信息!E:M,9,FALSE)</f>
        <v>ZTWM-CDGS-XS-2024-0092-华西-萌海科创农业生态谷</v>
      </c>
      <c r="R3432" s="22" t="str">
        <f>_xlfn._xlws.FILTER(辅助信息!D:D,辅助信息!E:E=B3432)</f>
        <v>华西萌海-科创农业生态谷</v>
      </c>
    </row>
    <row r="3433" hidden="1" spans="2:18">
      <c r="B3433" s="33" t="s">
        <v>92</v>
      </c>
      <c r="C3433" s="63">
        <v>45915</v>
      </c>
      <c r="D3433" s="33" t="str">
        <f>VLOOKUP(B3433,辅助信息!E:K,7,FALSE)</f>
        <v>JWDDCD2025051800046</v>
      </c>
      <c r="E3433" s="33" t="str">
        <f>VLOOKUP(F3433,辅助信息!A:B,2,FALSE)</f>
        <v>盘螺</v>
      </c>
      <c r="F3433" s="33" t="s">
        <v>41</v>
      </c>
      <c r="G3433" s="29">
        <v>15</v>
      </c>
      <c r="H3433" s="127">
        <f>IF(SUMIFS('[1]2025年已发货'!$E:$E,'[1]2025年已发货'!$F:$F,C3433,'[1]2025年已发货'!$C:$C,F3433,'[1]2025年已发货'!$G:$G,I3433,'[1]2025年已发货'!$H:$H,J3433)=0,"未发货",SUMIFS('[1]2025年已发货'!$E:$E,'[1]2025年已发货'!$F:$F,C3433,'[1]2025年已发货'!$C:$C,F3433,'[1]2025年已发货'!$G:$G,I3433,'[1]2025年已发货'!$H:$H,J3433))</f>
        <v>15</v>
      </c>
      <c r="I3433" s="33" t="str">
        <f>VLOOKUP(B3433,辅助信息!E:I,3,FALSE)</f>
        <v>（华西萌海科创农业生态谷）成都市简阳市白金山水库</v>
      </c>
      <c r="J3433" s="33" t="str">
        <f>VLOOKUP(B3433,辅助信息!E:I,4,FALSE)</f>
        <v>石清国</v>
      </c>
      <c r="K3433" s="33">
        <f>VLOOKUP(J3433,辅助信息!H:I,2,FALSE)</f>
        <v>13458642015</v>
      </c>
      <c r="L3433" s="102" t="str">
        <f>VLOOKUP(B3433,辅助信息!E:J,6,FALSE)</f>
        <v>优先威钢,我方卸车,新老国标钢厂不加价可直发</v>
      </c>
      <c r="M3433" s="141">
        <v>45918</v>
      </c>
      <c r="O3433" s="55">
        <f ca="1" t="shared" si="190"/>
        <v>0</v>
      </c>
      <c r="P3433" s="55">
        <f ca="1" t="shared" si="191"/>
        <v>39</v>
      </c>
      <c r="Q3433" s="22" t="str">
        <f>VLOOKUP(B3433,辅助信息!E:M,9,FALSE)</f>
        <v>ZTWM-CDGS-XS-2024-0092-华西-萌海科创农业生态谷</v>
      </c>
      <c r="R3433" s="22" t="str">
        <f>_xlfn._xlws.FILTER(辅助信息!D:D,辅助信息!E:E=B3433)</f>
        <v>华西萌海-科创农业生态谷</v>
      </c>
    </row>
    <row r="3434" hidden="1" spans="2:18">
      <c r="B3434" s="33" t="s">
        <v>92</v>
      </c>
      <c r="C3434" s="63">
        <v>45915</v>
      </c>
      <c r="D3434" s="33" t="str">
        <f>VLOOKUP(B3434,辅助信息!E:K,7,FALSE)</f>
        <v>JWDDCD2025051800046</v>
      </c>
      <c r="E3434" s="33" t="str">
        <f>VLOOKUP(F3434,辅助信息!A:B,2,FALSE)</f>
        <v>螺纹钢</v>
      </c>
      <c r="F3434" s="33" t="s">
        <v>27</v>
      </c>
      <c r="G3434" s="29">
        <v>5</v>
      </c>
      <c r="H3434" s="127">
        <f>IF(SUMIFS('[1]2025年已发货'!$E:$E,'[1]2025年已发货'!$F:$F,C3434,'[1]2025年已发货'!$C:$C,F3434,'[1]2025年已发货'!$G:$G,I3434,'[1]2025年已发货'!$H:$H,J3434)=0,"未发货",SUMIFS('[1]2025年已发货'!$E:$E,'[1]2025年已发货'!$F:$F,C3434,'[1]2025年已发货'!$C:$C,F3434,'[1]2025年已发货'!$G:$G,I3434,'[1]2025年已发货'!$H:$H,J3434))</f>
        <v>5</v>
      </c>
      <c r="I3434" s="33" t="str">
        <f>VLOOKUP(B3434,辅助信息!E:I,3,FALSE)</f>
        <v>（华西萌海科创农业生态谷）成都市简阳市白金山水库</v>
      </c>
      <c r="J3434" s="33" t="str">
        <f>VLOOKUP(B3434,辅助信息!E:I,4,FALSE)</f>
        <v>石清国</v>
      </c>
      <c r="K3434" s="33">
        <f>VLOOKUP(J3434,辅助信息!H:I,2,FALSE)</f>
        <v>13458642015</v>
      </c>
      <c r="L3434" s="102" t="str">
        <f>VLOOKUP(B3434,辅助信息!E:J,6,FALSE)</f>
        <v>优先威钢,我方卸车,新老国标钢厂不加价可直发</v>
      </c>
      <c r="M3434" s="141">
        <v>45918</v>
      </c>
      <c r="O3434" s="55">
        <f ca="1" t="shared" si="190"/>
        <v>0</v>
      </c>
      <c r="P3434" s="55">
        <f ca="1" t="shared" si="191"/>
        <v>39</v>
      </c>
      <c r="Q3434" s="22" t="str">
        <f>VLOOKUP(B3434,辅助信息!E:M,9,FALSE)</f>
        <v>ZTWM-CDGS-XS-2024-0092-华西-萌海科创农业生态谷</v>
      </c>
      <c r="R3434" s="22" t="str">
        <f>_xlfn._xlws.FILTER(辅助信息!D:D,辅助信息!E:E=B3434)</f>
        <v>华西萌海-科创农业生态谷</v>
      </c>
    </row>
    <row r="3435" hidden="1" spans="2:18">
      <c r="B3435" s="33" t="s">
        <v>92</v>
      </c>
      <c r="C3435" s="63">
        <v>45915</v>
      </c>
      <c r="D3435" s="33" t="str">
        <f>VLOOKUP(B3435,辅助信息!E:K,7,FALSE)</f>
        <v>JWDDCD2025051800046</v>
      </c>
      <c r="E3435" s="33" t="str">
        <f>VLOOKUP(F3435,辅助信息!A:B,2,FALSE)</f>
        <v>螺纹钢</v>
      </c>
      <c r="F3435" s="33" t="s">
        <v>19</v>
      </c>
      <c r="G3435" s="29">
        <v>3</v>
      </c>
      <c r="H3435" s="127">
        <f>IF(SUMIFS('[1]2025年已发货'!$E:$E,'[1]2025年已发货'!$F:$F,C3435,'[1]2025年已发货'!$C:$C,F3435,'[1]2025年已发货'!$G:$G,I3435,'[1]2025年已发货'!$H:$H,J3435)=0,"未发货",SUMIFS('[1]2025年已发货'!$E:$E,'[1]2025年已发货'!$F:$F,C3435,'[1]2025年已发货'!$C:$C,F3435,'[1]2025年已发货'!$G:$G,I3435,'[1]2025年已发货'!$H:$H,J3435))</f>
        <v>3</v>
      </c>
      <c r="I3435" s="33" t="str">
        <f>VLOOKUP(B3435,辅助信息!E:I,3,FALSE)</f>
        <v>（华西萌海科创农业生态谷）成都市简阳市白金山水库</v>
      </c>
      <c r="J3435" s="33" t="str">
        <f>VLOOKUP(B3435,辅助信息!E:I,4,FALSE)</f>
        <v>石清国</v>
      </c>
      <c r="K3435" s="33">
        <f>VLOOKUP(J3435,辅助信息!H:I,2,FALSE)</f>
        <v>13458642015</v>
      </c>
      <c r="L3435" s="102" t="str">
        <f>VLOOKUP(B3435,辅助信息!E:J,6,FALSE)</f>
        <v>优先威钢,我方卸车,新老国标钢厂不加价可直发</v>
      </c>
      <c r="M3435" s="141">
        <v>45918</v>
      </c>
      <c r="O3435" s="55">
        <f ca="1" t="shared" si="190"/>
        <v>0</v>
      </c>
      <c r="P3435" s="55">
        <f ca="1" t="shared" si="191"/>
        <v>39</v>
      </c>
      <c r="Q3435" s="22" t="str">
        <f>VLOOKUP(B3435,辅助信息!E:M,9,FALSE)</f>
        <v>ZTWM-CDGS-XS-2024-0092-华西-萌海科创农业生态谷</v>
      </c>
      <c r="R3435" s="22" t="str">
        <f>_xlfn._xlws.FILTER(辅助信息!D:D,辅助信息!E:E=B3435)</f>
        <v>华西萌海-科创农业生态谷</v>
      </c>
    </row>
    <row r="3436" hidden="1" spans="2:18">
      <c r="B3436" s="33" t="s">
        <v>92</v>
      </c>
      <c r="C3436" s="63">
        <v>45915</v>
      </c>
      <c r="D3436" s="33" t="str">
        <f>VLOOKUP(B3436,辅助信息!E:K,7,FALSE)</f>
        <v>JWDDCD2025051800046</v>
      </c>
      <c r="E3436" s="33" t="str">
        <f>VLOOKUP(F3436,辅助信息!A:B,2,FALSE)</f>
        <v>螺纹钢</v>
      </c>
      <c r="F3436" s="33" t="s">
        <v>82</v>
      </c>
      <c r="G3436" s="29">
        <v>3</v>
      </c>
      <c r="H3436" s="127">
        <f>IF(SUMIFS('[1]2025年已发货'!$E:$E,'[1]2025年已发货'!$F:$F,C3436,'[1]2025年已发货'!$C:$C,F3436,'[1]2025年已发货'!$G:$G,I3436,'[1]2025年已发货'!$H:$H,J3436)=0,"未发货",SUMIFS('[1]2025年已发货'!$E:$E,'[1]2025年已发货'!$F:$F,C3436,'[1]2025年已发货'!$C:$C,F3436,'[1]2025年已发货'!$G:$G,I3436,'[1]2025年已发货'!$H:$H,J3436))</f>
        <v>3</v>
      </c>
      <c r="I3436" s="33" t="str">
        <f>VLOOKUP(B3436,辅助信息!E:I,3,FALSE)</f>
        <v>（华西萌海科创农业生态谷）成都市简阳市白金山水库</v>
      </c>
      <c r="J3436" s="33" t="str">
        <f>VLOOKUP(B3436,辅助信息!E:I,4,FALSE)</f>
        <v>石清国</v>
      </c>
      <c r="K3436" s="33">
        <f>VLOOKUP(J3436,辅助信息!H:I,2,FALSE)</f>
        <v>13458642015</v>
      </c>
      <c r="L3436" s="102" t="str">
        <f>VLOOKUP(B3436,辅助信息!E:J,6,FALSE)</f>
        <v>优先威钢,我方卸车,新老国标钢厂不加价可直发</v>
      </c>
      <c r="M3436" s="141">
        <v>45918</v>
      </c>
      <c r="O3436" s="55">
        <f ca="1" t="shared" si="190"/>
        <v>0</v>
      </c>
      <c r="P3436" s="55">
        <f ca="1" t="shared" si="191"/>
        <v>39</v>
      </c>
      <c r="Q3436" s="22" t="str">
        <f>VLOOKUP(B3436,辅助信息!E:M,9,FALSE)</f>
        <v>ZTWM-CDGS-XS-2024-0092-华西-萌海科创农业生态谷</v>
      </c>
      <c r="R3436" s="22" t="str">
        <f>_xlfn._xlws.FILTER(辅助信息!D:D,辅助信息!E:E=B3436)</f>
        <v>华西萌海-科创农业生态谷</v>
      </c>
    </row>
    <row r="3437" hidden="1" spans="2:18">
      <c r="B3437" s="33" t="s">
        <v>92</v>
      </c>
      <c r="C3437" s="63">
        <v>45915</v>
      </c>
      <c r="D3437" s="33" t="str">
        <f>VLOOKUP(B3437,辅助信息!E:K,7,FALSE)</f>
        <v>JWDDCD2025051800046</v>
      </c>
      <c r="E3437" s="33" t="str">
        <f>VLOOKUP(F3437,辅助信息!A:B,2,FALSE)</f>
        <v>螺纹钢</v>
      </c>
      <c r="F3437" s="33" t="s">
        <v>46</v>
      </c>
      <c r="G3437" s="29">
        <v>5</v>
      </c>
      <c r="H3437" s="127">
        <f>IF(SUMIFS('[1]2025年已发货'!$E:$E,'[1]2025年已发货'!$F:$F,C3437,'[1]2025年已发货'!$C:$C,F3437,'[1]2025年已发货'!$G:$G,I3437,'[1]2025年已发货'!$H:$H,J3437)=0,"未发货",SUMIFS('[1]2025年已发货'!$E:$E,'[1]2025年已发货'!$F:$F,C3437,'[1]2025年已发货'!$C:$C,F3437,'[1]2025年已发货'!$G:$G,I3437,'[1]2025年已发货'!$H:$H,J3437))</f>
        <v>5</v>
      </c>
      <c r="I3437" s="33" t="str">
        <f>VLOOKUP(B3437,辅助信息!E:I,3,FALSE)</f>
        <v>（华西萌海科创农业生态谷）成都市简阳市白金山水库</v>
      </c>
      <c r="J3437" s="33" t="str">
        <f>VLOOKUP(B3437,辅助信息!E:I,4,FALSE)</f>
        <v>石清国</v>
      </c>
      <c r="K3437" s="33">
        <f>VLOOKUP(J3437,辅助信息!H:I,2,FALSE)</f>
        <v>13458642015</v>
      </c>
      <c r="L3437" s="102" t="str">
        <f>VLOOKUP(B3437,辅助信息!E:J,6,FALSE)</f>
        <v>优先威钢,我方卸车,新老国标钢厂不加价可直发</v>
      </c>
      <c r="M3437" s="141">
        <v>45918</v>
      </c>
      <c r="O3437" s="55">
        <f ca="1" t="shared" si="190"/>
        <v>0</v>
      </c>
      <c r="P3437" s="55">
        <f ca="1" t="shared" si="191"/>
        <v>39</v>
      </c>
      <c r="Q3437" s="22" t="str">
        <f>VLOOKUP(B3437,辅助信息!E:M,9,FALSE)</f>
        <v>ZTWM-CDGS-XS-2024-0092-华西-萌海科创农业生态谷</v>
      </c>
      <c r="R3437" s="22" t="str">
        <f>_xlfn._xlws.FILTER(辅助信息!D:D,辅助信息!E:E=B3437)</f>
        <v>华西萌海-科创农业生态谷</v>
      </c>
    </row>
    <row r="3438" hidden="1" spans="2:18">
      <c r="B3438" s="33" t="s">
        <v>92</v>
      </c>
      <c r="C3438" s="63">
        <v>45915</v>
      </c>
      <c r="D3438" s="33" t="str">
        <f>VLOOKUP(B3438,辅助信息!E:K,7,FALSE)</f>
        <v>JWDDCD2025051800046</v>
      </c>
      <c r="E3438" s="33" t="str">
        <f>VLOOKUP(F3438,辅助信息!A:B,2,FALSE)</f>
        <v>螺纹钢</v>
      </c>
      <c r="F3438" s="33" t="s">
        <v>22</v>
      </c>
      <c r="G3438" s="29">
        <v>23</v>
      </c>
      <c r="H3438" s="127">
        <f>IF(SUMIFS('[1]2025年已发货'!$E:$E,'[1]2025年已发货'!$F:$F,C3438,'[1]2025年已发货'!$C:$C,F3438,'[1]2025年已发货'!$G:$G,I3438,'[1]2025年已发货'!$H:$H,J3438)=0,"未发货",SUMIFS('[1]2025年已发货'!$E:$E,'[1]2025年已发货'!$F:$F,C3438,'[1]2025年已发货'!$C:$C,F3438,'[1]2025年已发货'!$G:$G,I3438,'[1]2025年已发货'!$H:$H,J3438))</f>
        <v>23</v>
      </c>
      <c r="I3438" s="33" t="str">
        <f>VLOOKUP(B3438,辅助信息!E:I,3,FALSE)</f>
        <v>（华西萌海科创农业生态谷）成都市简阳市白金山水库</v>
      </c>
      <c r="J3438" s="33" t="str">
        <f>VLOOKUP(B3438,辅助信息!E:I,4,FALSE)</f>
        <v>石清国</v>
      </c>
      <c r="K3438" s="33">
        <f>VLOOKUP(J3438,辅助信息!H:I,2,FALSE)</f>
        <v>13458642015</v>
      </c>
      <c r="L3438" s="102" t="str">
        <f>VLOOKUP(B3438,辅助信息!E:J,6,FALSE)</f>
        <v>优先威钢,我方卸车,新老国标钢厂不加价可直发</v>
      </c>
      <c r="M3438" s="141">
        <v>45918</v>
      </c>
      <c r="O3438" s="55">
        <f ca="1" t="shared" si="190"/>
        <v>0</v>
      </c>
      <c r="P3438" s="55">
        <f ca="1" t="shared" si="191"/>
        <v>39</v>
      </c>
      <c r="Q3438" s="22" t="str">
        <f>VLOOKUP(B3438,辅助信息!E:M,9,FALSE)</f>
        <v>ZTWM-CDGS-XS-2024-0092-华西-萌海科创农业生态谷</v>
      </c>
      <c r="R3438" s="22" t="str">
        <f>_xlfn._xlws.FILTER(辅助信息!D:D,辅助信息!E:E=B3438)</f>
        <v>华西萌海-科创农业生态谷</v>
      </c>
    </row>
    <row r="3439" hidden="1" spans="2:18">
      <c r="B3439" s="33" t="s">
        <v>194</v>
      </c>
      <c r="C3439" s="63">
        <v>45915</v>
      </c>
      <c r="D3439" s="33" t="str">
        <f>VLOOKUP(B3439,辅助信息!E:K,7,FALSE)</f>
        <v>JWDD2025071500089</v>
      </c>
      <c r="E3439" s="33" t="str">
        <f>VLOOKUP(F3439,辅助信息!A:B,2,FALSE)</f>
        <v>盘螺</v>
      </c>
      <c r="F3439" s="33" t="s">
        <v>40</v>
      </c>
      <c r="G3439" s="29">
        <v>15</v>
      </c>
      <c r="H3439" s="127">
        <f>IF(SUMIFS('[1]2025年已发货'!$E:$E,'[1]2025年已发货'!$F:$F,C3439,'[1]2025年已发货'!$C:$C,F3439,'[1]2025年已发货'!$G:$G,I3439,'[1]2025年已发货'!$H:$H,J3439)=0,"未发货",SUMIFS('[1]2025年已发货'!$E:$E,'[1]2025年已发货'!$F:$F,C3439,'[1]2025年已发货'!$C:$C,F3439,'[1]2025年已发货'!$G:$G,I3439,'[1]2025年已发货'!$H:$H,J3439))</f>
        <v>15</v>
      </c>
      <c r="I3439" s="33" t="str">
        <f>VLOOKUP(B3439,辅助信息!E:I,3,FALSE)</f>
        <v>(宜宾兴港三江新区长江工业园保障性租赁住房建设项目-土建)四川省宜宾市翠屏区永善路南段宜宾市三江新区长江工业园区</v>
      </c>
      <c r="J3439" s="33" t="str">
        <f>VLOOKUP(B3439,辅助信息!E:I,4,FALSE)</f>
        <v>赵元虎</v>
      </c>
      <c r="K3439" s="33">
        <f>VLOOKUP(J3439,辅助信息!H:I,2,FALSE)</f>
        <v>13684167136</v>
      </c>
      <c r="L3439" s="102" t="str">
        <f>VLOOKUP(B3439,辅助信息!E:J,6,FALSE)</f>
        <v>现场要求调度统一联系指定收货人，不单独发司机位置。锈货不收，装货前联系收货人核实到场规格,没提前告知进场规格现场不给予接收</v>
      </c>
      <c r="O3439" s="55" t="str">
        <f ca="1" t="shared" si="190"/>
        <v/>
      </c>
      <c r="P3439" s="55" t="str">
        <f ca="1" t="shared" si="191"/>
        <v/>
      </c>
      <c r="Q3439" s="22" t="str">
        <f>VLOOKUP(B3439,辅助信息!E:M,9,FALSE)</f>
        <v>ZTWM-CDYXGS-XS-2025-0014-宜宾兴港建材-三江新区长江工业园片区保障性租赁住房建设项目</v>
      </c>
      <c r="R3439" s="22" t="str">
        <f>_xlfn._xlws.FILTER(辅助信息!D:D,辅助信息!E:E=B3439)</f>
        <v>宜宾兴港三江新区长江工业园建设项目</v>
      </c>
    </row>
    <row r="3440" hidden="1" spans="2:18">
      <c r="B3440" s="33" t="s">
        <v>194</v>
      </c>
      <c r="C3440" s="63">
        <v>45915</v>
      </c>
      <c r="D3440" s="33" t="str">
        <f>VLOOKUP(B3440,辅助信息!E:K,7,FALSE)</f>
        <v>JWDD2025071500089</v>
      </c>
      <c r="E3440" s="33" t="str">
        <f>VLOOKUP(F3440,辅助信息!A:B,2,FALSE)</f>
        <v>盘螺</v>
      </c>
      <c r="F3440" s="33" t="s">
        <v>41</v>
      </c>
      <c r="G3440" s="29">
        <v>22</v>
      </c>
      <c r="H3440" s="127">
        <f>IF(SUMIFS('[1]2025年已发货'!$E:$E,'[1]2025年已发货'!$F:$F,C3440,'[1]2025年已发货'!$C:$C,F3440,'[1]2025年已发货'!$G:$G,I3440,'[1]2025年已发货'!$H:$H,J3440)=0,"未发货",SUMIFS('[1]2025年已发货'!$E:$E,'[1]2025年已发货'!$F:$F,C3440,'[1]2025年已发货'!$C:$C,F3440,'[1]2025年已发货'!$G:$G,I3440,'[1]2025年已发货'!$H:$H,J3440))</f>
        <v>22</v>
      </c>
      <c r="I3440" s="33" t="str">
        <f>VLOOKUP(B3440,辅助信息!E:I,3,FALSE)</f>
        <v>(宜宾兴港三江新区长江工业园保障性租赁住房建设项目-土建)四川省宜宾市翠屏区永善路南段宜宾市三江新区长江工业园区</v>
      </c>
      <c r="J3440" s="33" t="str">
        <f>VLOOKUP(B3440,辅助信息!E:I,4,FALSE)</f>
        <v>赵元虎</v>
      </c>
      <c r="K3440" s="33">
        <f>VLOOKUP(J3440,辅助信息!H:I,2,FALSE)</f>
        <v>13684167136</v>
      </c>
      <c r="L3440" s="102" t="str">
        <f>VLOOKUP(B3440,辅助信息!E:J,6,FALSE)</f>
        <v>现场要求调度统一联系指定收货人，不单独发司机位置。锈货不收，装货前联系收货人核实到场规格,没提前告知进场规格现场不给予接收</v>
      </c>
      <c r="O3440" s="55" t="str">
        <f ca="1" t="shared" si="190"/>
        <v/>
      </c>
      <c r="P3440" s="55" t="str">
        <f ca="1" t="shared" si="191"/>
        <v/>
      </c>
      <c r="Q3440" s="22" t="str">
        <f>VLOOKUP(B3440,辅助信息!E:M,9,FALSE)</f>
        <v>ZTWM-CDYXGS-XS-2025-0014-宜宾兴港建材-三江新区长江工业园片区保障性租赁住房建设项目</v>
      </c>
      <c r="R3440" s="22" t="str">
        <f>_xlfn._xlws.FILTER(辅助信息!D:D,辅助信息!E:E=B3440)</f>
        <v>宜宾兴港三江新区长江工业园建设项目</v>
      </c>
    </row>
    <row r="3441" hidden="1" spans="2:18">
      <c r="B3441" s="33" t="s">
        <v>194</v>
      </c>
      <c r="C3441" s="63">
        <v>45915</v>
      </c>
      <c r="D3441" s="33" t="str">
        <f>VLOOKUP(B3441,辅助信息!E:K,7,FALSE)</f>
        <v>JWDD2025071500089</v>
      </c>
      <c r="E3441" s="33" t="str">
        <f>VLOOKUP(F3441,辅助信息!A:B,2,FALSE)</f>
        <v>螺纹钢</v>
      </c>
      <c r="F3441" s="33" t="s">
        <v>19</v>
      </c>
      <c r="G3441" s="29">
        <v>35</v>
      </c>
      <c r="H3441" s="127">
        <f>IF(SUMIFS('[1]2025年已发货'!$E:$E,'[1]2025年已发货'!$F:$F,C3441,'[1]2025年已发货'!$C:$C,F3441,'[1]2025年已发货'!$G:$G,I3441,'[1]2025年已发货'!$H:$H,J3441)=0,"未发货",SUMIFS('[1]2025年已发货'!$E:$E,'[1]2025年已发货'!$F:$F,C3441,'[1]2025年已发货'!$C:$C,F3441,'[1]2025年已发货'!$G:$G,I3441,'[1]2025年已发货'!$H:$H,J3441))</f>
        <v>35</v>
      </c>
      <c r="I3441" s="33" t="str">
        <f>VLOOKUP(B3441,辅助信息!E:I,3,FALSE)</f>
        <v>(宜宾兴港三江新区长江工业园保障性租赁住房建设项目-土建)四川省宜宾市翠屏区永善路南段宜宾市三江新区长江工业园区</v>
      </c>
      <c r="J3441" s="33" t="str">
        <f>VLOOKUP(B3441,辅助信息!E:I,4,FALSE)</f>
        <v>赵元虎</v>
      </c>
      <c r="K3441" s="33">
        <f>VLOOKUP(J3441,辅助信息!H:I,2,FALSE)</f>
        <v>13684167136</v>
      </c>
      <c r="L3441" s="102" t="str">
        <f>VLOOKUP(B3441,辅助信息!E:J,6,FALSE)</f>
        <v>现场要求调度统一联系指定收货人，不单独发司机位置。锈货不收，装货前联系收货人核实到场规格,没提前告知进场规格现场不给予接收</v>
      </c>
      <c r="O3441" s="55" t="str">
        <f ca="1" t="shared" si="190"/>
        <v/>
      </c>
      <c r="P3441" s="55" t="str">
        <f ca="1" t="shared" si="191"/>
        <v/>
      </c>
      <c r="Q3441" s="22" t="str">
        <f>VLOOKUP(B3441,辅助信息!E:M,9,FALSE)</f>
        <v>ZTWM-CDYXGS-XS-2025-0014-宜宾兴港建材-三江新区长江工业园片区保障性租赁住房建设项目</v>
      </c>
      <c r="R3441" s="22" t="str">
        <f>_xlfn._xlws.FILTER(辅助信息!D:D,辅助信息!E:E=B3441)</f>
        <v>宜宾兴港三江新区长江工业园建设项目</v>
      </c>
    </row>
    <row r="3442" hidden="1" spans="2:18">
      <c r="B3442" s="33" t="s">
        <v>194</v>
      </c>
      <c r="C3442" s="63">
        <v>45915</v>
      </c>
      <c r="D3442" s="33" t="str">
        <f>VLOOKUP(B3442,辅助信息!E:K,7,FALSE)</f>
        <v>JWDD2025071500089</v>
      </c>
      <c r="E3442" s="33" t="str">
        <f>VLOOKUP(F3442,辅助信息!A:B,2,FALSE)</f>
        <v>螺纹钢</v>
      </c>
      <c r="F3442" s="33" t="s">
        <v>66</v>
      </c>
      <c r="G3442" s="29">
        <v>2</v>
      </c>
      <c r="H3442" s="127">
        <f>IF(SUMIFS('[1]2025年已发货'!$E:$E,'[1]2025年已发货'!$F:$F,C3442,'[1]2025年已发货'!$C:$C,F3442,'[1]2025年已发货'!$G:$G,I3442,'[1]2025年已发货'!$H:$H,J3442)=0,"未发货",SUMIFS('[1]2025年已发货'!$E:$E,'[1]2025年已发货'!$F:$F,C3442,'[1]2025年已发货'!$C:$C,F3442,'[1]2025年已发货'!$G:$G,I3442,'[1]2025年已发货'!$H:$H,J3442))</f>
        <v>2</v>
      </c>
      <c r="I3442" s="33" t="str">
        <f>VLOOKUP(B3442,辅助信息!E:I,3,FALSE)</f>
        <v>(宜宾兴港三江新区长江工业园保障性租赁住房建设项目-土建)四川省宜宾市翠屏区永善路南段宜宾市三江新区长江工业园区</v>
      </c>
      <c r="J3442" s="33" t="str">
        <f>VLOOKUP(B3442,辅助信息!E:I,4,FALSE)</f>
        <v>赵元虎</v>
      </c>
      <c r="K3442" s="33">
        <f>VLOOKUP(J3442,辅助信息!H:I,2,FALSE)</f>
        <v>13684167136</v>
      </c>
      <c r="L3442" s="102" t="str">
        <f>VLOOKUP(B3442,辅助信息!E:J,6,FALSE)</f>
        <v>现场要求调度统一联系指定收货人，不单独发司机位置。锈货不收，装货前联系收货人核实到场规格,没提前告知进场规格现场不给予接收</v>
      </c>
      <c r="O3442" s="55" t="str">
        <f ca="1" t="shared" si="190"/>
        <v/>
      </c>
      <c r="P3442" s="55" t="str">
        <f ca="1" t="shared" si="191"/>
        <v/>
      </c>
      <c r="Q3442" s="22" t="str">
        <f>VLOOKUP(B3442,辅助信息!E:M,9,FALSE)</f>
        <v>ZTWM-CDYXGS-XS-2025-0014-宜宾兴港建材-三江新区长江工业园片区保障性租赁住房建设项目</v>
      </c>
      <c r="R3442" s="22" t="str">
        <f>_xlfn._xlws.FILTER(辅助信息!D:D,辅助信息!E:E=B3442)</f>
        <v>宜宾兴港三江新区长江工业园建设项目</v>
      </c>
    </row>
    <row r="3443" hidden="1" spans="2:18">
      <c r="B3443" s="33" t="s">
        <v>194</v>
      </c>
      <c r="C3443" s="63">
        <v>45915</v>
      </c>
      <c r="D3443" s="33" t="str">
        <f>VLOOKUP(B3443,辅助信息!E:K,7,FALSE)</f>
        <v>JWDD2025071500089</v>
      </c>
      <c r="E3443" s="33" t="str">
        <f>VLOOKUP(F3443,辅助信息!A:B,2,FALSE)</f>
        <v>螺纹钢</v>
      </c>
      <c r="F3443" s="33" t="s">
        <v>82</v>
      </c>
      <c r="G3443" s="29">
        <v>2</v>
      </c>
      <c r="H3443" s="127">
        <f>IF(SUMIFS('[1]2025年已发货'!$E:$E,'[1]2025年已发货'!$F:$F,C3443,'[1]2025年已发货'!$C:$C,F3443,'[1]2025年已发货'!$G:$G,I3443,'[1]2025年已发货'!$H:$H,J3443)=0,"未发货",SUMIFS('[1]2025年已发货'!$E:$E,'[1]2025年已发货'!$F:$F,C3443,'[1]2025年已发货'!$C:$C,F3443,'[1]2025年已发货'!$G:$G,I3443,'[1]2025年已发货'!$H:$H,J3443))</f>
        <v>2</v>
      </c>
      <c r="I3443" s="33" t="str">
        <f>VLOOKUP(B3443,辅助信息!E:I,3,FALSE)</f>
        <v>(宜宾兴港三江新区长江工业园保障性租赁住房建设项目-土建)四川省宜宾市翠屏区永善路南段宜宾市三江新区长江工业园区</v>
      </c>
      <c r="J3443" s="33" t="str">
        <f>VLOOKUP(B3443,辅助信息!E:I,4,FALSE)</f>
        <v>赵元虎</v>
      </c>
      <c r="K3443" s="33">
        <f>VLOOKUP(J3443,辅助信息!H:I,2,FALSE)</f>
        <v>13684167136</v>
      </c>
      <c r="L3443" s="102" t="str">
        <f>VLOOKUP(B3443,辅助信息!E:J,6,FALSE)</f>
        <v>现场要求调度统一联系指定收货人，不单独发司机位置。锈货不收，装货前联系收货人核实到场规格,没提前告知进场规格现场不给予接收</v>
      </c>
      <c r="O3443" s="55" t="str">
        <f ca="1" t="shared" si="190"/>
        <v/>
      </c>
      <c r="P3443" s="55" t="str">
        <f ca="1" t="shared" si="191"/>
        <v/>
      </c>
      <c r="Q3443" s="22" t="str">
        <f>VLOOKUP(B3443,辅助信息!E:M,9,FALSE)</f>
        <v>ZTWM-CDYXGS-XS-2025-0014-宜宾兴港建材-三江新区长江工业园片区保障性租赁住房建设项目</v>
      </c>
      <c r="R3443" s="22" t="str">
        <f>_xlfn._xlws.FILTER(辅助信息!D:D,辅助信息!E:E=B3443)</f>
        <v>宜宾兴港三江新区长江工业园建设项目</v>
      </c>
    </row>
    <row r="3444" hidden="1" spans="2:18">
      <c r="B3444" s="33" t="s">
        <v>194</v>
      </c>
      <c r="C3444" s="63">
        <v>45915</v>
      </c>
      <c r="D3444" s="33" t="str">
        <f>VLOOKUP(B3444,辅助信息!E:K,7,FALSE)</f>
        <v>JWDD2025071500089</v>
      </c>
      <c r="E3444" s="33" t="str">
        <f>VLOOKUP(F3444,辅助信息!A:B,2,FALSE)</f>
        <v>螺纹钢</v>
      </c>
      <c r="F3444" s="33" t="s">
        <v>45</v>
      </c>
      <c r="G3444" s="29">
        <v>2</v>
      </c>
      <c r="H3444" s="127">
        <f>IF(SUMIFS('[1]2025年已发货'!$E:$E,'[1]2025年已发货'!$F:$F,C3444,'[1]2025年已发货'!$C:$C,F3444,'[1]2025年已发货'!$G:$G,I3444,'[1]2025年已发货'!$H:$H,J3444)=0,"未发货",SUMIFS('[1]2025年已发货'!$E:$E,'[1]2025年已发货'!$F:$F,C3444,'[1]2025年已发货'!$C:$C,F3444,'[1]2025年已发货'!$G:$G,I3444,'[1]2025年已发货'!$H:$H,J3444))</f>
        <v>2</v>
      </c>
      <c r="I3444" s="33" t="str">
        <f>VLOOKUP(B3444,辅助信息!E:I,3,FALSE)</f>
        <v>(宜宾兴港三江新区长江工业园保障性租赁住房建设项目-土建)四川省宜宾市翠屏区永善路南段宜宾市三江新区长江工业园区</v>
      </c>
      <c r="J3444" s="33" t="str">
        <f>VLOOKUP(B3444,辅助信息!E:I,4,FALSE)</f>
        <v>赵元虎</v>
      </c>
      <c r="K3444" s="33">
        <f>VLOOKUP(J3444,辅助信息!H:I,2,FALSE)</f>
        <v>13684167136</v>
      </c>
      <c r="L3444" s="102" t="str">
        <f>VLOOKUP(B3444,辅助信息!E:J,6,FALSE)</f>
        <v>现场要求调度统一联系指定收货人，不单独发司机位置。锈货不收，装货前联系收货人核实到场规格,没提前告知进场规格现场不给予接收</v>
      </c>
      <c r="O3444" s="55" t="str">
        <f ca="1" t="shared" si="190"/>
        <v/>
      </c>
      <c r="P3444" s="55" t="str">
        <f ca="1" t="shared" si="191"/>
        <v/>
      </c>
      <c r="Q3444" s="22" t="str">
        <f>VLOOKUP(B3444,辅助信息!E:M,9,FALSE)</f>
        <v>ZTWM-CDYXGS-XS-2025-0014-宜宾兴港建材-三江新区长江工业园片区保障性租赁住房建设项目</v>
      </c>
      <c r="R3444" s="22" t="str">
        <f>_xlfn._xlws.FILTER(辅助信息!D:D,辅助信息!E:E=B3444)</f>
        <v>宜宾兴港三江新区长江工业园建设项目</v>
      </c>
    </row>
    <row r="3445" hidden="1" spans="2:18">
      <c r="B3445" s="33" t="s">
        <v>194</v>
      </c>
      <c r="C3445" s="63">
        <v>45915</v>
      </c>
      <c r="D3445" s="33" t="str">
        <f>VLOOKUP(B3445,辅助信息!E:K,7,FALSE)</f>
        <v>JWDD2025071500089</v>
      </c>
      <c r="E3445" s="33" t="str">
        <f>VLOOKUP(F3445,辅助信息!A:B,2,FALSE)</f>
        <v>螺纹钢</v>
      </c>
      <c r="F3445" s="33" t="s">
        <v>21</v>
      </c>
      <c r="G3445" s="29">
        <v>2</v>
      </c>
      <c r="H3445" s="127">
        <f>IF(SUMIFS('[1]2025年已发货'!$E:$E,'[1]2025年已发货'!$F:$F,C3445,'[1]2025年已发货'!$C:$C,F3445,'[1]2025年已发货'!$G:$G,I3445,'[1]2025年已发货'!$H:$H,J3445)=0,"未发货",SUMIFS('[1]2025年已发货'!$E:$E,'[1]2025年已发货'!$F:$F,C3445,'[1]2025年已发货'!$C:$C,F3445,'[1]2025年已发货'!$G:$G,I3445,'[1]2025年已发货'!$H:$H,J3445))</f>
        <v>2</v>
      </c>
      <c r="I3445" s="33" t="str">
        <f>VLOOKUP(B3445,辅助信息!E:I,3,FALSE)</f>
        <v>(宜宾兴港三江新区长江工业园保障性租赁住房建设项目-土建)四川省宜宾市翠屏区永善路南段宜宾市三江新区长江工业园区</v>
      </c>
      <c r="J3445" s="33" t="str">
        <f>VLOOKUP(B3445,辅助信息!E:I,4,FALSE)</f>
        <v>赵元虎</v>
      </c>
      <c r="K3445" s="33">
        <f>VLOOKUP(J3445,辅助信息!H:I,2,FALSE)</f>
        <v>13684167136</v>
      </c>
      <c r="L3445" s="102" t="str">
        <f>VLOOKUP(B3445,辅助信息!E:J,6,FALSE)</f>
        <v>现场要求调度统一联系指定收货人，不单独发司机位置。锈货不收，装货前联系收货人核实到场规格,没提前告知进场规格现场不给予接收</v>
      </c>
      <c r="O3445" s="55" t="str">
        <f ca="1" t="shared" si="190"/>
        <v/>
      </c>
      <c r="P3445" s="55" t="str">
        <f ca="1" t="shared" si="191"/>
        <v/>
      </c>
      <c r="Q3445" s="22" t="str">
        <f>VLOOKUP(B3445,辅助信息!E:M,9,FALSE)</f>
        <v>ZTWM-CDYXGS-XS-2025-0014-宜宾兴港建材-三江新区长江工业园片区保障性租赁住房建设项目</v>
      </c>
      <c r="R3445" s="22" t="str">
        <f>_xlfn._xlws.FILTER(辅助信息!D:D,辅助信息!E:E=B3445)</f>
        <v>宜宾兴港三江新区长江工业园建设项目</v>
      </c>
    </row>
    <row r="3446" hidden="1" spans="2:18">
      <c r="B3446" s="33" t="s">
        <v>194</v>
      </c>
      <c r="C3446" s="63">
        <v>45915</v>
      </c>
      <c r="D3446" s="33" t="str">
        <f>VLOOKUP(B3446,辅助信息!E:K,7,FALSE)</f>
        <v>JWDD2025071500089</v>
      </c>
      <c r="E3446" s="33" t="str">
        <f>VLOOKUP(F3446,辅助信息!A:B,2,FALSE)</f>
        <v>螺纹钢</v>
      </c>
      <c r="F3446" s="33" t="s">
        <v>58</v>
      </c>
      <c r="G3446" s="29">
        <v>2</v>
      </c>
      <c r="H3446" s="127">
        <f>IF(SUMIFS('[1]2025年已发货'!$E:$E,'[1]2025年已发货'!$F:$F,C3446,'[1]2025年已发货'!$C:$C,F3446,'[1]2025年已发货'!$G:$G,I3446,'[1]2025年已发货'!$H:$H,J3446)=0,"未发货",SUMIFS('[1]2025年已发货'!$E:$E,'[1]2025年已发货'!$F:$F,C3446,'[1]2025年已发货'!$C:$C,F3446,'[1]2025年已发货'!$G:$G,I3446,'[1]2025年已发货'!$H:$H,J3446))</f>
        <v>2</v>
      </c>
      <c r="I3446" s="33" t="str">
        <f>VLOOKUP(B3446,辅助信息!E:I,3,FALSE)</f>
        <v>(宜宾兴港三江新区长江工业园保障性租赁住房建设项目-土建)四川省宜宾市翠屏区永善路南段宜宾市三江新区长江工业园区</v>
      </c>
      <c r="J3446" s="33" t="str">
        <f>VLOOKUP(B3446,辅助信息!E:I,4,FALSE)</f>
        <v>赵元虎</v>
      </c>
      <c r="K3446" s="33">
        <f>VLOOKUP(J3446,辅助信息!H:I,2,FALSE)</f>
        <v>13684167136</v>
      </c>
      <c r="L3446" s="102" t="str">
        <f>VLOOKUP(B3446,辅助信息!E:J,6,FALSE)</f>
        <v>现场要求调度统一联系指定收货人，不单独发司机位置。锈货不收，装货前联系收货人核实到场规格,没提前告知进场规格现场不给予接收</v>
      </c>
      <c r="O3446" s="55" t="str">
        <f ca="1" t="shared" si="190"/>
        <v/>
      </c>
      <c r="P3446" s="55" t="str">
        <f ca="1" t="shared" si="191"/>
        <v/>
      </c>
      <c r="Q3446" s="22" t="str">
        <f>VLOOKUP(B3446,辅助信息!E:M,9,FALSE)</f>
        <v>ZTWM-CDYXGS-XS-2025-0014-宜宾兴港建材-三江新区长江工业园片区保障性租赁住房建设项目</v>
      </c>
      <c r="R3446" s="22" t="str">
        <f>_xlfn._xlws.FILTER(辅助信息!D:D,辅助信息!E:E=B3446)</f>
        <v>宜宾兴港三江新区长江工业园建设项目</v>
      </c>
    </row>
    <row r="3447" hidden="1" spans="2:18">
      <c r="B3447" s="33" t="s">
        <v>194</v>
      </c>
      <c r="C3447" s="63">
        <v>45915</v>
      </c>
      <c r="D3447" s="33" t="str">
        <f>VLOOKUP(B3447,辅助信息!E:K,7,FALSE)</f>
        <v>JWDD2025071500089</v>
      </c>
      <c r="E3447" s="33" t="str">
        <f>VLOOKUP(F3447,辅助信息!A:B,2,FALSE)</f>
        <v>螺纹钢</v>
      </c>
      <c r="F3447" s="33" t="s">
        <v>46</v>
      </c>
      <c r="G3447" s="29">
        <v>2</v>
      </c>
      <c r="H3447" s="127">
        <f>IF(SUMIFS('[1]2025年已发货'!$E:$E,'[1]2025年已发货'!$F:$F,C3447,'[1]2025年已发货'!$C:$C,F3447,'[1]2025年已发货'!$G:$G,I3447,'[1]2025年已发货'!$H:$H,J3447)=0,"未发货",SUMIFS('[1]2025年已发货'!$E:$E,'[1]2025年已发货'!$F:$F,C3447,'[1]2025年已发货'!$C:$C,F3447,'[1]2025年已发货'!$G:$G,I3447,'[1]2025年已发货'!$H:$H,J3447))</f>
        <v>2</v>
      </c>
      <c r="I3447" s="33" t="str">
        <f>VLOOKUP(B3447,辅助信息!E:I,3,FALSE)</f>
        <v>(宜宾兴港三江新区长江工业园保障性租赁住房建设项目-土建)四川省宜宾市翠屏区永善路南段宜宾市三江新区长江工业园区</v>
      </c>
      <c r="J3447" s="33" t="str">
        <f>VLOOKUP(B3447,辅助信息!E:I,4,FALSE)</f>
        <v>赵元虎</v>
      </c>
      <c r="K3447" s="33">
        <f>VLOOKUP(J3447,辅助信息!H:I,2,FALSE)</f>
        <v>13684167136</v>
      </c>
      <c r="L3447" s="102" t="str">
        <f>VLOOKUP(B3447,辅助信息!E:J,6,FALSE)</f>
        <v>现场要求调度统一联系指定收货人，不单独发司机位置。锈货不收，装货前联系收货人核实到场规格,没提前告知进场规格现场不给予接收</v>
      </c>
      <c r="O3447" s="55" t="str">
        <f ca="1" t="shared" si="190"/>
        <v/>
      </c>
      <c r="P3447" s="55" t="str">
        <f ca="1" t="shared" si="191"/>
        <v/>
      </c>
      <c r="Q3447" s="22" t="str">
        <f>VLOOKUP(B3447,辅助信息!E:M,9,FALSE)</f>
        <v>ZTWM-CDYXGS-XS-2025-0014-宜宾兴港建材-三江新区长江工业园片区保障性租赁住房建设项目</v>
      </c>
      <c r="R3447" s="22" t="str">
        <f>_xlfn._xlws.FILTER(辅助信息!D:D,辅助信息!E:E=B3447)</f>
        <v>宜宾兴港三江新区长江工业园建设项目</v>
      </c>
    </row>
    <row r="3448" hidden="1" spans="2:18">
      <c r="B3448" s="33" t="s">
        <v>194</v>
      </c>
      <c r="C3448" s="63">
        <v>45915</v>
      </c>
      <c r="D3448" s="33" t="str">
        <f>VLOOKUP(B3448,辅助信息!E:K,7,FALSE)</f>
        <v>JWDD2025071500089</v>
      </c>
      <c r="E3448" s="33" t="str">
        <f>VLOOKUP(F3448,辅助信息!A:B,2,FALSE)</f>
        <v>螺纹钢</v>
      </c>
      <c r="F3448" s="33" t="s">
        <v>22</v>
      </c>
      <c r="G3448" s="29">
        <v>21</v>
      </c>
      <c r="H3448" s="127">
        <f>IF(SUMIFS('[1]2025年已发货'!$E:$E,'[1]2025年已发货'!$F:$F,C3448,'[1]2025年已发货'!$C:$C,F3448,'[1]2025年已发货'!$G:$G,I3448,'[1]2025年已发货'!$H:$H,J3448)=0,"未发货",SUMIFS('[1]2025年已发货'!$E:$E,'[1]2025年已发货'!$F:$F,C3448,'[1]2025年已发货'!$C:$C,F3448,'[1]2025年已发货'!$G:$G,I3448,'[1]2025年已发货'!$H:$H,J3448))</f>
        <v>21</v>
      </c>
      <c r="I3448" s="33" t="str">
        <f>VLOOKUP(B3448,辅助信息!E:I,3,FALSE)</f>
        <v>(宜宾兴港三江新区长江工业园保障性租赁住房建设项目-土建)四川省宜宾市翠屏区永善路南段宜宾市三江新区长江工业园区</v>
      </c>
      <c r="J3448" s="33" t="str">
        <f>VLOOKUP(B3448,辅助信息!E:I,4,FALSE)</f>
        <v>赵元虎</v>
      </c>
      <c r="K3448" s="33">
        <f>VLOOKUP(J3448,辅助信息!H:I,2,FALSE)</f>
        <v>13684167136</v>
      </c>
      <c r="L3448" s="102" t="str">
        <f>VLOOKUP(B3448,辅助信息!E:J,6,FALSE)</f>
        <v>现场要求调度统一联系指定收货人，不单独发司机位置。锈货不收，装货前联系收货人核实到场规格,没提前告知进场规格现场不给予接收</v>
      </c>
      <c r="O3448" s="55" t="str">
        <f ca="1" t="shared" si="190"/>
        <v/>
      </c>
      <c r="P3448" s="55" t="str">
        <f ca="1" t="shared" si="191"/>
        <v/>
      </c>
      <c r="Q3448" s="22" t="str">
        <f>VLOOKUP(B3448,辅助信息!E:M,9,FALSE)</f>
        <v>ZTWM-CDYXGS-XS-2025-0014-宜宾兴港建材-三江新区长江工业园片区保障性租赁住房建设项目</v>
      </c>
      <c r="R3448" s="22" t="str">
        <f>_xlfn._xlws.FILTER(辅助信息!D:D,辅助信息!E:E=B3448)</f>
        <v>宜宾兴港三江新区长江工业园建设项目</v>
      </c>
    </row>
    <row r="3449" hidden="1" spans="2:18">
      <c r="B3449" s="33" t="s">
        <v>163</v>
      </c>
      <c r="C3449" s="63">
        <v>45915</v>
      </c>
      <c r="D3449" s="33" t="str">
        <f>VLOOKUP(B3449,辅助信息!E:K,7,FALSE)</f>
        <v>JWDDCD2025052800131</v>
      </c>
      <c r="E3449" s="33" t="str">
        <f>VLOOKUP(F3449,辅助信息!A:B,2,FALSE)</f>
        <v>盘螺</v>
      </c>
      <c r="F3449" s="33" t="s">
        <v>49</v>
      </c>
      <c r="G3449" s="29">
        <v>6</v>
      </c>
      <c r="H3449" s="127"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33" t="str">
        <f>VLOOKUP(B3449,辅助信息!E:I,3,FALSE)</f>
        <v>（商投建工达州中医药科技园-4工区-9号楼）达州市通川区达州中医药职业学院犀牛大道北段</v>
      </c>
      <c r="J3449" s="33" t="str">
        <f>VLOOKUP(B3449,辅助信息!E:I,4,FALSE)</f>
        <v>张扬</v>
      </c>
      <c r="K3449" s="33">
        <f>VLOOKUP(J3449,辅助信息!H:I,2,FALSE)</f>
        <v>18381904567</v>
      </c>
      <c r="L3449" s="102" t="str">
        <f>VLOOKUP(B3449,辅助信息!E:J,6,FALSE)</f>
        <v>控制炉批号！多了现场不收！,优先安排达钢,提前联系到场规格及数量</v>
      </c>
      <c r="M3449" s="84">
        <v>45918</v>
      </c>
      <c r="O3449" s="55">
        <f ca="1" t="shared" si="190"/>
        <v>0</v>
      </c>
      <c r="P3449" s="55">
        <f ca="1" t="shared" si="191"/>
        <v>39</v>
      </c>
      <c r="Q3449" s="22" t="str">
        <f>VLOOKUP(B3449,辅助信息!E:M,9,FALSE)</f>
        <v>ZTWM-CDGS-XS-2024-0134-商投建工达州中医药科技成果示范园项目</v>
      </c>
      <c r="R3449" s="22" t="str">
        <f>_xlfn._xlws.FILTER(辅助信息!D:D,辅助信息!E:E=B3449)</f>
        <v>商投建工达州中医药科技园</v>
      </c>
    </row>
    <row r="3450" hidden="1" spans="2:18">
      <c r="B3450" s="33" t="s">
        <v>163</v>
      </c>
      <c r="C3450" s="63">
        <v>45915</v>
      </c>
      <c r="D3450" s="33" t="str">
        <f>VLOOKUP(B3450,辅助信息!E:K,7,FALSE)</f>
        <v>JWDDCD2025052800131</v>
      </c>
      <c r="E3450" s="33" t="str">
        <f>VLOOKUP(F3450,辅助信息!A:B,2,FALSE)</f>
        <v>盘螺</v>
      </c>
      <c r="F3450" s="33" t="s">
        <v>40</v>
      </c>
      <c r="G3450" s="29">
        <v>12</v>
      </c>
      <c r="H3450" s="127"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33" t="str">
        <f>VLOOKUP(B3450,辅助信息!E:I,3,FALSE)</f>
        <v>（商投建工达州中医药科技园-4工区-9号楼）达州市通川区达州中医药职业学院犀牛大道北段</v>
      </c>
      <c r="J3450" s="33" t="str">
        <f>VLOOKUP(B3450,辅助信息!E:I,4,FALSE)</f>
        <v>张扬</v>
      </c>
      <c r="K3450" s="33">
        <f>VLOOKUP(J3450,辅助信息!H:I,2,FALSE)</f>
        <v>18381904567</v>
      </c>
      <c r="L3450" s="102" t="str">
        <f>VLOOKUP(B3450,辅助信息!E:J,6,FALSE)</f>
        <v>控制炉批号！多了现场不收！,优先安排达钢,提前联系到场规格及数量</v>
      </c>
      <c r="M3450" s="84">
        <v>45918</v>
      </c>
      <c r="O3450" s="55">
        <f ca="1" t="shared" si="190"/>
        <v>0</v>
      </c>
      <c r="P3450" s="55">
        <f ca="1" t="shared" si="191"/>
        <v>39</v>
      </c>
      <c r="Q3450" s="22" t="str">
        <f>VLOOKUP(B3450,辅助信息!E:M,9,FALSE)</f>
        <v>ZTWM-CDGS-XS-2024-0134-商投建工达州中医药科技成果示范园项目</v>
      </c>
      <c r="R3450" s="22" t="str">
        <f>_xlfn._xlws.FILTER(辅助信息!D:D,辅助信息!E:E=B3450)</f>
        <v>商投建工达州中医药科技园</v>
      </c>
    </row>
    <row r="3451" hidden="1" spans="2:18">
      <c r="B3451" s="33" t="s">
        <v>163</v>
      </c>
      <c r="C3451" s="63">
        <v>45915</v>
      </c>
      <c r="D3451" s="33" t="str">
        <f>VLOOKUP(B3451,辅助信息!E:K,7,FALSE)</f>
        <v>JWDDCD2025052800131</v>
      </c>
      <c r="E3451" s="33" t="str">
        <f>VLOOKUP(F3451,辅助信息!A:B,2,FALSE)</f>
        <v>盘螺</v>
      </c>
      <c r="F3451" s="33" t="s">
        <v>41</v>
      </c>
      <c r="G3451" s="29">
        <v>12</v>
      </c>
      <c r="H3451" s="127"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33" t="str">
        <f>VLOOKUP(B3451,辅助信息!E:I,3,FALSE)</f>
        <v>（商投建工达州中医药科技园-4工区-9号楼）达州市通川区达州中医药职业学院犀牛大道北段</v>
      </c>
      <c r="J3451" s="33" t="str">
        <f>VLOOKUP(B3451,辅助信息!E:I,4,FALSE)</f>
        <v>张扬</v>
      </c>
      <c r="K3451" s="33">
        <f>VLOOKUP(J3451,辅助信息!H:I,2,FALSE)</f>
        <v>18381904567</v>
      </c>
      <c r="L3451" s="102" t="str">
        <f>VLOOKUP(B3451,辅助信息!E:J,6,FALSE)</f>
        <v>控制炉批号！多了现场不收！,优先安排达钢,提前联系到场规格及数量</v>
      </c>
      <c r="M3451" s="84">
        <v>45918</v>
      </c>
      <c r="O3451" s="55">
        <f ca="1" t="shared" si="190"/>
        <v>0</v>
      </c>
      <c r="P3451" s="55">
        <f ca="1" t="shared" si="191"/>
        <v>39</v>
      </c>
      <c r="Q3451" s="22" t="str">
        <f>VLOOKUP(B3451,辅助信息!E:M,9,FALSE)</f>
        <v>ZTWM-CDGS-XS-2024-0134-商投建工达州中医药科技成果示范园项目</v>
      </c>
      <c r="R3451" s="22" t="str">
        <f>_xlfn._xlws.FILTER(辅助信息!D:D,辅助信息!E:E=B3451)</f>
        <v>商投建工达州中医药科技园</v>
      </c>
    </row>
    <row r="3452" hidden="1" spans="2:18">
      <c r="B3452" s="33" t="s">
        <v>163</v>
      </c>
      <c r="C3452" s="63">
        <v>45915</v>
      </c>
      <c r="D3452" s="33" t="str">
        <f>VLOOKUP(B3452,辅助信息!E:K,7,FALSE)</f>
        <v>JWDDCD2025052800131</v>
      </c>
      <c r="E3452" s="33" t="str">
        <f>VLOOKUP(F3452,辅助信息!A:B,2,FALSE)</f>
        <v>螺纹钢</v>
      </c>
      <c r="F3452" s="33" t="s">
        <v>33</v>
      </c>
      <c r="G3452" s="29">
        <v>6</v>
      </c>
      <c r="H3452" s="127"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33" t="str">
        <f>VLOOKUP(B3452,辅助信息!E:I,3,FALSE)</f>
        <v>（商投建工达州中医药科技园-4工区-9号楼）达州市通川区达州中医药职业学院犀牛大道北段</v>
      </c>
      <c r="J3452" s="33" t="str">
        <f>VLOOKUP(B3452,辅助信息!E:I,4,FALSE)</f>
        <v>张扬</v>
      </c>
      <c r="K3452" s="33">
        <f>VLOOKUP(J3452,辅助信息!H:I,2,FALSE)</f>
        <v>18381904567</v>
      </c>
      <c r="L3452" s="102" t="str">
        <f>VLOOKUP(B3452,辅助信息!E:J,6,FALSE)</f>
        <v>控制炉批号！多了现场不收！,优先安排达钢,提前联系到场规格及数量</v>
      </c>
      <c r="M3452" s="84">
        <v>45918</v>
      </c>
      <c r="O3452" s="55">
        <f ca="1" t="shared" si="190"/>
        <v>0</v>
      </c>
      <c r="P3452" s="55">
        <f ca="1" t="shared" si="191"/>
        <v>39</v>
      </c>
      <c r="Q3452" s="22" t="str">
        <f>VLOOKUP(B3452,辅助信息!E:M,9,FALSE)</f>
        <v>ZTWM-CDGS-XS-2024-0134-商投建工达州中医药科技成果示范园项目</v>
      </c>
      <c r="R3452" s="22" t="str">
        <f>_xlfn._xlws.FILTER(辅助信息!D:D,辅助信息!E:E=B3452)</f>
        <v>商投建工达州中医药科技园</v>
      </c>
    </row>
    <row r="3453" hidden="1" spans="2:18">
      <c r="B3453" s="33" t="s">
        <v>163</v>
      </c>
      <c r="C3453" s="63">
        <v>45915</v>
      </c>
      <c r="D3453" s="33" t="str">
        <f>VLOOKUP(B3453,辅助信息!E:K,7,FALSE)</f>
        <v>JWDDCD2025052800131</v>
      </c>
      <c r="E3453" s="33" t="str">
        <f>VLOOKUP(F3453,辅助信息!A:B,2,FALSE)</f>
        <v>螺纹钢</v>
      </c>
      <c r="F3453" s="33" t="s">
        <v>66</v>
      </c>
      <c r="G3453" s="29">
        <v>6</v>
      </c>
      <c r="H3453" s="127"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33" t="str">
        <f>VLOOKUP(B3453,辅助信息!E:I,3,FALSE)</f>
        <v>（商投建工达州中医药科技园-4工区-9号楼）达州市通川区达州中医药职业学院犀牛大道北段</v>
      </c>
      <c r="J3453" s="33" t="str">
        <f>VLOOKUP(B3453,辅助信息!E:I,4,FALSE)</f>
        <v>张扬</v>
      </c>
      <c r="K3453" s="33">
        <f>VLOOKUP(J3453,辅助信息!H:I,2,FALSE)</f>
        <v>18381904567</v>
      </c>
      <c r="L3453" s="102" t="str">
        <f>VLOOKUP(B3453,辅助信息!E:J,6,FALSE)</f>
        <v>控制炉批号！多了现场不收！,优先安排达钢,提前联系到场规格及数量</v>
      </c>
      <c r="M3453" s="84">
        <v>45918</v>
      </c>
      <c r="O3453" s="55">
        <f ca="1" t="shared" si="190"/>
        <v>0</v>
      </c>
      <c r="P3453" s="55">
        <f ca="1" t="shared" si="191"/>
        <v>39</v>
      </c>
      <c r="Q3453" s="22" t="str">
        <f>VLOOKUP(B3453,辅助信息!E:M,9,FALSE)</f>
        <v>ZTWM-CDGS-XS-2024-0134-商投建工达州中医药科技成果示范园项目</v>
      </c>
      <c r="R3453" s="22" t="str">
        <f>_xlfn._xlws.FILTER(辅助信息!D:D,辅助信息!E:E=B3453)</f>
        <v>商投建工达州中医药科技园</v>
      </c>
    </row>
    <row r="3454" hidden="1" spans="2:18">
      <c r="B3454" s="33" t="s">
        <v>163</v>
      </c>
      <c r="C3454" s="63">
        <v>45915</v>
      </c>
      <c r="D3454" s="33" t="str">
        <f>VLOOKUP(B3454,辅助信息!E:K,7,FALSE)</f>
        <v>JWDDCD2025052800131</v>
      </c>
      <c r="E3454" s="33" t="str">
        <f>VLOOKUP(F3454,辅助信息!A:B,2,FALSE)</f>
        <v>螺纹钢</v>
      </c>
      <c r="F3454" s="33" t="s">
        <v>21</v>
      </c>
      <c r="G3454" s="29">
        <v>12</v>
      </c>
      <c r="H3454" s="127"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33" t="str">
        <f>VLOOKUP(B3454,辅助信息!E:I,3,FALSE)</f>
        <v>（商投建工达州中医药科技园-4工区-9号楼）达州市通川区达州中医药职业学院犀牛大道北段</v>
      </c>
      <c r="J3454" s="33" t="str">
        <f>VLOOKUP(B3454,辅助信息!E:I,4,FALSE)</f>
        <v>张扬</v>
      </c>
      <c r="K3454" s="33">
        <f>VLOOKUP(J3454,辅助信息!H:I,2,FALSE)</f>
        <v>18381904567</v>
      </c>
      <c r="L3454" s="102" t="str">
        <f>VLOOKUP(B3454,辅助信息!E:J,6,FALSE)</f>
        <v>控制炉批号！多了现场不收！,优先安排达钢,提前联系到场规格及数量</v>
      </c>
      <c r="M3454" s="84">
        <v>45918</v>
      </c>
      <c r="O3454" s="55">
        <f ca="1" t="shared" si="190"/>
        <v>0</v>
      </c>
      <c r="P3454" s="55">
        <f ca="1" t="shared" si="191"/>
        <v>39</v>
      </c>
      <c r="Q3454" s="22" t="str">
        <f>VLOOKUP(B3454,辅助信息!E:M,9,FALSE)</f>
        <v>ZTWM-CDGS-XS-2024-0134-商投建工达州中医药科技成果示范园项目</v>
      </c>
      <c r="R3454" s="22" t="str">
        <f>_xlfn._xlws.FILTER(辅助信息!D:D,辅助信息!E:E=B3454)</f>
        <v>商投建工达州中医药科技园</v>
      </c>
    </row>
    <row r="3455" hidden="1" spans="2:18">
      <c r="B3455" s="33" t="s">
        <v>163</v>
      </c>
      <c r="C3455" s="63">
        <v>45915</v>
      </c>
      <c r="D3455" s="33" t="str">
        <f>VLOOKUP(B3455,辅助信息!E:K,7,FALSE)</f>
        <v>JWDDCD2025052800131</v>
      </c>
      <c r="E3455" s="33" t="str">
        <f>VLOOKUP(F3455,辅助信息!A:B,2,FALSE)</f>
        <v>螺纹钢</v>
      </c>
      <c r="F3455" s="33" t="s">
        <v>58</v>
      </c>
      <c r="G3455" s="29">
        <v>15</v>
      </c>
      <c r="H3455" s="127"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33" t="str">
        <f>VLOOKUP(B3455,辅助信息!E:I,3,FALSE)</f>
        <v>（商投建工达州中医药科技园-4工区-9号楼）达州市通川区达州中医药职业学院犀牛大道北段</v>
      </c>
      <c r="J3455" s="33" t="str">
        <f>VLOOKUP(B3455,辅助信息!E:I,4,FALSE)</f>
        <v>张扬</v>
      </c>
      <c r="K3455" s="33">
        <f>VLOOKUP(J3455,辅助信息!H:I,2,FALSE)</f>
        <v>18381904567</v>
      </c>
      <c r="L3455" s="102" t="str">
        <f>VLOOKUP(B3455,辅助信息!E:J,6,FALSE)</f>
        <v>控制炉批号！多了现场不收！,优先安排达钢,提前联系到场规格及数量</v>
      </c>
      <c r="M3455" s="84">
        <v>45918</v>
      </c>
      <c r="O3455" s="55">
        <f ca="1" t="shared" si="190"/>
        <v>0</v>
      </c>
      <c r="P3455" s="55">
        <f ca="1" t="shared" si="191"/>
        <v>39</v>
      </c>
      <c r="Q3455" s="22" t="str">
        <f>VLOOKUP(B3455,辅助信息!E:M,9,FALSE)</f>
        <v>ZTWM-CDGS-XS-2024-0134-商投建工达州中医药科技成果示范园项目</v>
      </c>
      <c r="R3455" s="22" t="str">
        <f>_xlfn._xlws.FILTER(辅助信息!D:D,辅助信息!E:E=B3455)</f>
        <v>商投建工达州中医药科技园</v>
      </c>
    </row>
    <row r="3456" hidden="1" spans="2:18">
      <c r="B3456" s="33" t="s">
        <v>192</v>
      </c>
      <c r="C3456" s="63">
        <v>45915</v>
      </c>
      <c r="D3456" s="33" t="str">
        <f>VLOOKUP(B3456,辅助信息!E:K,7,FALSE)</f>
        <v>JWDDCD2025102100475</v>
      </c>
      <c r="E3456" s="33" t="str">
        <f>VLOOKUP(F3456,辅助信息!A:B,2,FALSE)</f>
        <v>盘螺</v>
      </c>
      <c r="F3456" s="33" t="s">
        <v>26</v>
      </c>
      <c r="G3456" s="29">
        <v>18</v>
      </c>
      <c r="H3456" s="127">
        <f>IF(SUMIFS('[1]2025年已发货'!$E:$E,'[1]2025年已发货'!$F:$F,C3456,'[1]2025年已发货'!$C:$C,F3456,'[1]2025年已发货'!$G:$G,I3456,'[1]2025年已发货'!$H:$H,J3456)=0,"未发货",SUMIFS('[1]2025年已发货'!$E:$E,'[1]2025年已发货'!$F:$F,C3456,'[1]2025年已发货'!$C:$C,F3456,'[1]2025年已发货'!$G:$G,I3456,'[1]2025年已发货'!$H:$H,J3456))</f>
        <v>18</v>
      </c>
      <c r="I3456" s="33" t="str">
        <f>VLOOKUP(B3456,辅助信息!E:I,3,FALSE)</f>
        <v>(五冶建设成都国际铁路港多式联项目)四川省成都市青白江区桂平大道成都中远海运陆港多式联运有限公司</v>
      </c>
      <c r="J3456" s="33" t="str">
        <f>VLOOKUP(B3456,辅助信息!E:I,4,FALSE)</f>
        <v>黄勇杰</v>
      </c>
      <c r="K3456" s="33">
        <f>VLOOKUP(J3456,辅助信息!H:I,2,FALSE)</f>
        <v>13880580196</v>
      </c>
      <c r="L3456" s="140"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55" t="str">
        <f ca="1" t="shared" si="190"/>
        <v/>
      </c>
      <c r="P3456" s="55" t="str">
        <f ca="1" t="shared" si="191"/>
        <v/>
      </c>
      <c r="Q3456" s="22" t="str">
        <f>VLOOKUP(B3456,辅助信息!E:M,9,FALSE)</f>
        <v>ZTWM-CDGS-XS-2025-0073-五冶天府-成都怡心湖片区及龙泉驿医院等项目</v>
      </c>
      <c r="R3456" s="22" t="str">
        <f>_xlfn._xlws.FILTER(辅助信息!D:D,辅助信息!E:E=B3456)</f>
        <v>五冶建设成都国际铁路港多式联项目</v>
      </c>
    </row>
    <row r="3457" hidden="1" spans="2:18">
      <c r="B3457" s="33" t="s">
        <v>192</v>
      </c>
      <c r="C3457" s="63">
        <v>45915</v>
      </c>
      <c r="D3457" s="33" t="str">
        <f>VLOOKUP(B3457,辅助信息!E:K,7,FALSE)</f>
        <v>JWDDCD2025102100475</v>
      </c>
      <c r="E3457" s="33" t="str">
        <f>VLOOKUP(F3457,辅助信息!A:B,2,FALSE)</f>
        <v>螺纹钢</v>
      </c>
      <c r="F3457" s="33" t="s">
        <v>32</v>
      </c>
      <c r="G3457" s="29">
        <v>14</v>
      </c>
      <c r="H3457" s="127"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33" t="str">
        <f>VLOOKUP(B3457,辅助信息!E:I,3,FALSE)</f>
        <v>(五冶建设成都国际铁路港多式联项目)四川省成都市青白江区桂平大道成都中远海运陆港多式联运有限公司</v>
      </c>
      <c r="J3457" s="33" t="str">
        <f>VLOOKUP(B3457,辅助信息!E:I,4,FALSE)</f>
        <v>黄勇杰</v>
      </c>
      <c r="K3457" s="33">
        <f>VLOOKUP(J3457,辅助信息!H:I,2,FALSE)</f>
        <v>13880580196</v>
      </c>
      <c r="L3457" s="140"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55" t="str">
        <f ca="1" t="shared" si="190"/>
        <v/>
      </c>
      <c r="P3457" s="55" t="str">
        <f ca="1" t="shared" si="191"/>
        <v/>
      </c>
      <c r="Q3457" s="22" t="str">
        <f>VLOOKUP(B3457,辅助信息!E:M,9,FALSE)</f>
        <v>ZTWM-CDGS-XS-2025-0073-五冶天府-成都怡心湖片区及龙泉驿医院等项目</v>
      </c>
      <c r="R3457" s="22" t="str">
        <f>_xlfn._xlws.FILTER(辅助信息!D:D,辅助信息!E:E=B3457)</f>
        <v>五冶建设成都国际铁路港多式联项目</v>
      </c>
    </row>
    <row r="3458" hidden="1" spans="2:18">
      <c r="B3458" s="33" t="s">
        <v>192</v>
      </c>
      <c r="C3458" s="63">
        <v>45915</v>
      </c>
      <c r="D3458" s="33" t="str">
        <f>VLOOKUP(B3458,辅助信息!E:K,7,FALSE)</f>
        <v>JWDDCD2025102100475</v>
      </c>
      <c r="E3458" s="33" t="str">
        <f>VLOOKUP(F3458,辅助信息!A:B,2,FALSE)</f>
        <v>螺纹钢</v>
      </c>
      <c r="F3458" s="33" t="s">
        <v>30</v>
      </c>
      <c r="G3458" s="29">
        <v>18</v>
      </c>
      <c r="H3458" s="127"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33" t="str">
        <f>VLOOKUP(B3458,辅助信息!E:I,3,FALSE)</f>
        <v>(五冶建设成都国际铁路港多式联项目)四川省成都市青白江区桂平大道成都中远海运陆港多式联运有限公司</v>
      </c>
      <c r="J3458" s="33" t="str">
        <f>VLOOKUP(B3458,辅助信息!E:I,4,FALSE)</f>
        <v>黄勇杰</v>
      </c>
      <c r="K3458" s="33">
        <f>VLOOKUP(J3458,辅助信息!H:I,2,FALSE)</f>
        <v>13880580196</v>
      </c>
      <c r="L3458" s="140"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55" t="str">
        <f ca="1" t="shared" si="190"/>
        <v/>
      </c>
      <c r="P3458" s="55" t="str">
        <f ca="1" t="shared" si="191"/>
        <v/>
      </c>
      <c r="Q3458" s="22" t="str">
        <f>VLOOKUP(B3458,辅助信息!E:M,9,FALSE)</f>
        <v>ZTWM-CDGS-XS-2025-0073-五冶天府-成都怡心湖片区及龙泉驿医院等项目</v>
      </c>
      <c r="R3458" s="22" t="str">
        <f>_xlfn._xlws.FILTER(辅助信息!D:D,辅助信息!E:E=B3458)</f>
        <v>五冶建设成都国际铁路港多式联项目</v>
      </c>
    </row>
    <row r="3459" hidden="1" spans="2:18">
      <c r="B3459" s="33" t="s">
        <v>192</v>
      </c>
      <c r="C3459" s="63">
        <v>45915</v>
      </c>
      <c r="D3459" s="33" t="str">
        <f>VLOOKUP(B3459,辅助信息!E:K,7,FALSE)</f>
        <v>JWDDCD2025102100475</v>
      </c>
      <c r="E3459" s="33" t="str">
        <f>VLOOKUP(F3459,辅助信息!A:B,2,FALSE)</f>
        <v>螺纹钢</v>
      </c>
      <c r="F3459" s="33" t="s">
        <v>33</v>
      </c>
      <c r="G3459" s="29">
        <v>10</v>
      </c>
      <c r="H3459" s="127">
        <f>IF(SUMIFS('[1]2025年已发货'!$E:$E,'[1]2025年已发货'!$F:$F,C3459,'[1]2025年已发货'!$C:$C,F3459,'[1]2025年已发货'!$G:$G,I3459,'[1]2025年已发货'!$H:$H,J3459)=0,"未发货",SUMIFS('[1]2025年已发货'!$E:$E,'[1]2025年已发货'!$F:$F,C3459,'[1]2025年已发货'!$C:$C,F3459,'[1]2025年已发货'!$G:$G,I3459,'[1]2025年已发货'!$H:$H,J3459))</f>
        <v>10</v>
      </c>
      <c r="I3459" s="33" t="str">
        <f>VLOOKUP(B3459,辅助信息!E:I,3,FALSE)</f>
        <v>(五冶建设成都国际铁路港多式联项目)四川省成都市青白江区桂平大道成都中远海运陆港多式联运有限公司</v>
      </c>
      <c r="J3459" s="33" t="str">
        <f>VLOOKUP(B3459,辅助信息!E:I,4,FALSE)</f>
        <v>黄勇杰</v>
      </c>
      <c r="K3459" s="33">
        <f>VLOOKUP(J3459,辅助信息!H:I,2,FALSE)</f>
        <v>13880580196</v>
      </c>
      <c r="L3459" s="140"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55" t="str">
        <f ca="1" t="shared" si="190"/>
        <v/>
      </c>
      <c r="P3459" s="55" t="str">
        <f ca="1" t="shared" si="191"/>
        <v/>
      </c>
      <c r="Q3459" s="22" t="str">
        <f>VLOOKUP(B3459,辅助信息!E:M,9,FALSE)</f>
        <v>ZTWM-CDGS-XS-2025-0073-五冶天府-成都怡心湖片区及龙泉驿医院等项目</v>
      </c>
      <c r="R3459" s="22" t="str">
        <f>_xlfn._xlws.FILTER(辅助信息!D:D,辅助信息!E:E=B3459)</f>
        <v>五冶建设成都国际铁路港多式联项目</v>
      </c>
    </row>
    <row r="3460" hidden="1" spans="2:18">
      <c r="B3460" s="33" t="s">
        <v>192</v>
      </c>
      <c r="C3460" s="63">
        <v>45915</v>
      </c>
      <c r="D3460" s="33" t="str">
        <f>VLOOKUP(B3460,辅助信息!E:K,7,FALSE)</f>
        <v>JWDDCD2025102100475</v>
      </c>
      <c r="E3460" s="33" t="str">
        <f>VLOOKUP(F3460,辅助信息!A:B,2,FALSE)</f>
        <v>螺纹钢</v>
      </c>
      <c r="F3460" s="33" t="s">
        <v>28</v>
      </c>
      <c r="G3460" s="29">
        <v>10</v>
      </c>
      <c r="H3460" s="127">
        <f>IF(SUMIFS('[1]2025年已发货'!$E:$E,'[1]2025年已发货'!$F:$F,C3460,'[1]2025年已发货'!$C:$C,F3460,'[1]2025年已发货'!$G:$G,I3460,'[1]2025年已发货'!$H:$H,J3460)=0,"未发货",SUMIFS('[1]2025年已发货'!$E:$E,'[1]2025年已发货'!$F:$F,C3460,'[1]2025年已发货'!$C:$C,F3460,'[1]2025年已发货'!$G:$G,I3460,'[1]2025年已发货'!$H:$H,J3460))</f>
        <v>10</v>
      </c>
      <c r="I3460" s="33" t="str">
        <f>VLOOKUP(B3460,辅助信息!E:I,3,FALSE)</f>
        <v>(五冶建设成都国际铁路港多式联项目)四川省成都市青白江区桂平大道成都中远海运陆港多式联运有限公司</v>
      </c>
      <c r="J3460" s="33" t="str">
        <f>VLOOKUP(B3460,辅助信息!E:I,4,FALSE)</f>
        <v>黄勇杰</v>
      </c>
      <c r="K3460" s="33">
        <f>VLOOKUP(J3460,辅助信息!H:I,2,FALSE)</f>
        <v>13880580196</v>
      </c>
      <c r="L3460" s="140"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55" t="str">
        <f ca="1" t="shared" si="190"/>
        <v/>
      </c>
      <c r="P3460" s="55" t="str">
        <f ca="1" t="shared" si="191"/>
        <v/>
      </c>
      <c r="Q3460" s="22" t="str">
        <f>VLOOKUP(B3460,辅助信息!E:M,9,FALSE)</f>
        <v>ZTWM-CDGS-XS-2025-0073-五冶天府-成都怡心湖片区及龙泉驿医院等项目</v>
      </c>
      <c r="R3460" s="22" t="str">
        <f>_xlfn._xlws.FILTER(辅助信息!D:D,辅助信息!E:E=B3460)</f>
        <v>五冶建设成都国际铁路港多式联项目</v>
      </c>
    </row>
    <row r="3461" hidden="1" spans="2:18">
      <c r="B3461" s="113" t="s">
        <v>112</v>
      </c>
      <c r="C3461" s="63">
        <v>45916</v>
      </c>
      <c r="D3461" s="113" t="str">
        <f>VLOOKUP(B3461,辅助信息!E:K,7,FALSE)</f>
        <v>JWDDCD2025052800131</v>
      </c>
      <c r="E3461" s="113" t="str">
        <f>VLOOKUP(F3461,辅助信息!A:B,2,FALSE)</f>
        <v>螺纹钢</v>
      </c>
      <c r="F3461" s="113" t="s">
        <v>27</v>
      </c>
      <c r="G3461" s="114">
        <v>6</v>
      </c>
      <c r="H3461" s="127">
        <f>IF(SUMIFS('[1]2025年已发货'!$E:$E,'[1]2025年已发货'!$F:$F,C3461,'[1]2025年已发货'!$C:$C,F3461,'[1]2025年已发货'!$G:$G,I3461,'[1]2025年已发货'!$H:$H,J3461)=0,"未发货",SUMIFS('[1]2025年已发货'!$E:$E,'[1]2025年已发货'!$F:$F,C3461,'[1]2025年已发货'!$C:$C,F3461,'[1]2025年已发货'!$G:$G,I3461,'[1]2025年已发货'!$H:$H,J3461))</f>
        <v>6</v>
      </c>
      <c r="I3461" s="113" t="str">
        <f>VLOOKUP(B3461,辅助信息!E:I,3,FALSE)</f>
        <v>（商投建工达州中医药科技园-4工区-10号楼）达州市通川区达州中医药职业学院犀牛大道北段</v>
      </c>
      <c r="J3461" s="113" t="str">
        <f>VLOOKUP(B3461,辅助信息!E:I,4,FALSE)</f>
        <v>张扬</v>
      </c>
      <c r="K3461" s="113">
        <f>VLOOKUP(J3461,辅助信息!H:I,2,FALSE)</f>
        <v>18381904567</v>
      </c>
      <c r="L3461" s="115" t="str">
        <f>VLOOKUP(B3461,辅助信息!E:J,6,FALSE)</f>
        <v>控制炉批号！多了现场不收！,优先安排达钢,提前联系到场规格及数量</v>
      </c>
      <c r="O3461" s="55" t="str">
        <f ca="1" t="shared" si="190"/>
        <v/>
      </c>
      <c r="P3461" s="55" t="str">
        <f ca="1" t="shared" si="191"/>
        <v/>
      </c>
      <c r="Q3461" s="22" t="str">
        <f>VLOOKUP(B3461,辅助信息!E:M,9,FALSE)</f>
        <v>ZTWM-CDGS-XS-2024-0134-商投建工达州中医药科技成果示范园项目</v>
      </c>
      <c r="R3461" s="22" t="str">
        <f>_xlfn._xlws.FILTER(辅助信息!D:D,辅助信息!E:E=B3461)</f>
        <v>商投建工达州中医药科技园</v>
      </c>
    </row>
    <row r="3462" hidden="1" spans="2:18">
      <c r="B3462" s="113" t="s">
        <v>112</v>
      </c>
      <c r="C3462" s="63">
        <v>45916</v>
      </c>
      <c r="D3462" s="113" t="str">
        <f>VLOOKUP(B3462,辅助信息!E:K,7,FALSE)</f>
        <v>JWDDCD2025052800131</v>
      </c>
      <c r="E3462" s="113" t="str">
        <f>VLOOKUP(F3462,辅助信息!A:B,2,FALSE)</f>
        <v>螺纹钢</v>
      </c>
      <c r="F3462" s="113" t="s">
        <v>45</v>
      </c>
      <c r="G3462" s="114">
        <v>6</v>
      </c>
      <c r="H3462" s="127">
        <f>IF(SUMIFS('[1]2025年已发货'!$E:$E,'[1]2025年已发货'!$F:$F,C3462,'[1]2025年已发货'!$C:$C,F3462,'[1]2025年已发货'!$G:$G,I3462,'[1]2025年已发货'!$H:$H,J3462)=0,"未发货",SUMIFS('[1]2025年已发货'!$E:$E,'[1]2025年已发货'!$F:$F,C3462,'[1]2025年已发货'!$C:$C,F3462,'[1]2025年已发货'!$G:$G,I3462,'[1]2025年已发货'!$H:$H,J3462))</f>
        <v>6</v>
      </c>
      <c r="I3462" s="113" t="str">
        <f>VLOOKUP(B3462,辅助信息!E:I,3,FALSE)</f>
        <v>（商投建工达州中医药科技园-4工区-10号楼）达州市通川区达州中医药职业学院犀牛大道北段</v>
      </c>
      <c r="J3462" s="113" t="str">
        <f>VLOOKUP(B3462,辅助信息!E:I,4,FALSE)</f>
        <v>张扬</v>
      </c>
      <c r="K3462" s="113">
        <f>VLOOKUP(J3462,辅助信息!H:I,2,FALSE)</f>
        <v>18381904567</v>
      </c>
      <c r="L3462" s="115" t="str">
        <f>VLOOKUP(B3462,辅助信息!E:J,6,FALSE)</f>
        <v>控制炉批号！多了现场不收！,优先安排达钢,提前联系到场规格及数量</v>
      </c>
      <c r="O3462" s="55" t="str">
        <f ca="1" t="shared" si="190"/>
        <v/>
      </c>
      <c r="P3462" s="55" t="str">
        <f ca="1" t="shared" si="191"/>
        <v/>
      </c>
      <c r="Q3462" s="22" t="str">
        <f>VLOOKUP(B3462,辅助信息!E:M,9,FALSE)</f>
        <v>ZTWM-CDGS-XS-2024-0134-商投建工达州中医药科技成果示范园项目</v>
      </c>
      <c r="R3462" s="22" t="str">
        <f>_xlfn._xlws.FILTER(辅助信息!D:D,辅助信息!E:E=B3462)</f>
        <v>商投建工达州中医药科技园</v>
      </c>
    </row>
    <row r="3463" hidden="1" spans="2:18">
      <c r="B3463" s="113" t="s">
        <v>112</v>
      </c>
      <c r="C3463" s="63">
        <v>45916</v>
      </c>
      <c r="D3463" s="113" t="str">
        <f>VLOOKUP(B3463,辅助信息!E:K,7,FALSE)</f>
        <v>JWDDCD2025052800131</v>
      </c>
      <c r="E3463" s="113" t="str">
        <f>VLOOKUP(F3463,辅助信息!A:B,2,FALSE)</f>
        <v>螺纹钢</v>
      </c>
      <c r="F3463" s="113" t="s">
        <v>21</v>
      </c>
      <c r="G3463" s="114">
        <v>12</v>
      </c>
      <c r="H3463" s="127"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13" t="str">
        <f>VLOOKUP(B3463,辅助信息!E:I,3,FALSE)</f>
        <v>（商投建工达州中医药科技园-4工区-10号楼）达州市通川区达州中医药职业学院犀牛大道北段</v>
      </c>
      <c r="J3463" s="113" t="str">
        <f>VLOOKUP(B3463,辅助信息!E:I,4,FALSE)</f>
        <v>张扬</v>
      </c>
      <c r="K3463" s="113">
        <f>VLOOKUP(J3463,辅助信息!H:I,2,FALSE)</f>
        <v>18381904567</v>
      </c>
      <c r="L3463" s="115" t="str">
        <f>VLOOKUP(B3463,辅助信息!E:J,6,FALSE)</f>
        <v>控制炉批号！多了现场不收！,优先安排达钢,提前联系到场规格及数量</v>
      </c>
      <c r="O3463" s="55" t="str">
        <f ca="1" t="shared" si="190"/>
        <v/>
      </c>
      <c r="P3463" s="55" t="str">
        <f ca="1" t="shared" si="191"/>
        <v/>
      </c>
      <c r="Q3463" s="22" t="str">
        <f>VLOOKUP(B3463,辅助信息!E:M,9,FALSE)</f>
        <v>ZTWM-CDGS-XS-2024-0134-商投建工达州中医药科技成果示范园项目</v>
      </c>
      <c r="R3463" s="22" t="str">
        <f>_xlfn._xlws.FILTER(辅助信息!D:D,辅助信息!E:E=B3463)</f>
        <v>商投建工达州中医药科技园</v>
      </c>
    </row>
    <row r="3464" hidden="1" spans="2:18">
      <c r="B3464" s="113" t="s">
        <v>112</v>
      </c>
      <c r="C3464" s="63">
        <v>45916</v>
      </c>
      <c r="D3464" s="113" t="str">
        <f>VLOOKUP(B3464,辅助信息!E:K,7,FALSE)</f>
        <v>JWDDCD2025052800131</v>
      </c>
      <c r="E3464" s="113" t="str">
        <f>VLOOKUP(F3464,辅助信息!A:B,2,FALSE)</f>
        <v>螺纹钢</v>
      </c>
      <c r="F3464" s="113" t="s">
        <v>58</v>
      </c>
      <c r="G3464" s="114">
        <v>9</v>
      </c>
      <c r="H3464" s="127">
        <f>IF(SUMIFS('[1]2025年已发货'!$E:$E,'[1]2025年已发货'!$F:$F,C3464,'[1]2025年已发货'!$C:$C,F3464,'[1]2025年已发货'!$G:$G,I3464,'[1]2025年已发货'!$H:$H,J3464)=0,"未发货",SUMIFS('[1]2025年已发货'!$E:$E,'[1]2025年已发货'!$F:$F,C3464,'[1]2025年已发货'!$C:$C,F3464,'[1]2025年已发货'!$G:$G,I3464,'[1]2025年已发货'!$H:$H,J3464))</f>
        <v>9</v>
      </c>
      <c r="I3464" s="113" t="str">
        <f>VLOOKUP(B3464,辅助信息!E:I,3,FALSE)</f>
        <v>（商投建工达州中医药科技园-4工区-10号楼）达州市通川区达州中医药职业学院犀牛大道北段</v>
      </c>
      <c r="J3464" s="113" t="str">
        <f>VLOOKUP(B3464,辅助信息!E:I,4,FALSE)</f>
        <v>张扬</v>
      </c>
      <c r="K3464" s="113">
        <f>VLOOKUP(J3464,辅助信息!H:I,2,FALSE)</f>
        <v>18381904567</v>
      </c>
      <c r="L3464" s="115" t="str">
        <f>VLOOKUP(B3464,辅助信息!E:J,6,FALSE)</f>
        <v>控制炉批号！多了现场不收！,优先安排达钢,提前联系到场规格及数量</v>
      </c>
      <c r="O3464" s="55" t="str">
        <f ca="1" t="shared" si="190"/>
        <v/>
      </c>
      <c r="P3464" s="55" t="str">
        <f ca="1" t="shared" si="191"/>
        <v/>
      </c>
      <c r="Q3464" s="22" t="str">
        <f>VLOOKUP(B3464,辅助信息!E:M,9,FALSE)</f>
        <v>ZTWM-CDGS-XS-2024-0134-商投建工达州中医药科技成果示范园项目</v>
      </c>
      <c r="R3464" s="22" t="str">
        <f>_xlfn._xlws.FILTER(辅助信息!D:D,辅助信息!E:E=B3464)</f>
        <v>商投建工达州中医药科技园</v>
      </c>
    </row>
    <row r="3465" hidden="1" spans="2:18">
      <c r="B3465" s="113" t="s">
        <v>112</v>
      </c>
      <c r="C3465" s="63">
        <v>45916</v>
      </c>
      <c r="D3465" s="113" t="str">
        <f>VLOOKUP(B3465,辅助信息!E:K,7,FALSE)</f>
        <v>JWDDCD2025052800131</v>
      </c>
      <c r="E3465" s="113" t="str">
        <f>VLOOKUP(F3465,辅助信息!A:B,2,FALSE)</f>
        <v>螺纹钢</v>
      </c>
      <c r="F3465" s="113" t="s">
        <v>46</v>
      </c>
      <c r="G3465" s="114">
        <v>15</v>
      </c>
      <c r="H3465" s="127">
        <f>IF(SUMIFS('[1]2025年已发货'!$E:$E,'[1]2025年已发货'!$F:$F,C3465,'[1]2025年已发货'!$C:$C,F3465,'[1]2025年已发货'!$G:$G,I3465,'[1]2025年已发货'!$H:$H,J3465)=0,"未发货",SUMIFS('[1]2025年已发货'!$E:$E,'[1]2025年已发货'!$F:$F,C3465,'[1]2025年已发货'!$C:$C,F3465,'[1]2025年已发货'!$G:$G,I3465,'[1]2025年已发货'!$H:$H,J3465))</f>
        <v>15</v>
      </c>
      <c r="I3465" s="113" t="str">
        <f>VLOOKUP(B3465,辅助信息!E:I,3,FALSE)</f>
        <v>（商投建工达州中医药科技园-4工区-10号楼）达州市通川区达州中医药职业学院犀牛大道北段</v>
      </c>
      <c r="J3465" s="113" t="str">
        <f>VLOOKUP(B3465,辅助信息!E:I,4,FALSE)</f>
        <v>张扬</v>
      </c>
      <c r="K3465" s="113">
        <f>VLOOKUP(J3465,辅助信息!H:I,2,FALSE)</f>
        <v>18381904567</v>
      </c>
      <c r="L3465" s="115" t="str">
        <f>VLOOKUP(B3465,辅助信息!E:J,6,FALSE)</f>
        <v>控制炉批号！多了现场不收！,优先安排达钢,提前联系到场规格及数量</v>
      </c>
      <c r="O3465" s="55" t="str">
        <f ca="1" t="shared" si="190"/>
        <v/>
      </c>
      <c r="P3465" s="55" t="str">
        <f ca="1" t="shared" si="191"/>
        <v/>
      </c>
      <c r="Q3465" s="22" t="str">
        <f>VLOOKUP(B3465,辅助信息!E:M,9,FALSE)</f>
        <v>ZTWM-CDGS-XS-2024-0134-商投建工达州中医药科技成果示范园项目</v>
      </c>
      <c r="R3465" s="22" t="str">
        <f>_xlfn._xlws.FILTER(辅助信息!D:D,辅助信息!E:E=B3465)</f>
        <v>商投建工达州中医药科技园</v>
      </c>
    </row>
    <row r="3466" hidden="1" spans="2:18">
      <c r="B3466" s="113" t="s">
        <v>112</v>
      </c>
      <c r="C3466" s="63">
        <v>45916</v>
      </c>
      <c r="D3466" s="113" t="str">
        <f>VLOOKUP(B3466,辅助信息!E:K,7,FALSE)</f>
        <v>JWDDCD2025052800131</v>
      </c>
      <c r="E3466" s="113" t="str">
        <f>VLOOKUP(F3466,辅助信息!A:B,2,FALSE)</f>
        <v>螺纹钢</v>
      </c>
      <c r="F3466" s="113" t="s">
        <v>22</v>
      </c>
      <c r="G3466" s="114">
        <v>21</v>
      </c>
      <c r="H3466" s="127">
        <f>IF(SUMIFS('[1]2025年已发货'!$E:$E,'[1]2025年已发货'!$F:$F,C3466,'[1]2025年已发货'!$C:$C,F3466,'[1]2025年已发货'!$G:$G,I3466,'[1]2025年已发货'!$H:$H,J3466)=0,"未发货",SUMIFS('[1]2025年已发货'!$E:$E,'[1]2025年已发货'!$F:$F,C3466,'[1]2025年已发货'!$C:$C,F3466,'[1]2025年已发货'!$G:$G,I3466,'[1]2025年已发货'!$H:$H,J3466))</f>
        <v>21</v>
      </c>
      <c r="I3466" s="113" t="str">
        <f>VLOOKUP(B3466,辅助信息!E:I,3,FALSE)</f>
        <v>（商投建工达州中医药科技园-4工区-10号楼）达州市通川区达州中医药职业学院犀牛大道北段</v>
      </c>
      <c r="J3466" s="113" t="str">
        <f>VLOOKUP(B3466,辅助信息!E:I,4,FALSE)</f>
        <v>张扬</v>
      </c>
      <c r="K3466" s="113">
        <f>VLOOKUP(J3466,辅助信息!H:I,2,FALSE)</f>
        <v>18381904567</v>
      </c>
      <c r="L3466" s="115" t="str">
        <f>VLOOKUP(B3466,辅助信息!E:J,6,FALSE)</f>
        <v>控制炉批号！多了现场不收！,优先安排达钢,提前联系到场规格及数量</v>
      </c>
      <c r="O3466" s="55" t="str">
        <f ca="1" t="shared" si="190"/>
        <v/>
      </c>
      <c r="P3466" s="55" t="str">
        <f ca="1" t="shared" si="191"/>
        <v/>
      </c>
      <c r="Q3466" s="22" t="str">
        <f>VLOOKUP(B3466,辅助信息!E:M,9,FALSE)</f>
        <v>ZTWM-CDGS-XS-2024-0134-商投建工达州中医药科技成果示范园项目</v>
      </c>
      <c r="R3466" s="22" t="str">
        <f>_xlfn._xlws.FILTER(辅助信息!D:D,辅助信息!E:E=B3466)</f>
        <v>商投建工达州中医药科技园</v>
      </c>
    </row>
    <row r="3467" hidden="1" spans="2:18">
      <c r="B3467" s="113" t="s">
        <v>208</v>
      </c>
      <c r="C3467" s="63">
        <v>45916</v>
      </c>
      <c r="D3467" s="113" t="str">
        <f>VLOOKUP(B3467,辅助信息!E:K,7,FALSE)</f>
        <v>JWDDCD2025102100480</v>
      </c>
      <c r="E3467" s="113" t="str">
        <f>VLOOKUP(F3467,辅助信息!A:B,2,FALSE)</f>
        <v>高线</v>
      </c>
      <c r="F3467" s="113" t="s">
        <v>61</v>
      </c>
      <c r="G3467" s="114">
        <v>5</v>
      </c>
      <c r="H3467" s="127">
        <f>IF(SUMIFS('[1]2025年已发货'!$E:$E,'[1]2025年已发货'!$F:$F,C3467,'[1]2025年已发货'!$C:$C,F3467,'[1]2025年已发货'!$G:$G,I3467,'[1]2025年已发货'!$H:$H,J3467)=0,"未发货",SUMIFS('[1]2025年已发货'!$E:$E,'[1]2025年已发货'!$F:$F,C3467,'[1]2025年已发货'!$C:$C,F3467,'[1]2025年已发货'!$G:$G,I3467,'[1]2025年已发货'!$H:$H,J3467))</f>
        <v>5</v>
      </c>
      <c r="I3467" s="113" t="str">
        <f>VLOOKUP(B3467,辅助信息!E:I,3,FALSE)</f>
        <v>(五冶建设锦江区林家坝片区20号地块商业项目)锦江区泰昌路锦江28亩项目部</v>
      </c>
      <c r="J3467" s="113" t="str">
        <f>VLOOKUP(B3467,辅助信息!E:I,4,FALSE)</f>
        <v>陶杰</v>
      </c>
      <c r="K3467" s="113">
        <f>VLOOKUP(J3467,辅助信息!H:I,2,FALSE)</f>
        <v>13980247952</v>
      </c>
      <c r="L3467" s="115" t="str">
        <f>VLOOKUP(B3467,辅助信息!E:J,6,FALSE)</f>
        <v>联系实际收货人（陶杰13980247952）五冶建设送货单,6份材质书,锈货不收，装货前联系收货人核实到场规格,没提前告知进场规格现场不给予接收</v>
      </c>
      <c r="M3467" s="84">
        <v>45917</v>
      </c>
      <c r="N3467" s="84"/>
      <c r="O3467" s="55">
        <f ca="1" t="shared" si="190"/>
        <v>0</v>
      </c>
      <c r="P3467" s="55">
        <f ca="1" t="shared" si="191"/>
        <v>40</v>
      </c>
      <c r="Q3467" s="22" t="str">
        <f>VLOOKUP(B3467,辅助信息!E:M,9,FALSE)</f>
        <v>ZTWM-CDGS-XS-2025-0073-五冶天府-成都怡心湖片区及龙泉驿医院等项目</v>
      </c>
      <c r="R3467" s="22" t="str">
        <f>_xlfn._xlws.FILTER(辅助信息!D:D,辅助信息!E:E=B3467)</f>
        <v>五冶建设锦江区林家坝片区20号地块商业项目</v>
      </c>
    </row>
    <row r="3468" hidden="1" spans="2:18">
      <c r="B3468" s="113" t="s">
        <v>208</v>
      </c>
      <c r="C3468" s="63">
        <v>45916</v>
      </c>
      <c r="D3468" s="113" t="str">
        <f>VLOOKUP(B3468,辅助信息!E:K,7,FALSE)</f>
        <v>JWDDCD2025102100480</v>
      </c>
      <c r="E3468" s="113" t="str">
        <f>VLOOKUP(F3468,辅助信息!A:B,2,FALSE)</f>
        <v>螺纹钢</v>
      </c>
      <c r="F3468" s="113" t="s">
        <v>30</v>
      </c>
      <c r="G3468" s="114">
        <v>7.5</v>
      </c>
      <c r="H3468" s="127">
        <f>IF(SUMIFS('[1]2025年已发货'!$E:$E,'[1]2025年已发货'!$F:$F,C3468,'[1]2025年已发货'!$C:$C,F3468,'[1]2025年已发货'!$G:$G,I3468,'[1]2025年已发货'!$H:$H,J3468)=0,"未发货",SUMIFS('[1]2025年已发货'!$E:$E,'[1]2025年已发货'!$F:$F,C3468,'[1]2025年已发货'!$C:$C,F3468,'[1]2025年已发货'!$G:$G,I3468,'[1]2025年已发货'!$H:$H,J3468))</f>
        <v>5</v>
      </c>
      <c r="I3468" s="113" t="str">
        <f>VLOOKUP(B3468,辅助信息!E:I,3,FALSE)</f>
        <v>(五冶建设锦江区林家坝片区20号地块商业项目)锦江区泰昌路锦江28亩项目部</v>
      </c>
      <c r="J3468" s="113" t="str">
        <f>VLOOKUP(B3468,辅助信息!E:I,4,FALSE)</f>
        <v>陶杰</v>
      </c>
      <c r="K3468" s="113">
        <f>VLOOKUP(J3468,辅助信息!H:I,2,FALSE)</f>
        <v>13980247952</v>
      </c>
      <c r="L3468" s="115" t="str">
        <f>VLOOKUP(B3468,辅助信息!E:J,6,FALSE)</f>
        <v>联系实际收货人（陶杰13980247952）五冶建设送货单,6份材质书,锈货不收，装货前联系收货人核实到场规格,没提前告知进场规格现场不给予接收</v>
      </c>
      <c r="M3468" s="84">
        <v>45917</v>
      </c>
      <c r="N3468" s="84"/>
      <c r="O3468" s="55">
        <f ca="1" t="shared" si="190"/>
        <v>0</v>
      </c>
      <c r="P3468" s="55">
        <f ca="1" t="shared" si="191"/>
        <v>40</v>
      </c>
      <c r="Q3468" s="22" t="str">
        <f>VLOOKUP(B3468,辅助信息!E:M,9,FALSE)</f>
        <v>ZTWM-CDGS-XS-2025-0073-五冶天府-成都怡心湖片区及龙泉驿医院等项目</v>
      </c>
      <c r="R3468" s="22" t="str">
        <f>_xlfn._xlws.FILTER(辅助信息!D:D,辅助信息!E:E=B3468)</f>
        <v>五冶建设锦江区林家坝片区20号地块商业项目</v>
      </c>
    </row>
    <row r="3469" hidden="1" spans="2:18">
      <c r="B3469" s="113" t="s">
        <v>208</v>
      </c>
      <c r="C3469" s="63">
        <v>45916</v>
      </c>
      <c r="D3469" s="113" t="str">
        <f>VLOOKUP(B3469,辅助信息!E:K,7,FALSE)</f>
        <v>JWDDCD2025102100480</v>
      </c>
      <c r="E3469" s="113" t="str">
        <f>VLOOKUP(F3469,辅助信息!A:B,2,FALSE)</f>
        <v>螺纹钢</v>
      </c>
      <c r="F3469" s="113" t="s">
        <v>28</v>
      </c>
      <c r="G3469" s="114">
        <v>23.5</v>
      </c>
      <c r="H3469" s="127">
        <f>IF(SUMIFS('[1]2025年已发货'!$E:$E,'[1]2025年已发货'!$F:$F,C3469,'[1]2025年已发货'!$C:$C,F3469,'[1]2025年已发货'!$G:$G,I3469,'[1]2025年已发货'!$H:$H,J3469)=0,"未发货",SUMIFS('[1]2025年已发货'!$E:$E,'[1]2025年已发货'!$F:$F,C3469,'[1]2025年已发货'!$C:$C,F3469,'[1]2025年已发货'!$G:$G,I3469,'[1]2025年已发货'!$H:$H,J3469))</f>
        <v>26</v>
      </c>
      <c r="I3469" s="113" t="str">
        <f>VLOOKUP(B3469,辅助信息!E:I,3,FALSE)</f>
        <v>(五冶建设锦江区林家坝片区20号地块商业项目)锦江区泰昌路锦江28亩项目部</v>
      </c>
      <c r="J3469" s="113" t="str">
        <f>VLOOKUP(B3469,辅助信息!E:I,4,FALSE)</f>
        <v>陶杰</v>
      </c>
      <c r="K3469" s="113">
        <f>VLOOKUP(J3469,辅助信息!H:I,2,FALSE)</f>
        <v>13980247952</v>
      </c>
      <c r="L3469" s="115" t="str">
        <f>VLOOKUP(B3469,辅助信息!E:J,6,FALSE)</f>
        <v>联系实际收货人（陶杰13980247952）五冶建设送货单,6份材质书,锈货不收，装货前联系收货人核实到场规格,没提前告知进场规格现场不给予接收</v>
      </c>
      <c r="M3469" s="84">
        <v>45917</v>
      </c>
      <c r="N3469" s="84"/>
      <c r="O3469" s="55">
        <f ca="1" t="shared" si="190"/>
        <v>0</v>
      </c>
      <c r="P3469" s="55">
        <f ca="1" t="shared" si="191"/>
        <v>40</v>
      </c>
      <c r="Q3469" s="22" t="str">
        <f>VLOOKUP(B3469,辅助信息!E:M,9,FALSE)</f>
        <v>ZTWM-CDGS-XS-2025-0073-五冶天府-成都怡心湖片区及龙泉驿医院等项目</v>
      </c>
      <c r="R3469" s="22" t="str">
        <f>_xlfn._xlws.FILTER(辅助信息!D:D,辅助信息!E:E=B3469)</f>
        <v>五冶建设锦江区林家坝片区20号地块商业项目</v>
      </c>
    </row>
    <row r="3470" hidden="1" spans="2:18">
      <c r="B3470" s="113" t="s">
        <v>163</v>
      </c>
      <c r="C3470" s="63">
        <v>45918</v>
      </c>
      <c r="D3470" s="113" t="str">
        <f>VLOOKUP(B3470,辅助信息!E:K,7,FALSE)</f>
        <v>JWDDCD2025052800131</v>
      </c>
      <c r="E3470" s="113" t="str">
        <f>VLOOKUP(F3470,辅助信息!A:B,2,FALSE)</f>
        <v>盘螺</v>
      </c>
      <c r="F3470" s="113" t="s">
        <v>49</v>
      </c>
      <c r="G3470" s="114">
        <v>6</v>
      </c>
      <c r="H3470" s="127"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13" t="str">
        <f>VLOOKUP(B3470,辅助信息!E:I,3,FALSE)</f>
        <v>（商投建工达州中医药科技园-4工区-9号楼）达州市通川区达州中医药职业学院犀牛大道北段</v>
      </c>
      <c r="J3470" s="113" t="str">
        <f>VLOOKUP(B3470,辅助信息!E:I,4,FALSE)</f>
        <v>张扬</v>
      </c>
      <c r="K3470" s="113">
        <f>VLOOKUP(J3470,辅助信息!H:I,2,FALSE)</f>
        <v>18381904567</v>
      </c>
      <c r="L3470" s="115" t="str">
        <f>VLOOKUP(B3470,辅助信息!E:J,6,FALSE)</f>
        <v>控制炉批号！多了现场不收！,优先安排达钢,提前联系到场规格及数量</v>
      </c>
      <c r="M3470" s="84">
        <v>45918</v>
      </c>
      <c r="O3470" s="55">
        <f ca="1" t="shared" si="190"/>
        <v>0</v>
      </c>
      <c r="P3470" s="55">
        <f ca="1" t="shared" si="191"/>
        <v>39</v>
      </c>
      <c r="Q3470" s="22" t="str">
        <f>VLOOKUP(B3470,辅助信息!E:M,9,FALSE)</f>
        <v>ZTWM-CDGS-XS-2024-0134-商投建工达州中医药科技成果示范园项目</v>
      </c>
      <c r="R3470" s="22" t="str">
        <f>_xlfn._xlws.FILTER(辅助信息!D:D,辅助信息!E:E=B3470)</f>
        <v>商投建工达州中医药科技园</v>
      </c>
    </row>
    <row r="3471" hidden="1" spans="2:18">
      <c r="B3471" s="113" t="s">
        <v>163</v>
      </c>
      <c r="C3471" s="63">
        <v>45918</v>
      </c>
      <c r="D3471" s="113" t="str">
        <f>VLOOKUP(B3471,辅助信息!E:K,7,FALSE)</f>
        <v>JWDDCD2025052800131</v>
      </c>
      <c r="E3471" s="113" t="str">
        <f>VLOOKUP(F3471,辅助信息!A:B,2,FALSE)</f>
        <v>盘螺</v>
      </c>
      <c r="F3471" s="113" t="s">
        <v>40</v>
      </c>
      <c r="G3471" s="114">
        <v>12</v>
      </c>
      <c r="H3471" s="127"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13" t="str">
        <f>VLOOKUP(B3471,辅助信息!E:I,3,FALSE)</f>
        <v>（商投建工达州中医药科技园-4工区-9号楼）达州市通川区达州中医药职业学院犀牛大道北段</v>
      </c>
      <c r="J3471" s="113" t="str">
        <f>VLOOKUP(B3471,辅助信息!E:I,4,FALSE)</f>
        <v>张扬</v>
      </c>
      <c r="K3471" s="113">
        <f>VLOOKUP(J3471,辅助信息!H:I,2,FALSE)</f>
        <v>18381904567</v>
      </c>
      <c r="L3471" s="115" t="str">
        <f>VLOOKUP(B3471,辅助信息!E:J,6,FALSE)</f>
        <v>控制炉批号！多了现场不收！,优先安排达钢,提前联系到场规格及数量</v>
      </c>
      <c r="M3471" s="84">
        <v>45918</v>
      </c>
      <c r="O3471" s="55">
        <f ca="1" t="shared" si="190"/>
        <v>0</v>
      </c>
      <c r="P3471" s="55">
        <f ca="1" t="shared" si="191"/>
        <v>39</v>
      </c>
      <c r="Q3471" s="22" t="str">
        <f>VLOOKUP(B3471,辅助信息!E:M,9,FALSE)</f>
        <v>ZTWM-CDGS-XS-2024-0134-商投建工达州中医药科技成果示范园项目</v>
      </c>
      <c r="R3471" s="22" t="str">
        <f>_xlfn._xlws.FILTER(辅助信息!D:D,辅助信息!E:E=B3471)</f>
        <v>商投建工达州中医药科技园</v>
      </c>
    </row>
    <row r="3472" hidden="1" spans="2:18">
      <c r="B3472" s="113" t="s">
        <v>163</v>
      </c>
      <c r="C3472" s="63">
        <v>45918</v>
      </c>
      <c r="D3472" s="113" t="str">
        <f>VLOOKUP(B3472,辅助信息!E:K,7,FALSE)</f>
        <v>JWDDCD2025052800131</v>
      </c>
      <c r="E3472" s="113" t="str">
        <f>VLOOKUP(F3472,辅助信息!A:B,2,FALSE)</f>
        <v>盘螺</v>
      </c>
      <c r="F3472" s="113" t="s">
        <v>41</v>
      </c>
      <c r="G3472" s="114">
        <v>12</v>
      </c>
      <c r="H3472" s="127"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13" t="str">
        <f>VLOOKUP(B3472,辅助信息!E:I,3,FALSE)</f>
        <v>（商投建工达州中医药科技园-4工区-9号楼）达州市通川区达州中医药职业学院犀牛大道北段</v>
      </c>
      <c r="J3472" s="113" t="str">
        <f>VLOOKUP(B3472,辅助信息!E:I,4,FALSE)</f>
        <v>张扬</v>
      </c>
      <c r="K3472" s="113">
        <f>VLOOKUP(J3472,辅助信息!H:I,2,FALSE)</f>
        <v>18381904567</v>
      </c>
      <c r="L3472" s="115" t="str">
        <f>VLOOKUP(B3472,辅助信息!E:J,6,FALSE)</f>
        <v>控制炉批号！多了现场不收！,优先安排达钢,提前联系到场规格及数量</v>
      </c>
      <c r="M3472" s="84">
        <v>45918</v>
      </c>
      <c r="O3472" s="55">
        <f ca="1" t="shared" si="190"/>
        <v>0</v>
      </c>
      <c r="P3472" s="55">
        <f ca="1" t="shared" si="191"/>
        <v>39</v>
      </c>
      <c r="Q3472" s="22" t="str">
        <f>VLOOKUP(B3472,辅助信息!E:M,9,FALSE)</f>
        <v>ZTWM-CDGS-XS-2024-0134-商投建工达州中医药科技成果示范园项目</v>
      </c>
      <c r="R3472" s="22" t="str">
        <f>_xlfn._xlws.FILTER(辅助信息!D:D,辅助信息!E:E=B3472)</f>
        <v>商投建工达州中医药科技园</v>
      </c>
    </row>
    <row r="3473" hidden="1" spans="2:18">
      <c r="B3473" s="113" t="s">
        <v>163</v>
      </c>
      <c r="C3473" s="63">
        <v>45918</v>
      </c>
      <c r="D3473" s="113" t="str">
        <f>VLOOKUP(B3473,辅助信息!E:K,7,FALSE)</f>
        <v>JWDDCD2025052800131</v>
      </c>
      <c r="E3473" s="113" t="str">
        <f>VLOOKUP(F3473,辅助信息!A:B,2,FALSE)</f>
        <v>螺纹钢</v>
      </c>
      <c r="F3473" s="113" t="s">
        <v>33</v>
      </c>
      <c r="G3473" s="114">
        <v>6</v>
      </c>
      <c r="H3473" s="127"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13" t="str">
        <f>VLOOKUP(B3473,辅助信息!E:I,3,FALSE)</f>
        <v>（商投建工达州中医药科技园-4工区-9号楼）达州市通川区达州中医药职业学院犀牛大道北段</v>
      </c>
      <c r="J3473" s="113" t="str">
        <f>VLOOKUP(B3473,辅助信息!E:I,4,FALSE)</f>
        <v>张扬</v>
      </c>
      <c r="K3473" s="113">
        <f>VLOOKUP(J3473,辅助信息!H:I,2,FALSE)</f>
        <v>18381904567</v>
      </c>
      <c r="L3473" s="115" t="str">
        <f>VLOOKUP(B3473,辅助信息!E:J,6,FALSE)</f>
        <v>控制炉批号！多了现场不收！,优先安排达钢,提前联系到场规格及数量</v>
      </c>
      <c r="M3473" s="84">
        <v>45918</v>
      </c>
      <c r="O3473" s="55">
        <f ca="1" t="shared" si="190"/>
        <v>0</v>
      </c>
      <c r="P3473" s="55">
        <f ca="1" t="shared" si="191"/>
        <v>39</v>
      </c>
      <c r="Q3473" s="22" t="str">
        <f>VLOOKUP(B3473,辅助信息!E:M,9,FALSE)</f>
        <v>ZTWM-CDGS-XS-2024-0134-商投建工达州中医药科技成果示范园项目</v>
      </c>
      <c r="R3473" s="22" t="str">
        <f>_xlfn._xlws.FILTER(辅助信息!D:D,辅助信息!E:E=B3473)</f>
        <v>商投建工达州中医药科技园</v>
      </c>
    </row>
    <row r="3474" hidden="1" spans="2:18">
      <c r="B3474" s="113" t="s">
        <v>163</v>
      </c>
      <c r="C3474" s="63">
        <v>45918</v>
      </c>
      <c r="D3474" s="113" t="str">
        <f>VLOOKUP(B3474,辅助信息!E:K,7,FALSE)</f>
        <v>JWDDCD2025052800131</v>
      </c>
      <c r="E3474" s="113" t="str">
        <f>VLOOKUP(F3474,辅助信息!A:B,2,FALSE)</f>
        <v>螺纹钢</v>
      </c>
      <c r="F3474" s="113" t="s">
        <v>66</v>
      </c>
      <c r="G3474" s="114">
        <v>18</v>
      </c>
      <c r="H3474" s="127"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13" t="str">
        <f>VLOOKUP(B3474,辅助信息!E:I,3,FALSE)</f>
        <v>（商投建工达州中医药科技园-4工区-9号楼）达州市通川区达州中医药职业学院犀牛大道北段</v>
      </c>
      <c r="J3474" s="113" t="str">
        <f>VLOOKUP(B3474,辅助信息!E:I,4,FALSE)</f>
        <v>张扬</v>
      </c>
      <c r="K3474" s="113">
        <f>VLOOKUP(J3474,辅助信息!H:I,2,FALSE)</f>
        <v>18381904567</v>
      </c>
      <c r="L3474" s="115" t="str">
        <f>VLOOKUP(B3474,辅助信息!E:J,6,FALSE)</f>
        <v>控制炉批号！多了现场不收！,优先安排达钢,提前联系到场规格及数量</v>
      </c>
      <c r="M3474" s="84">
        <v>45918</v>
      </c>
      <c r="O3474" s="55">
        <f ca="1" t="shared" si="190"/>
        <v>0</v>
      </c>
      <c r="P3474" s="55">
        <f ca="1" t="shared" si="191"/>
        <v>39</v>
      </c>
      <c r="Q3474" s="22" t="str">
        <f>VLOOKUP(B3474,辅助信息!E:M,9,FALSE)</f>
        <v>ZTWM-CDGS-XS-2024-0134-商投建工达州中医药科技成果示范园项目</v>
      </c>
      <c r="R3474" s="22" t="str">
        <f>_xlfn._xlws.FILTER(辅助信息!D:D,辅助信息!E:E=B3474)</f>
        <v>商投建工达州中医药科技园</v>
      </c>
    </row>
    <row r="3475" hidden="1" spans="2:18">
      <c r="B3475" s="113" t="s">
        <v>163</v>
      </c>
      <c r="C3475" s="63">
        <v>45918</v>
      </c>
      <c r="D3475" s="113" t="str">
        <f>VLOOKUP(B3475,辅助信息!E:K,7,FALSE)</f>
        <v>JWDDCD2025052800131</v>
      </c>
      <c r="E3475" s="113" t="str">
        <f>VLOOKUP(F3475,辅助信息!A:B,2,FALSE)</f>
        <v>螺纹钢</v>
      </c>
      <c r="F3475" s="113" t="s">
        <v>58</v>
      </c>
      <c r="G3475" s="114">
        <v>15</v>
      </c>
      <c r="H3475" s="127"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13" t="str">
        <f>VLOOKUP(B3475,辅助信息!E:I,3,FALSE)</f>
        <v>（商投建工达州中医药科技园-4工区-9号楼）达州市通川区达州中医药职业学院犀牛大道北段</v>
      </c>
      <c r="J3475" s="113" t="str">
        <f>VLOOKUP(B3475,辅助信息!E:I,4,FALSE)</f>
        <v>张扬</v>
      </c>
      <c r="K3475" s="113">
        <f>VLOOKUP(J3475,辅助信息!H:I,2,FALSE)</f>
        <v>18381904567</v>
      </c>
      <c r="L3475" s="115" t="str">
        <f>VLOOKUP(B3475,辅助信息!E:J,6,FALSE)</f>
        <v>控制炉批号！多了现场不收！,优先安排达钢,提前联系到场规格及数量</v>
      </c>
      <c r="M3475" s="84">
        <v>45918</v>
      </c>
      <c r="O3475" s="55">
        <f ca="1" t="shared" si="190"/>
        <v>0</v>
      </c>
      <c r="P3475" s="55">
        <f ca="1" t="shared" si="191"/>
        <v>39</v>
      </c>
      <c r="Q3475" s="22" t="str">
        <f>VLOOKUP(B3475,辅助信息!E:M,9,FALSE)</f>
        <v>ZTWM-CDGS-XS-2024-0134-商投建工达州中医药科技成果示范园项目</v>
      </c>
      <c r="R3475" s="22" t="str">
        <f>_xlfn._xlws.FILTER(辅助信息!D:D,辅助信息!E:E=B3475)</f>
        <v>商投建工达州中医药科技园</v>
      </c>
    </row>
    <row r="3476" hidden="1" spans="2:18">
      <c r="B3476" s="33" t="s">
        <v>176</v>
      </c>
      <c r="C3476" s="63">
        <v>45918</v>
      </c>
      <c r="D3476" s="33" t="str">
        <f>VLOOKUP(B3476,辅助信息!E:K,7,FALSE)</f>
        <v>JWDDCD2025062200016</v>
      </c>
      <c r="E3476" s="33" t="str">
        <f>VLOOKUP(F3476,辅助信息!A:B,2,FALSE)</f>
        <v>盘螺</v>
      </c>
      <c r="F3476" s="33" t="s">
        <v>40</v>
      </c>
      <c r="G3476" s="29">
        <v>5</v>
      </c>
      <c r="H3476" s="127"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33" t="str">
        <f>VLOOKUP(B3476,辅助信息!E:I,3,FALSE)</f>
        <v>(武汉电气化局成达万高铁强电项目-渠县)四川省达州市渠县渠北镇雷家湾渠县北站旁</v>
      </c>
      <c r="J3476" s="33" t="str">
        <f>VLOOKUP(B3476,辅助信息!E:I,4,FALSE)</f>
        <v>刘频</v>
      </c>
      <c r="K3476" s="33">
        <f>VLOOKUP(J3476,辅助信息!H:I,2,FALSE)</f>
        <v>18779627939</v>
      </c>
      <c r="L3476" s="102" t="str">
        <f>VLOOKUP(B3476,辅助信息!E:J,6,FALSE)</f>
        <v>锈货不收！！下雨天钢筋没盖篷布不收！！，装货前联系收货人核实到场规格,没提前告知进场规格现场不给予接收</v>
      </c>
      <c r="O3476" s="55" t="str">
        <f ca="1" t="shared" si="190"/>
        <v/>
      </c>
      <c r="P3476" s="55" t="str">
        <f ca="1" t="shared" si="191"/>
        <v/>
      </c>
      <c r="Q3476" s="22" t="str">
        <f>VLOOKUP(B3476,辅助信息!E:M,9,FALSE)</f>
        <v>ZTWM-CDGS-XS-2025-0033-中铁武汉电气化局集团有限公司成达万高速铁路强电工程项目</v>
      </c>
      <c r="R3476" s="22" t="str">
        <f>_xlfn._xlws.FILTER(辅助信息!D:D,辅助信息!E:E=B3476)</f>
        <v>武汉电气化局成达万高铁强电项目</v>
      </c>
    </row>
    <row r="3477" hidden="1" spans="2:18">
      <c r="B3477" s="33" t="s">
        <v>176</v>
      </c>
      <c r="C3477" s="63">
        <v>45918</v>
      </c>
      <c r="D3477" s="33" t="str">
        <f>VLOOKUP(B3477,辅助信息!E:K,7,FALSE)</f>
        <v>JWDDCD2025062200016</v>
      </c>
      <c r="E3477" s="33" t="str">
        <f>VLOOKUP(F3477,辅助信息!A:B,2,FALSE)</f>
        <v>螺纹钢</v>
      </c>
      <c r="F3477" s="33" t="s">
        <v>30</v>
      </c>
      <c r="G3477" s="29">
        <v>9</v>
      </c>
      <c r="H3477" s="127"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33" t="str">
        <f>VLOOKUP(B3477,辅助信息!E:I,3,FALSE)</f>
        <v>(武汉电气化局成达万高铁强电项目-渠县)四川省达州市渠县渠北镇雷家湾渠县北站旁</v>
      </c>
      <c r="J3477" s="33" t="str">
        <f>VLOOKUP(B3477,辅助信息!E:I,4,FALSE)</f>
        <v>刘频</v>
      </c>
      <c r="K3477" s="33">
        <f>VLOOKUP(J3477,辅助信息!H:I,2,FALSE)</f>
        <v>18779627939</v>
      </c>
      <c r="L3477" s="102" t="str">
        <f>VLOOKUP(B3477,辅助信息!E:J,6,FALSE)</f>
        <v>锈货不收！！下雨天钢筋没盖篷布不收！！，装货前联系收货人核实到场规格,没提前告知进场规格现场不给予接收</v>
      </c>
      <c r="O3477" s="55" t="str">
        <f ca="1" t="shared" si="190"/>
        <v/>
      </c>
      <c r="P3477" s="55" t="str">
        <f ca="1" t="shared" si="191"/>
        <v/>
      </c>
      <c r="Q3477" s="22" t="str">
        <f>VLOOKUP(B3477,辅助信息!E:M,9,FALSE)</f>
        <v>ZTWM-CDGS-XS-2025-0033-中铁武汉电气化局集团有限公司成达万高速铁路强电工程项目</v>
      </c>
      <c r="R3477" s="22" t="str">
        <f>_xlfn._xlws.FILTER(辅助信息!D:D,辅助信息!E:E=B3477)</f>
        <v>武汉电气化局成达万高铁强电项目</v>
      </c>
    </row>
    <row r="3478" hidden="1" spans="2:18">
      <c r="B3478" s="33" t="s">
        <v>176</v>
      </c>
      <c r="C3478" s="63">
        <v>45918</v>
      </c>
      <c r="D3478" s="33" t="str">
        <f>VLOOKUP(B3478,辅助信息!E:K,7,FALSE)</f>
        <v>JWDDCD2025062200016</v>
      </c>
      <c r="E3478" s="33" t="str">
        <f>VLOOKUP(F3478,辅助信息!A:B,2,FALSE)</f>
        <v>螺纹钢</v>
      </c>
      <c r="F3478" s="33" t="s">
        <v>90</v>
      </c>
      <c r="G3478" s="29">
        <v>12</v>
      </c>
      <c r="H3478" s="127"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33" t="str">
        <f>VLOOKUP(B3478,辅助信息!E:I,3,FALSE)</f>
        <v>(武汉电气化局成达万高铁强电项目-渠县)四川省达州市渠县渠北镇雷家湾渠县北站旁</v>
      </c>
      <c r="J3478" s="33" t="str">
        <f>VLOOKUP(B3478,辅助信息!E:I,4,FALSE)</f>
        <v>刘频</v>
      </c>
      <c r="K3478" s="33">
        <f>VLOOKUP(J3478,辅助信息!H:I,2,FALSE)</f>
        <v>18779627939</v>
      </c>
      <c r="L3478" s="102" t="str">
        <f>VLOOKUP(B3478,辅助信息!E:J,6,FALSE)</f>
        <v>锈货不收！！下雨天钢筋没盖篷布不收！！，装货前联系收货人核实到场规格,没提前告知进场规格现场不给予接收</v>
      </c>
      <c r="O3478" s="55" t="str">
        <f ca="1" t="shared" si="190"/>
        <v/>
      </c>
      <c r="P3478" s="55" t="str">
        <f ca="1" t="shared" si="191"/>
        <v/>
      </c>
      <c r="Q3478" s="22" t="str">
        <f>VLOOKUP(B3478,辅助信息!E:M,9,FALSE)</f>
        <v>ZTWM-CDGS-XS-2025-0033-中铁武汉电气化局集团有限公司成达万高速铁路强电工程项目</v>
      </c>
      <c r="R3478" s="22" t="str">
        <f>_xlfn._xlws.FILTER(辅助信息!D:D,辅助信息!E:E=B3478)</f>
        <v>武汉电气化局成达万高铁强电项目</v>
      </c>
    </row>
    <row r="3479" hidden="1" spans="2:18">
      <c r="B3479" s="33" t="s">
        <v>176</v>
      </c>
      <c r="C3479" s="63">
        <v>45918</v>
      </c>
      <c r="D3479" s="33" t="str">
        <f>VLOOKUP(B3479,辅助信息!E:K,7,FALSE)</f>
        <v>JWDDCD2025062200016</v>
      </c>
      <c r="E3479" s="33" t="str">
        <f>VLOOKUP(F3479,辅助信息!A:B,2,FALSE)</f>
        <v>螺纹钢</v>
      </c>
      <c r="F3479" s="33" t="s">
        <v>133</v>
      </c>
      <c r="G3479" s="29">
        <v>9</v>
      </c>
      <c r="H3479" s="127"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33" t="str">
        <f>VLOOKUP(B3479,辅助信息!E:I,3,FALSE)</f>
        <v>(武汉电气化局成达万高铁强电项目-渠县)四川省达州市渠县渠北镇雷家湾渠县北站旁</v>
      </c>
      <c r="J3479" s="33" t="str">
        <f>VLOOKUP(B3479,辅助信息!E:I,4,FALSE)</f>
        <v>刘频</v>
      </c>
      <c r="K3479" s="33">
        <f>VLOOKUP(J3479,辅助信息!H:I,2,FALSE)</f>
        <v>18779627939</v>
      </c>
      <c r="L3479" s="102" t="str">
        <f>VLOOKUP(B3479,辅助信息!E:J,6,FALSE)</f>
        <v>锈货不收！！下雨天钢筋没盖篷布不收！！，装货前联系收货人核实到场规格,没提前告知进场规格现场不给予接收</v>
      </c>
      <c r="O3479" s="55" t="str">
        <f ca="1" t="shared" si="190"/>
        <v/>
      </c>
      <c r="P3479" s="55" t="str">
        <f ca="1" t="shared" si="191"/>
        <v/>
      </c>
      <c r="Q3479" s="22" t="str">
        <f>VLOOKUP(B3479,辅助信息!E:M,9,FALSE)</f>
        <v>ZTWM-CDGS-XS-2025-0033-中铁武汉电气化局集团有限公司成达万高速铁路强电工程项目</v>
      </c>
      <c r="R3479" s="22" t="str">
        <f>_xlfn._xlws.FILTER(辅助信息!D:D,辅助信息!E:E=B3479)</f>
        <v>武汉电气化局成达万高铁强电项目</v>
      </c>
    </row>
    <row r="3480" hidden="1" spans="2:18">
      <c r="B3480" s="33" t="s">
        <v>112</v>
      </c>
      <c r="C3480" s="63">
        <v>45918</v>
      </c>
      <c r="D3480" s="33" t="str">
        <f>VLOOKUP(B3480,辅助信息!E:K,7,FALSE)</f>
        <v>JWDDCD2025052800131</v>
      </c>
      <c r="E3480" s="33" t="str">
        <f>VLOOKUP(F3480,辅助信息!A:B,2,FALSE)</f>
        <v>盘螺</v>
      </c>
      <c r="F3480" s="113" t="s">
        <v>40</v>
      </c>
      <c r="G3480" s="29">
        <v>35</v>
      </c>
      <c r="H3480" s="127"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33" t="str">
        <f>VLOOKUP(B3480,辅助信息!E:I,3,FALSE)</f>
        <v>（商投建工达州中医药科技园-4工区-10号楼）达州市通川区达州中医药职业学院犀牛大道北段</v>
      </c>
      <c r="J3480" s="33" t="str">
        <f>VLOOKUP(B3480,辅助信息!E:I,4,FALSE)</f>
        <v>张扬</v>
      </c>
      <c r="K3480" s="33">
        <f>VLOOKUP(J3480,辅助信息!H:I,2,FALSE)</f>
        <v>18381904567</v>
      </c>
      <c r="L3480" s="102" t="str">
        <f>VLOOKUP(B3480,辅助信息!E:J,6,FALSE)</f>
        <v>控制炉批号！多了现场不收！,优先安排达钢,提前联系到场规格及数量</v>
      </c>
      <c r="M3480" s="84">
        <v>45919</v>
      </c>
      <c r="O3480" s="55">
        <f ca="1" t="shared" si="190"/>
        <v>0</v>
      </c>
      <c r="P3480" s="55">
        <f ca="1" t="shared" si="191"/>
        <v>38</v>
      </c>
      <c r="Q3480" s="22" t="str">
        <f>VLOOKUP(B3480,辅助信息!E:M,9,FALSE)</f>
        <v>ZTWM-CDGS-XS-2024-0134-商投建工达州中医药科技成果示范园项目</v>
      </c>
      <c r="R3480" s="22" t="str">
        <f>_xlfn._xlws.FILTER(辅助信息!D:D,辅助信息!E:E=B3480)</f>
        <v>商投建工达州中医药科技园</v>
      </c>
    </row>
    <row r="3481" hidden="1" spans="2:18">
      <c r="B3481" s="33" t="s">
        <v>112</v>
      </c>
      <c r="C3481" s="63">
        <v>45918</v>
      </c>
      <c r="D3481" s="33" t="str">
        <f>VLOOKUP(B3481,辅助信息!E:K,7,FALSE)</f>
        <v>JWDDCD2025052800131</v>
      </c>
      <c r="E3481" s="33" t="str">
        <f>VLOOKUP(F3481,辅助信息!A:B,2,FALSE)</f>
        <v>盘螺</v>
      </c>
      <c r="F3481" s="33" t="s">
        <v>41</v>
      </c>
      <c r="G3481" s="29">
        <v>12.5</v>
      </c>
      <c r="H3481" s="127"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33" t="str">
        <f>VLOOKUP(B3481,辅助信息!E:I,3,FALSE)</f>
        <v>（商投建工达州中医药科技园-4工区-10号楼）达州市通川区达州中医药职业学院犀牛大道北段</v>
      </c>
      <c r="J3481" s="33" t="str">
        <f>VLOOKUP(B3481,辅助信息!E:I,4,FALSE)</f>
        <v>张扬</v>
      </c>
      <c r="K3481" s="33">
        <f>VLOOKUP(J3481,辅助信息!H:I,2,FALSE)</f>
        <v>18381904567</v>
      </c>
      <c r="L3481" s="102" t="str">
        <f>VLOOKUP(B3481,辅助信息!E:J,6,FALSE)</f>
        <v>控制炉批号！多了现场不收！,优先安排达钢,提前联系到场规格及数量</v>
      </c>
      <c r="M3481" s="84">
        <v>45919</v>
      </c>
      <c r="O3481" s="55">
        <f ca="1" t="shared" si="190"/>
        <v>0</v>
      </c>
      <c r="P3481" s="55">
        <f ca="1" t="shared" si="191"/>
        <v>38</v>
      </c>
      <c r="Q3481" s="22" t="str">
        <f>VLOOKUP(B3481,辅助信息!E:M,9,FALSE)</f>
        <v>ZTWM-CDGS-XS-2024-0134-商投建工达州中医药科技成果示范园项目</v>
      </c>
      <c r="R3481" s="22" t="str">
        <f>_xlfn._xlws.FILTER(辅助信息!D:D,辅助信息!E:E=B3481)</f>
        <v>商投建工达州中医药科技园</v>
      </c>
    </row>
    <row r="3482" hidden="1" spans="2:18">
      <c r="B3482" s="33" t="s">
        <v>194</v>
      </c>
      <c r="C3482" s="63">
        <v>45918</v>
      </c>
      <c r="D3482" s="33" t="str">
        <f>VLOOKUP(B3482,辅助信息!E:K,7,FALSE)</f>
        <v>JWDD2025071500089</v>
      </c>
      <c r="E3482" s="33" t="str">
        <f>VLOOKUP(F3482,辅助信息!A:B,2,FALSE)</f>
        <v>盘螺</v>
      </c>
      <c r="F3482" s="33" t="s">
        <v>40</v>
      </c>
      <c r="G3482" s="29">
        <v>10</v>
      </c>
      <c r="H3482" s="127">
        <f>IF(SUMIFS('[1]2025年已发货'!$E:$E,'[1]2025年已发货'!$F:$F,C3482,'[1]2025年已发货'!$C:$C,F3482,'[1]2025年已发货'!$G:$G,I3482,'[1]2025年已发货'!$H:$H,J3482)=0,"未发货",SUMIFS('[1]2025年已发货'!$E:$E,'[1]2025年已发货'!$F:$F,C3482,'[1]2025年已发货'!$C:$C,F3482,'[1]2025年已发货'!$G:$G,I3482,'[1]2025年已发货'!$H:$H,J3482))</f>
        <v>10</v>
      </c>
      <c r="I3482" s="33" t="str">
        <f>VLOOKUP(B3482,辅助信息!E:I,3,FALSE)</f>
        <v>(宜宾兴港三江新区长江工业园保障性租赁住房建设项目-土建)四川省宜宾市翠屏区永善路南段宜宾市三江新区长江工业园区</v>
      </c>
      <c r="J3482" s="33" t="str">
        <f>VLOOKUP(B3482,辅助信息!E:I,4,FALSE)</f>
        <v>赵元虎</v>
      </c>
      <c r="K3482" s="33">
        <f>VLOOKUP(J3482,辅助信息!H:I,2,FALSE)</f>
        <v>13684167136</v>
      </c>
      <c r="L3482" s="102" t="str">
        <f>VLOOKUP(B3482,辅助信息!E:J,6,FALSE)</f>
        <v>现场要求调度统一联系指定收货人，不单独发司机位置。锈货不收，装货前联系收货人核实到场规格,没提前告知进场规格现场不给予接收</v>
      </c>
      <c r="M3482" s="84">
        <v>45918</v>
      </c>
      <c r="O3482" s="55">
        <f ca="1" t="shared" si="190"/>
        <v>0</v>
      </c>
      <c r="P3482" s="55">
        <f ca="1" t="shared" si="191"/>
        <v>39</v>
      </c>
      <c r="Q3482" s="22" t="str">
        <f>VLOOKUP(B3482,辅助信息!E:M,9,FALSE)</f>
        <v>ZTWM-CDYXGS-XS-2025-0014-宜宾兴港建材-三江新区长江工业园片区保障性租赁住房建设项目</v>
      </c>
      <c r="R3482" s="22" t="str">
        <f>_xlfn._xlws.FILTER(辅助信息!D:D,辅助信息!E:E=B3482)</f>
        <v>宜宾兴港三江新区长江工业园建设项目</v>
      </c>
    </row>
    <row r="3483" hidden="1" spans="2:18">
      <c r="B3483" s="33" t="s">
        <v>194</v>
      </c>
      <c r="C3483" s="63">
        <v>45918</v>
      </c>
      <c r="D3483" s="33" t="str">
        <f>VLOOKUP(B3483,辅助信息!E:K,7,FALSE)</f>
        <v>JWDD2025071500089</v>
      </c>
      <c r="E3483" s="33" t="str">
        <f>VLOOKUP(F3483,辅助信息!A:B,2,FALSE)</f>
        <v>盘螺</v>
      </c>
      <c r="F3483" s="33" t="s">
        <v>41</v>
      </c>
      <c r="G3483" s="29">
        <v>10</v>
      </c>
      <c r="H3483" s="127">
        <f>IF(SUMIFS('[1]2025年已发货'!$E:$E,'[1]2025年已发货'!$F:$F,C3483,'[1]2025年已发货'!$C:$C,F3483,'[1]2025年已发货'!$G:$G,I3483,'[1]2025年已发货'!$H:$H,J3483)=0,"未发货",SUMIFS('[1]2025年已发货'!$E:$E,'[1]2025年已发货'!$F:$F,C3483,'[1]2025年已发货'!$C:$C,F3483,'[1]2025年已发货'!$G:$G,I3483,'[1]2025年已发货'!$H:$H,J3483))</f>
        <v>10</v>
      </c>
      <c r="I3483" s="33" t="str">
        <f>VLOOKUP(B3483,辅助信息!E:I,3,FALSE)</f>
        <v>(宜宾兴港三江新区长江工业园保障性租赁住房建设项目-土建)四川省宜宾市翠屏区永善路南段宜宾市三江新区长江工业园区</v>
      </c>
      <c r="J3483" s="33" t="str">
        <f>VLOOKUP(B3483,辅助信息!E:I,4,FALSE)</f>
        <v>赵元虎</v>
      </c>
      <c r="K3483" s="33">
        <f>VLOOKUP(J3483,辅助信息!H:I,2,FALSE)</f>
        <v>13684167136</v>
      </c>
      <c r="L3483" s="102" t="str">
        <f>VLOOKUP(B3483,辅助信息!E:J,6,FALSE)</f>
        <v>现场要求调度统一联系指定收货人，不单独发司机位置。锈货不收，装货前联系收货人核实到场规格,没提前告知进场规格现场不给予接收</v>
      </c>
      <c r="M3483" s="84">
        <v>45918</v>
      </c>
      <c r="O3483" s="55">
        <f ca="1" t="shared" si="190"/>
        <v>0</v>
      </c>
      <c r="P3483" s="55">
        <f ca="1" t="shared" si="191"/>
        <v>39</v>
      </c>
      <c r="Q3483" s="22" t="str">
        <f>VLOOKUP(B3483,辅助信息!E:M,9,FALSE)</f>
        <v>ZTWM-CDYXGS-XS-2025-0014-宜宾兴港建材-三江新区长江工业园片区保障性租赁住房建设项目</v>
      </c>
      <c r="R3483" s="22" t="str">
        <f>_xlfn._xlws.FILTER(辅助信息!D:D,辅助信息!E:E=B3483)</f>
        <v>宜宾兴港三江新区长江工业园建设项目</v>
      </c>
    </row>
    <row r="3484" hidden="1" spans="2:18">
      <c r="B3484" s="33" t="s">
        <v>194</v>
      </c>
      <c r="C3484" s="63">
        <v>45918</v>
      </c>
      <c r="D3484" s="33" t="str">
        <f>VLOOKUP(B3484,辅助信息!E:K,7,FALSE)</f>
        <v>JWDD2025071500089</v>
      </c>
      <c r="E3484" s="33" t="str">
        <f>VLOOKUP(F3484,辅助信息!A:B,2,FALSE)</f>
        <v>盘螺</v>
      </c>
      <c r="F3484" s="33" t="s">
        <v>26</v>
      </c>
      <c r="G3484" s="29">
        <v>10</v>
      </c>
      <c r="H3484" s="127">
        <f>IF(SUMIFS('[1]2025年已发货'!$E:$E,'[1]2025年已发货'!$F:$F,C3484,'[1]2025年已发货'!$C:$C,F3484,'[1]2025年已发货'!$G:$G,I3484,'[1]2025年已发货'!$H:$H,J3484)=0,"未发货",SUMIFS('[1]2025年已发货'!$E:$E,'[1]2025年已发货'!$F:$F,C3484,'[1]2025年已发货'!$C:$C,F3484,'[1]2025年已发货'!$G:$G,I3484,'[1]2025年已发货'!$H:$H,J3484))</f>
        <v>10</v>
      </c>
      <c r="I3484" s="33" t="str">
        <f>VLOOKUP(B3484,辅助信息!E:I,3,FALSE)</f>
        <v>(宜宾兴港三江新区长江工业园保障性租赁住房建设项目-土建)四川省宜宾市翠屏区永善路南段宜宾市三江新区长江工业园区</v>
      </c>
      <c r="J3484" s="33" t="str">
        <f>VLOOKUP(B3484,辅助信息!E:I,4,FALSE)</f>
        <v>赵元虎</v>
      </c>
      <c r="K3484" s="33">
        <f>VLOOKUP(J3484,辅助信息!H:I,2,FALSE)</f>
        <v>13684167136</v>
      </c>
      <c r="L3484" s="102" t="str">
        <f>VLOOKUP(B3484,辅助信息!E:J,6,FALSE)</f>
        <v>现场要求调度统一联系指定收货人，不单独发司机位置。锈货不收，装货前联系收货人核实到场规格,没提前告知进场规格现场不给予接收</v>
      </c>
      <c r="M3484" s="84">
        <v>45918</v>
      </c>
      <c r="O3484" s="55">
        <f ca="1" t="shared" si="190"/>
        <v>0</v>
      </c>
      <c r="P3484" s="55">
        <f ca="1" t="shared" si="191"/>
        <v>39</v>
      </c>
      <c r="Q3484" s="22" t="str">
        <f>VLOOKUP(B3484,辅助信息!E:M,9,FALSE)</f>
        <v>ZTWM-CDYXGS-XS-2025-0014-宜宾兴港建材-三江新区长江工业园片区保障性租赁住房建设项目</v>
      </c>
      <c r="R3484" s="22" t="str">
        <f>_xlfn._xlws.FILTER(辅助信息!D:D,辅助信息!E:E=B3484)</f>
        <v>宜宾兴港三江新区长江工业园建设项目</v>
      </c>
    </row>
    <row r="3485" hidden="1" spans="2:18">
      <c r="B3485" s="33" t="s">
        <v>194</v>
      </c>
      <c r="C3485" s="63">
        <v>45918</v>
      </c>
      <c r="D3485" s="33" t="str">
        <f>VLOOKUP(B3485,辅助信息!E:K,7,FALSE)</f>
        <v>JWDD2025071500089</v>
      </c>
      <c r="E3485" s="33" t="str">
        <f>VLOOKUP(F3485,辅助信息!A:B,2,FALSE)</f>
        <v>螺纹钢</v>
      </c>
      <c r="F3485" s="33" t="s">
        <v>19</v>
      </c>
      <c r="G3485" s="29">
        <v>10</v>
      </c>
      <c r="H3485" s="127">
        <f>IF(SUMIFS('[1]2025年已发货'!$E:$E,'[1]2025年已发货'!$F:$F,C3485,'[1]2025年已发货'!$C:$C,F3485,'[1]2025年已发货'!$G:$G,I3485,'[1]2025年已发货'!$H:$H,J3485)=0,"未发货",SUMIFS('[1]2025年已发货'!$E:$E,'[1]2025年已发货'!$F:$F,C3485,'[1]2025年已发货'!$C:$C,F3485,'[1]2025年已发货'!$G:$G,I3485,'[1]2025年已发货'!$H:$H,J3485))</f>
        <v>10</v>
      </c>
      <c r="I3485" s="33" t="str">
        <f>VLOOKUP(B3485,辅助信息!E:I,3,FALSE)</f>
        <v>(宜宾兴港三江新区长江工业园保障性租赁住房建设项目-土建)四川省宜宾市翠屏区永善路南段宜宾市三江新区长江工业园区</v>
      </c>
      <c r="J3485" s="33" t="str">
        <f>VLOOKUP(B3485,辅助信息!E:I,4,FALSE)</f>
        <v>赵元虎</v>
      </c>
      <c r="K3485" s="33">
        <f>VLOOKUP(J3485,辅助信息!H:I,2,FALSE)</f>
        <v>13684167136</v>
      </c>
      <c r="L3485" s="102" t="str">
        <f>VLOOKUP(B3485,辅助信息!E:J,6,FALSE)</f>
        <v>现场要求调度统一联系指定收货人，不单独发司机位置。锈货不收，装货前联系收货人核实到场规格,没提前告知进场规格现场不给予接收</v>
      </c>
      <c r="M3485" s="84">
        <v>45918</v>
      </c>
      <c r="O3485" s="55">
        <f ca="1" t="shared" si="190"/>
        <v>0</v>
      </c>
      <c r="P3485" s="55">
        <f ca="1" t="shared" si="191"/>
        <v>39</v>
      </c>
      <c r="Q3485" s="22" t="str">
        <f>VLOOKUP(B3485,辅助信息!E:M,9,FALSE)</f>
        <v>ZTWM-CDYXGS-XS-2025-0014-宜宾兴港建材-三江新区长江工业园片区保障性租赁住房建设项目</v>
      </c>
      <c r="R3485" s="22" t="str">
        <f>_xlfn._xlws.FILTER(辅助信息!D:D,辅助信息!E:E=B3485)</f>
        <v>宜宾兴港三江新区长江工业园建设项目</v>
      </c>
    </row>
    <row r="3486" hidden="1" spans="2:18">
      <c r="B3486" s="33" t="s">
        <v>194</v>
      </c>
      <c r="C3486" s="63">
        <v>45918</v>
      </c>
      <c r="D3486" s="33" t="str">
        <f>VLOOKUP(B3486,辅助信息!E:K,7,FALSE)</f>
        <v>JWDD2025071500089</v>
      </c>
      <c r="E3486" s="33" t="str">
        <f>VLOOKUP(F3486,辅助信息!A:B,2,FALSE)</f>
        <v>螺纹钢</v>
      </c>
      <c r="F3486" s="33" t="s">
        <v>33</v>
      </c>
      <c r="G3486" s="29">
        <v>10</v>
      </c>
      <c r="H3486" s="127">
        <f>IF(SUMIFS('[1]2025年已发货'!$E:$E,'[1]2025年已发货'!$F:$F,C3486,'[1]2025年已发货'!$C:$C,F3486,'[1]2025年已发货'!$G:$G,I3486,'[1]2025年已发货'!$H:$H,J3486)=0,"未发货",SUMIFS('[1]2025年已发货'!$E:$E,'[1]2025年已发货'!$F:$F,C3486,'[1]2025年已发货'!$C:$C,F3486,'[1]2025年已发货'!$G:$G,I3486,'[1]2025年已发货'!$H:$H,J3486))</f>
        <v>10</v>
      </c>
      <c r="I3486" s="33" t="str">
        <f>VLOOKUP(B3486,辅助信息!E:I,3,FALSE)</f>
        <v>(宜宾兴港三江新区长江工业园保障性租赁住房建设项目-土建)四川省宜宾市翠屏区永善路南段宜宾市三江新区长江工业园区</v>
      </c>
      <c r="J3486" s="33" t="str">
        <f>VLOOKUP(B3486,辅助信息!E:I,4,FALSE)</f>
        <v>赵元虎</v>
      </c>
      <c r="K3486" s="33">
        <f>VLOOKUP(J3486,辅助信息!H:I,2,FALSE)</f>
        <v>13684167136</v>
      </c>
      <c r="L3486" s="102" t="str">
        <f>VLOOKUP(B3486,辅助信息!E:J,6,FALSE)</f>
        <v>现场要求调度统一联系指定收货人，不单独发司机位置。锈货不收，装货前联系收货人核实到场规格,没提前告知进场规格现场不给予接收</v>
      </c>
      <c r="M3486" s="84">
        <v>45918</v>
      </c>
      <c r="O3486" s="55">
        <f ca="1" t="shared" si="190"/>
        <v>0</v>
      </c>
      <c r="P3486" s="55">
        <f ca="1" t="shared" si="191"/>
        <v>39</v>
      </c>
      <c r="Q3486" s="22" t="str">
        <f>VLOOKUP(B3486,辅助信息!E:M,9,FALSE)</f>
        <v>ZTWM-CDYXGS-XS-2025-0014-宜宾兴港建材-三江新区长江工业园片区保障性租赁住房建设项目</v>
      </c>
      <c r="R3486" s="22" t="str">
        <f>_xlfn._xlws.FILTER(辅助信息!D:D,辅助信息!E:E=B3486)</f>
        <v>宜宾兴港三江新区长江工业园建设项目</v>
      </c>
    </row>
    <row r="3487" hidden="1" spans="2:18">
      <c r="B3487" s="33" t="s">
        <v>194</v>
      </c>
      <c r="C3487" s="63">
        <v>45918</v>
      </c>
      <c r="D3487" s="33" t="str">
        <f>VLOOKUP(B3487,辅助信息!E:K,7,FALSE)</f>
        <v>JWDD2025071500089</v>
      </c>
      <c r="E3487" s="33" t="str">
        <f>VLOOKUP(F3487,辅助信息!A:B,2,FALSE)</f>
        <v>螺纹钢</v>
      </c>
      <c r="F3487" s="33" t="s">
        <v>28</v>
      </c>
      <c r="G3487" s="29">
        <v>20</v>
      </c>
      <c r="H3487" s="127">
        <f>IF(SUMIFS('[1]2025年已发货'!$E:$E,'[1]2025年已发货'!$F:$F,C3487,'[1]2025年已发货'!$C:$C,F3487,'[1]2025年已发货'!$G:$G,I3487,'[1]2025年已发货'!$H:$H,J3487)=0,"未发货",SUMIFS('[1]2025年已发货'!$E:$E,'[1]2025年已发货'!$F:$F,C3487,'[1]2025年已发货'!$C:$C,F3487,'[1]2025年已发货'!$G:$G,I3487,'[1]2025年已发货'!$H:$H,J3487))</f>
        <v>20</v>
      </c>
      <c r="I3487" s="33" t="str">
        <f>VLOOKUP(B3487,辅助信息!E:I,3,FALSE)</f>
        <v>(宜宾兴港三江新区长江工业园保障性租赁住房建设项目-土建)四川省宜宾市翠屏区永善路南段宜宾市三江新区长江工业园区</v>
      </c>
      <c r="J3487" s="33" t="str">
        <f>VLOOKUP(B3487,辅助信息!E:I,4,FALSE)</f>
        <v>赵元虎</v>
      </c>
      <c r="K3487" s="33">
        <f>VLOOKUP(J3487,辅助信息!H:I,2,FALSE)</f>
        <v>13684167136</v>
      </c>
      <c r="L3487" s="102" t="str">
        <f>VLOOKUP(B3487,辅助信息!E:J,6,FALSE)</f>
        <v>现场要求调度统一联系指定收货人，不单独发司机位置。锈货不收，装货前联系收货人核实到场规格,没提前告知进场规格现场不给予接收</v>
      </c>
      <c r="M3487" s="84">
        <v>45918</v>
      </c>
      <c r="O3487" s="55">
        <f ca="1" t="shared" si="190"/>
        <v>0</v>
      </c>
      <c r="P3487" s="55">
        <f ca="1" t="shared" si="191"/>
        <v>39</v>
      </c>
      <c r="Q3487" s="22" t="str">
        <f>VLOOKUP(B3487,辅助信息!E:M,9,FALSE)</f>
        <v>ZTWM-CDYXGS-XS-2025-0014-宜宾兴港建材-三江新区长江工业园片区保障性租赁住房建设项目</v>
      </c>
      <c r="R3487" s="22" t="str">
        <f>_xlfn._xlws.FILTER(辅助信息!D:D,辅助信息!E:E=B3487)</f>
        <v>宜宾兴港三江新区长江工业园建设项目</v>
      </c>
    </row>
    <row r="3488" hidden="1" spans="2:18">
      <c r="B3488" s="113" t="s">
        <v>163</v>
      </c>
      <c r="C3488" s="63">
        <v>45918</v>
      </c>
      <c r="D3488" s="33" t="str">
        <f>VLOOKUP(B3488,辅助信息!E:K,7,FALSE)</f>
        <v>JWDDCD2025052800131</v>
      </c>
      <c r="E3488" s="33" t="str">
        <f>VLOOKUP(F3488,辅助信息!A:B,2,FALSE)</f>
        <v>螺纹钢</v>
      </c>
      <c r="F3488" s="113" t="s">
        <v>21</v>
      </c>
      <c r="G3488" s="29">
        <v>35</v>
      </c>
      <c r="H3488" s="127"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33" t="str">
        <f>VLOOKUP(B3488,辅助信息!E:I,3,FALSE)</f>
        <v>（商投建工达州中医药科技园-4工区-9号楼）达州市通川区达州中医药职业学院犀牛大道北段</v>
      </c>
      <c r="J3488" s="33" t="str">
        <f>VLOOKUP(B3488,辅助信息!E:I,4,FALSE)</f>
        <v>张扬</v>
      </c>
      <c r="K3488" s="33">
        <f>VLOOKUP(J3488,辅助信息!H:I,2,FALSE)</f>
        <v>18381904567</v>
      </c>
      <c r="L3488" s="102" t="str">
        <f>VLOOKUP(B3488,辅助信息!E:J,6,FALSE)</f>
        <v>控制炉批号！多了现场不收！,优先安排达钢,提前联系到场规格及数量</v>
      </c>
      <c r="M3488" s="84">
        <v>45919</v>
      </c>
      <c r="O3488" s="55">
        <f ca="1" t="shared" ref="O3488:O3551" si="192">IF(OR(M3488="",N3488&lt;&gt;""),"",MAX(M3488-TODAY(),0))</f>
        <v>0</v>
      </c>
      <c r="P3488" s="55">
        <f ca="1" t="shared" ref="P3488:P3551" si="193">IF(M3488="","",IF(N3488&lt;&gt;"",MAX(N3488-M3488,0),IF(TODAY()&gt;M3488,TODAY()-M3488,0)))</f>
        <v>38</v>
      </c>
      <c r="Q3488" s="22" t="str">
        <f>VLOOKUP(B3488,辅助信息!E:M,9,FALSE)</f>
        <v>ZTWM-CDGS-XS-2024-0134-商投建工达州中医药科技成果示范园项目</v>
      </c>
      <c r="R3488" s="22" t="str">
        <f>_xlfn._xlws.FILTER(辅助信息!D:D,辅助信息!E:E=B3488)</f>
        <v>商投建工达州中医药科技园</v>
      </c>
    </row>
    <row r="3489" hidden="1" spans="2:18">
      <c r="B3489" s="33" t="s">
        <v>167</v>
      </c>
      <c r="C3489" s="63">
        <v>45918</v>
      </c>
      <c r="D3489" s="33" t="str">
        <f>VLOOKUP(B3489,辅助信息!E:K,7,FALSE)</f>
        <v>JWDDCD2025102100473</v>
      </c>
      <c r="E3489" s="33" t="str">
        <f>VLOOKUP(F3489,辅助信息!A:B,2,FALSE)</f>
        <v>盘螺</v>
      </c>
      <c r="F3489" s="33" t="s">
        <v>49</v>
      </c>
      <c r="G3489" s="29">
        <v>5</v>
      </c>
      <c r="H3489" s="127">
        <f>IF(SUMIFS('[1]2025年已发货'!$E:$E,'[1]2025年已发货'!$F:$F,C3489,'[1]2025年已发货'!$C:$C,F3489,'[1]2025年已发货'!$G:$G,I3489,'[1]2025年已发货'!$H:$H,J3489)=0,"未发货",SUMIFS('[1]2025年已发货'!$E:$E,'[1]2025年已发货'!$F:$F,C3489,'[1]2025年已发货'!$C:$C,F3489,'[1]2025年已发货'!$G:$G,I3489,'[1]2025年已发货'!$H:$H,J3489))</f>
        <v>5</v>
      </c>
      <c r="I3489" s="33" t="str">
        <f>VLOOKUP(B3489,辅助信息!E:I,3,FALSE)</f>
        <v>(五冶建设扩建艺体中学二期工程)四川省成都市双流区光荣路成都艺体中学南200米</v>
      </c>
      <c r="J3489" s="33" t="str">
        <f>VLOOKUP(B3489,辅助信息!E:I,4,FALSE)</f>
        <v>谢序强</v>
      </c>
      <c r="K3489" s="33">
        <f>VLOOKUP(J3489,辅助信息!H:I,2,FALSE)</f>
        <v>13458588232</v>
      </c>
      <c r="L3489" s="102"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84">
        <v>45921</v>
      </c>
      <c r="O3489" s="55">
        <f ca="1" t="shared" si="192"/>
        <v>0</v>
      </c>
      <c r="P3489" s="55">
        <f ca="1" t="shared" si="193"/>
        <v>36</v>
      </c>
      <c r="Q3489" s="22" t="str">
        <f>VLOOKUP(B3489,辅助信息!E:M,9,FALSE)</f>
        <v>ZTWM-CDGS-XS-2025-0073-五冶天府-成都怡心湖片区及龙泉驿医院等项目</v>
      </c>
      <c r="R3489" s="22" t="str">
        <f>_xlfn._xlws.FILTER(辅助信息!D:D,辅助信息!E:E=B3489)</f>
        <v>五冶建设扩建艺体中学二期工程</v>
      </c>
    </row>
    <row r="3490" hidden="1" spans="2:18">
      <c r="B3490" s="33" t="s">
        <v>167</v>
      </c>
      <c r="C3490" s="63">
        <v>45918</v>
      </c>
      <c r="D3490" s="33" t="str">
        <f>VLOOKUP(B3490,辅助信息!E:K,7,FALSE)</f>
        <v>JWDDCD2025102100473</v>
      </c>
      <c r="E3490" s="33" t="str">
        <f>VLOOKUP(F3490,辅助信息!A:B,2,FALSE)</f>
        <v>盘螺</v>
      </c>
      <c r="F3490" s="33" t="s">
        <v>40</v>
      </c>
      <c r="G3490" s="29">
        <v>20</v>
      </c>
      <c r="H3490" s="127">
        <f>IF(SUMIFS('[1]2025年已发货'!$E:$E,'[1]2025年已发货'!$F:$F,C3490,'[1]2025年已发货'!$C:$C,F3490,'[1]2025年已发货'!$G:$G,I3490,'[1]2025年已发货'!$H:$H,J3490)=0,"未发货",SUMIFS('[1]2025年已发货'!$E:$E,'[1]2025年已发货'!$F:$F,C3490,'[1]2025年已发货'!$C:$C,F3490,'[1]2025年已发货'!$G:$G,I3490,'[1]2025年已发货'!$H:$H,J3490))</f>
        <v>20</v>
      </c>
      <c r="I3490" s="33" t="str">
        <f>VLOOKUP(B3490,辅助信息!E:I,3,FALSE)</f>
        <v>(五冶建设扩建艺体中学二期工程)四川省成都市双流区光荣路成都艺体中学南200米</v>
      </c>
      <c r="J3490" s="33" t="str">
        <f>VLOOKUP(B3490,辅助信息!E:I,4,FALSE)</f>
        <v>谢序强</v>
      </c>
      <c r="K3490" s="33">
        <f>VLOOKUP(J3490,辅助信息!H:I,2,FALSE)</f>
        <v>13458588232</v>
      </c>
      <c r="L3490" s="102"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84">
        <v>45921</v>
      </c>
      <c r="O3490" s="55">
        <f ca="1" t="shared" si="192"/>
        <v>0</v>
      </c>
      <c r="P3490" s="55">
        <f ca="1" t="shared" si="193"/>
        <v>36</v>
      </c>
      <c r="Q3490" s="22" t="str">
        <f>VLOOKUP(B3490,辅助信息!E:M,9,FALSE)</f>
        <v>ZTWM-CDGS-XS-2025-0073-五冶天府-成都怡心湖片区及龙泉驿医院等项目</v>
      </c>
      <c r="R3490" s="22" t="str">
        <f>_xlfn._xlws.FILTER(辅助信息!D:D,辅助信息!E:E=B3490)</f>
        <v>五冶建设扩建艺体中学二期工程</v>
      </c>
    </row>
    <row r="3491" hidden="1" spans="2:18">
      <c r="B3491" s="33" t="s">
        <v>167</v>
      </c>
      <c r="C3491" s="63">
        <v>45918</v>
      </c>
      <c r="D3491" s="33" t="str">
        <f>VLOOKUP(B3491,辅助信息!E:K,7,FALSE)</f>
        <v>JWDDCD2025102100473</v>
      </c>
      <c r="E3491" s="33" t="str">
        <f>VLOOKUP(F3491,辅助信息!A:B,2,FALSE)</f>
        <v>盘螺</v>
      </c>
      <c r="F3491" s="33" t="s">
        <v>41</v>
      </c>
      <c r="G3491" s="29">
        <v>10</v>
      </c>
      <c r="H3491" s="127">
        <f>IF(SUMIFS('[1]2025年已发货'!$E:$E,'[1]2025年已发货'!$F:$F,C3491,'[1]2025年已发货'!$C:$C,F3491,'[1]2025年已发货'!$G:$G,I3491,'[1]2025年已发货'!$H:$H,J3491)=0,"未发货",SUMIFS('[1]2025年已发货'!$E:$E,'[1]2025年已发货'!$F:$F,C3491,'[1]2025年已发货'!$C:$C,F3491,'[1]2025年已发货'!$G:$G,I3491,'[1]2025年已发货'!$H:$H,J3491))</f>
        <v>10</v>
      </c>
      <c r="I3491" s="33" t="str">
        <f>VLOOKUP(B3491,辅助信息!E:I,3,FALSE)</f>
        <v>(五冶建设扩建艺体中学二期工程)四川省成都市双流区光荣路成都艺体中学南200米</v>
      </c>
      <c r="J3491" s="33" t="str">
        <f>VLOOKUP(B3491,辅助信息!E:I,4,FALSE)</f>
        <v>谢序强</v>
      </c>
      <c r="K3491" s="33">
        <f>VLOOKUP(J3491,辅助信息!H:I,2,FALSE)</f>
        <v>13458588232</v>
      </c>
      <c r="L3491" s="102"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84">
        <v>45921</v>
      </c>
      <c r="O3491" s="55">
        <f ca="1" t="shared" si="192"/>
        <v>0</v>
      </c>
      <c r="P3491" s="55">
        <f ca="1" t="shared" si="193"/>
        <v>36</v>
      </c>
      <c r="Q3491" s="22" t="str">
        <f>VLOOKUP(B3491,辅助信息!E:M,9,FALSE)</f>
        <v>ZTWM-CDGS-XS-2025-0073-五冶天府-成都怡心湖片区及龙泉驿医院等项目</v>
      </c>
      <c r="R3491" s="22" t="str">
        <f>_xlfn._xlws.FILTER(辅助信息!D:D,辅助信息!E:E=B3491)</f>
        <v>五冶建设扩建艺体中学二期工程</v>
      </c>
    </row>
    <row r="3492" hidden="1" spans="2:18">
      <c r="B3492" s="33" t="s">
        <v>167</v>
      </c>
      <c r="C3492" s="63">
        <v>45918</v>
      </c>
      <c r="D3492" s="33" t="str">
        <f>VLOOKUP(B3492,辅助信息!E:K,7,FALSE)</f>
        <v>JWDDCD2025102100473</v>
      </c>
      <c r="E3492" s="33" t="str">
        <f>VLOOKUP(F3492,辅助信息!A:B,2,FALSE)</f>
        <v>螺纹钢</v>
      </c>
      <c r="F3492" s="33" t="s">
        <v>27</v>
      </c>
      <c r="G3492" s="29">
        <v>30</v>
      </c>
      <c r="H3492" s="127"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33" t="str">
        <f>VLOOKUP(B3492,辅助信息!E:I,3,FALSE)</f>
        <v>(五冶建设扩建艺体中学二期工程)四川省成都市双流区光荣路成都艺体中学南200米</v>
      </c>
      <c r="J3492" s="33" t="str">
        <f>VLOOKUP(B3492,辅助信息!E:I,4,FALSE)</f>
        <v>谢序强</v>
      </c>
      <c r="K3492" s="33">
        <f>VLOOKUP(J3492,辅助信息!H:I,2,FALSE)</f>
        <v>13458588232</v>
      </c>
      <c r="L3492" s="102"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84">
        <v>45921</v>
      </c>
      <c r="O3492" s="55">
        <f ca="1" t="shared" si="192"/>
        <v>0</v>
      </c>
      <c r="P3492" s="55">
        <f ca="1" t="shared" si="193"/>
        <v>36</v>
      </c>
      <c r="Q3492" s="22" t="str">
        <f>VLOOKUP(B3492,辅助信息!E:M,9,FALSE)</f>
        <v>ZTWM-CDGS-XS-2025-0073-五冶天府-成都怡心湖片区及龙泉驿医院等项目</v>
      </c>
      <c r="R3492" s="22" t="str">
        <f>_xlfn._xlws.FILTER(辅助信息!D:D,辅助信息!E:E=B3492)</f>
        <v>五冶建设扩建艺体中学二期工程</v>
      </c>
    </row>
    <row r="3493" hidden="1" spans="2:18">
      <c r="B3493" s="33" t="s">
        <v>167</v>
      </c>
      <c r="C3493" s="63">
        <v>45918</v>
      </c>
      <c r="D3493" s="33" t="str">
        <f>VLOOKUP(B3493,辅助信息!E:K,7,FALSE)</f>
        <v>JWDDCD2025102100473</v>
      </c>
      <c r="E3493" s="33" t="str">
        <f>VLOOKUP(F3493,辅助信息!A:B,2,FALSE)</f>
        <v>螺纹钢</v>
      </c>
      <c r="F3493" s="33" t="s">
        <v>66</v>
      </c>
      <c r="G3493" s="29">
        <v>9</v>
      </c>
      <c r="H3493" s="127">
        <f>IF(SUMIFS('[1]2025年已发货'!$E:$E,'[1]2025年已发货'!$F:$F,C3493,'[1]2025年已发货'!$C:$C,F3493,'[1]2025年已发货'!$G:$G,I3493,'[1]2025年已发货'!$H:$H,J3493)=0,"未发货",SUMIFS('[1]2025年已发货'!$E:$E,'[1]2025年已发货'!$F:$F,C3493,'[1]2025年已发货'!$C:$C,F3493,'[1]2025年已发货'!$G:$G,I3493,'[1]2025年已发货'!$H:$H,J3493))</f>
        <v>9</v>
      </c>
      <c r="I3493" s="33" t="str">
        <f>VLOOKUP(B3493,辅助信息!E:I,3,FALSE)</f>
        <v>(五冶建设扩建艺体中学二期工程)四川省成都市双流区光荣路成都艺体中学南200米</v>
      </c>
      <c r="J3493" s="33" t="str">
        <f>VLOOKUP(B3493,辅助信息!E:I,4,FALSE)</f>
        <v>谢序强</v>
      </c>
      <c r="K3493" s="33">
        <f>VLOOKUP(J3493,辅助信息!H:I,2,FALSE)</f>
        <v>13458588232</v>
      </c>
      <c r="L3493" s="102"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84">
        <v>45921</v>
      </c>
      <c r="O3493" s="55">
        <f ca="1" t="shared" si="192"/>
        <v>0</v>
      </c>
      <c r="P3493" s="55">
        <f ca="1" t="shared" si="193"/>
        <v>36</v>
      </c>
      <c r="Q3493" s="22" t="str">
        <f>VLOOKUP(B3493,辅助信息!E:M,9,FALSE)</f>
        <v>ZTWM-CDGS-XS-2025-0073-五冶天府-成都怡心湖片区及龙泉驿医院等项目</v>
      </c>
      <c r="R3493" s="22" t="str">
        <f>_xlfn._xlws.FILTER(辅助信息!D:D,辅助信息!E:E=B3493)</f>
        <v>五冶建设扩建艺体中学二期工程</v>
      </c>
    </row>
    <row r="3494" hidden="1" spans="2:18">
      <c r="B3494" s="33" t="s">
        <v>167</v>
      </c>
      <c r="C3494" s="63">
        <v>45918</v>
      </c>
      <c r="D3494" s="33" t="str">
        <f>VLOOKUP(B3494,辅助信息!E:K,7,FALSE)</f>
        <v>JWDDCD2025102100473</v>
      </c>
      <c r="E3494" s="33" t="str">
        <f>VLOOKUP(F3494,辅助信息!A:B,2,FALSE)</f>
        <v>螺纹钢</v>
      </c>
      <c r="F3494" s="33" t="s">
        <v>21</v>
      </c>
      <c r="G3494" s="29">
        <v>6</v>
      </c>
      <c r="H3494" s="127"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33" t="str">
        <f>VLOOKUP(B3494,辅助信息!E:I,3,FALSE)</f>
        <v>(五冶建设扩建艺体中学二期工程)四川省成都市双流区光荣路成都艺体中学南200米</v>
      </c>
      <c r="J3494" s="33" t="str">
        <f>VLOOKUP(B3494,辅助信息!E:I,4,FALSE)</f>
        <v>谢序强</v>
      </c>
      <c r="K3494" s="33">
        <f>VLOOKUP(J3494,辅助信息!H:I,2,FALSE)</f>
        <v>13458588232</v>
      </c>
      <c r="L3494" s="102"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84">
        <v>45921</v>
      </c>
      <c r="O3494" s="55">
        <f ca="1" t="shared" si="192"/>
        <v>0</v>
      </c>
      <c r="P3494" s="55">
        <f ca="1" t="shared" si="193"/>
        <v>36</v>
      </c>
      <c r="Q3494" s="22" t="str">
        <f>VLOOKUP(B3494,辅助信息!E:M,9,FALSE)</f>
        <v>ZTWM-CDGS-XS-2025-0073-五冶天府-成都怡心湖片区及龙泉驿医院等项目</v>
      </c>
      <c r="R3494" s="22" t="str">
        <f>_xlfn._xlws.FILTER(辅助信息!D:D,辅助信息!E:E=B3494)</f>
        <v>五冶建设扩建艺体中学二期工程</v>
      </c>
    </row>
    <row r="3495" hidden="1" spans="2:18">
      <c r="B3495" s="33" t="s">
        <v>167</v>
      </c>
      <c r="C3495" s="63">
        <v>45918</v>
      </c>
      <c r="D3495" s="33" t="str">
        <f>VLOOKUP(B3495,辅助信息!E:K,7,FALSE)</f>
        <v>JWDDCD2025102100473</v>
      </c>
      <c r="E3495" s="33" t="str">
        <f>VLOOKUP(F3495,辅助信息!A:B,2,FALSE)</f>
        <v>螺纹钢</v>
      </c>
      <c r="F3495" s="33" t="s">
        <v>58</v>
      </c>
      <c r="G3495" s="29">
        <v>6</v>
      </c>
      <c r="H3495" s="127">
        <f>IF(SUMIFS('[1]2025年已发货'!$E:$E,'[1]2025年已发货'!$F:$F,C3495,'[1]2025年已发货'!$C:$C,F3495,'[1]2025年已发货'!$G:$G,I3495,'[1]2025年已发货'!$H:$H,J3495)=0,"未发货",SUMIFS('[1]2025年已发货'!$E:$E,'[1]2025年已发货'!$F:$F,C3495,'[1]2025年已发货'!$C:$C,F3495,'[1]2025年已发货'!$G:$G,I3495,'[1]2025年已发货'!$H:$H,J3495))</f>
        <v>6</v>
      </c>
      <c r="I3495" s="33" t="str">
        <f>VLOOKUP(B3495,辅助信息!E:I,3,FALSE)</f>
        <v>(五冶建设扩建艺体中学二期工程)四川省成都市双流区光荣路成都艺体中学南200米</v>
      </c>
      <c r="J3495" s="33" t="str">
        <f>VLOOKUP(B3495,辅助信息!E:I,4,FALSE)</f>
        <v>谢序强</v>
      </c>
      <c r="K3495" s="33">
        <f>VLOOKUP(J3495,辅助信息!H:I,2,FALSE)</f>
        <v>13458588232</v>
      </c>
      <c r="L3495" s="102"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84">
        <v>45921</v>
      </c>
      <c r="O3495" s="55">
        <f ca="1" t="shared" si="192"/>
        <v>0</v>
      </c>
      <c r="P3495" s="55">
        <f ca="1" t="shared" si="193"/>
        <v>36</v>
      </c>
      <c r="Q3495" s="22" t="str">
        <f>VLOOKUP(B3495,辅助信息!E:M,9,FALSE)</f>
        <v>ZTWM-CDGS-XS-2025-0073-五冶天府-成都怡心湖片区及龙泉驿医院等项目</v>
      </c>
      <c r="R3495" s="22" t="str">
        <f>_xlfn._xlws.FILTER(辅助信息!D:D,辅助信息!E:E=B3495)</f>
        <v>五冶建设扩建艺体中学二期工程</v>
      </c>
    </row>
    <row r="3496" hidden="1" spans="2:18">
      <c r="B3496" s="33" t="s">
        <v>167</v>
      </c>
      <c r="C3496" s="63">
        <v>45918</v>
      </c>
      <c r="D3496" s="33" t="str">
        <f>VLOOKUP(B3496,辅助信息!E:K,7,FALSE)</f>
        <v>JWDDCD2025102100473</v>
      </c>
      <c r="E3496" s="33" t="str">
        <f>VLOOKUP(F3496,辅助信息!A:B,2,FALSE)</f>
        <v>螺纹钢</v>
      </c>
      <c r="F3496" s="33" t="s">
        <v>22</v>
      </c>
      <c r="G3496" s="29">
        <v>20</v>
      </c>
      <c r="H3496" s="127">
        <f>IF(SUMIFS('[1]2025年已发货'!$E:$E,'[1]2025年已发货'!$F:$F,C3496,'[1]2025年已发货'!$C:$C,F3496,'[1]2025年已发货'!$G:$G,I3496,'[1]2025年已发货'!$H:$H,J3496)=0,"未发货",SUMIFS('[1]2025年已发货'!$E:$E,'[1]2025年已发货'!$F:$F,C3496,'[1]2025年已发货'!$C:$C,F3496,'[1]2025年已发货'!$G:$G,I3496,'[1]2025年已发货'!$H:$H,J3496))</f>
        <v>20</v>
      </c>
      <c r="I3496" s="33" t="str">
        <f>VLOOKUP(B3496,辅助信息!E:I,3,FALSE)</f>
        <v>(五冶建设扩建艺体中学二期工程)四川省成都市双流区光荣路成都艺体中学南200米</v>
      </c>
      <c r="J3496" s="33" t="str">
        <f>VLOOKUP(B3496,辅助信息!E:I,4,FALSE)</f>
        <v>谢序强</v>
      </c>
      <c r="K3496" s="33">
        <f>VLOOKUP(J3496,辅助信息!H:I,2,FALSE)</f>
        <v>13458588232</v>
      </c>
      <c r="L3496" s="102"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84">
        <v>45921</v>
      </c>
      <c r="O3496" s="55">
        <f ca="1" t="shared" si="192"/>
        <v>0</v>
      </c>
      <c r="P3496" s="55">
        <f ca="1" t="shared" si="193"/>
        <v>36</v>
      </c>
      <c r="Q3496" s="22" t="str">
        <f>VLOOKUP(B3496,辅助信息!E:M,9,FALSE)</f>
        <v>ZTWM-CDGS-XS-2025-0073-五冶天府-成都怡心湖片区及龙泉驿医院等项目</v>
      </c>
      <c r="R3496" s="22" t="str">
        <f>_xlfn._xlws.FILTER(辅助信息!D:D,辅助信息!E:E=B3496)</f>
        <v>五冶建设扩建艺体中学二期工程</v>
      </c>
    </row>
    <row r="3497" hidden="1" spans="2:18">
      <c r="B3497" s="33" t="s">
        <v>192</v>
      </c>
      <c r="C3497" s="63">
        <v>45918</v>
      </c>
      <c r="D3497" s="33" t="str">
        <f>VLOOKUP(B3497,辅助信息!E:K,7,FALSE)</f>
        <v>JWDDCD2025102100475</v>
      </c>
      <c r="E3497" s="33" t="str">
        <f>VLOOKUP(F3497,辅助信息!A:B,2,FALSE)</f>
        <v>盘螺</v>
      </c>
      <c r="F3497" s="33" t="s">
        <v>41</v>
      </c>
      <c r="G3497" s="29">
        <v>4</v>
      </c>
      <c r="H3497" s="127">
        <f>IF(SUMIFS('[1]2025年已发货'!$E:$E,'[1]2025年已发货'!$F:$F,C3497,'[1]2025年已发货'!$C:$C,F3497,'[1]2025年已发货'!$G:$G,I3497,'[1]2025年已发货'!$H:$H,J3497)=0,"未发货",SUMIFS('[1]2025年已发货'!$E:$E,'[1]2025年已发货'!$F:$F,C3497,'[1]2025年已发货'!$C:$C,F3497,'[1]2025年已发货'!$G:$G,I3497,'[1]2025年已发货'!$H:$H,J3497))</f>
        <v>4</v>
      </c>
      <c r="I3497" s="33" t="str">
        <f>VLOOKUP(B3497,辅助信息!E:I,3,FALSE)</f>
        <v>(五冶建设成都国际铁路港多式联项目)四川省成都市青白江区桂平大道成都中远海运陆港多式联运有限公司</v>
      </c>
      <c r="J3497" s="33" t="str">
        <f>VLOOKUP(B3497,辅助信息!E:I,4,FALSE)</f>
        <v>黄勇杰</v>
      </c>
      <c r="K3497" s="33">
        <f>VLOOKUP(J3497,辅助信息!H:I,2,FALSE)</f>
        <v>13880580196</v>
      </c>
      <c r="L3497" s="102"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84">
        <v>45921</v>
      </c>
      <c r="O3497" s="55">
        <f ca="1" t="shared" si="192"/>
        <v>0</v>
      </c>
      <c r="P3497" s="55">
        <f ca="1" t="shared" si="193"/>
        <v>36</v>
      </c>
      <c r="Q3497" s="22" t="str">
        <f>VLOOKUP(B3497,辅助信息!E:M,9,FALSE)</f>
        <v>ZTWM-CDGS-XS-2025-0073-五冶天府-成都怡心湖片区及龙泉驿医院等项目</v>
      </c>
      <c r="R3497" s="22" t="str">
        <f>_xlfn._xlws.FILTER(辅助信息!D:D,辅助信息!E:E=B3497)</f>
        <v>五冶建设成都国际铁路港多式联项目</v>
      </c>
    </row>
    <row r="3498" hidden="1" spans="2:18">
      <c r="B3498" s="33" t="s">
        <v>192</v>
      </c>
      <c r="C3498" s="63">
        <v>45918</v>
      </c>
      <c r="D3498" s="33" t="str">
        <f>VLOOKUP(B3498,辅助信息!E:K,7,FALSE)</f>
        <v>JWDDCD2025102100475</v>
      </c>
      <c r="E3498" s="33" t="str">
        <f>VLOOKUP(F3498,辅助信息!A:B,2,FALSE)</f>
        <v>盘螺</v>
      </c>
      <c r="F3498" s="33" t="s">
        <v>26</v>
      </c>
      <c r="G3498" s="29">
        <v>13</v>
      </c>
      <c r="H3498" s="127">
        <f>IF(SUMIFS('[1]2025年已发货'!$E:$E,'[1]2025年已发货'!$F:$F,C3498,'[1]2025年已发货'!$C:$C,F3498,'[1]2025年已发货'!$G:$G,I3498,'[1]2025年已发货'!$H:$H,J3498)=0,"未发货",SUMIFS('[1]2025年已发货'!$E:$E,'[1]2025年已发货'!$F:$F,C3498,'[1]2025年已发货'!$C:$C,F3498,'[1]2025年已发货'!$G:$G,I3498,'[1]2025年已发货'!$H:$H,J3498))</f>
        <v>13</v>
      </c>
      <c r="I3498" s="33" t="str">
        <f>VLOOKUP(B3498,辅助信息!E:I,3,FALSE)</f>
        <v>(五冶建设成都国际铁路港多式联项目)四川省成都市青白江区桂平大道成都中远海运陆港多式联运有限公司</v>
      </c>
      <c r="J3498" s="33" t="str">
        <f>VLOOKUP(B3498,辅助信息!E:I,4,FALSE)</f>
        <v>黄勇杰</v>
      </c>
      <c r="K3498" s="33">
        <f>VLOOKUP(J3498,辅助信息!H:I,2,FALSE)</f>
        <v>13880580196</v>
      </c>
      <c r="L3498" s="102"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84">
        <v>45921</v>
      </c>
      <c r="O3498" s="55">
        <f ca="1" t="shared" si="192"/>
        <v>0</v>
      </c>
      <c r="P3498" s="55">
        <f ca="1" t="shared" si="193"/>
        <v>36</v>
      </c>
      <c r="Q3498" s="22" t="str">
        <f>VLOOKUP(B3498,辅助信息!E:M,9,FALSE)</f>
        <v>ZTWM-CDGS-XS-2025-0073-五冶天府-成都怡心湖片区及龙泉驿医院等项目</v>
      </c>
      <c r="R3498" s="22" t="str">
        <f>_xlfn._xlws.FILTER(辅助信息!D:D,辅助信息!E:E=B3498)</f>
        <v>五冶建设成都国际铁路港多式联项目</v>
      </c>
    </row>
    <row r="3499" hidden="1" spans="2:18">
      <c r="B3499" s="33" t="s">
        <v>192</v>
      </c>
      <c r="C3499" s="63">
        <v>45918</v>
      </c>
      <c r="D3499" s="33" t="str">
        <f>VLOOKUP(B3499,辅助信息!E:K,7,FALSE)</f>
        <v>JWDDCD2025102100475</v>
      </c>
      <c r="E3499" s="33" t="str">
        <f>VLOOKUP(F3499,辅助信息!A:B,2,FALSE)</f>
        <v>螺纹钢</v>
      </c>
      <c r="F3499" s="33" t="s">
        <v>19</v>
      </c>
      <c r="G3499" s="29">
        <v>11</v>
      </c>
      <c r="H3499" s="127">
        <f>IF(SUMIFS('[1]2025年已发货'!$E:$E,'[1]2025年已发货'!$F:$F,C3499,'[1]2025年已发货'!$C:$C,F3499,'[1]2025年已发货'!$G:$G,I3499,'[1]2025年已发货'!$H:$H,J3499)=0,"未发货",SUMIFS('[1]2025年已发货'!$E:$E,'[1]2025年已发货'!$F:$F,C3499,'[1]2025年已发货'!$C:$C,F3499,'[1]2025年已发货'!$G:$G,I3499,'[1]2025年已发货'!$H:$H,J3499))</f>
        <v>11</v>
      </c>
      <c r="I3499" s="33" t="str">
        <f>VLOOKUP(B3499,辅助信息!E:I,3,FALSE)</f>
        <v>(五冶建设成都国际铁路港多式联项目)四川省成都市青白江区桂平大道成都中远海运陆港多式联运有限公司</v>
      </c>
      <c r="J3499" s="33" t="str">
        <f>VLOOKUP(B3499,辅助信息!E:I,4,FALSE)</f>
        <v>黄勇杰</v>
      </c>
      <c r="K3499" s="33">
        <f>VLOOKUP(J3499,辅助信息!H:I,2,FALSE)</f>
        <v>13880580196</v>
      </c>
      <c r="L3499" s="102"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84">
        <v>45921</v>
      </c>
      <c r="O3499" s="55">
        <f ca="1" t="shared" si="192"/>
        <v>0</v>
      </c>
      <c r="P3499" s="55">
        <f ca="1" t="shared" si="193"/>
        <v>36</v>
      </c>
      <c r="Q3499" s="22" t="str">
        <f>VLOOKUP(B3499,辅助信息!E:M,9,FALSE)</f>
        <v>ZTWM-CDGS-XS-2025-0073-五冶天府-成都怡心湖片区及龙泉驿医院等项目</v>
      </c>
      <c r="R3499" s="22" t="str">
        <f>_xlfn._xlws.FILTER(辅助信息!D:D,辅助信息!E:E=B3499)</f>
        <v>五冶建设成都国际铁路港多式联项目</v>
      </c>
    </row>
    <row r="3500" hidden="1" spans="2:18">
      <c r="B3500" s="33" t="s">
        <v>192</v>
      </c>
      <c r="C3500" s="63">
        <v>45918</v>
      </c>
      <c r="D3500" s="33" t="str">
        <f>VLOOKUP(B3500,辅助信息!E:K,7,FALSE)</f>
        <v>JWDDCD2025102100475</v>
      </c>
      <c r="E3500" s="33" t="str">
        <f>VLOOKUP(F3500,辅助信息!A:B,2,FALSE)</f>
        <v>螺纹钢</v>
      </c>
      <c r="F3500" s="33" t="s">
        <v>32</v>
      </c>
      <c r="G3500" s="29">
        <v>3</v>
      </c>
      <c r="H3500" s="127">
        <f>IF(SUMIFS('[1]2025年已发货'!$E:$E,'[1]2025年已发货'!$F:$F,C3500,'[1]2025年已发货'!$C:$C,F3500,'[1]2025年已发货'!$G:$G,I3500,'[1]2025年已发货'!$H:$H,J3500)=0,"未发货",SUMIFS('[1]2025年已发货'!$E:$E,'[1]2025年已发货'!$F:$F,C3500,'[1]2025年已发货'!$C:$C,F3500,'[1]2025年已发货'!$G:$G,I3500,'[1]2025年已发货'!$H:$H,J3500))</f>
        <v>3</v>
      </c>
      <c r="I3500" s="33" t="str">
        <f>VLOOKUP(B3500,辅助信息!E:I,3,FALSE)</f>
        <v>(五冶建设成都国际铁路港多式联项目)四川省成都市青白江区桂平大道成都中远海运陆港多式联运有限公司</v>
      </c>
      <c r="J3500" s="33" t="str">
        <f>VLOOKUP(B3500,辅助信息!E:I,4,FALSE)</f>
        <v>黄勇杰</v>
      </c>
      <c r="K3500" s="33">
        <f>VLOOKUP(J3500,辅助信息!H:I,2,FALSE)</f>
        <v>13880580196</v>
      </c>
      <c r="L3500" s="102"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84">
        <v>45921</v>
      </c>
      <c r="O3500" s="55">
        <f ca="1" t="shared" si="192"/>
        <v>0</v>
      </c>
      <c r="P3500" s="55">
        <f ca="1" t="shared" si="193"/>
        <v>36</v>
      </c>
      <c r="Q3500" s="22" t="str">
        <f>VLOOKUP(B3500,辅助信息!E:M,9,FALSE)</f>
        <v>ZTWM-CDGS-XS-2025-0073-五冶天府-成都怡心湖片区及龙泉驿医院等项目</v>
      </c>
      <c r="R3500" s="22" t="str">
        <f>_xlfn._xlws.FILTER(辅助信息!D:D,辅助信息!E:E=B3500)</f>
        <v>五冶建设成都国际铁路港多式联项目</v>
      </c>
    </row>
    <row r="3501" hidden="1" spans="2:18">
      <c r="B3501" s="33" t="s">
        <v>192</v>
      </c>
      <c r="C3501" s="63">
        <v>45918</v>
      </c>
      <c r="D3501" s="33" t="str">
        <f>VLOOKUP(B3501,辅助信息!E:K,7,FALSE)</f>
        <v>JWDDCD2025102100475</v>
      </c>
      <c r="E3501" s="33" t="str">
        <f>VLOOKUP(F3501,辅助信息!A:B,2,FALSE)</f>
        <v>螺纹钢</v>
      </c>
      <c r="F3501" s="33" t="s">
        <v>30</v>
      </c>
      <c r="G3501" s="29">
        <v>25</v>
      </c>
      <c r="H3501" s="127"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33" t="str">
        <f>VLOOKUP(B3501,辅助信息!E:I,3,FALSE)</f>
        <v>(五冶建设成都国际铁路港多式联项目)四川省成都市青白江区桂平大道成都中远海运陆港多式联运有限公司</v>
      </c>
      <c r="J3501" s="33" t="str">
        <f>VLOOKUP(B3501,辅助信息!E:I,4,FALSE)</f>
        <v>黄勇杰</v>
      </c>
      <c r="K3501" s="33">
        <f>VLOOKUP(J3501,辅助信息!H:I,2,FALSE)</f>
        <v>13880580196</v>
      </c>
      <c r="L3501" s="102"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84">
        <v>45921</v>
      </c>
      <c r="O3501" s="55">
        <f ca="1" t="shared" si="192"/>
        <v>0</v>
      </c>
      <c r="P3501" s="55">
        <f ca="1" t="shared" si="193"/>
        <v>36</v>
      </c>
      <c r="Q3501" s="22" t="str">
        <f>VLOOKUP(B3501,辅助信息!E:M,9,FALSE)</f>
        <v>ZTWM-CDGS-XS-2025-0073-五冶天府-成都怡心湖片区及龙泉驿医院等项目</v>
      </c>
      <c r="R3501" s="22" t="str">
        <f>_xlfn._xlws.FILTER(辅助信息!D:D,辅助信息!E:E=B3501)</f>
        <v>五冶建设成都国际铁路港多式联项目</v>
      </c>
    </row>
    <row r="3502" hidden="1" spans="2:18">
      <c r="B3502" s="33" t="s">
        <v>192</v>
      </c>
      <c r="C3502" s="63">
        <v>45918</v>
      </c>
      <c r="D3502" s="33" t="str">
        <f>VLOOKUP(B3502,辅助信息!E:K,7,FALSE)</f>
        <v>JWDDCD2025102100475</v>
      </c>
      <c r="E3502" s="33" t="str">
        <f>VLOOKUP(F3502,辅助信息!A:B,2,FALSE)</f>
        <v>螺纹钢</v>
      </c>
      <c r="F3502" s="33" t="s">
        <v>33</v>
      </c>
      <c r="G3502" s="29">
        <v>10</v>
      </c>
      <c r="H3502" s="127">
        <f>IF(SUMIFS('[1]2025年已发货'!$E:$E,'[1]2025年已发货'!$F:$F,C3502,'[1]2025年已发货'!$C:$C,F3502,'[1]2025年已发货'!$G:$G,I3502,'[1]2025年已发货'!$H:$H,J3502)=0,"未发货",SUMIFS('[1]2025年已发货'!$E:$E,'[1]2025年已发货'!$F:$F,C3502,'[1]2025年已发货'!$C:$C,F3502,'[1]2025年已发货'!$G:$G,I3502,'[1]2025年已发货'!$H:$H,J3502))</f>
        <v>3</v>
      </c>
      <c r="I3502" s="33" t="str">
        <f>VLOOKUP(B3502,辅助信息!E:I,3,FALSE)</f>
        <v>(五冶建设成都国际铁路港多式联项目)四川省成都市青白江区桂平大道成都中远海运陆港多式联运有限公司</v>
      </c>
      <c r="J3502" s="33" t="str">
        <f>VLOOKUP(B3502,辅助信息!E:I,4,FALSE)</f>
        <v>黄勇杰</v>
      </c>
      <c r="K3502" s="33">
        <f>VLOOKUP(J3502,辅助信息!H:I,2,FALSE)</f>
        <v>13880580196</v>
      </c>
      <c r="L3502" s="102"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84">
        <v>45921</v>
      </c>
      <c r="O3502" s="55">
        <f ca="1" t="shared" si="192"/>
        <v>0</v>
      </c>
      <c r="P3502" s="55">
        <f ca="1" t="shared" si="193"/>
        <v>36</v>
      </c>
      <c r="Q3502" s="22" t="str">
        <f>VLOOKUP(B3502,辅助信息!E:M,9,FALSE)</f>
        <v>ZTWM-CDGS-XS-2025-0073-五冶天府-成都怡心湖片区及龙泉驿医院等项目</v>
      </c>
      <c r="R3502" s="22" t="str">
        <f>_xlfn._xlws.FILTER(辅助信息!D:D,辅助信息!E:E=B3502)</f>
        <v>五冶建设成都国际铁路港多式联项目</v>
      </c>
    </row>
    <row r="3503" hidden="1" spans="2:18">
      <c r="B3503" s="33" t="s">
        <v>192</v>
      </c>
      <c r="C3503" s="63">
        <v>45918</v>
      </c>
      <c r="D3503" s="33" t="str">
        <f>VLOOKUP(B3503,辅助信息!E:K,7,FALSE)</f>
        <v>JWDDCD2025102100475</v>
      </c>
      <c r="E3503" s="33" t="str">
        <f>VLOOKUP(F3503,辅助信息!A:B,2,FALSE)</f>
        <v>螺纹钢</v>
      </c>
      <c r="F3503" s="33" t="s">
        <v>28</v>
      </c>
      <c r="G3503" s="29">
        <v>10</v>
      </c>
      <c r="H3503" s="127"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33" t="str">
        <f>VLOOKUP(B3503,辅助信息!E:I,3,FALSE)</f>
        <v>(五冶建设成都国际铁路港多式联项目)四川省成都市青白江区桂平大道成都中远海运陆港多式联运有限公司</v>
      </c>
      <c r="J3503" s="33" t="str">
        <f>VLOOKUP(B3503,辅助信息!E:I,4,FALSE)</f>
        <v>黄勇杰</v>
      </c>
      <c r="K3503" s="33">
        <f>VLOOKUP(J3503,辅助信息!H:I,2,FALSE)</f>
        <v>13880580196</v>
      </c>
      <c r="L3503" s="102"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84">
        <v>45921</v>
      </c>
      <c r="O3503" s="55">
        <f ca="1" t="shared" si="192"/>
        <v>0</v>
      </c>
      <c r="P3503" s="55">
        <f ca="1" t="shared" si="193"/>
        <v>36</v>
      </c>
      <c r="Q3503" s="22" t="str">
        <f>VLOOKUP(B3503,辅助信息!E:M,9,FALSE)</f>
        <v>ZTWM-CDGS-XS-2025-0073-五冶天府-成都怡心湖片区及龙泉驿医院等项目</v>
      </c>
      <c r="R3503" s="22" t="str">
        <f>_xlfn._xlws.FILTER(辅助信息!D:D,辅助信息!E:E=B3503)</f>
        <v>五冶建设成都国际铁路港多式联项目</v>
      </c>
    </row>
    <row r="3504" hidden="1" spans="2:18">
      <c r="B3504" s="33" t="s">
        <v>81</v>
      </c>
      <c r="C3504" s="63">
        <v>45918</v>
      </c>
      <c r="D3504" s="33" t="str">
        <f>VLOOKUP(B3504,辅助信息!E:K,7,FALSE)</f>
        <v>JWDDCD2025060900080</v>
      </c>
      <c r="E3504" s="33" t="str">
        <f>VLOOKUP(F3504,辅助信息!A:B,2,FALSE)</f>
        <v>盘螺</v>
      </c>
      <c r="F3504" s="33" t="s">
        <v>49</v>
      </c>
      <c r="G3504" s="29">
        <v>15</v>
      </c>
      <c r="H3504" s="127"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33" t="str">
        <f>VLOOKUP(B3504,辅助信息!E:I,3,FALSE)</f>
        <v>（华西简阳西城嘉苑）四川省成都市简阳市简城街道高屋村</v>
      </c>
      <c r="J3504" s="33" t="str">
        <f>VLOOKUP(B3504,辅助信息!E:I,4,FALSE)</f>
        <v>张瀚镭</v>
      </c>
      <c r="K3504" s="33">
        <f>VLOOKUP(J3504,辅助信息!H:I,2,FALSE)</f>
        <v>15884666220</v>
      </c>
      <c r="L3504" s="102" t="str">
        <f>VLOOKUP(B3504,辅助信息!E:J,6,FALSE)</f>
        <v>现场禁止使用氢能源挂车！优先威钢发货,我方卸车,新老国标钢厂不加价可直发，因陕钢多次出现磅差，项目拒绝使用</v>
      </c>
      <c r="O3504" s="55" t="str">
        <f ca="1" t="shared" si="192"/>
        <v/>
      </c>
      <c r="P3504" s="55" t="str">
        <f ca="1" t="shared" si="193"/>
        <v/>
      </c>
      <c r="Q3504" s="22" t="str">
        <f>VLOOKUP(B3504,辅助信息!E:M,9,FALSE)</f>
        <v>ZTWM-CDGS-XS-2024-0030-华西集采-简州大道</v>
      </c>
      <c r="R3504" s="22" t="str">
        <f>_xlfn._xlws.FILTER(辅助信息!D:D,辅助信息!E:E=B3504)</f>
        <v>华西简阳西城嘉苑</v>
      </c>
    </row>
    <row r="3505" hidden="1" spans="2:18">
      <c r="B3505" s="33" t="s">
        <v>81</v>
      </c>
      <c r="C3505" s="63">
        <v>45918</v>
      </c>
      <c r="D3505" s="33" t="str">
        <f>VLOOKUP(B3505,辅助信息!E:K,7,FALSE)</f>
        <v>JWDDCD2025060900080</v>
      </c>
      <c r="E3505" s="33" t="str">
        <f>VLOOKUP(F3505,辅助信息!A:B,2,FALSE)</f>
        <v>盘螺</v>
      </c>
      <c r="F3505" s="33" t="s">
        <v>40</v>
      </c>
      <c r="G3505" s="29">
        <v>100</v>
      </c>
      <c r="H3505" s="127"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33" t="str">
        <f>VLOOKUP(B3505,辅助信息!E:I,3,FALSE)</f>
        <v>（华西简阳西城嘉苑）四川省成都市简阳市简城街道高屋村</v>
      </c>
      <c r="J3505" s="33" t="str">
        <f>VLOOKUP(B3505,辅助信息!E:I,4,FALSE)</f>
        <v>张瀚镭</v>
      </c>
      <c r="K3505" s="33">
        <f>VLOOKUP(J3505,辅助信息!H:I,2,FALSE)</f>
        <v>15884666220</v>
      </c>
      <c r="L3505" s="102" t="str">
        <f>VLOOKUP(B3505,辅助信息!E:J,6,FALSE)</f>
        <v>现场禁止使用氢能源挂车！优先威钢发货,我方卸车,新老国标钢厂不加价可直发，因陕钢多次出现磅差，项目拒绝使用</v>
      </c>
      <c r="O3505" s="55" t="str">
        <f ca="1" t="shared" si="192"/>
        <v/>
      </c>
      <c r="P3505" s="55" t="str">
        <f ca="1" t="shared" si="193"/>
        <v/>
      </c>
      <c r="Q3505" s="22" t="str">
        <f>VLOOKUP(B3505,辅助信息!E:M,9,FALSE)</f>
        <v>ZTWM-CDGS-XS-2024-0030-华西集采-简州大道</v>
      </c>
      <c r="R3505" s="22" t="str">
        <f>_xlfn._xlws.FILTER(辅助信息!D:D,辅助信息!E:E=B3505)</f>
        <v>华西简阳西城嘉苑</v>
      </c>
    </row>
    <row r="3506" hidden="1" spans="2:18">
      <c r="B3506" s="33" t="s">
        <v>81</v>
      </c>
      <c r="C3506" s="63">
        <v>45918</v>
      </c>
      <c r="D3506" s="33" t="str">
        <f>VLOOKUP(B3506,辅助信息!E:K,7,FALSE)</f>
        <v>JWDDCD2025060900080</v>
      </c>
      <c r="E3506" s="33" t="str">
        <f>VLOOKUP(F3506,辅助信息!A:B,2,FALSE)</f>
        <v>盘螺</v>
      </c>
      <c r="F3506" s="33" t="s">
        <v>41</v>
      </c>
      <c r="G3506" s="29">
        <v>30</v>
      </c>
      <c r="H3506" s="127"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33" t="str">
        <f>VLOOKUP(B3506,辅助信息!E:I,3,FALSE)</f>
        <v>（华西简阳西城嘉苑）四川省成都市简阳市简城街道高屋村</v>
      </c>
      <c r="J3506" s="33" t="str">
        <f>VLOOKUP(B3506,辅助信息!E:I,4,FALSE)</f>
        <v>张瀚镭</v>
      </c>
      <c r="K3506" s="33">
        <f>VLOOKUP(J3506,辅助信息!H:I,2,FALSE)</f>
        <v>15884666220</v>
      </c>
      <c r="L3506" s="102" t="str">
        <f>VLOOKUP(B3506,辅助信息!E:J,6,FALSE)</f>
        <v>现场禁止使用氢能源挂车！优先威钢发货,我方卸车,新老国标钢厂不加价可直发，因陕钢多次出现磅差，项目拒绝使用</v>
      </c>
      <c r="O3506" s="55" t="str">
        <f ca="1" t="shared" si="192"/>
        <v/>
      </c>
      <c r="P3506" s="55" t="str">
        <f ca="1" t="shared" si="193"/>
        <v/>
      </c>
      <c r="Q3506" s="22" t="str">
        <f>VLOOKUP(B3506,辅助信息!E:M,9,FALSE)</f>
        <v>ZTWM-CDGS-XS-2024-0030-华西集采-简州大道</v>
      </c>
      <c r="R3506" s="22" t="str">
        <f>_xlfn._xlws.FILTER(辅助信息!D:D,辅助信息!E:E=B3506)</f>
        <v>华西简阳西城嘉苑</v>
      </c>
    </row>
    <row r="3507" hidden="1" spans="2:18">
      <c r="B3507" s="33" t="s">
        <v>81</v>
      </c>
      <c r="C3507" s="63">
        <v>45918</v>
      </c>
      <c r="D3507" s="33" t="str">
        <f>VLOOKUP(B3507,辅助信息!E:K,7,FALSE)</f>
        <v>JWDDCD2025060900080</v>
      </c>
      <c r="E3507" s="33" t="str">
        <f>VLOOKUP(F3507,辅助信息!A:B,2,FALSE)</f>
        <v>盘螺</v>
      </c>
      <c r="F3507" s="33" t="s">
        <v>26</v>
      </c>
      <c r="G3507" s="29">
        <v>30</v>
      </c>
      <c r="H3507" s="127"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33" t="str">
        <f>VLOOKUP(B3507,辅助信息!E:I,3,FALSE)</f>
        <v>（华西简阳西城嘉苑）四川省成都市简阳市简城街道高屋村</v>
      </c>
      <c r="J3507" s="33" t="str">
        <f>VLOOKUP(B3507,辅助信息!E:I,4,FALSE)</f>
        <v>张瀚镭</v>
      </c>
      <c r="K3507" s="33">
        <f>VLOOKUP(J3507,辅助信息!H:I,2,FALSE)</f>
        <v>15884666220</v>
      </c>
      <c r="L3507" s="102" t="str">
        <f>VLOOKUP(B3507,辅助信息!E:J,6,FALSE)</f>
        <v>现场禁止使用氢能源挂车！优先威钢发货,我方卸车,新老国标钢厂不加价可直发，因陕钢多次出现磅差，项目拒绝使用</v>
      </c>
      <c r="O3507" s="55" t="str">
        <f ca="1" t="shared" si="192"/>
        <v/>
      </c>
      <c r="P3507" s="55" t="str">
        <f ca="1" t="shared" si="193"/>
        <v/>
      </c>
      <c r="Q3507" s="22" t="str">
        <f>VLOOKUP(B3507,辅助信息!E:M,9,FALSE)</f>
        <v>ZTWM-CDGS-XS-2024-0030-华西集采-简州大道</v>
      </c>
      <c r="R3507" s="22" t="str">
        <f>_xlfn._xlws.FILTER(辅助信息!D:D,辅助信息!E:E=B3507)</f>
        <v>华西简阳西城嘉苑</v>
      </c>
    </row>
    <row r="3508" hidden="1" spans="2:18">
      <c r="B3508" s="33" t="s">
        <v>81</v>
      </c>
      <c r="C3508" s="63">
        <v>45918</v>
      </c>
      <c r="D3508" s="33" t="str">
        <f>VLOOKUP(B3508,辅助信息!E:K,7,FALSE)</f>
        <v>JWDDCD2025060900080</v>
      </c>
      <c r="E3508" s="33" t="str">
        <f>VLOOKUP(F3508,辅助信息!A:B,2,FALSE)</f>
        <v>螺纹钢</v>
      </c>
      <c r="F3508" s="33" t="s">
        <v>33</v>
      </c>
      <c r="G3508" s="29">
        <v>15</v>
      </c>
      <c r="H3508" s="127"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33" t="str">
        <f>VLOOKUP(B3508,辅助信息!E:I,3,FALSE)</f>
        <v>（华西简阳西城嘉苑）四川省成都市简阳市简城街道高屋村</v>
      </c>
      <c r="J3508" s="33" t="str">
        <f>VLOOKUP(B3508,辅助信息!E:I,4,FALSE)</f>
        <v>张瀚镭</v>
      </c>
      <c r="K3508" s="33">
        <f>VLOOKUP(J3508,辅助信息!H:I,2,FALSE)</f>
        <v>15884666220</v>
      </c>
      <c r="L3508" s="102" t="str">
        <f>VLOOKUP(B3508,辅助信息!E:J,6,FALSE)</f>
        <v>现场禁止使用氢能源挂车！优先威钢发货,我方卸车,新老国标钢厂不加价可直发，因陕钢多次出现磅差，项目拒绝使用</v>
      </c>
      <c r="O3508" s="55" t="str">
        <f ca="1" t="shared" si="192"/>
        <v/>
      </c>
      <c r="P3508" s="55" t="str">
        <f ca="1" t="shared" si="193"/>
        <v/>
      </c>
      <c r="Q3508" s="22" t="str">
        <f>VLOOKUP(B3508,辅助信息!E:M,9,FALSE)</f>
        <v>ZTWM-CDGS-XS-2024-0030-华西集采-简州大道</v>
      </c>
      <c r="R3508" s="22" t="str">
        <f>_xlfn._xlws.FILTER(辅助信息!D:D,辅助信息!E:E=B3508)</f>
        <v>华西简阳西城嘉苑</v>
      </c>
    </row>
    <row r="3509" hidden="1" spans="2:18">
      <c r="B3509" s="33" t="s">
        <v>81</v>
      </c>
      <c r="C3509" s="63">
        <v>45918</v>
      </c>
      <c r="D3509" s="33" t="str">
        <f>VLOOKUP(B3509,辅助信息!E:K,7,FALSE)</f>
        <v>JWDDCD2025060900080</v>
      </c>
      <c r="E3509" s="33" t="str">
        <f>VLOOKUP(F3509,辅助信息!A:B,2,FALSE)</f>
        <v>螺纹钢</v>
      </c>
      <c r="F3509" s="33" t="s">
        <v>22</v>
      </c>
      <c r="G3509" s="29">
        <v>10</v>
      </c>
      <c r="H3509" s="127"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33" t="str">
        <f>VLOOKUP(B3509,辅助信息!E:I,3,FALSE)</f>
        <v>（华西简阳西城嘉苑）四川省成都市简阳市简城街道高屋村</v>
      </c>
      <c r="J3509" s="33" t="str">
        <f>VLOOKUP(B3509,辅助信息!E:I,4,FALSE)</f>
        <v>张瀚镭</v>
      </c>
      <c r="K3509" s="33">
        <f>VLOOKUP(J3509,辅助信息!H:I,2,FALSE)</f>
        <v>15884666220</v>
      </c>
      <c r="L3509" s="102" t="str">
        <f>VLOOKUP(B3509,辅助信息!E:J,6,FALSE)</f>
        <v>现场禁止使用氢能源挂车！优先威钢发货,我方卸车,新老国标钢厂不加价可直发，因陕钢多次出现磅差，项目拒绝使用</v>
      </c>
      <c r="O3509" s="55" t="str">
        <f ca="1" t="shared" si="192"/>
        <v/>
      </c>
      <c r="P3509" s="55" t="str">
        <f ca="1" t="shared" si="193"/>
        <v/>
      </c>
      <c r="Q3509" s="22" t="str">
        <f>VLOOKUP(B3509,辅助信息!E:M,9,FALSE)</f>
        <v>ZTWM-CDGS-XS-2024-0030-华西集采-简州大道</v>
      </c>
      <c r="R3509" s="22" t="str">
        <f>_xlfn._xlws.FILTER(辅助信息!D:D,辅助信息!E:E=B3509)</f>
        <v>华西简阳西城嘉苑</v>
      </c>
    </row>
    <row r="3510" hidden="1" spans="2:18">
      <c r="B3510" s="33" t="s">
        <v>186</v>
      </c>
      <c r="C3510" s="63">
        <v>45918</v>
      </c>
      <c r="D3510" s="33" t="str">
        <f>VLOOKUP(B3510,辅助信息!E:K,7,FALSE)</f>
        <v>JWDDCD2025072900123</v>
      </c>
      <c r="E3510" s="33" t="str">
        <f>VLOOKUP(F3510,辅助信息!A:B,2,FALSE)</f>
        <v>高线</v>
      </c>
      <c r="F3510" s="33" t="s">
        <v>57</v>
      </c>
      <c r="G3510" s="29">
        <v>5</v>
      </c>
      <c r="H3510" s="127"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33" t="str">
        <f>VLOOKUP(B3510,辅助信息!E:I,3,FALSE)</f>
        <v>(乐山市校地共建产教融合基地建设项目二标段)四川省乐山市市中区苏稽镇</v>
      </c>
      <c r="J3510" s="33" t="str">
        <f>VLOOKUP(B3510,辅助信息!E:I,4,FALSE)</f>
        <v>彭江涛</v>
      </c>
      <c r="K3510" s="33">
        <f>VLOOKUP(J3510,辅助信息!H:I,2,FALSE)</f>
        <v>13990276572</v>
      </c>
      <c r="L3510" s="102" t="str">
        <f>VLOOKUP(B3510,辅助信息!E:J,6,FALSE)</f>
        <v>联系实际收货人（彭江涛13990276572）现场要求炉批号控制2个以下，超2个不给予签收。提前联系到场规格及数量</v>
      </c>
      <c r="O3510" s="55" t="str">
        <f ca="1" t="shared" si="192"/>
        <v/>
      </c>
      <c r="P3510" s="55" t="str">
        <f ca="1" t="shared" si="193"/>
        <v/>
      </c>
      <c r="Q3510" s="22" t="str">
        <f>VLOOKUP(B3510,辅助信息!E:M,9,FALSE)</f>
        <v>ZTWM-CDGS-XS-2025-0126-四川机司-乐山市校地共建产教融合基地配套设施项目施工二标段钢筋采购合同</v>
      </c>
      <c r="R3510" s="22" t="str">
        <f>_xlfn._xlws.FILTER(辅助信息!D:D,辅助信息!E:E=B3510)</f>
        <v>乐山市校地共建产教融合基地建设项目二标段</v>
      </c>
    </row>
    <row r="3511" hidden="1" spans="2:18">
      <c r="B3511" s="33" t="s">
        <v>186</v>
      </c>
      <c r="C3511" s="63">
        <v>45918</v>
      </c>
      <c r="D3511" s="33" t="str">
        <f>VLOOKUP(B3511,辅助信息!E:K,7,FALSE)</f>
        <v>JWDDCD2025072900123</v>
      </c>
      <c r="E3511" s="33" t="str">
        <f>VLOOKUP(F3511,辅助信息!A:B,2,FALSE)</f>
        <v>高线</v>
      </c>
      <c r="F3511" s="33" t="s">
        <v>53</v>
      </c>
      <c r="G3511" s="29">
        <v>10</v>
      </c>
      <c r="H3511" s="127"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33" t="str">
        <f>VLOOKUP(B3511,辅助信息!E:I,3,FALSE)</f>
        <v>(乐山市校地共建产教融合基地建设项目二标段)四川省乐山市市中区苏稽镇</v>
      </c>
      <c r="J3511" s="33" t="str">
        <f>VLOOKUP(B3511,辅助信息!E:I,4,FALSE)</f>
        <v>彭江涛</v>
      </c>
      <c r="K3511" s="33">
        <f>VLOOKUP(J3511,辅助信息!H:I,2,FALSE)</f>
        <v>13990276572</v>
      </c>
      <c r="L3511" s="102" t="str">
        <f>VLOOKUP(B3511,辅助信息!E:J,6,FALSE)</f>
        <v>联系实际收货人（彭江涛13990276572）现场要求炉批号控制2个以下，超2个不给予签收。提前联系到场规格及数量</v>
      </c>
      <c r="O3511" s="55" t="str">
        <f ca="1" t="shared" si="192"/>
        <v/>
      </c>
      <c r="P3511" s="55" t="str">
        <f ca="1" t="shared" si="193"/>
        <v/>
      </c>
      <c r="Q3511" s="22" t="str">
        <f>VLOOKUP(B3511,辅助信息!E:M,9,FALSE)</f>
        <v>ZTWM-CDGS-XS-2025-0126-四川机司-乐山市校地共建产教融合基地配套设施项目施工二标段钢筋采购合同</v>
      </c>
      <c r="R3511" s="22" t="str">
        <f>_xlfn._xlws.FILTER(辅助信息!D:D,辅助信息!E:E=B3511)</f>
        <v>乐山市校地共建产教融合基地建设项目二标段</v>
      </c>
    </row>
    <row r="3512" hidden="1" spans="2:18">
      <c r="B3512" s="33" t="s">
        <v>186</v>
      </c>
      <c r="C3512" s="63">
        <v>45918</v>
      </c>
      <c r="D3512" s="33" t="str">
        <f>VLOOKUP(B3512,辅助信息!E:K,7,FALSE)</f>
        <v>JWDDCD2025072900123</v>
      </c>
      <c r="E3512" s="33" t="str">
        <f>VLOOKUP(F3512,辅助信息!A:B,2,FALSE)</f>
        <v>螺纹钢</v>
      </c>
      <c r="F3512" s="33" t="s">
        <v>76</v>
      </c>
      <c r="G3512" s="29">
        <v>12</v>
      </c>
      <c r="H3512" s="127"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33" t="str">
        <f>VLOOKUP(B3512,辅助信息!E:I,3,FALSE)</f>
        <v>(乐山市校地共建产教融合基地建设项目二标段)四川省乐山市市中区苏稽镇</v>
      </c>
      <c r="J3512" s="33" t="str">
        <f>VLOOKUP(B3512,辅助信息!E:I,4,FALSE)</f>
        <v>彭江涛</v>
      </c>
      <c r="K3512" s="33">
        <f>VLOOKUP(J3512,辅助信息!H:I,2,FALSE)</f>
        <v>13990276572</v>
      </c>
      <c r="L3512" s="102" t="str">
        <f>VLOOKUP(B3512,辅助信息!E:J,6,FALSE)</f>
        <v>联系实际收货人（彭江涛13990276572）现场要求炉批号控制2个以下，超2个不给予签收。提前联系到场规格及数量</v>
      </c>
      <c r="O3512" s="55" t="str">
        <f ca="1" t="shared" si="192"/>
        <v/>
      </c>
      <c r="P3512" s="55" t="str">
        <f ca="1" t="shared" si="193"/>
        <v/>
      </c>
      <c r="Q3512" s="22" t="str">
        <f>VLOOKUP(B3512,辅助信息!E:M,9,FALSE)</f>
        <v>ZTWM-CDGS-XS-2025-0126-四川机司-乐山市校地共建产教融合基地配套设施项目施工二标段钢筋采购合同</v>
      </c>
      <c r="R3512" s="22" t="str">
        <f>_xlfn._xlws.FILTER(辅助信息!D:D,辅助信息!E:E=B3512)</f>
        <v>乐山市校地共建产教融合基地建设项目二标段</v>
      </c>
    </row>
    <row r="3513" hidden="1" spans="2:18">
      <c r="B3513" s="33" t="s">
        <v>186</v>
      </c>
      <c r="C3513" s="63">
        <v>45918</v>
      </c>
      <c r="D3513" s="33" t="str">
        <f>VLOOKUP(B3513,辅助信息!E:K,7,FALSE)</f>
        <v>JWDDCD2025072900123</v>
      </c>
      <c r="E3513" s="33" t="str">
        <f>VLOOKUP(F3513,辅助信息!A:B,2,FALSE)</f>
        <v>螺纹钢</v>
      </c>
      <c r="F3513" s="33" t="s">
        <v>90</v>
      </c>
      <c r="G3513" s="29">
        <v>20</v>
      </c>
      <c r="H3513" s="127"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33" t="str">
        <f>VLOOKUP(B3513,辅助信息!E:I,3,FALSE)</f>
        <v>(乐山市校地共建产教融合基地建设项目二标段)四川省乐山市市中区苏稽镇</v>
      </c>
      <c r="J3513" s="33" t="str">
        <f>VLOOKUP(B3513,辅助信息!E:I,4,FALSE)</f>
        <v>彭江涛</v>
      </c>
      <c r="K3513" s="33">
        <f>VLOOKUP(J3513,辅助信息!H:I,2,FALSE)</f>
        <v>13990276572</v>
      </c>
      <c r="L3513" s="102" t="str">
        <f>VLOOKUP(B3513,辅助信息!E:J,6,FALSE)</f>
        <v>联系实际收货人（彭江涛13990276572）现场要求炉批号控制2个以下，超2个不给予签收。提前联系到场规格及数量</v>
      </c>
      <c r="O3513" s="55" t="str">
        <f ca="1" t="shared" si="192"/>
        <v/>
      </c>
      <c r="P3513" s="55" t="str">
        <f ca="1" t="shared" si="193"/>
        <v/>
      </c>
      <c r="Q3513" s="22" t="str">
        <f>VLOOKUP(B3513,辅助信息!E:M,9,FALSE)</f>
        <v>ZTWM-CDGS-XS-2025-0126-四川机司-乐山市校地共建产教融合基地配套设施项目施工二标段钢筋采购合同</v>
      </c>
      <c r="R3513" s="22" t="str">
        <f>_xlfn._xlws.FILTER(辅助信息!D:D,辅助信息!E:E=B3513)</f>
        <v>乐山市校地共建产教融合基地建设项目二标段</v>
      </c>
    </row>
    <row r="3514" hidden="1" spans="2:18">
      <c r="B3514" s="33" t="s">
        <v>186</v>
      </c>
      <c r="C3514" s="63">
        <v>45918</v>
      </c>
      <c r="D3514" s="33" t="str">
        <f>VLOOKUP(B3514,辅助信息!E:K,7,FALSE)</f>
        <v>JWDDCD2025072900123</v>
      </c>
      <c r="E3514" s="33" t="str">
        <f>VLOOKUP(F3514,辅助信息!A:B,2,FALSE)</f>
        <v>螺纹钢</v>
      </c>
      <c r="F3514" s="33" t="s">
        <v>140</v>
      </c>
      <c r="G3514" s="29">
        <v>4</v>
      </c>
      <c r="H3514" s="127">
        <f>IF(SUMIFS('[1]2025年已发货'!$E:$E,'[1]2025年已发货'!$F:$F,C3514,'[1]2025年已发货'!$C:$C,F3514,'[1]2025年已发货'!$G:$G,I3514,'[1]2025年已发货'!$H:$H,J3514)=0,"未发货",SUMIFS('[1]2025年已发货'!$E:$E,'[1]2025年已发货'!$F:$F,C3514,'[1]2025年已发货'!$C:$C,F3514,'[1]2025年已发货'!$G:$G,I3514,'[1]2025年已发货'!$H:$H,J3514))</f>
        <v>4</v>
      </c>
      <c r="I3514" s="33" t="str">
        <f>VLOOKUP(B3514,辅助信息!E:I,3,FALSE)</f>
        <v>(乐山市校地共建产教融合基地建设项目二标段)四川省乐山市市中区苏稽镇</v>
      </c>
      <c r="J3514" s="33" t="str">
        <f>VLOOKUP(B3514,辅助信息!E:I,4,FALSE)</f>
        <v>彭江涛</v>
      </c>
      <c r="K3514" s="33">
        <f>VLOOKUP(J3514,辅助信息!H:I,2,FALSE)</f>
        <v>13990276572</v>
      </c>
      <c r="L3514" s="102" t="str">
        <f>VLOOKUP(B3514,辅助信息!E:J,6,FALSE)</f>
        <v>联系实际收货人（彭江涛13990276572）现场要求炉批号控制2个以下，超2个不给予签收。提前联系到场规格及数量</v>
      </c>
      <c r="O3514" s="55" t="str">
        <f ca="1" t="shared" si="192"/>
        <v/>
      </c>
      <c r="P3514" s="55" t="str">
        <f ca="1" t="shared" si="193"/>
        <v/>
      </c>
      <c r="Q3514" s="22" t="str">
        <f>VLOOKUP(B3514,辅助信息!E:M,9,FALSE)</f>
        <v>ZTWM-CDGS-XS-2025-0126-四川机司-乐山市校地共建产教融合基地配套设施项目施工二标段钢筋采购合同</v>
      </c>
      <c r="R3514" s="22" t="str">
        <f>_xlfn._xlws.FILTER(辅助信息!D:D,辅助信息!E:E=B3514)</f>
        <v>乐山市校地共建产教融合基地建设项目二标段</v>
      </c>
    </row>
    <row r="3515" hidden="1" spans="2:18">
      <c r="B3515" s="33" t="s">
        <v>186</v>
      </c>
      <c r="C3515" s="63">
        <v>45918</v>
      </c>
      <c r="D3515" s="33" t="str">
        <f>VLOOKUP(B3515,辅助信息!E:K,7,FALSE)</f>
        <v>JWDDCD2025072900123</v>
      </c>
      <c r="E3515" s="33" t="str">
        <f>VLOOKUP(F3515,辅助信息!A:B,2,FALSE)</f>
        <v>螺纹钢</v>
      </c>
      <c r="F3515" s="33" t="s">
        <v>45</v>
      </c>
      <c r="G3515" s="29">
        <v>10</v>
      </c>
      <c r="H3515" s="127"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33" t="str">
        <f>VLOOKUP(B3515,辅助信息!E:I,3,FALSE)</f>
        <v>(乐山市校地共建产教融合基地建设项目二标段)四川省乐山市市中区苏稽镇</v>
      </c>
      <c r="J3515" s="33" t="str">
        <f>VLOOKUP(B3515,辅助信息!E:I,4,FALSE)</f>
        <v>彭江涛</v>
      </c>
      <c r="K3515" s="33">
        <f>VLOOKUP(J3515,辅助信息!H:I,2,FALSE)</f>
        <v>13990276572</v>
      </c>
      <c r="L3515" s="102" t="str">
        <f>VLOOKUP(B3515,辅助信息!E:J,6,FALSE)</f>
        <v>联系实际收货人（彭江涛13990276572）现场要求炉批号控制2个以下，超2个不给予签收。提前联系到场规格及数量</v>
      </c>
      <c r="O3515" s="55" t="str">
        <f ca="1" t="shared" si="192"/>
        <v/>
      </c>
      <c r="P3515" s="55" t="str">
        <f ca="1" t="shared" si="193"/>
        <v/>
      </c>
      <c r="Q3515" s="22" t="str">
        <f>VLOOKUP(B3515,辅助信息!E:M,9,FALSE)</f>
        <v>ZTWM-CDGS-XS-2025-0126-四川机司-乐山市校地共建产教融合基地配套设施项目施工二标段钢筋采购合同</v>
      </c>
      <c r="R3515" s="22" t="str">
        <f>_xlfn._xlws.FILTER(辅助信息!D:D,辅助信息!E:E=B3515)</f>
        <v>乐山市校地共建产教融合基地建设项目二标段</v>
      </c>
    </row>
    <row r="3516" hidden="1" spans="2:18">
      <c r="B3516" s="33" t="s">
        <v>186</v>
      </c>
      <c r="C3516" s="63">
        <v>45918</v>
      </c>
      <c r="D3516" s="33" t="str">
        <f>VLOOKUP(B3516,辅助信息!E:K,7,FALSE)</f>
        <v>JWDDCD2025072900123</v>
      </c>
      <c r="E3516" s="33" t="str">
        <f>VLOOKUP(F3516,辅助信息!A:B,2,FALSE)</f>
        <v>螺纹钢</v>
      </c>
      <c r="F3516" s="33" t="s">
        <v>21</v>
      </c>
      <c r="G3516" s="29">
        <v>18</v>
      </c>
      <c r="H3516" s="127"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33" t="str">
        <f>VLOOKUP(B3516,辅助信息!E:I,3,FALSE)</f>
        <v>(乐山市校地共建产教融合基地建设项目二标段)四川省乐山市市中区苏稽镇</v>
      </c>
      <c r="J3516" s="33" t="str">
        <f>VLOOKUP(B3516,辅助信息!E:I,4,FALSE)</f>
        <v>彭江涛</v>
      </c>
      <c r="K3516" s="33">
        <f>VLOOKUP(J3516,辅助信息!H:I,2,FALSE)</f>
        <v>13990276572</v>
      </c>
      <c r="L3516" s="102" t="str">
        <f>VLOOKUP(B3516,辅助信息!E:J,6,FALSE)</f>
        <v>联系实际收货人（彭江涛13990276572）现场要求炉批号控制2个以下，超2个不给予签收。提前联系到场规格及数量</v>
      </c>
      <c r="O3516" s="55" t="str">
        <f ca="1" t="shared" si="192"/>
        <v/>
      </c>
      <c r="P3516" s="55" t="str">
        <f ca="1" t="shared" si="193"/>
        <v/>
      </c>
      <c r="Q3516" s="22" t="str">
        <f>VLOOKUP(B3516,辅助信息!E:M,9,FALSE)</f>
        <v>ZTWM-CDGS-XS-2025-0126-四川机司-乐山市校地共建产教融合基地配套设施项目施工二标段钢筋采购合同</v>
      </c>
      <c r="R3516" s="22" t="str">
        <f>_xlfn._xlws.FILTER(辅助信息!D:D,辅助信息!E:E=B3516)</f>
        <v>乐山市校地共建产教融合基地建设项目二标段</v>
      </c>
    </row>
    <row r="3517" hidden="1" spans="2:18">
      <c r="B3517" s="33" t="s">
        <v>186</v>
      </c>
      <c r="C3517" s="63">
        <v>45918</v>
      </c>
      <c r="D3517" s="33" t="str">
        <f>VLOOKUP(B3517,辅助信息!E:K,7,FALSE)</f>
        <v>JWDDCD2025072900123</v>
      </c>
      <c r="E3517" s="33" t="str">
        <f>VLOOKUP(F3517,辅助信息!A:B,2,FALSE)</f>
        <v>螺纹钢</v>
      </c>
      <c r="F3517" s="33" t="s">
        <v>198</v>
      </c>
      <c r="G3517" s="29">
        <v>4</v>
      </c>
      <c r="H3517" s="127"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33" t="str">
        <f>VLOOKUP(B3517,辅助信息!E:I,3,FALSE)</f>
        <v>(乐山市校地共建产教融合基地建设项目二标段)四川省乐山市市中区苏稽镇</v>
      </c>
      <c r="J3517" s="33" t="str">
        <f>VLOOKUP(B3517,辅助信息!E:I,4,FALSE)</f>
        <v>彭江涛</v>
      </c>
      <c r="K3517" s="33">
        <f>VLOOKUP(J3517,辅助信息!H:I,2,FALSE)</f>
        <v>13990276572</v>
      </c>
      <c r="L3517" s="102" t="str">
        <f>VLOOKUP(B3517,辅助信息!E:J,6,FALSE)</f>
        <v>联系实际收货人（彭江涛13990276572）现场要求炉批号控制2个以下，超2个不给予签收。提前联系到场规格及数量</v>
      </c>
      <c r="O3517" s="55" t="str">
        <f ca="1" t="shared" si="192"/>
        <v/>
      </c>
      <c r="P3517" s="55" t="str">
        <f ca="1" t="shared" si="193"/>
        <v/>
      </c>
      <c r="Q3517" s="22" t="str">
        <f>VLOOKUP(B3517,辅助信息!E:M,9,FALSE)</f>
        <v>ZTWM-CDGS-XS-2025-0126-四川机司-乐山市校地共建产教融合基地配套设施项目施工二标段钢筋采购合同</v>
      </c>
      <c r="R3517" s="22" t="str">
        <f>_xlfn._xlws.FILTER(辅助信息!D:D,辅助信息!E:E=B3517)</f>
        <v>乐山市校地共建产教融合基地建设项目二标段</v>
      </c>
    </row>
    <row r="3518" hidden="1" spans="2:18">
      <c r="B3518" s="33" t="s">
        <v>186</v>
      </c>
      <c r="C3518" s="63">
        <v>45918</v>
      </c>
      <c r="D3518" s="33" t="str">
        <f>VLOOKUP(B3518,辅助信息!E:K,7,FALSE)</f>
        <v>JWDDCD2025072900123</v>
      </c>
      <c r="E3518" s="33" t="str">
        <f>VLOOKUP(F3518,辅助信息!A:B,2,FALSE)</f>
        <v>螺纹钢</v>
      </c>
      <c r="F3518" s="33" t="s">
        <v>58</v>
      </c>
      <c r="G3518" s="29">
        <v>18</v>
      </c>
      <c r="H3518" s="127">
        <f>IF(SUMIFS('[1]2025年已发货'!$E:$E,'[1]2025年已发货'!$F:$F,C3518,'[1]2025年已发货'!$C:$C,F3518,'[1]2025年已发货'!$G:$G,I3518,'[1]2025年已发货'!$H:$H,J3518)=0,"未发货",SUMIFS('[1]2025年已发货'!$E:$E,'[1]2025年已发货'!$F:$F,C3518,'[1]2025年已发货'!$C:$C,F3518,'[1]2025年已发货'!$G:$G,I3518,'[1]2025年已发货'!$H:$H,J3518))</f>
        <v>3</v>
      </c>
      <c r="I3518" s="33" t="str">
        <f>VLOOKUP(B3518,辅助信息!E:I,3,FALSE)</f>
        <v>(乐山市校地共建产教融合基地建设项目二标段)四川省乐山市市中区苏稽镇</v>
      </c>
      <c r="J3518" s="33" t="str">
        <f>VLOOKUP(B3518,辅助信息!E:I,4,FALSE)</f>
        <v>彭江涛</v>
      </c>
      <c r="K3518" s="33">
        <f>VLOOKUP(J3518,辅助信息!H:I,2,FALSE)</f>
        <v>13990276572</v>
      </c>
      <c r="L3518" s="102" t="str">
        <f>VLOOKUP(B3518,辅助信息!E:J,6,FALSE)</f>
        <v>联系实际收货人（彭江涛13990276572）现场要求炉批号控制2个以下，超2个不给予签收。提前联系到场规格及数量</v>
      </c>
      <c r="O3518" s="55" t="str">
        <f ca="1" t="shared" si="192"/>
        <v/>
      </c>
      <c r="P3518" s="55" t="str">
        <f ca="1" t="shared" si="193"/>
        <v/>
      </c>
      <c r="Q3518" s="22" t="str">
        <f>VLOOKUP(B3518,辅助信息!E:M,9,FALSE)</f>
        <v>ZTWM-CDGS-XS-2025-0126-四川机司-乐山市校地共建产教融合基地配套设施项目施工二标段钢筋采购合同</v>
      </c>
      <c r="R3518" s="22" t="str">
        <f>_xlfn._xlws.FILTER(辅助信息!D:D,辅助信息!E:E=B3518)</f>
        <v>乐山市校地共建产教融合基地建设项目二标段</v>
      </c>
    </row>
    <row r="3519" hidden="1" spans="2:18">
      <c r="B3519" s="33" t="s">
        <v>186</v>
      </c>
      <c r="C3519" s="63">
        <v>45918</v>
      </c>
      <c r="D3519" s="33" t="str">
        <f>VLOOKUP(B3519,辅助信息!E:K,7,FALSE)</f>
        <v>JWDDCD2025072900123</v>
      </c>
      <c r="E3519" s="33" t="str">
        <f>VLOOKUP(F3519,辅助信息!A:B,2,FALSE)</f>
        <v>螺纹钢</v>
      </c>
      <c r="F3519" s="33" t="s">
        <v>199</v>
      </c>
      <c r="G3519" s="29">
        <v>17</v>
      </c>
      <c r="H3519" s="127"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33" t="str">
        <f>VLOOKUP(B3519,辅助信息!E:I,3,FALSE)</f>
        <v>(乐山市校地共建产教融合基地建设项目二标段)四川省乐山市市中区苏稽镇</v>
      </c>
      <c r="J3519" s="33" t="str">
        <f>VLOOKUP(B3519,辅助信息!E:I,4,FALSE)</f>
        <v>彭江涛</v>
      </c>
      <c r="K3519" s="33">
        <f>VLOOKUP(J3519,辅助信息!H:I,2,FALSE)</f>
        <v>13990276572</v>
      </c>
      <c r="L3519" s="102" t="str">
        <f>VLOOKUP(B3519,辅助信息!E:J,6,FALSE)</f>
        <v>联系实际收货人（彭江涛13990276572）现场要求炉批号控制2个以下，超2个不给予签收。提前联系到场规格及数量</v>
      </c>
      <c r="O3519" s="55" t="str">
        <f ca="1" t="shared" si="192"/>
        <v/>
      </c>
      <c r="P3519" s="55" t="str">
        <f ca="1" t="shared" si="193"/>
        <v/>
      </c>
      <c r="Q3519" s="22" t="str">
        <f>VLOOKUP(B3519,辅助信息!E:M,9,FALSE)</f>
        <v>ZTWM-CDGS-XS-2025-0126-四川机司-乐山市校地共建产教融合基地配套设施项目施工二标段钢筋采购合同</v>
      </c>
      <c r="R3519" s="22" t="str">
        <f>_xlfn._xlws.FILTER(辅助信息!D:D,辅助信息!E:E=B3519)</f>
        <v>乐山市校地共建产教融合基地建设项目二标段</v>
      </c>
    </row>
    <row r="3520" hidden="1" spans="2:18">
      <c r="B3520" s="33" t="s">
        <v>186</v>
      </c>
      <c r="C3520" s="63">
        <v>45918</v>
      </c>
      <c r="D3520" s="33" t="str">
        <f>VLOOKUP(B3520,辅助信息!E:K,7,FALSE)</f>
        <v>JWDDCD2025072900123</v>
      </c>
      <c r="E3520" s="33" t="str">
        <f>VLOOKUP(F3520,辅助信息!A:B,2,FALSE)</f>
        <v>螺纹钢</v>
      </c>
      <c r="F3520" s="33" t="s">
        <v>46</v>
      </c>
      <c r="G3520" s="29">
        <v>3</v>
      </c>
      <c r="H3520" s="127">
        <f>IF(SUMIFS('[1]2025年已发货'!$E:$E,'[1]2025年已发货'!$F:$F,C3520,'[1]2025年已发货'!$C:$C,F3520,'[1]2025年已发货'!$G:$G,I3520,'[1]2025年已发货'!$H:$H,J3520)=0,"未发货",SUMIFS('[1]2025年已发货'!$E:$E,'[1]2025年已发货'!$F:$F,C3520,'[1]2025年已发货'!$C:$C,F3520,'[1]2025年已发货'!$G:$G,I3520,'[1]2025年已发货'!$H:$H,J3520))</f>
        <v>3</v>
      </c>
      <c r="I3520" s="33" t="str">
        <f>VLOOKUP(B3520,辅助信息!E:I,3,FALSE)</f>
        <v>(乐山市校地共建产教融合基地建设项目二标段)四川省乐山市市中区苏稽镇</v>
      </c>
      <c r="J3520" s="33" t="str">
        <f>VLOOKUP(B3520,辅助信息!E:I,4,FALSE)</f>
        <v>彭江涛</v>
      </c>
      <c r="K3520" s="33">
        <f>VLOOKUP(J3520,辅助信息!H:I,2,FALSE)</f>
        <v>13990276572</v>
      </c>
      <c r="L3520" s="102" t="str">
        <f>VLOOKUP(B3520,辅助信息!E:J,6,FALSE)</f>
        <v>联系实际收货人（彭江涛13990276572）现场要求炉批号控制2个以下，超2个不给予签收。提前联系到场规格及数量</v>
      </c>
      <c r="O3520" s="55" t="str">
        <f ca="1" t="shared" si="192"/>
        <v/>
      </c>
      <c r="P3520" s="55" t="str">
        <f ca="1" t="shared" si="193"/>
        <v/>
      </c>
      <c r="Q3520" s="22" t="str">
        <f>VLOOKUP(B3520,辅助信息!E:M,9,FALSE)</f>
        <v>ZTWM-CDGS-XS-2025-0126-四川机司-乐山市校地共建产教融合基地配套设施项目施工二标段钢筋采购合同</v>
      </c>
      <c r="R3520" s="22" t="str">
        <f>_xlfn._xlws.FILTER(辅助信息!D:D,辅助信息!E:E=B3520)</f>
        <v>乐山市校地共建产教融合基地建设项目二标段</v>
      </c>
    </row>
    <row r="3521" hidden="1" spans="2:18">
      <c r="B3521" s="33" t="s">
        <v>186</v>
      </c>
      <c r="C3521" s="63">
        <v>45918</v>
      </c>
      <c r="D3521" s="33" t="str">
        <f>VLOOKUP(B3521,辅助信息!E:K,7,FALSE)</f>
        <v>JWDDCD2025072900123</v>
      </c>
      <c r="E3521" s="33" t="str">
        <f>VLOOKUP(F3521,辅助信息!A:B,2,FALSE)</f>
        <v>螺纹钢</v>
      </c>
      <c r="F3521" s="33" t="s">
        <v>141</v>
      </c>
      <c r="G3521" s="29">
        <v>16</v>
      </c>
      <c r="H3521" s="127"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33" t="str">
        <f>VLOOKUP(B3521,辅助信息!E:I,3,FALSE)</f>
        <v>(乐山市校地共建产教融合基地建设项目二标段)四川省乐山市市中区苏稽镇</v>
      </c>
      <c r="J3521" s="33" t="str">
        <f>VLOOKUP(B3521,辅助信息!E:I,4,FALSE)</f>
        <v>彭江涛</v>
      </c>
      <c r="K3521" s="33">
        <f>VLOOKUP(J3521,辅助信息!H:I,2,FALSE)</f>
        <v>13990276572</v>
      </c>
      <c r="L3521" s="102" t="str">
        <f>VLOOKUP(B3521,辅助信息!E:J,6,FALSE)</f>
        <v>联系实际收货人（彭江涛13990276572）现场要求炉批号控制2个以下，超2个不给予签收。提前联系到场规格及数量</v>
      </c>
      <c r="O3521" s="55" t="str">
        <f ca="1" t="shared" si="192"/>
        <v/>
      </c>
      <c r="P3521" s="55" t="str">
        <f ca="1" t="shared" si="193"/>
        <v/>
      </c>
      <c r="Q3521" s="22" t="str">
        <f>VLOOKUP(B3521,辅助信息!E:M,9,FALSE)</f>
        <v>ZTWM-CDGS-XS-2025-0126-四川机司-乐山市校地共建产教融合基地配套设施项目施工二标段钢筋采购合同</v>
      </c>
      <c r="R3521" s="22" t="str">
        <f>_xlfn._xlws.FILTER(辅助信息!D:D,辅助信息!E:E=B3521)</f>
        <v>乐山市校地共建产教融合基地建设项目二标段</v>
      </c>
    </row>
    <row r="3522" hidden="1" spans="2:18">
      <c r="B3522" s="33" t="s">
        <v>186</v>
      </c>
      <c r="C3522" s="63">
        <v>45918</v>
      </c>
      <c r="D3522" s="33" t="str">
        <f>VLOOKUP(B3522,辅助信息!E:K,7,FALSE)</f>
        <v>JWDDCD2025072900123</v>
      </c>
      <c r="E3522" s="33" t="str">
        <f>VLOOKUP(F3522,辅助信息!A:B,2,FALSE)</f>
        <v>螺纹钢</v>
      </c>
      <c r="F3522" s="33" t="s">
        <v>22</v>
      </c>
      <c r="G3522" s="29">
        <v>20</v>
      </c>
      <c r="H3522" s="127">
        <f>IF(SUMIFS('[1]2025年已发货'!$E:$E,'[1]2025年已发货'!$F:$F,C3522,'[1]2025年已发货'!$C:$C,F3522,'[1]2025年已发货'!$G:$G,I3522,'[1]2025年已发货'!$H:$H,J3522)=0,"未发货",SUMIFS('[1]2025年已发货'!$E:$E,'[1]2025年已发货'!$F:$F,C3522,'[1]2025年已发货'!$C:$C,F3522,'[1]2025年已发货'!$G:$G,I3522,'[1]2025年已发货'!$H:$H,J3522))</f>
        <v>20</v>
      </c>
      <c r="I3522" s="33" t="str">
        <f>VLOOKUP(B3522,辅助信息!E:I,3,FALSE)</f>
        <v>(乐山市校地共建产教融合基地建设项目二标段)四川省乐山市市中区苏稽镇</v>
      </c>
      <c r="J3522" s="33" t="str">
        <f>VLOOKUP(B3522,辅助信息!E:I,4,FALSE)</f>
        <v>彭江涛</v>
      </c>
      <c r="K3522" s="33">
        <f>VLOOKUP(J3522,辅助信息!H:I,2,FALSE)</f>
        <v>13990276572</v>
      </c>
      <c r="L3522" s="102" t="str">
        <f>VLOOKUP(B3522,辅助信息!E:J,6,FALSE)</f>
        <v>联系实际收货人（彭江涛13990276572）现场要求炉批号控制2个以下，超2个不给予签收。提前联系到场规格及数量</v>
      </c>
      <c r="O3522" s="55" t="str">
        <f ca="1" t="shared" si="192"/>
        <v/>
      </c>
      <c r="P3522" s="55" t="str">
        <f ca="1" t="shared" si="193"/>
        <v/>
      </c>
      <c r="Q3522" s="22" t="str">
        <f>VLOOKUP(B3522,辅助信息!E:M,9,FALSE)</f>
        <v>ZTWM-CDGS-XS-2025-0126-四川机司-乐山市校地共建产教融合基地配套设施项目施工二标段钢筋采购合同</v>
      </c>
      <c r="R3522" s="22" t="str">
        <f>_xlfn._xlws.FILTER(辅助信息!D:D,辅助信息!E:E=B3522)</f>
        <v>乐山市校地共建产教融合基地建设项目二标段</v>
      </c>
    </row>
    <row r="3523" hidden="1" spans="2:18">
      <c r="B3523" s="33" t="s">
        <v>186</v>
      </c>
      <c r="C3523" s="63">
        <v>45918</v>
      </c>
      <c r="D3523" s="33" t="str">
        <f>VLOOKUP(B3523,辅助信息!E:K,7,FALSE)</f>
        <v>JWDDCD2025072900123</v>
      </c>
      <c r="E3523" s="33" t="str">
        <f>VLOOKUP(F3523,辅助信息!A:B,2,FALSE)</f>
        <v>螺纹钢</v>
      </c>
      <c r="F3523" s="33" t="s">
        <v>142</v>
      </c>
      <c r="G3523" s="29">
        <v>60</v>
      </c>
      <c r="H3523" s="127"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33" t="str">
        <f>VLOOKUP(B3523,辅助信息!E:I,3,FALSE)</f>
        <v>(乐山市校地共建产教融合基地建设项目二标段)四川省乐山市市中区苏稽镇</v>
      </c>
      <c r="J3523" s="33" t="str">
        <f>VLOOKUP(B3523,辅助信息!E:I,4,FALSE)</f>
        <v>彭江涛</v>
      </c>
      <c r="K3523" s="33">
        <f>VLOOKUP(J3523,辅助信息!H:I,2,FALSE)</f>
        <v>13990276572</v>
      </c>
      <c r="L3523" s="102" t="str">
        <f>VLOOKUP(B3523,辅助信息!E:J,6,FALSE)</f>
        <v>联系实际收货人（彭江涛13990276572）现场要求炉批号控制2个以下，超2个不给予签收。提前联系到场规格及数量</v>
      </c>
      <c r="O3523" s="55" t="str">
        <f ca="1" t="shared" si="192"/>
        <v/>
      </c>
      <c r="P3523" s="55" t="str">
        <f ca="1" t="shared" si="193"/>
        <v/>
      </c>
      <c r="Q3523" s="22" t="str">
        <f>VLOOKUP(B3523,辅助信息!E:M,9,FALSE)</f>
        <v>ZTWM-CDGS-XS-2025-0126-四川机司-乐山市校地共建产教融合基地配套设施项目施工二标段钢筋采购合同</v>
      </c>
      <c r="R3523" s="22" t="str">
        <f>_xlfn._xlws.FILTER(辅助信息!D:D,辅助信息!E:E=B3523)</f>
        <v>乐山市校地共建产教融合基地建设项目二标段</v>
      </c>
    </row>
    <row r="3524" hidden="1" spans="2:18">
      <c r="B3524" s="33" t="s">
        <v>186</v>
      </c>
      <c r="C3524" s="63">
        <v>45918</v>
      </c>
      <c r="D3524" s="33" t="str">
        <f>VLOOKUP(B3524,辅助信息!E:K,7,FALSE)</f>
        <v>JWDDCD2025072900123</v>
      </c>
      <c r="E3524" s="33" t="str">
        <f>VLOOKUP(F3524,辅助信息!A:B,2,FALSE)</f>
        <v>盘螺</v>
      </c>
      <c r="F3524" s="33" t="s">
        <v>41</v>
      </c>
      <c r="G3524" s="29">
        <v>42</v>
      </c>
      <c r="H3524" s="127">
        <f>IF(SUMIFS('[1]2025年已发货'!$E:$E,'[1]2025年已发货'!$F:$F,C3524,'[1]2025年已发货'!$C:$C,F3524,'[1]2025年已发货'!$G:$G,I3524,'[1]2025年已发货'!$H:$H,J3524)=0,"未发货",SUMIFS('[1]2025年已发货'!$E:$E,'[1]2025年已发货'!$F:$F,C3524,'[1]2025年已发货'!$C:$C,F3524,'[1]2025年已发货'!$G:$G,I3524,'[1]2025年已发货'!$H:$H,J3524))</f>
        <v>39</v>
      </c>
      <c r="I3524" s="33" t="str">
        <f>VLOOKUP(B3524,辅助信息!E:I,3,FALSE)</f>
        <v>(乐山市校地共建产教融合基地建设项目二标段)四川省乐山市市中区苏稽镇</v>
      </c>
      <c r="J3524" s="33" t="str">
        <f>VLOOKUP(B3524,辅助信息!E:I,4,FALSE)</f>
        <v>彭江涛</v>
      </c>
      <c r="K3524" s="33">
        <f>VLOOKUP(J3524,辅助信息!H:I,2,FALSE)</f>
        <v>13990276572</v>
      </c>
      <c r="L3524" s="102" t="str">
        <f>VLOOKUP(B3524,辅助信息!E:J,6,FALSE)</f>
        <v>联系实际收货人（彭江涛13990276572）现场要求炉批号控制2个以下，超2个不给予签收。提前联系到场规格及数量</v>
      </c>
      <c r="O3524" s="55" t="str">
        <f ca="1" t="shared" si="192"/>
        <v/>
      </c>
      <c r="P3524" s="55" t="str">
        <f ca="1" t="shared" si="193"/>
        <v/>
      </c>
      <c r="Q3524" s="22" t="str">
        <f>VLOOKUP(B3524,辅助信息!E:M,9,FALSE)</f>
        <v>ZTWM-CDGS-XS-2025-0126-四川机司-乐山市校地共建产教融合基地配套设施项目施工二标段钢筋采购合同</v>
      </c>
      <c r="R3524" s="22" t="str">
        <f>_xlfn._xlws.FILTER(辅助信息!D:D,辅助信息!E:E=B3524)</f>
        <v>乐山市校地共建产教融合基地建设项目二标段</v>
      </c>
    </row>
    <row r="3525" hidden="1" spans="2:18">
      <c r="B3525" s="33" t="s">
        <v>186</v>
      </c>
      <c r="C3525" s="63">
        <v>45918</v>
      </c>
      <c r="D3525" s="33" t="str">
        <f>VLOOKUP(B3525,辅助信息!E:K,7,FALSE)</f>
        <v>JWDDCD2025072900123</v>
      </c>
      <c r="E3525" s="33" t="str">
        <f>VLOOKUP(F3525,辅助信息!A:B,2,FALSE)</f>
        <v>盘螺</v>
      </c>
      <c r="F3525" s="33" t="s">
        <v>26</v>
      </c>
      <c r="G3525" s="29">
        <v>15</v>
      </c>
      <c r="H3525" s="127">
        <f>IF(SUMIFS('[1]2025年已发货'!$E:$E,'[1]2025年已发货'!$F:$F,C3525,'[1]2025年已发货'!$C:$C,F3525,'[1]2025年已发货'!$G:$G,I3525,'[1]2025年已发货'!$H:$H,J3525)=0,"未发货",SUMIFS('[1]2025年已发货'!$E:$E,'[1]2025年已发货'!$F:$F,C3525,'[1]2025年已发货'!$C:$C,F3525,'[1]2025年已发货'!$G:$G,I3525,'[1]2025年已发货'!$H:$H,J3525))</f>
        <v>5</v>
      </c>
      <c r="I3525" s="33" t="str">
        <f>VLOOKUP(B3525,辅助信息!E:I,3,FALSE)</f>
        <v>(乐山市校地共建产教融合基地建设项目二标段)四川省乐山市市中区苏稽镇</v>
      </c>
      <c r="J3525" s="33" t="str">
        <f>VLOOKUP(B3525,辅助信息!E:I,4,FALSE)</f>
        <v>彭江涛</v>
      </c>
      <c r="K3525" s="33">
        <f>VLOOKUP(J3525,辅助信息!H:I,2,FALSE)</f>
        <v>13990276572</v>
      </c>
      <c r="L3525" s="102" t="str">
        <f>VLOOKUP(B3525,辅助信息!E:J,6,FALSE)</f>
        <v>联系实际收货人（彭江涛13990276572）现场要求炉批号控制2个以下，超2个不给予签收。提前联系到场规格及数量</v>
      </c>
      <c r="O3525" s="55" t="str">
        <f ca="1" t="shared" si="192"/>
        <v/>
      </c>
      <c r="P3525" s="55" t="str">
        <f ca="1" t="shared" si="193"/>
        <v/>
      </c>
      <c r="Q3525" s="22" t="str">
        <f>VLOOKUP(B3525,辅助信息!E:M,9,FALSE)</f>
        <v>ZTWM-CDGS-XS-2025-0126-四川机司-乐山市校地共建产教融合基地配套设施项目施工二标段钢筋采购合同</v>
      </c>
      <c r="R3525" s="22" t="str">
        <f>_xlfn._xlws.FILTER(辅助信息!D:D,辅助信息!E:E=B3525)</f>
        <v>乐山市校地共建产教融合基地建设项目二标段</v>
      </c>
    </row>
    <row r="3526" hidden="1" spans="2:18">
      <c r="B3526" s="33" t="s">
        <v>186</v>
      </c>
      <c r="C3526" s="63">
        <v>45918</v>
      </c>
      <c r="D3526" s="33" t="str">
        <f>VLOOKUP(B3526,辅助信息!E:K,7,FALSE)</f>
        <v>JWDDCD2025072900123</v>
      </c>
      <c r="E3526" s="33" t="str">
        <f>VLOOKUP(F3526,辅助信息!A:B,2,FALSE)</f>
        <v>盘螺</v>
      </c>
      <c r="F3526" s="33" t="s">
        <v>49</v>
      </c>
      <c r="G3526" s="29">
        <v>5</v>
      </c>
      <c r="H3526" s="127"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33" t="str">
        <f>VLOOKUP(B3526,辅助信息!E:I,3,FALSE)</f>
        <v>(乐山市校地共建产教融合基地建设项目二标段)四川省乐山市市中区苏稽镇</v>
      </c>
      <c r="J3526" s="33" t="str">
        <f>VLOOKUP(B3526,辅助信息!E:I,4,FALSE)</f>
        <v>彭江涛</v>
      </c>
      <c r="K3526" s="33">
        <f>VLOOKUP(J3526,辅助信息!H:I,2,FALSE)</f>
        <v>13990276572</v>
      </c>
      <c r="L3526" s="102" t="str">
        <f>VLOOKUP(B3526,辅助信息!E:J,6,FALSE)</f>
        <v>联系实际收货人（彭江涛13990276572）现场要求炉批号控制2个以下，超2个不给予签收。提前联系到场规格及数量</v>
      </c>
      <c r="O3526" s="55" t="str">
        <f ca="1" t="shared" si="192"/>
        <v/>
      </c>
      <c r="P3526" s="55" t="str">
        <f ca="1" t="shared" si="193"/>
        <v/>
      </c>
      <c r="Q3526" s="22" t="str">
        <f>VLOOKUP(B3526,辅助信息!E:M,9,FALSE)</f>
        <v>ZTWM-CDGS-XS-2025-0126-四川机司-乐山市校地共建产教融合基地配套设施项目施工二标段钢筋采购合同</v>
      </c>
      <c r="R3526" s="22" t="str">
        <f>_xlfn._xlws.FILTER(辅助信息!D:D,辅助信息!E:E=B3526)</f>
        <v>乐山市校地共建产教融合基地建设项目二标段</v>
      </c>
    </row>
    <row r="3527" hidden="1" spans="2:18">
      <c r="B3527" s="33" t="s">
        <v>186</v>
      </c>
      <c r="C3527" s="63">
        <v>45918</v>
      </c>
      <c r="D3527" s="33" t="str">
        <f>VLOOKUP(B3527,辅助信息!E:K,7,FALSE)</f>
        <v>JWDDCD2025072900123</v>
      </c>
      <c r="E3527" s="33" t="str">
        <f>VLOOKUP(F3527,辅助信息!A:B,2,FALSE)</f>
        <v>盘螺</v>
      </c>
      <c r="F3527" s="33" t="s">
        <v>40</v>
      </c>
      <c r="G3527" s="29">
        <v>32</v>
      </c>
      <c r="H3527" s="127">
        <f>IF(SUMIFS('[1]2025年已发货'!$E:$E,'[1]2025年已发货'!$F:$F,C3527,'[1]2025年已发货'!$C:$C,F3527,'[1]2025年已发货'!$G:$G,I3527,'[1]2025年已发货'!$H:$H,J3527)=0,"未发货",SUMIFS('[1]2025年已发货'!$E:$E,'[1]2025年已发货'!$F:$F,C3527,'[1]2025年已发货'!$C:$C,F3527,'[1]2025年已发货'!$G:$G,I3527,'[1]2025年已发货'!$H:$H,J3527))</f>
        <v>32</v>
      </c>
      <c r="I3527" s="33" t="str">
        <f>VLOOKUP(B3527,辅助信息!E:I,3,FALSE)</f>
        <v>(乐山市校地共建产教融合基地建设项目二标段)四川省乐山市市中区苏稽镇</v>
      </c>
      <c r="J3527" s="33" t="str">
        <f>VLOOKUP(B3527,辅助信息!E:I,4,FALSE)</f>
        <v>彭江涛</v>
      </c>
      <c r="K3527" s="33">
        <f>VLOOKUP(J3527,辅助信息!H:I,2,FALSE)</f>
        <v>13990276572</v>
      </c>
      <c r="L3527" s="102" t="str">
        <f>VLOOKUP(B3527,辅助信息!E:J,6,FALSE)</f>
        <v>联系实际收货人（彭江涛13990276572）现场要求炉批号控制2个以下，超2个不给予签收。提前联系到场规格及数量</v>
      </c>
      <c r="O3527" s="55" t="str">
        <f ca="1" t="shared" si="192"/>
        <v/>
      </c>
      <c r="P3527" s="55" t="str">
        <f ca="1" t="shared" si="193"/>
        <v/>
      </c>
      <c r="Q3527" s="22" t="str">
        <f>VLOOKUP(B3527,辅助信息!E:M,9,FALSE)</f>
        <v>ZTWM-CDGS-XS-2025-0126-四川机司-乐山市校地共建产教融合基地配套设施项目施工二标段钢筋采购合同</v>
      </c>
      <c r="R3527" s="22" t="str">
        <f>_xlfn._xlws.FILTER(辅助信息!D:D,辅助信息!E:E=B3527)</f>
        <v>乐山市校地共建产教融合基地建设项目二标段</v>
      </c>
    </row>
    <row r="3528" hidden="1" spans="2:18">
      <c r="B3528" s="113" t="s">
        <v>163</v>
      </c>
      <c r="C3528" s="63">
        <v>45919</v>
      </c>
      <c r="D3528" s="113" t="str">
        <f>VLOOKUP(B3528,辅助信息!E:K,7,FALSE)</f>
        <v>JWDDCD2025052800131</v>
      </c>
      <c r="E3528" s="113" t="str">
        <f>VLOOKUP(F3528,辅助信息!A:B,2,FALSE)</f>
        <v>盘螺</v>
      </c>
      <c r="F3528" s="113" t="s">
        <v>49</v>
      </c>
      <c r="G3528" s="114">
        <v>6</v>
      </c>
      <c r="H3528" s="127">
        <f>IF(SUMIFS('[1]2025年已发货'!$E:$E,'[1]2025年已发货'!$F:$F,C3528,'[1]2025年已发货'!$C:$C,F3528,'[1]2025年已发货'!$G:$G,I3528,'[1]2025年已发货'!$H:$H,J3528)=0,"未发货",SUMIFS('[1]2025年已发货'!$E:$E,'[1]2025年已发货'!$F:$F,C3528,'[1]2025年已发货'!$C:$C,F3528,'[1]2025年已发货'!$G:$G,I3528,'[1]2025年已发货'!$H:$H,J3528))</f>
        <v>5</v>
      </c>
      <c r="I3528" s="113" t="str">
        <f>VLOOKUP(B3528,辅助信息!E:I,3,FALSE)</f>
        <v>（商投建工达州中医药科技园-4工区-9号楼）达州市通川区达州中医药职业学院犀牛大道北段</v>
      </c>
      <c r="J3528" s="113" t="str">
        <f>VLOOKUP(B3528,辅助信息!E:I,4,FALSE)</f>
        <v>张扬</v>
      </c>
      <c r="K3528" s="113">
        <f>VLOOKUP(J3528,辅助信息!H:I,2,FALSE)</f>
        <v>18381904567</v>
      </c>
      <c r="L3528" s="115" t="str">
        <f>VLOOKUP(B3528,辅助信息!E:J,6,FALSE)</f>
        <v>控制炉批号！多了现场不收！,优先安排达钢,提前联系到场规格及数量</v>
      </c>
      <c r="M3528" s="84">
        <v>45918</v>
      </c>
      <c r="O3528" s="55">
        <f ca="1" t="shared" si="192"/>
        <v>0</v>
      </c>
      <c r="P3528" s="55">
        <f ca="1" t="shared" si="193"/>
        <v>39</v>
      </c>
      <c r="Q3528" s="22" t="str">
        <f>VLOOKUP(B3528,辅助信息!E:M,9,FALSE)</f>
        <v>ZTWM-CDGS-XS-2024-0134-商投建工达州中医药科技成果示范园项目</v>
      </c>
      <c r="R3528" s="22" t="str">
        <f>_xlfn._xlws.FILTER(辅助信息!D:D,辅助信息!E:E=B3528)</f>
        <v>商投建工达州中医药科技园</v>
      </c>
    </row>
    <row r="3529" hidden="1" spans="2:18">
      <c r="B3529" s="113" t="s">
        <v>163</v>
      </c>
      <c r="C3529" s="63">
        <v>45919</v>
      </c>
      <c r="D3529" s="113" t="str">
        <f>VLOOKUP(B3529,辅助信息!E:K,7,FALSE)</f>
        <v>JWDDCD2025052800131</v>
      </c>
      <c r="E3529" s="113" t="str">
        <f>VLOOKUP(F3529,辅助信息!A:B,2,FALSE)</f>
        <v>盘螺</v>
      </c>
      <c r="F3529" s="113" t="s">
        <v>40</v>
      </c>
      <c r="G3529" s="114">
        <v>12</v>
      </c>
      <c r="H3529" s="127">
        <f>IF(SUMIFS('[1]2025年已发货'!$E:$E,'[1]2025年已发货'!$F:$F,C3529,'[1]2025年已发货'!$C:$C,F3529,'[1]2025年已发货'!$G:$G,I3529,'[1]2025年已发货'!$H:$H,J3529)=0,"未发货",SUMIFS('[1]2025年已发货'!$E:$E,'[1]2025年已发货'!$F:$F,C3529,'[1]2025年已发货'!$C:$C,F3529,'[1]2025年已发货'!$G:$G,I3529,'[1]2025年已发货'!$H:$H,J3529))</f>
        <v>12</v>
      </c>
      <c r="I3529" s="113" t="str">
        <f>VLOOKUP(B3529,辅助信息!E:I,3,FALSE)</f>
        <v>（商投建工达州中医药科技园-4工区-9号楼）达州市通川区达州中医药职业学院犀牛大道北段</v>
      </c>
      <c r="J3529" s="113" t="str">
        <f>VLOOKUP(B3529,辅助信息!E:I,4,FALSE)</f>
        <v>张扬</v>
      </c>
      <c r="K3529" s="113">
        <f>VLOOKUP(J3529,辅助信息!H:I,2,FALSE)</f>
        <v>18381904567</v>
      </c>
      <c r="L3529" s="115" t="str">
        <f>VLOOKUP(B3529,辅助信息!E:J,6,FALSE)</f>
        <v>控制炉批号！多了现场不收！,优先安排达钢,提前联系到场规格及数量</v>
      </c>
      <c r="M3529" s="84">
        <v>45918</v>
      </c>
      <c r="O3529" s="55">
        <f ca="1" t="shared" si="192"/>
        <v>0</v>
      </c>
      <c r="P3529" s="55">
        <f ca="1" t="shared" si="193"/>
        <v>39</v>
      </c>
      <c r="Q3529" s="22" t="str">
        <f>VLOOKUP(B3529,辅助信息!E:M,9,FALSE)</f>
        <v>ZTWM-CDGS-XS-2024-0134-商投建工达州中医药科技成果示范园项目</v>
      </c>
      <c r="R3529" s="22" t="str">
        <f>_xlfn._xlws.FILTER(辅助信息!D:D,辅助信息!E:E=B3529)</f>
        <v>商投建工达州中医药科技园</v>
      </c>
    </row>
    <row r="3530" hidden="1" spans="2:18">
      <c r="B3530" s="113" t="s">
        <v>163</v>
      </c>
      <c r="C3530" s="63">
        <v>45919</v>
      </c>
      <c r="D3530" s="113" t="str">
        <f>VLOOKUP(B3530,辅助信息!E:K,7,FALSE)</f>
        <v>JWDDCD2025052800131</v>
      </c>
      <c r="E3530" s="113" t="str">
        <f>VLOOKUP(F3530,辅助信息!A:B,2,FALSE)</f>
        <v>盘螺</v>
      </c>
      <c r="F3530" s="113" t="s">
        <v>41</v>
      </c>
      <c r="G3530" s="114">
        <v>12</v>
      </c>
      <c r="H3530" s="127"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13" t="str">
        <f>VLOOKUP(B3530,辅助信息!E:I,3,FALSE)</f>
        <v>（商投建工达州中医药科技园-4工区-9号楼）达州市通川区达州中医药职业学院犀牛大道北段</v>
      </c>
      <c r="J3530" s="113" t="str">
        <f>VLOOKUP(B3530,辅助信息!E:I,4,FALSE)</f>
        <v>张扬</v>
      </c>
      <c r="K3530" s="113">
        <f>VLOOKUP(J3530,辅助信息!H:I,2,FALSE)</f>
        <v>18381904567</v>
      </c>
      <c r="L3530" s="115" t="str">
        <f>VLOOKUP(B3530,辅助信息!E:J,6,FALSE)</f>
        <v>控制炉批号！多了现场不收！,优先安排达钢,提前联系到场规格及数量</v>
      </c>
      <c r="M3530" s="84">
        <v>45918</v>
      </c>
      <c r="O3530" s="55">
        <f ca="1" t="shared" si="192"/>
        <v>0</v>
      </c>
      <c r="P3530" s="55">
        <f ca="1" t="shared" si="193"/>
        <v>39</v>
      </c>
      <c r="Q3530" s="22" t="str">
        <f>VLOOKUP(B3530,辅助信息!E:M,9,FALSE)</f>
        <v>ZTWM-CDGS-XS-2024-0134-商投建工达州中医药科技成果示范园项目</v>
      </c>
      <c r="R3530" s="22" t="str">
        <f>_xlfn._xlws.FILTER(辅助信息!D:D,辅助信息!E:E=B3530)</f>
        <v>商投建工达州中医药科技园</v>
      </c>
    </row>
    <row r="3531" hidden="1" spans="2:18">
      <c r="B3531" s="113" t="s">
        <v>163</v>
      </c>
      <c r="C3531" s="63">
        <v>45919</v>
      </c>
      <c r="D3531" s="113" t="str">
        <f>VLOOKUP(B3531,辅助信息!E:K,7,FALSE)</f>
        <v>JWDDCD2025052800131</v>
      </c>
      <c r="E3531" s="113" t="str">
        <f>VLOOKUP(F3531,辅助信息!A:B,2,FALSE)</f>
        <v>螺纹钢</v>
      </c>
      <c r="F3531" s="113" t="s">
        <v>33</v>
      </c>
      <c r="G3531" s="114">
        <v>6</v>
      </c>
      <c r="H3531" s="127"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13" t="str">
        <f>VLOOKUP(B3531,辅助信息!E:I,3,FALSE)</f>
        <v>（商投建工达州中医药科技园-4工区-9号楼）达州市通川区达州中医药职业学院犀牛大道北段</v>
      </c>
      <c r="J3531" s="113" t="str">
        <f>VLOOKUP(B3531,辅助信息!E:I,4,FALSE)</f>
        <v>张扬</v>
      </c>
      <c r="K3531" s="113">
        <f>VLOOKUP(J3531,辅助信息!H:I,2,FALSE)</f>
        <v>18381904567</v>
      </c>
      <c r="L3531" s="115" t="str">
        <f>VLOOKUP(B3531,辅助信息!E:J,6,FALSE)</f>
        <v>控制炉批号！多了现场不收！,优先安排达钢,提前联系到场规格及数量</v>
      </c>
      <c r="M3531" s="84">
        <v>45918</v>
      </c>
      <c r="O3531" s="55">
        <f ca="1" t="shared" si="192"/>
        <v>0</v>
      </c>
      <c r="P3531" s="55">
        <f ca="1" t="shared" si="193"/>
        <v>39</v>
      </c>
      <c r="Q3531" s="22" t="str">
        <f>VLOOKUP(B3531,辅助信息!E:M,9,FALSE)</f>
        <v>ZTWM-CDGS-XS-2024-0134-商投建工达州中医药科技成果示范园项目</v>
      </c>
      <c r="R3531" s="22" t="str">
        <f>_xlfn._xlws.FILTER(辅助信息!D:D,辅助信息!E:E=B3531)</f>
        <v>商投建工达州中医药科技园</v>
      </c>
    </row>
    <row r="3532" hidden="1" spans="2:18">
      <c r="B3532" s="113" t="s">
        <v>163</v>
      </c>
      <c r="C3532" s="63">
        <v>45919</v>
      </c>
      <c r="D3532" s="113" t="str">
        <f>VLOOKUP(B3532,辅助信息!E:K,7,FALSE)</f>
        <v>JWDDCD2025052800131</v>
      </c>
      <c r="E3532" s="113" t="str">
        <f>VLOOKUP(F3532,辅助信息!A:B,2,FALSE)</f>
        <v>螺纹钢</v>
      </c>
      <c r="F3532" s="113" t="s">
        <v>66</v>
      </c>
      <c r="G3532" s="114">
        <v>18</v>
      </c>
      <c r="H3532" s="127">
        <f>IF(SUMIFS('[1]2025年已发货'!$E:$E,'[1]2025年已发货'!$F:$F,C3532,'[1]2025年已发货'!$C:$C,F3532,'[1]2025年已发货'!$G:$G,I3532,'[1]2025年已发货'!$H:$H,J3532)=0,"未发货",SUMIFS('[1]2025年已发货'!$E:$E,'[1]2025年已发货'!$F:$F,C3532,'[1]2025年已发货'!$C:$C,F3532,'[1]2025年已发货'!$G:$G,I3532,'[1]2025年已发货'!$H:$H,J3532))</f>
        <v>18</v>
      </c>
      <c r="I3532" s="113" t="str">
        <f>VLOOKUP(B3532,辅助信息!E:I,3,FALSE)</f>
        <v>（商投建工达州中医药科技园-4工区-9号楼）达州市通川区达州中医药职业学院犀牛大道北段</v>
      </c>
      <c r="J3532" s="113" t="str">
        <f>VLOOKUP(B3532,辅助信息!E:I,4,FALSE)</f>
        <v>张扬</v>
      </c>
      <c r="K3532" s="113">
        <f>VLOOKUP(J3532,辅助信息!H:I,2,FALSE)</f>
        <v>18381904567</v>
      </c>
      <c r="L3532" s="115" t="str">
        <f>VLOOKUP(B3532,辅助信息!E:J,6,FALSE)</f>
        <v>控制炉批号！多了现场不收！,优先安排达钢,提前联系到场规格及数量</v>
      </c>
      <c r="M3532" s="84">
        <v>45918</v>
      </c>
      <c r="O3532" s="55">
        <f ca="1" t="shared" si="192"/>
        <v>0</v>
      </c>
      <c r="P3532" s="55">
        <f ca="1" t="shared" si="193"/>
        <v>39</v>
      </c>
      <c r="Q3532" s="22" t="str">
        <f>VLOOKUP(B3532,辅助信息!E:M,9,FALSE)</f>
        <v>ZTWM-CDGS-XS-2024-0134-商投建工达州中医药科技成果示范园项目</v>
      </c>
      <c r="R3532" s="22" t="str">
        <f>_xlfn._xlws.FILTER(辅助信息!D:D,辅助信息!E:E=B3532)</f>
        <v>商投建工达州中医药科技园</v>
      </c>
    </row>
    <row r="3533" hidden="1" spans="2:18">
      <c r="B3533" s="113" t="s">
        <v>163</v>
      </c>
      <c r="C3533" s="63">
        <v>45919</v>
      </c>
      <c r="D3533" s="113" t="str">
        <f>VLOOKUP(B3533,辅助信息!E:K,7,FALSE)</f>
        <v>JWDDCD2025052800131</v>
      </c>
      <c r="E3533" s="113" t="str">
        <f>VLOOKUP(F3533,辅助信息!A:B,2,FALSE)</f>
        <v>螺纹钢</v>
      </c>
      <c r="F3533" s="113" t="s">
        <v>58</v>
      </c>
      <c r="G3533" s="114">
        <v>15</v>
      </c>
      <c r="H3533" s="127">
        <f>IF(SUMIFS('[1]2025年已发货'!$E:$E,'[1]2025年已发货'!$F:$F,C3533,'[1]2025年已发货'!$C:$C,F3533,'[1]2025年已发货'!$G:$G,I3533,'[1]2025年已发货'!$H:$H,J3533)=0,"未发货",SUMIFS('[1]2025年已发货'!$E:$E,'[1]2025年已发货'!$F:$F,C3533,'[1]2025年已发货'!$C:$C,F3533,'[1]2025年已发货'!$G:$G,I3533,'[1]2025年已发货'!$H:$H,J3533))</f>
        <v>15</v>
      </c>
      <c r="I3533" s="113" t="str">
        <f>VLOOKUP(B3533,辅助信息!E:I,3,FALSE)</f>
        <v>（商投建工达州中医药科技园-4工区-9号楼）达州市通川区达州中医药职业学院犀牛大道北段</v>
      </c>
      <c r="J3533" s="113" t="str">
        <f>VLOOKUP(B3533,辅助信息!E:I,4,FALSE)</f>
        <v>张扬</v>
      </c>
      <c r="K3533" s="113">
        <f>VLOOKUP(J3533,辅助信息!H:I,2,FALSE)</f>
        <v>18381904567</v>
      </c>
      <c r="L3533" s="115" t="str">
        <f>VLOOKUP(B3533,辅助信息!E:J,6,FALSE)</f>
        <v>控制炉批号！多了现场不收！,优先安排达钢,提前联系到场规格及数量</v>
      </c>
      <c r="M3533" s="84">
        <v>45918</v>
      </c>
      <c r="O3533" s="55">
        <f ca="1" t="shared" si="192"/>
        <v>0</v>
      </c>
      <c r="P3533" s="55">
        <f ca="1" t="shared" si="193"/>
        <v>39</v>
      </c>
      <c r="Q3533" s="22" t="str">
        <f>VLOOKUP(B3533,辅助信息!E:M,9,FALSE)</f>
        <v>ZTWM-CDGS-XS-2024-0134-商投建工达州中医药科技成果示范园项目</v>
      </c>
      <c r="R3533" s="22" t="str">
        <f>_xlfn._xlws.FILTER(辅助信息!D:D,辅助信息!E:E=B3533)</f>
        <v>商投建工达州中医药科技园</v>
      </c>
    </row>
    <row r="3534" hidden="1" spans="2:18">
      <c r="B3534" s="113" t="s">
        <v>176</v>
      </c>
      <c r="C3534" s="63">
        <v>45919</v>
      </c>
      <c r="D3534" s="113" t="str">
        <f>VLOOKUP(B3534,辅助信息!E:K,7,FALSE)</f>
        <v>JWDDCD2025062200016</v>
      </c>
      <c r="E3534" s="113" t="str">
        <f>VLOOKUP(F3534,辅助信息!A:B,2,FALSE)</f>
        <v>盘螺</v>
      </c>
      <c r="F3534" s="113" t="s">
        <v>40</v>
      </c>
      <c r="G3534" s="114">
        <v>5</v>
      </c>
      <c r="H3534" s="127"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13" t="str">
        <f>VLOOKUP(B3534,辅助信息!E:I,3,FALSE)</f>
        <v>(武汉电气化局成达万高铁强电项目-渠县)四川省达州市渠县渠北镇雷家湾渠县北站旁</v>
      </c>
      <c r="J3534" s="113" t="str">
        <f>VLOOKUP(B3534,辅助信息!E:I,4,FALSE)</f>
        <v>刘频</v>
      </c>
      <c r="K3534" s="113">
        <f>VLOOKUP(J3534,辅助信息!H:I,2,FALSE)</f>
        <v>18779627939</v>
      </c>
      <c r="L3534" s="115" t="str">
        <f>VLOOKUP(B3534,辅助信息!E:J,6,FALSE)</f>
        <v>锈货不收！！下雨天钢筋没盖篷布不收！！，装货前联系收货人核实到场规格,没提前告知进场规格现场不给予接收</v>
      </c>
      <c r="M3534" s="84">
        <v>45918</v>
      </c>
      <c r="O3534" s="55">
        <f ca="1" t="shared" si="192"/>
        <v>0</v>
      </c>
      <c r="P3534" s="55">
        <f ca="1" t="shared" si="193"/>
        <v>39</v>
      </c>
      <c r="Q3534" s="22" t="str">
        <f>VLOOKUP(B3534,辅助信息!E:M,9,FALSE)</f>
        <v>ZTWM-CDGS-XS-2025-0033-中铁武汉电气化局集团有限公司成达万高速铁路强电工程项目</v>
      </c>
      <c r="R3534" s="22" t="str">
        <f>_xlfn._xlws.FILTER(辅助信息!D:D,辅助信息!E:E=B3534)</f>
        <v>武汉电气化局成达万高铁强电项目</v>
      </c>
    </row>
    <row r="3535" hidden="1" spans="2:18">
      <c r="B3535" s="113" t="s">
        <v>176</v>
      </c>
      <c r="C3535" s="63">
        <v>45919</v>
      </c>
      <c r="D3535" s="113" t="str">
        <f>VLOOKUP(B3535,辅助信息!E:K,7,FALSE)</f>
        <v>JWDDCD2025062200016</v>
      </c>
      <c r="E3535" s="113" t="str">
        <f>VLOOKUP(F3535,辅助信息!A:B,2,FALSE)</f>
        <v>螺纹钢</v>
      </c>
      <c r="F3535" s="113" t="s">
        <v>30</v>
      </c>
      <c r="G3535" s="114">
        <v>9</v>
      </c>
      <c r="H3535" s="127"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13" t="str">
        <f>VLOOKUP(B3535,辅助信息!E:I,3,FALSE)</f>
        <v>(武汉电气化局成达万高铁强电项目-渠县)四川省达州市渠县渠北镇雷家湾渠县北站旁</v>
      </c>
      <c r="J3535" s="113" t="str">
        <f>VLOOKUP(B3535,辅助信息!E:I,4,FALSE)</f>
        <v>刘频</v>
      </c>
      <c r="K3535" s="113">
        <f>VLOOKUP(J3535,辅助信息!H:I,2,FALSE)</f>
        <v>18779627939</v>
      </c>
      <c r="L3535" s="115" t="str">
        <f>VLOOKUP(B3535,辅助信息!E:J,6,FALSE)</f>
        <v>锈货不收！！下雨天钢筋没盖篷布不收！！，装货前联系收货人核实到场规格,没提前告知进场规格现场不给予接收</v>
      </c>
      <c r="M3535" s="84">
        <v>45918</v>
      </c>
      <c r="O3535" s="55">
        <f ca="1" t="shared" si="192"/>
        <v>0</v>
      </c>
      <c r="P3535" s="55">
        <f ca="1" t="shared" si="193"/>
        <v>39</v>
      </c>
      <c r="Q3535" s="22" t="str">
        <f>VLOOKUP(B3535,辅助信息!E:M,9,FALSE)</f>
        <v>ZTWM-CDGS-XS-2025-0033-中铁武汉电气化局集团有限公司成达万高速铁路强电工程项目</v>
      </c>
      <c r="R3535" s="22" t="str">
        <f>_xlfn._xlws.FILTER(辅助信息!D:D,辅助信息!E:E=B3535)</f>
        <v>武汉电气化局成达万高铁强电项目</v>
      </c>
    </row>
    <row r="3536" hidden="1" spans="2:18">
      <c r="B3536" s="113" t="s">
        <v>176</v>
      </c>
      <c r="C3536" s="63">
        <v>45919</v>
      </c>
      <c r="D3536" s="113" t="str">
        <f>VLOOKUP(B3536,辅助信息!E:K,7,FALSE)</f>
        <v>JWDDCD2025062200016</v>
      </c>
      <c r="E3536" s="113" t="str">
        <f>VLOOKUP(F3536,辅助信息!A:B,2,FALSE)</f>
        <v>螺纹钢</v>
      </c>
      <c r="F3536" s="113" t="s">
        <v>90</v>
      </c>
      <c r="G3536" s="114">
        <v>12</v>
      </c>
      <c r="H3536" s="127"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13" t="str">
        <f>VLOOKUP(B3536,辅助信息!E:I,3,FALSE)</f>
        <v>(武汉电气化局成达万高铁强电项目-渠县)四川省达州市渠县渠北镇雷家湾渠县北站旁</v>
      </c>
      <c r="J3536" s="113" t="str">
        <f>VLOOKUP(B3536,辅助信息!E:I,4,FALSE)</f>
        <v>刘频</v>
      </c>
      <c r="K3536" s="113">
        <f>VLOOKUP(J3536,辅助信息!H:I,2,FALSE)</f>
        <v>18779627939</v>
      </c>
      <c r="L3536" s="115" t="str">
        <f>VLOOKUP(B3536,辅助信息!E:J,6,FALSE)</f>
        <v>锈货不收！！下雨天钢筋没盖篷布不收！！，装货前联系收货人核实到场规格,没提前告知进场规格现场不给予接收</v>
      </c>
      <c r="M3536" s="84">
        <v>45918</v>
      </c>
      <c r="O3536" s="55">
        <f ca="1" t="shared" si="192"/>
        <v>0</v>
      </c>
      <c r="P3536" s="55">
        <f ca="1" t="shared" si="193"/>
        <v>39</v>
      </c>
      <c r="Q3536" s="22" t="str">
        <f>VLOOKUP(B3536,辅助信息!E:M,9,FALSE)</f>
        <v>ZTWM-CDGS-XS-2025-0033-中铁武汉电气化局集团有限公司成达万高速铁路强电工程项目</v>
      </c>
      <c r="R3536" s="22" t="str">
        <f>_xlfn._xlws.FILTER(辅助信息!D:D,辅助信息!E:E=B3536)</f>
        <v>武汉电气化局成达万高铁强电项目</v>
      </c>
    </row>
    <row r="3537" hidden="1" spans="2:18">
      <c r="B3537" s="113" t="s">
        <v>176</v>
      </c>
      <c r="C3537" s="63">
        <v>45919</v>
      </c>
      <c r="D3537" s="113" t="str">
        <f>VLOOKUP(B3537,辅助信息!E:K,7,FALSE)</f>
        <v>JWDDCD2025062200016</v>
      </c>
      <c r="E3537" s="113" t="str">
        <f>VLOOKUP(F3537,辅助信息!A:B,2,FALSE)</f>
        <v>螺纹钢</v>
      </c>
      <c r="F3537" s="113" t="s">
        <v>133</v>
      </c>
      <c r="G3537" s="114">
        <v>9</v>
      </c>
      <c r="H3537" s="127"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13" t="str">
        <f>VLOOKUP(B3537,辅助信息!E:I,3,FALSE)</f>
        <v>(武汉电气化局成达万高铁强电项目-渠县)四川省达州市渠县渠北镇雷家湾渠县北站旁</v>
      </c>
      <c r="J3537" s="113" t="str">
        <f>VLOOKUP(B3537,辅助信息!E:I,4,FALSE)</f>
        <v>刘频</v>
      </c>
      <c r="K3537" s="113">
        <f>VLOOKUP(J3537,辅助信息!H:I,2,FALSE)</f>
        <v>18779627939</v>
      </c>
      <c r="L3537" s="115" t="str">
        <f>VLOOKUP(B3537,辅助信息!E:J,6,FALSE)</f>
        <v>锈货不收！！下雨天钢筋没盖篷布不收！！，装货前联系收货人核实到场规格,没提前告知进场规格现场不给予接收</v>
      </c>
      <c r="M3537" s="84">
        <v>45918</v>
      </c>
      <c r="O3537" s="55">
        <f ca="1" t="shared" si="192"/>
        <v>0</v>
      </c>
      <c r="P3537" s="55">
        <f ca="1" t="shared" si="193"/>
        <v>39</v>
      </c>
      <c r="Q3537" s="22" t="str">
        <f>VLOOKUP(B3537,辅助信息!E:M,9,FALSE)</f>
        <v>ZTWM-CDGS-XS-2025-0033-中铁武汉电气化局集团有限公司成达万高速铁路强电工程项目</v>
      </c>
      <c r="R3537" s="22" t="str">
        <f>_xlfn._xlws.FILTER(辅助信息!D:D,辅助信息!E:E=B3537)</f>
        <v>武汉电气化局成达万高铁强电项目</v>
      </c>
    </row>
    <row r="3538" hidden="1" spans="2:18">
      <c r="B3538" s="113" t="s">
        <v>112</v>
      </c>
      <c r="C3538" s="63">
        <v>45919</v>
      </c>
      <c r="D3538" s="113" t="str">
        <f>VLOOKUP(B3538,辅助信息!E:K,7,FALSE)</f>
        <v>JWDDCD2025052800131</v>
      </c>
      <c r="E3538" s="113" t="str">
        <f>VLOOKUP(F3538,辅助信息!A:B,2,FALSE)</f>
        <v>盘螺</v>
      </c>
      <c r="F3538" s="113" t="s">
        <v>40</v>
      </c>
      <c r="G3538" s="114">
        <v>35</v>
      </c>
      <c r="H3538" s="127">
        <f>IF(SUMIFS('[1]2025年已发货'!$E:$E,'[1]2025年已发货'!$F:$F,C3538,'[1]2025年已发货'!$C:$C,F3538,'[1]2025年已发货'!$G:$G,I3538,'[1]2025年已发货'!$H:$H,J3538)=0,"未发货",SUMIFS('[1]2025年已发货'!$E:$E,'[1]2025年已发货'!$F:$F,C3538,'[1]2025年已发货'!$C:$C,F3538,'[1]2025年已发货'!$G:$G,I3538,'[1]2025年已发货'!$H:$H,J3538))</f>
        <v>23</v>
      </c>
      <c r="I3538" s="113" t="str">
        <f>VLOOKUP(B3538,辅助信息!E:I,3,FALSE)</f>
        <v>（商投建工达州中医药科技园-4工区-10号楼）达州市通川区达州中医药职业学院犀牛大道北段</v>
      </c>
      <c r="J3538" s="113" t="str">
        <f>VLOOKUP(B3538,辅助信息!E:I,4,FALSE)</f>
        <v>张扬</v>
      </c>
      <c r="K3538" s="113">
        <f>VLOOKUP(J3538,辅助信息!H:I,2,FALSE)</f>
        <v>18381904567</v>
      </c>
      <c r="L3538" s="115" t="str">
        <f>VLOOKUP(B3538,辅助信息!E:J,6,FALSE)</f>
        <v>控制炉批号！多了现场不收！,优先安排达钢,提前联系到场规格及数量</v>
      </c>
      <c r="M3538" s="84">
        <v>45919</v>
      </c>
      <c r="O3538" s="55">
        <f ca="1" t="shared" si="192"/>
        <v>0</v>
      </c>
      <c r="P3538" s="55">
        <f ca="1" t="shared" si="193"/>
        <v>38</v>
      </c>
      <c r="Q3538" s="22" t="str">
        <f>VLOOKUP(B3538,辅助信息!E:M,9,FALSE)</f>
        <v>ZTWM-CDGS-XS-2024-0134-商投建工达州中医药科技成果示范园项目</v>
      </c>
      <c r="R3538" s="22" t="str">
        <f>_xlfn._xlws.FILTER(辅助信息!D:D,辅助信息!E:E=B3538)</f>
        <v>商投建工达州中医药科技园</v>
      </c>
    </row>
    <row r="3539" hidden="1" spans="2:18">
      <c r="B3539" s="113" t="s">
        <v>112</v>
      </c>
      <c r="C3539" s="63">
        <v>45919</v>
      </c>
      <c r="D3539" s="113" t="str">
        <f>VLOOKUP(B3539,辅助信息!E:K,7,FALSE)</f>
        <v>JWDDCD2025052800131</v>
      </c>
      <c r="E3539" s="113" t="str">
        <f>VLOOKUP(F3539,辅助信息!A:B,2,FALSE)</f>
        <v>盘螺</v>
      </c>
      <c r="F3539" s="113" t="s">
        <v>41</v>
      </c>
      <c r="G3539" s="114">
        <v>12.5</v>
      </c>
      <c r="H3539" s="127">
        <f>IF(SUMIFS('[1]2025年已发货'!$E:$E,'[1]2025年已发货'!$F:$F,C3539,'[1]2025年已发货'!$C:$C,F3539,'[1]2025年已发货'!$G:$G,I3539,'[1]2025年已发货'!$H:$H,J3539)=0,"未发货",SUMIFS('[1]2025年已发货'!$E:$E,'[1]2025年已发货'!$F:$F,C3539,'[1]2025年已发货'!$C:$C,F3539,'[1]2025年已发货'!$G:$G,I3539,'[1]2025年已发货'!$H:$H,J3539))</f>
        <v>12.5</v>
      </c>
      <c r="I3539" s="113" t="str">
        <f>VLOOKUP(B3539,辅助信息!E:I,3,FALSE)</f>
        <v>（商投建工达州中医药科技园-4工区-10号楼）达州市通川区达州中医药职业学院犀牛大道北段</v>
      </c>
      <c r="J3539" s="113" t="str">
        <f>VLOOKUP(B3539,辅助信息!E:I,4,FALSE)</f>
        <v>张扬</v>
      </c>
      <c r="K3539" s="113">
        <f>VLOOKUP(J3539,辅助信息!H:I,2,FALSE)</f>
        <v>18381904567</v>
      </c>
      <c r="L3539" s="115" t="str">
        <f>VLOOKUP(B3539,辅助信息!E:J,6,FALSE)</f>
        <v>控制炉批号！多了现场不收！,优先安排达钢,提前联系到场规格及数量</v>
      </c>
      <c r="M3539" s="84">
        <v>45919</v>
      </c>
      <c r="O3539" s="55">
        <f ca="1" t="shared" si="192"/>
        <v>0</v>
      </c>
      <c r="P3539" s="55">
        <f ca="1" t="shared" si="193"/>
        <v>38</v>
      </c>
      <c r="Q3539" s="22" t="str">
        <f>VLOOKUP(B3539,辅助信息!E:M,9,FALSE)</f>
        <v>ZTWM-CDGS-XS-2024-0134-商投建工达州中医药科技成果示范园项目</v>
      </c>
      <c r="R3539" s="22" t="str">
        <f>_xlfn._xlws.FILTER(辅助信息!D:D,辅助信息!E:E=B3539)</f>
        <v>商投建工达州中医药科技园</v>
      </c>
    </row>
    <row r="3540" hidden="1" spans="2:18">
      <c r="B3540" s="124" t="s">
        <v>163</v>
      </c>
      <c r="C3540" s="142">
        <v>45919</v>
      </c>
      <c r="D3540" s="124" t="str">
        <f>VLOOKUP(B3540,辅助信息!E:K,7,FALSE)</f>
        <v>JWDDCD2025052800131</v>
      </c>
      <c r="E3540" s="124" t="str">
        <f>VLOOKUP(F3540,辅助信息!A:B,2,FALSE)</f>
        <v>螺纹钢</v>
      </c>
      <c r="F3540" s="124" t="s">
        <v>21</v>
      </c>
      <c r="G3540" s="123">
        <v>18</v>
      </c>
      <c r="H3540" s="127"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13" t="str">
        <f>VLOOKUP(B3540,辅助信息!E:I,3,FALSE)</f>
        <v>（商投建工达州中医药科技园-4工区-9号楼）达州市通川区达州中医药职业学院犀牛大道北段</v>
      </c>
      <c r="J3540" s="113" t="str">
        <f>VLOOKUP(B3540,辅助信息!E:I,4,FALSE)</f>
        <v>张扬</v>
      </c>
      <c r="K3540" s="113">
        <f>VLOOKUP(J3540,辅助信息!H:I,2,FALSE)</f>
        <v>18381904567</v>
      </c>
      <c r="L3540" s="115" t="str">
        <f>VLOOKUP(B3540,辅助信息!E:J,6,FALSE)</f>
        <v>控制炉批号！多了现场不收！,优先安排达钢,提前联系到场规格及数量</v>
      </c>
      <c r="M3540" s="84">
        <v>45919</v>
      </c>
      <c r="O3540" s="55">
        <f ca="1" t="shared" si="192"/>
        <v>0</v>
      </c>
      <c r="P3540" s="55">
        <f ca="1" t="shared" si="193"/>
        <v>38</v>
      </c>
      <c r="Q3540" s="22" t="str">
        <f>VLOOKUP(B3540,辅助信息!E:M,9,FALSE)</f>
        <v>ZTWM-CDGS-XS-2024-0134-商投建工达州中医药科技成果示范园项目</v>
      </c>
      <c r="R3540" s="22" t="str">
        <f>_xlfn._xlws.FILTER(辅助信息!D:D,辅助信息!E:E=B3540)</f>
        <v>商投建工达州中医药科技园</v>
      </c>
    </row>
    <row r="3541" hidden="1" spans="2:18">
      <c r="B3541" s="124" t="s">
        <v>163</v>
      </c>
      <c r="C3541" s="142">
        <v>45919</v>
      </c>
      <c r="D3541" s="124" t="str">
        <f>VLOOKUP(B3541,辅助信息!E:K,7,FALSE)</f>
        <v>JWDDCD2025052800131</v>
      </c>
      <c r="E3541" s="124" t="str">
        <f>VLOOKUP(F3541,辅助信息!A:B,2,FALSE)</f>
        <v>盘螺</v>
      </c>
      <c r="F3541" s="124" t="s">
        <v>40</v>
      </c>
      <c r="G3541" s="123">
        <v>17</v>
      </c>
      <c r="H3541" s="127"/>
      <c r="I3541" s="113" t="str">
        <f>VLOOKUP(B3541,辅助信息!E:I,3,FALSE)</f>
        <v>（商投建工达州中医药科技园-4工区-9号楼）达州市通川区达州中医药职业学院犀牛大道北段</v>
      </c>
      <c r="J3541" s="113" t="str">
        <f>VLOOKUP(B3541,辅助信息!E:I,4,FALSE)</f>
        <v>张扬</v>
      </c>
      <c r="K3541" s="113">
        <f>VLOOKUP(J3541,辅助信息!H:I,2,FALSE)</f>
        <v>18381904567</v>
      </c>
      <c r="L3541" s="115" t="str">
        <f>VLOOKUP(B3541,辅助信息!E:J,6,FALSE)</f>
        <v>控制炉批号！多了现场不收！,优先安排达钢,提前联系到场规格及数量</v>
      </c>
      <c r="M3541" s="84"/>
      <c r="O3541" s="55" t="str">
        <f ca="1" t="shared" si="192"/>
        <v/>
      </c>
      <c r="P3541" s="55" t="str">
        <f ca="1" t="shared" si="193"/>
        <v/>
      </c>
      <c r="Q3541" s="22" t="str">
        <f>VLOOKUP(B3541,辅助信息!E:M,9,FALSE)</f>
        <v>ZTWM-CDGS-XS-2024-0134-商投建工达州中医药科技成果示范园项目</v>
      </c>
      <c r="R3541" s="22" t="str">
        <f>_xlfn._xlws.FILTER(辅助信息!D:D,辅助信息!E:E=B3541)</f>
        <v>商投建工达州中医药科技园</v>
      </c>
    </row>
    <row r="3542" hidden="1" spans="2:18">
      <c r="B3542" s="113" t="s">
        <v>167</v>
      </c>
      <c r="C3542" s="63">
        <v>45919</v>
      </c>
      <c r="D3542" s="113" t="str">
        <f>VLOOKUP(B3542,辅助信息!E:K,7,FALSE)</f>
        <v>JWDDCD2025102100473</v>
      </c>
      <c r="E3542" s="113" t="str">
        <f>VLOOKUP(F3542,辅助信息!A:B,2,FALSE)</f>
        <v>螺纹钢</v>
      </c>
      <c r="F3542" s="113" t="s">
        <v>27</v>
      </c>
      <c r="G3542" s="114">
        <v>30</v>
      </c>
      <c r="H3542" s="127"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13" t="str">
        <f>VLOOKUP(B3542,辅助信息!E:I,3,FALSE)</f>
        <v>(五冶建设扩建艺体中学二期工程)四川省成都市双流区光荣路成都艺体中学南200米</v>
      </c>
      <c r="J3542" s="113" t="str">
        <f>VLOOKUP(B3542,辅助信息!E:I,4,FALSE)</f>
        <v>谢序强</v>
      </c>
      <c r="K3542" s="113">
        <f>VLOOKUP(J3542,辅助信息!H:I,2,FALSE)</f>
        <v>13458588232</v>
      </c>
      <c r="L3542" s="115"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84">
        <v>45921</v>
      </c>
      <c r="O3542" s="55">
        <f ca="1" t="shared" si="192"/>
        <v>0</v>
      </c>
      <c r="P3542" s="55">
        <f ca="1" t="shared" si="193"/>
        <v>36</v>
      </c>
      <c r="Q3542" s="22" t="str">
        <f>VLOOKUP(B3542,辅助信息!E:M,9,FALSE)</f>
        <v>ZTWM-CDGS-XS-2025-0073-五冶天府-成都怡心湖片区及龙泉驿医院等项目</v>
      </c>
      <c r="R3542" s="22" t="str">
        <f>_xlfn._xlws.FILTER(辅助信息!D:D,辅助信息!E:E=B3542)</f>
        <v>五冶建设扩建艺体中学二期工程</v>
      </c>
    </row>
    <row r="3543" hidden="1" spans="2:18">
      <c r="B3543" s="113" t="s">
        <v>167</v>
      </c>
      <c r="C3543" s="63">
        <v>45919</v>
      </c>
      <c r="D3543" s="113" t="str">
        <f>VLOOKUP(B3543,辅助信息!E:K,7,FALSE)</f>
        <v>JWDDCD2025102100473</v>
      </c>
      <c r="E3543" s="113" t="str">
        <f>VLOOKUP(F3543,辅助信息!A:B,2,FALSE)</f>
        <v>螺纹钢</v>
      </c>
      <c r="F3543" s="113" t="s">
        <v>21</v>
      </c>
      <c r="G3543" s="114">
        <v>6</v>
      </c>
      <c r="H3543" s="127"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13" t="str">
        <f>VLOOKUP(B3543,辅助信息!E:I,3,FALSE)</f>
        <v>(五冶建设扩建艺体中学二期工程)四川省成都市双流区光荣路成都艺体中学南200米</v>
      </c>
      <c r="J3543" s="113" t="str">
        <f>VLOOKUP(B3543,辅助信息!E:I,4,FALSE)</f>
        <v>谢序强</v>
      </c>
      <c r="K3543" s="113">
        <f>VLOOKUP(J3543,辅助信息!H:I,2,FALSE)</f>
        <v>13458588232</v>
      </c>
      <c r="L3543" s="115"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84">
        <v>45921</v>
      </c>
      <c r="O3543" s="55">
        <f ca="1" t="shared" si="192"/>
        <v>0</v>
      </c>
      <c r="P3543" s="55">
        <f ca="1" t="shared" si="193"/>
        <v>36</v>
      </c>
      <c r="Q3543" s="22" t="str">
        <f>VLOOKUP(B3543,辅助信息!E:M,9,FALSE)</f>
        <v>ZTWM-CDGS-XS-2025-0073-五冶天府-成都怡心湖片区及龙泉驿医院等项目</v>
      </c>
      <c r="R3543" s="22" t="str">
        <f>_xlfn._xlws.FILTER(辅助信息!D:D,辅助信息!E:E=B3543)</f>
        <v>五冶建设扩建艺体中学二期工程</v>
      </c>
    </row>
    <row r="3544" hidden="1" spans="1:18">
      <c r="A3544" s="50" t="s">
        <v>178</v>
      </c>
      <c r="B3544" s="113" t="s">
        <v>192</v>
      </c>
      <c r="C3544" s="63">
        <v>45919</v>
      </c>
      <c r="D3544" s="113" t="str">
        <f>VLOOKUP(B3544,辅助信息!E:K,7,FALSE)</f>
        <v>JWDDCD2025102100475</v>
      </c>
      <c r="E3544" s="113" t="str">
        <f>VLOOKUP(F3544,辅助信息!A:B,2,FALSE)</f>
        <v>螺纹钢</v>
      </c>
      <c r="F3544" s="113" t="s">
        <v>30</v>
      </c>
      <c r="G3544" s="114">
        <v>25</v>
      </c>
      <c r="H3544" s="127"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13" t="str">
        <f>VLOOKUP(B3544,辅助信息!E:I,3,FALSE)</f>
        <v>(五冶建设成都国际铁路港多式联项目)四川省成都市青白江区桂平大道成都中远海运陆港多式联运有限公司</v>
      </c>
      <c r="J3544" s="113" t="str">
        <f>VLOOKUP(B3544,辅助信息!E:I,4,FALSE)</f>
        <v>黄勇杰</v>
      </c>
      <c r="K3544" s="113">
        <f>VLOOKUP(J3544,辅助信息!H:I,2,FALSE)</f>
        <v>13880580196</v>
      </c>
      <c r="L3544" s="115"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84">
        <v>45921</v>
      </c>
      <c r="O3544" s="55">
        <f ca="1" t="shared" si="192"/>
        <v>0</v>
      </c>
      <c r="P3544" s="55">
        <f ca="1" t="shared" si="193"/>
        <v>36</v>
      </c>
      <c r="Q3544" s="22" t="str">
        <f>VLOOKUP(B3544,辅助信息!E:M,9,FALSE)</f>
        <v>ZTWM-CDGS-XS-2025-0073-五冶天府-成都怡心湖片区及龙泉驿医院等项目</v>
      </c>
      <c r="R3544" s="22" t="str">
        <f>_xlfn._xlws.FILTER(辅助信息!D:D,辅助信息!E:E=B3544)</f>
        <v>五冶建设成都国际铁路港多式联项目</v>
      </c>
    </row>
    <row r="3545" hidden="1" spans="2:18">
      <c r="B3545" s="113" t="s">
        <v>81</v>
      </c>
      <c r="C3545" s="63">
        <v>45919</v>
      </c>
      <c r="D3545" s="113" t="str">
        <f>VLOOKUP(B3545,辅助信息!E:K,7,FALSE)</f>
        <v>JWDDCD2025060900080</v>
      </c>
      <c r="E3545" s="113" t="str">
        <f>VLOOKUP(F3545,辅助信息!A:B,2,FALSE)</f>
        <v>盘螺</v>
      </c>
      <c r="F3545" s="113" t="s">
        <v>49</v>
      </c>
      <c r="G3545" s="114">
        <v>15</v>
      </c>
      <c r="H3545" s="127"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13" t="str">
        <f>VLOOKUP(B3545,辅助信息!E:I,3,FALSE)</f>
        <v>（华西简阳西城嘉苑）四川省成都市简阳市简城街道高屋村</v>
      </c>
      <c r="J3545" s="113" t="str">
        <f>VLOOKUP(B3545,辅助信息!E:I,4,FALSE)</f>
        <v>张瀚镭</v>
      </c>
      <c r="K3545" s="113">
        <f>VLOOKUP(J3545,辅助信息!H:I,2,FALSE)</f>
        <v>15884666220</v>
      </c>
      <c r="L3545" s="115" t="str">
        <f>VLOOKUP(B3545,辅助信息!E:J,6,FALSE)</f>
        <v>现场禁止使用氢能源挂车！优先威钢发货,我方卸车,新老国标钢厂不加价可直发，因陕钢多次出现磅差，项目拒绝使用</v>
      </c>
      <c r="M3545" s="84">
        <v>45921</v>
      </c>
      <c r="O3545" s="55">
        <f ca="1" t="shared" si="192"/>
        <v>0</v>
      </c>
      <c r="P3545" s="55">
        <f ca="1" t="shared" si="193"/>
        <v>36</v>
      </c>
      <c r="Q3545" s="22" t="str">
        <f>VLOOKUP(B3545,辅助信息!E:M,9,FALSE)</f>
        <v>ZTWM-CDGS-XS-2024-0030-华西集采-简州大道</v>
      </c>
      <c r="R3545" s="22" t="str">
        <f>_xlfn._xlws.FILTER(辅助信息!D:D,辅助信息!E:E=B3545)</f>
        <v>华西简阳西城嘉苑</v>
      </c>
    </row>
    <row r="3546" hidden="1" spans="2:18">
      <c r="B3546" s="113" t="s">
        <v>81</v>
      </c>
      <c r="C3546" s="63">
        <v>45919</v>
      </c>
      <c r="D3546" s="113" t="str">
        <f>VLOOKUP(B3546,辅助信息!E:K,7,FALSE)</f>
        <v>JWDDCD2025060900080</v>
      </c>
      <c r="E3546" s="113" t="str">
        <f>VLOOKUP(F3546,辅助信息!A:B,2,FALSE)</f>
        <v>盘螺</v>
      </c>
      <c r="F3546" s="113" t="s">
        <v>40</v>
      </c>
      <c r="G3546" s="114">
        <v>100</v>
      </c>
      <c r="H3546" s="127"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13" t="str">
        <f>VLOOKUP(B3546,辅助信息!E:I,3,FALSE)</f>
        <v>（华西简阳西城嘉苑）四川省成都市简阳市简城街道高屋村</v>
      </c>
      <c r="J3546" s="113" t="str">
        <f>VLOOKUP(B3546,辅助信息!E:I,4,FALSE)</f>
        <v>张瀚镭</v>
      </c>
      <c r="K3546" s="113">
        <f>VLOOKUP(J3546,辅助信息!H:I,2,FALSE)</f>
        <v>15884666220</v>
      </c>
      <c r="L3546" s="115" t="str">
        <f>VLOOKUP(B3546,辅助信息!E:J,6,FALSE)</f>
        <v>现场禁止使用氢能源挂车！优先威钢发货,我方卸车,新老国标钢厂不加价可直发，因陕钢多次出现磅差，项目拒绝使用</v>
      </c>
      <c r="M3546" s="84">
        <v>45921</v>
      </c>
      <c r="O3546" s="55">
        <f ca="1" t="shared" si="192"/>
        <v>0</v>
      </c>
      <c r="P3546" s="55">
        <f ca="1" t="shared" si="193"/>
        <v>36</v>
      </c>
      <c r="Q3546" s="22" t="str">
        <f>VLOOKUP(B3546,辅助信息!E:M,9,FALSE)</f>
        <v>ZTWM-CDGS-XS-2024-0030-华西集采-简州大道</v>
      </c>
      <c r="R3546" s="22" t="str">
        <f>_xlfn._xlws.FILTER(辅助信息!D:D,辅助信息!E:E=B3546)</f>
        <v>华西简阳西城嘉苑</v>
      </c>
    </row>
    <row r="3547" hidden="1" spans="2:18">
      <c r="B3547" s="113" t="s">
        <v>81</v>
      </c>
      <c r="C3547" s="63">
        <v>45919</v>
      </c>
      <c r="D3547" s="113" t="str">
        <f>VLOOKUP(B3547,辅助信息!E:K,7,FALSE)</f>
        <v>JWDDCD2025060900080</v>
      </c>
      <c r="E3547" s="113" t="str">
        <f>VLOOKUP(F3547,辅助信息!A:B,2,FALSE)</f>
        <v>盘螺</v>
      </c>
      <c r="F3547" s="113" t="s">
        <v>41</v>
      </c>
      <c r="G3547" s="114">
        <v>30</v>
      </c>
      <c r="H3547" s="127"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13" t="str">
        <f>VLOOKUP(B3547,辅助信息!E:I,3,FALSE)</f>
        <v>（华西简阳西城嘉苑）四川省成都市简阳市简城街道高屋村</v>
      </c>
      <c r="J3547" s="113" t="str">
        <f>VLOOKUP(B3547,辅助信息!E:I,4,FALSE)</f>
        <v>张瀚镭</v>
      </c>
      <c r="K3547" s="113">
        <f>VLOOKUP(J3547,辅助信息!H:I,2,FALSE)</f>
        <v>15884666220</v>
      </c>
      <c r="L3547" s="115" t="str">
        <f>VLOOKUP(B3547,辅助信息!E:J,6,FALSE)</f>
        <v>现场禁止使用氢能源挂车！优先威钢发货,我方卸车,新老国标钢厂不加价可直发，因陕钢多次出现磅差，项目拒绝使用</v>
      </c>
      <c r="M3547" s="84">
        <v>45921</v>
      </c>
      <c r="O3547" s="55">
        <f ca="1" t="shared" si="192"/>
        <v>0</v>
      </c>
      <c r="P3547" s="55">
        <f ca="1" t="shared" si="193"/>
        <v>36</v>
      </c>
      <c r="Q3547" s="22" t="str">
        <f>VLOOKUP(B3547,辅助信息!E:M,9,FALSE)</f>
        <v>ZTWM-CDGS-XS-2024-0030-华西集采-简州大道</v>
      </c>
      <c r="R3547" s="22" t="str">
        <f>_xlfn._xlws.FILTER(辅助信息!D:D,辅助信息!E:E=B3547)</f>
        <v>华西简阳西城嘉苑</v>
      </c>
    </row>
    <row r="3548" hidden="1" spans="2:18">
      <c r="B3548" s="113" t="s">
        <v>81</v>
      </c>
      <c r="C3548" s="63">
        <v>45919</v>
      </c>
      <c r="D3548" s="113" t="str">
        <f>VLOOKUP(B3548,辅助信息!E:K,7,FALSE)</f>
        <v>JWDDCD2025060900080</v>
      </c>
      <c r="E3548" s="113" t="str">
        <f>VLOOKUP(F3548,辅助信息!A:B,2,FALSE)</f>
        <v>盘螺</v>
      </c>
      <c r="F3548" s="113" t="s">
        <v>26</v>
      </c>
      <c r="G3548" s="114">
        <v>30</v>
      </c>
      <c r="H3548" s="127">
        <f>IF(SUMIFS('[1]2025年已发货'!$E:$E,'[1]2025年已发货'!$F:$F,C3548,'[1]2025年已发货'!$C:$C,F3548,'[1]2025年已发货'!$G:$G,I3548,'[1]2025年已发货'!$H:$H,J3548)=0,"未发货",SUMIFS('[1]2025年已发货'!$E:$E,'[1]2025年已发货'!$F:$F,C3548,'[1]2025年已发货'!$C:$C,F3548,'[1]2025年已发货'!$G:$G,I3548,'[1]2025年已发货'!$H:$H,J3548))</f>
        <v>10</v>
      </c>
      <c r="I3548" s="113" t="str">
        <f>VLOOKUP(B3548,辅助信息!E:I,3,FALSE)</f>
        <v>（华西简阳西城嘉苑）四川省成都市简阳市简城街道高屋村</v>
      </c>
      <c r="J3548" s="113" t="str">
        <f>VLOOKUP(B3548,辅助信息!E:I,4,FALSE)</f>
        <v>张瀚镭</v>
      </c>
      <c r="K3548" s="113">
        <f>VLOOKUP(J3548,辅助信息!H:I,2,FALSE)</f>
        <v>15884666220</v>
      </c>
      <c r="L3548" s="115" t="str">
        <f>VLOOKUP(B3548,辅助信息!E:J,6,FALSE)</f>
        <v>现场禁止使用氢能源挂车！优先威钢发货,我方卸车,新老国标钢厂不加价可直发，因陕钢多次出现磅差，项目拒绝使用</v>
      </c>
      <c r="M3548" s="84">
        <v>45921</v>
      </c>
      <c r="O3548" s="55">
        <f ca="1" t="shared" si="192"/>
        <v>0</v>
      </c>
      <c r="P3548" s="55">
        <f ca="1" t="shared" si="193"/>
        <v>36</v>
      </c>
      <c r="Q3548" s="22" t="str">
        <f>VLOOKUP(B3548,辅助信息!E:M,9,FALSE)</f>
        <v>ZTWM-CDGS-XS-2024-0030-华西集采-简州大道</v>
      </c>
      <c r="R3548" s="22" t="str">
        <f>_xlfn._xlws.FILTER(辅助信息!D:D,辅助信息!E:E=B3548)</f>
        <v>华西简阳西城嘉苑</v>
      </c>
    </row>
    <row r="3549" hidden="1" spans="2:18">
      <c r="B3549" s="113" t="s">
        <v>81</v>
      </c>
      <c r="C3549" s="63">
        <v>45919</v>
      </c>
      <c r="D3549" s="113" t="str">
        <f>VLOOKUP(B3549,辅助信息!E:K,7,FALSE)</f>
        <v>JWDDCD2025060900080</v>
      </c>
      <c r="E3549" s="113" t="str">
        <f>VLOOKUP(F3549,辅助信息!A:B,2,FALSE)</f>
        <v>螺纹钢</v>
      </c>
      <c r="F3549" s="113" t="s">
        <v>33</v>
      </c>
      <c r="G3549" s="114">
        <v>15</v>
      </c>
      <c r="H3549" s="127">
        <f>IF(SUMIFS('[1]2025年已发货'!$E:$E,'[1]2025年已发货'!$F:$F,C3549,'[1]2025年已发货'!$C:$C,F3549,'[1]2025年已发货'!$G:$G,I3549,'[1]2025年已发货'!$H:$H,J3549)=0,"未发货",SUMIFS('[1]2025年已发货'!$E:$E,'[1]2025年已发货'!$F:$F,C3549,'[1]2025年已发货'!$C:$C,F3549,'[1]2025年已发货'!$G:$G,I3549,'[1]2025年已发货'!$H:$H,J3549))</f>
        <v>15</v>
      </c>
      <c r="I3549" s="113" t="str">
        <f>VLOOKUP(B3549,辅助信息!E:I,3,FALSE)</f>
        <v>（华西简阳西城嘉苑）四川省成都市简阳市简城街道高屋村</v>
      </c>
      <c r="J3549" s="113" t="str">
        <f>VLOOKUP(B3549,辅助信息!E:I,4,FALSE)</f>
        <v>张瀚镭</v>
      </c>
      <c r="K3549" s="113">
        <f>VLOOKUP(J3549,辅助信息!H:I,2,FALSE)</f>
        <v>15884666220</v>
      </c>
      <c r="L3549" s="115" t="str">
        <f>VLOOKUP(B3549,辅助信息!E:J,6,FALSE)</f>
        <v>现场禁止使用氢能源挂车！优先威钢发货,我方卸车,新老国标钢厂不加价可直发，因陕钢多次出现磅差，项目拒绝使用</v>
      </c>
      <c r="M3549" s="84">
        <v>45921</v>
      </c>
      <c r="O3549" s="55">
        <f ca="1" t="shared" si="192"/>
        <v>0</v>
      </c>
      <c r="P3549" s="55">
        <f ca="1" t="shared" si="193"/>
        <v>36</v>
      </c>
      <c r="Q3549" s="22" t="str">
        <f>VLOOKUP(B3549,辅助信息!E:M,9,FALSE)</f>
        <v>ZTWM-CDGS-XS-2024-0030-华西集采-简州大道</v>
      </c>
      <c r="R3549" s="22" t="str">
        <f>_xlfn._xlws.FILTER(辅助信息!D:D,辅助信息!E:E=B3549)</f>
        <v>华西简阳西城嘉苑</v>
      </c>
    </row>
    <row r="3550" hidden="1" spans="2:18">
      <c r="B3550" s="113" t="s">
        <v>81</v>
      </c>
      <c r="C3550" s="63">
        <v>45919</v>
      </c>
      <c r="D3550" s="113" t="str">
        <f>VLOOKUP(B3550,辅助信息!E:K,7,FALSE)</f>
        <v>JWDDCD2025060900080</v>
      </c>
      <c r="E3550" s="113" t="str">
        <f>VLOOKUP(F3550,辅助信息!A:B,2,FALSE)</f>
        <v>螺纹钢</v>
      </c>
      <c r="F3550" s="113" t="s">
        <v>22</v>
      </c>
      <c r="G3550" s="114">
        <v>10</v>
      </c>
      <c r="H3550" s="127">
        <f>IF(SUMIFS('[1]2025年已发货'!$E:$E,'[1]2025年已发货'!$F:$F,C3550,'[1]2025年已发货'!$C:$C,F3550,'[1]2025年已发货'!$G:$G,I3550,'[1]2025年已发货'!$H:$H,J3550)=0,"未发货",SUMIFS('[1]2025年已发货'!$E:$E,'[1]2025年已发货'!$F:$F,C3550,'[1]2025年已发货'!$C:$C,F3550,'[1]2025年已发货'!$G:$G,I3550,'[1]2025年已发货'!$H:$H,J3550))</f>
        <v>10</v>
      </c>
      <c r="I3550" s="113" t="str">
        <f>VLOOKUP(B3550,辅助信息!E:I,3,FALSE)</f>
        <v>（华西简阳西城嘉苑）四川省成都市简阳市简城街道高屋村</v>
      </c>
      <c r="J3550" s="113" t="str">
        <f>VLOOKUP(B3550,辅助信息!E:I,4,FALSE)</f>
        <v>张瀚镭</v>
      </c>
      <c r="K3550" s="113">
        <f>VLOOKUP(J3550,辅助信息!H:I,2,FALSE)</f>
        <v>15884666220</v>
      </c>
      <c r="L3550" s="115" t="str">
        <f>VLOOKUP(B3550,辅助信息!E:J,6,FALSE)</f>
        <v>现场禁止使用氢能源挂车！优先威钢发货,我方卸车,新老国标钢厂不加价可直发，因陕钢多次出现磅差，项目拒绝使用</v>
      </c>
      <c r="M3550" s="84">
        <v>45921</v>
      </c>
      <c r="O3550" s="55">
        <f ca="1" t="shared" si="192"/>
        <v>0</v>
      </c>
      <c r="P3550" s="55">
        <f ca="1" t="shared" si="193"/>
        <v>36</v>
      </c>
      <c r="Q3550" s="22" t="str">
        <f>VLOOKUP(B3550,辅助信息!E:M,9,FALSE)</f>
        <v>ZTWM-CDGS-XS-2024-0030-华西集采-简州大道</v>
      </c>
      <c r="R3550" s="22" t="str">
        <f>_xlfn._xlws.FILTER(辅助信息!D:D,辅助信息!E:E=B3550)</f>
        <v>华西简阳西城嘉苑</v>
      </c>
    </row>
    <row r="3551" hidden="1" spans="2:18">
      <c r="B3551" s="113" t="s">
        <v>186</v>
      </c>
      <c r="C3551" s="63">
        <v>45919</v>
      </c>
      <c r="D3551" s="113" t="str">
        <f>VLOOKUP(B3551,辅助信息!E:K,7,FALSE)</f>
        <v>JWDDCD2025072900123</v>
      </c>
      <c r="E3551" s="113" t="str">
        <f>VLOOKUP(F3551,辅助信息!A:B,2,FALSE)</f>
        <v>高线</v>
      </c>
      <c r="F3551" s="113" t="s">
        <v>57</v>
      </c>
      <c r="G3551" s="114">
        <v>5</v>
      </c>
      <c r="H3551" s="127"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13" t="str">
        <f>VLOOKUP(B3551,辅助信息!E:I,3,FALSE)</f>
        <v>(乐山市校地共建产教融合基地建设项目二标段)四川省乐山市市中区苏稽镇</v>
      </c>
      <c r="J3551" s="113" t="str">
        <f>VLOOKUP(B3551,辅助信息!E:I,4,FALSE)</f>
        <v>彭江涛</v>
      </c>
      <c r="K3551" s="113">
        <f>VLOOKUP(J3551,辅助信息!H:I,2,FALSE)</f>
        <v>13990276572</v>
      </c>
      <c r="L3551" s="115" t="str">
        <f>VLOOKUP(B3551,辅助信息!E:J,6,FALSE)</f>
        <v>联系实际收货人（彭江涛13990276572）现场要求炉批号控制2个以下，超2个不给予签收。提前联系到场规格及数量</v>
      </c>
      <c r="M3551" s="84">
        <v>45920</v>
      </c>
      <c r="O3551" s="55">
        <f ca="1" t="shared" si="192"/>
        <v>0</v>
      </c>
      <c r="P3551" s="55">
        <f ca="1" t="shared" si="193"/>
        <v>37</v>
      </c>
      <c r="Q3551" s="22" t="str">
        <f>VLOOKUP(B3551,辅助信息!E:M,9,FALSE)</f>
        <v>ZTWM-CDGS-XS-2025-0126-四川机司-乐山市校地共建产教融合基地配套设施项目施工二标段钢筋采购合同</v>
      </c>
      <c r="R3551" s="22" t="str">
        <f>_xlfn._xlws.FILTER(辅助信息!D:D,辅助信息!E:E=B3551)</f>
        <v>乐山市校地共建产教融合基地建设项目二标段</v>
      </c>
    </row>
    <row r="3552" hidden="1" spans="2:18">
      <c r="B3552" s="113" t="s">
        <v>186</v>
      </c>
      <c r="C3552" s="63">
        <v>45919</v>
      </c>
      <c r="D3552" s="113" t="str">
        <f>VLOOKUP(B3552,辅助信息!E:K,7,FALSE)</f>
        <v>JWDDCD2025072900123</v>
      </c>
      <c r="E3552" s="113" t="str">
        <f>VLOOKUP(F3552,辅助信息!A:B,2,FALSE)</f>
        <v>高线</v>
      </c>
      <c r="F3552" s="113" t="s">
        <v>53</v>
      </c>
      <c r="G3552" s="114">
        <v>10</v>
      </c>
      <c r="H3552" s="127"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13" t="str">
        <f>VLOOKUP(B3552,辅助信息!E:I,3,FALSE)</f>
        <v>(乐山市校地共建产教融合基地建设项目二标段)四川省乐山市市中区苏稽镇</v>
      </c>
      <c r="J3552" s="113" t="str">
        <f>VLOOKUP(B3552,辅助信息!E:I,4,FALSE)</f>
        <v>彭江涛</v>
      </c>
      <c r="K3552" s="113">
        <f>VLOOKUP(J3552,辅助信息!H:I,2,FALSE)</f>
        <v>13990276572</v>
      </c>
      <c r="L3552" s="115" t="str">
        <f>VLOOKUP(B3552,辅助信息!E:J,6,FALSE)</f>
        <v>联系实际收货人（彭江涛13990276572）现场要求炉批号控制2个以下，超2个不给予签收。提前联系到场规格及数量</v>
      </c>
      <c r="M3552" s="84">
        <v>45920</v>
      </c>
      <c r="O3552" s="55">
        <f ca="1" t="shared" ref="O3552:O3615" si="194">IF(OR(M3552="",N3552&lt;&gt;""),"",MAX(M3552-TODAY(),0))</f>
        <v>0</v>
      </c>
      <c r="P3552" s="55">
        <f ca="1" t="shared" ref="P3552:P3615" si="195">IF(M3552="","",IF(N3552&lt;&gt;"",MAX(N3552-M3552,0),IF(TODAY()&gt;M3552,TODAY()-M3552,0)))</f>
        <v>37</v>
      </c>
      <c r="Q3552" s="22" t="str">
        <f>VLOOKUP(B3552,辅助信息!E:M,9,FALSE)</f>
        <v>ZTWM-CDGS-XS-2025-0126-四川机司-乐山市校地共建产教融合基地配套设施项目施工二标段钢筋采购合同</v>
      </c>
      <c r="R3552" s="22" t="str">
        <f>_xlfn._xlws.FILTER(辅助信息!D:D,辅助信息!E:E=B3552)</f>
        <v>乐山市校地共建产教融合基地建设项目二标段</v>
      </c>
    </row>
    <row r="3553" hidden="1" spans="2:18">
      <c r="B3553" s="113" t="s">
        <v>186</v>
      </c>
      <c r="C3553" s="63">
        <v>45919</v>
      </c>
      <c r="D3553" s="113" t="str">
        <f>VLOOKUP(B3553,辅助信息!E:K,7,FALSE)</f>
        <v>JWDDCD2025072900123</v>
      </c>
      <c r="E3553" s="113" t="str">
        <f>VLOOKUP(F3553,辅助信息!A:B,2,FALSE)</f>
        <v>螺纹钢</v>
      </c>
      <c r="F3553" s="113" t="s">
        <v>76</v>
      </c>
      <c r="G3553" s="114">
        <v>12</v>
      </c>
      <c r="H3553" s="127">
        <f>IF(SUMIFS('[1]2025年已发货'!$E:$E,'[1]2025年已发货'!$F:$F,C3553,'[1]2025年已发货'!$C:$C,F3553,'[1]2025年已发货'!$G:$G,I3553,'[1]2025年已发货'!$H:$H,J3553)=0,"未发货",SUMIFS('[1]2025年已发货'!$E:$E,'[1]2025年已发货'!$F:$F,C3553,'[1]2025年已发货'!$C:$C,F3553,'[1]2025年已发货'!$G:$G,I3553,'[1]2025年已发货'!$H:$H,J3553))</f>
        <v>12</v>
      </c>
      <c r="I3553" s="113" t="str">
        <f>VLOOKUP(B3553,辅助信息!E:I,3,FALSE)</f>
        <v>(乐山市校地共建产教融合基地建设项目二标段)四川省乐山市市中区苏稽镇</v>
      </c>
      <c r="J3553" s="113" t="str">
        <f>VLOOKUP(B3553,辅助信息!E:I,4,FALSE)</f>
        <v>彭江涛</v>
      </c>
      <c r="K3553" s="113">
        <f>VLOOKUP(J3553,辅助信息!H:I,2,FALSE)</f>
        <v>13990276572</v>
      </c>
      <c r="L3553" s="115" t="str">
        <f>VLOOKUP(B3553,辅助信息!E:J,6,FALSE)</f>
        <v>联系实际收货人（彭江涛13990276572）现场要求炉批号控制2个以下，超2个不给予签收。提前联系到场规格及数量</v>
      </c>
      <c r="M3553" s="84">
        <v>45920</v>
      </c>
      <c r="O3553" s="55">
        <f ca="1" t="shared" si="194"/>
        <v>0</v>
      </c>
      <c r="P3553" s="55">
        <f ca="1" t="shared" si="195"/>
        <v>37</v>
      </c>
      <c r="Q3553" s="22" t="str">
        <f>VLOOKUP(B3553,辅助信息!E:M,9,FALSE)</f>
        <v>ZTWM-CDGS-XS-2025-0126-四川机司-乐山市校地共建产教融合基地配套设施项目施工二标段钢筋采购合同</v>
      </c>
      <c r="R3553" s="22" t="str">
        <f>_xlfn._xlws.FILTER(辅助信息!D:D,辅助信息!E:E=B3553)</f>
        <v>乐山市校地共建产教融合基地建设项目二标段</v>
      </c>
    </row>
    <row r="3554" hidden="1" spans="2:18">
      <c r="B3554" s="113" t="s">
        <v>186</v>
      </c>
      <c r="C3554" s="63">
        <v>45919</v>
      </c>
      <c r="D3554" s="113" t="str">
        <f>VLOOKUP(B3554,辅助信息!E:K,7,FALSE)</f>
        <v>JWDDCD2025072900123</v>
      </c>
      <c r="E3554" s="113" t="str">
        <f>VLOOKUP(F3554,辅助信息!A:B,2,FALSE)</f>
        <v>螺纹钢</v>
      </c>
      <c r="F3554" s="113" t="s">
        <v>90</v>
      </c>
      <c r="G3554" s="114">
        <v>20</v>
      </c>
      <c r="H3554" s="127"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13" t="str">
        <f>VLOOKUP(B3554,辅助信息!E:I,3,FALSE)</f>
        <v>(乐山市校地共建产教融合基地建设项目二标段)四川省乐山市市中区苏稽镇</v>
      </c>
      <c r="J3554" s="113" t="str">
        <f>VLOOKUP(B3554,辅助信息!E:I,4,FALSE)</f>
        <v>彭江涛</v>
      </c>
      <c r="K3554" s="113">
        <f>VLOOKUP(J3554,辅助信息!H:I,2,FALSE)</f>
        <v>13990276572</v>
      </c>
      <c r="L3554" s="115" t="str">
        <f>VLOOKUP(B3554,辅助信息!E:J,6,FALSE)</f>
        <v>联系实际收货人（彭江涛13990276572）现场要求炉批号控制2个以下，超2个不给予签收。提前联系到场规格及数量</v>
      </c>
      <c r="M3554" s="84">
        <v>45920</v>
      </c>
      <c r="O3554" s="55">
        <f ca="1" t="shared" si="194"/>
        <v>0</v>
      </c>
      <c r="P3554" s="55">
        <f ca="1" t="shared" si="195"/>
        <v>37</v>
      </c>
      <c r="Q3554" s="22" t="str">
        <f>VLOOKUP(B3554,辅助信息!E:M,9,FALSE)</f>
        <v>ZTWM-CDGS-XS-2025-0126-四川机司-乐山市校地共建产教融合基地配套设施项目施工二标段钢筋采购合同</v>
      </c>
      <c r="R3554" s="22" t="str">
        <f>_xlfn._xlws.FILTER(辅助信息!D:D,辅助信息!E:E=B3554)</f>
        <v>乐山市校地共建产教融合基地建设项目二标段</v>
      </c>
    </row>
    <row r="3555" hidden="1" spans="2:18">
      <c r="B3555" s="113" t="s">
        <v>186</v>
      </c>
      <c r="C3555" s="63">
        <v>45919</v>
      </c>
      <c r="D3555" s="113" t="str">
        <f>VLOOKUP(B3555,辅助信息!E:K,7,FALSE)</f>
        <v>JWDDCD2025072900123</v>
      </c>
      <c r="E3555" s="113" t="str">
        <f>VLOOKUP(F3555,辅助信息!A:B,2,FALSE)</f>
        <v>螺纹钢</v>
      </c>
      <c r="F3555" s="113" t="s">
        <v>45</v>
      </c>
      <c r="G3555" s="114">
        <v>10</v>
      </c>
      <c r="H3555" s="127">
        <f>IF(SUMIFS('[1]2025年已发货'!$E:$E,'[1]2025年已发货'!$F:$F,C3555,'[1]2025年已发货'!$C:$C,F3555,'[1]2025年已发货'!$G:$G,I3555,'[1]2025年已发货'!$H:$H,J3555)=0,"未发货",SUMIFS('[1]2025年已发货'!$E:$E,'[1]2025年已发货'!$F:$F,C3555,'[1]2025年已发货'!$C:$C,F3555,'[1]2025年已发货'!$G:$G,I3555,'[1]2025年已发货'!$H:$H,J3555))</f>
        <v>10</v>
      </c>
      <c r="I3555" s="113" t="str">
        <f>VLOOKUP(B3555,辅助信息!E:I,3,FALSE)</f>
        <v>(乐山市校地共建产教融合基地建设项目二标段)四川省乐山市市中区苏稽镇</v>
      </c>
      <c r="J3555" s="113" t="str">
        <f>VLOOKUP(B3555,辅助信息!E:I,4,FALSE)</f>
        <v>彭江涛</v>
      </c>
      <c r="K3555" s="113">
        <f>VLOOKUP(J3555,辅助信息!H:I,2,FALSE)</f>
        <v>13990276572</v>
      </c>
      <c r="L3555" s="115" t="str">
        <f>VLOOKUP(B3555,辅助信息!E:J,6,FALSE)</f>
        <v>联系实际收货人（彭江涛13990276572）现场要求炉批号控制2个以下，超2个不给予签收。提前联系到场规格及数量</v>
      </c>
      <c r="M3555" s="84">
        <v>45920</v>
      </c>
      <c r="O3555" s="55">
        <f ca="1" t="shared" si="194"/>
        <v>0</v>
      </c>
      <c r="P3555" s="55">
        <f ca="1" t="shared" si="195"/>
        <v>37</v>
      </c>
      <c r="Q3555" s="22" t="str">
        <f>VLOOKUP(B3555,辅助信息!E:M,9,FALSE)</f>
        <v>ZTWM-CDGS-XS-2025-0126-四川机司-乐山市校地共建产教融合基地配套设施项目施工二标段钢筋采购合同</v>
      </c>
      <c r="R3555" s="22" t="str">
        <f>_xlfn._xlws.FILTER(辅助信息!D:D,辅助信息!E:E=B3555)</f>
        <v>乐山市校地共建产教融合基地建设项目二标段</v>
      </c>
    </row>
    <row r="3556" hidden="1" spans="2:18">
      <c r="B3556" s="113" t="s">
        <v>186</v>
      </c>
      <c r="C3556" s="63">
        <v>45919</v>
      </c>
      <c r="D3556" s="113" t="str">
        <f>VLOOKUP(B3556,辅助信息!E:K,7,FALSE)</f>
        <v>JWDDCD2025072900123</v>
      </c>
      <c r="E3556" s="113" t="str">
        <f>VLOOKUP(F3556,辅助信息!A:B,2,FALSE)</f>
        <v>螺纹钢</v>
      </c>
      <c r="F3556" s="113" t="s">
        <v>21</v>
      </c>
      <c r="G3556" s="114">
        <v>18</v>
      </c>
      <c r="H3556" s="127">
        <f>IF(SUMIFS('[1]2025年已发货'!$E:$E,'[1]2025年已发货'!$F:$F,C3556,'[1]2025年已发货'!$C:$C,F3556,'[1]2025年已发货'!$G:$G,I3556,'[1]2025年已发货'!$H:$H,J3556)=0,"未发货",SUMIFS('[1]2025年已发货'!$E:$E,'[1]2025年已发货'!$F:$F,C3556,'[1]2025年已发货'!$C:$C,F3556,'[1]2025年已发货'!$G:$G,I3556,'[1]2025年已发货'!$H:$H,J3556))</f>
        <v>18</v>
      </c>
      <c r="I3556" s="113" t="str">
        <f>VLOOKUP(B3556,辅助信息!E:I,3,FALSE)</f>
        <v>(乐山市校地共建产教融合基地建设项目二标段)四川省乐山市市中区苏稽镇</v>
      </c>
      <c r="J3556" s="113" t="str">
        <f>VLOOKUP(B3556,辅助信息!E:I,4,FALSE)</f>
        <v>彭江涛</v>
      </c>
      <c r="K3556" s="113">
        <f>VLOOKUP(J3556,辅助信息!H:I,2,FALSE)</f>
        <v>13990276572</v>
      </c>
      <c r="L3556" s="115" t="str">
        <f>VLOOKUP(B3556,辅助信息!E:J,6,FALSE)</f>
        <v>联系实际收货人（彭江涛13990276572）现场要求炉批号控制2个以下，超2个不给予签收。提前联系到场规格及数量</v>
      </c>
      <c r="M3556" s="84">
        <v>45920</v>
      </c>
      <c r="O3556" s="55">
        <f ca="1" t="shared" si="194"/>
        <v>0</v>
      </c>
      <c r="P3556" s="55">
        <f ca="1" t="shared" si="195"/>
        <v>37</v>
      </c>
      <c r="Q3556" s="22" t="str">
        <f>VLOOKUP(B3556,辅助信息!E:M,9,FALSE)</f>
        <v>ZTWM-CDGS-XS-2025-0126-四川机司-乐山市校地共建产教融合基地配套设施项目施工二标段钢筋采购合同</v>
      </c>
      <c r="R3556" s="22" t="str">
        <f>_xlfn._xlws.FILTER(辅助信息!D:D,辅助信息!E:E=B3556)</f>
        <v>乐山市校地共建产教融合基地建设项目二标段</v>
      </c>
    </row>
    <row r="3557" hidden="1" spans="2:18">
      <c r="B3557" s="113" t="s">
        <v>186</v>
      </c>
      <c r="C3557" s="63">
        <v>45919</v>
      </c>
      <c r="D3557" s="113" t="str">
        <f>VLOOKUP(B3557,辅助信息!E:K,7,FALSE)</f>
        <v>JWDDCD2025072900123</v>
      </c>
      <c r="E3557" s="113" t="str">
        <f>VLOOKUP(F3557,辅助信息!A:B,2,FALSE)</f>
        <v>螺纹钢</v>
      </c>
      <c r="F3557" s="113" t="s">
        <v>198</v>
      </c>
      <c r="G3557" s="114">
        <v>4</v>
      </c>
      <c r="H3557" s="127"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13" t="str">
        <f>VLOOKUP(B3557,辅助信息!E:I,3,FALSE)</f>
        <v>(乐山市校地共建产教融合基地建设项目二标段)四川省乐山市市中区苏稽镇</v>
      </c>
      <c r="J3557" s="113" t="str">
        <f>VLOOKUP(B3557,辅助信息!E:I,4,FALSE)</f>
        <v>彭江涛</v>
      </c>
      <c r="K3557" s="113">
        <f>VLOOKUP(J3557,辅助信息!H:I,2,FALSE)</f>
        <v>13990276572</v>
      </c>
      <c r="L3557" s="115" t="str">
        <f>VLOOKUP(B3557,辅助信息!E:J,6,FALSE)</f>
        <v>联系实际收货人（彭江涛13990276572）现场要求炉批号控制2个以下，超2个不给予签收。提前联系到场规格及数量</v>
      </c>
      <c r="M3557" s="84">
        <v>45920</v>
      </c>
      <c r="O3557" s="55">
        <f ca="1" t="shared" si="194"/>
        <v>0</v>
      </c>
      <c r="P3557" s="55">
        <f ca="1" t="shared" si="195"/>
        <v>37</v>
      </c>
      <c r="Q3557" s="22" t="str">
        <f>VLOOKUP(B3557,辅助信息!E:M,9,FALSE)</f>
        <v>ZTWM-CDGS-XS-2025-0126-四川机司-乐山市校地共建产教融合基地配套设施项目施工二标段钢筋采购合同</v>
      </c>
      <c r="R3557" s="22" t="str">
        <f>_xlfn._xlws.FILTER(辅助信息!D:D,辅助信息!E:E=B3557)</f>
        <v>乐山市校地共建产教融合基地建设项目二标段</v>
      </c>
    </row>
    <row r="3558" hidden="1" spans="2:18">
      <c r="B3558" s="113" t="s">
        <v>186</v>
      </c>
      <c r="C3558" s="63">
        <v>45919</v>
      </c>
      <c r="D3558" s="113" t="str">
        <f>VLOOKUP(B3558,辅助信息!E:K,7,FALSE)</f>
        <v>JWDDCD2025072900123</v>
      </c>
      <c r="E3558" s="113" t="str">
        <f>VLOOKUP(F3558,辅助信息!A:B,2,FALSE)</f>
        <v>螺纹钢</v>
      </c>
      <c r="F3558" s="113" t="s">
        <v>58</v>
      </c>
      <c r="G3558" s="114">
        <v>15</v>
      </c>
      <c r="H3558" s="127">
        <f>IF(SUMIFS('[1]2025年已发货'!$E:$E,'[1]2025年已发货'!$F:$F,C3558,'[1]2025年已发货'!$C:$C,F3558,'[1]2025年已发货'!$G:$G,I3558,'[1]2025年已发货'!$H:$H,J3558)=0,"未发货",SUMIFS('[1]2025年已发货'!$E:$E,'[1]2025年已发货'!$F:$F,C3558,'[1]2025年已发货'!$C:$C,F3558,'[1]2025年已发货'!$G:$G,I3558,'[1]2025年已发货'!$H:$H,J3558))</f>
        <v>15</v>
      </c>
      <c r="I3558" s="113" t="str">
        <f>VLOOKUP(B3558,辅助信息!E:I,3,FALSE)</f>
        <v>(乐山市校地共建产教融合基地建设项目二标段)四川省乐山市市中区苏稽镇</v>
      </c>
      <c r="J3558" s="113" t="str">
        <f>VLOOKUP(B3558,辅助信息!E:I,4,FALSE)</f>
        <v>彭江涛</v>
      </c>
      <c r="K3558" s="113">
        <f>VLOOKUP(J3558,辅助信息!H:I,2,FALSE)</f>
        <v>13990276572</v>
      </c>
      <c r="L3558" s="115" t="str">
        <f>VLOOKUP(B3558,辅助信息!E:J,6,FALSE)</f>
        <v>联系实际收货人（彭江涛13990276572）现场要求炉批号控制2个以下，超2个不给予签收。提前联系到场规格及数量</v>
      </c>
      <c r="M3558" s="84">
        <v>45920</v>
      </c>
      <c r="O3558" s="55">
        <f ca="1" t="shared" si="194"/>
        <v>0</v>
      </c>
      <c r="P3558" s="55">
        <f ca="1" t="shared" si="195"/>
        <v>37</v>
      </c>
      <c r="Q3558" s="22" t="str">
        <f>VLOOKUP(B3558,辅助信息!E:M,9,FALSE)</f>
        <v>ZTWM-CDGS-XS-2025-0126-四川机司-乐山市校地共建产教融合基地配套设施项目施工二标段钢筋采购合同</v>
      </c>
      <c r="R3558" s="22" t="str">
        <f>_xlfn._xlws.FILTER(辅助信息!D:D,辅助信息!E:E=B3558)</f>
        <v>乐山市校地共建产教融合基地建设项目二标段</v>
      </c>
    </row>
    <row r="3559" hidden="1" spans="2:18">
      <c r="B3559" s="113" t="s">
        <v>186</v>
      </c>
      <c r="C3559" s="63">
        <v>45919</v>
      </c>
      <c r="D3559" s="113" t="str">
        <f>VLOOKUP(B3559,辅助信息!E:K,7,FALSE)</f>
        <v>JWDDCD2025072900123</v>
      </c>
      <c r="E3559" s="113" t="str">
        <f>VLOOKUP(F3559,辅助信息!A:B,2,FALSE)</f>
        <v>螺纹钢</v>
      </c>
      <c r="F3559" s="113" t="s">
        <v>199</v>
      </c>
      <c r="G3559" s="114">
        <v>17</v>
      </c>
      <c r="H3559" s="127"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13" t="str">
        <f>VLOOKUP(B3559,辅助信息!E:I,3,FALSE)</f>
        <v>(乐山市校地共建产教融合基地建设项目二标段)四川省乐山市市中区苏稽镇</v>
      </c>
      <c r="J3559" s="113" t="str">
        <f>VLOOKUP(B3559,辅助信息!E:I,4,FALSE)</f>
        <v>彭江涛</v>
      </c>
      <c r="K3559" s="113">
        <f>VLOOKUP(J3559,辅助信息!H:I,2,FALSE)</f>
        <v>13990276572</v>
      </c>
      <c r="L3559" s="115" t="str">
        <f>VLOOKUP(B3559,辅助信息!E:J,6,FALSE)</f>
        <v>联系实际收货人（彭江涛13990276572）现场要求炉批号控制2个以下，超2个不给予签收。提前联系到场规格及数量</v>
      </c>
      <c r="M3559" s="84">
        <v>45920</v>
      </c>
      <c r="O3559" s="55">
        <f ca="1" t="shared" si="194"/>
        <v>0</v>
      </c>
      <c r="P3559" s="55">
        <f ca="1" t="shared" si="195"/>
        <v>37</v>
      </c>
      <c r="Q3559" s="22" t="str">
        <f>VLOOKUP(B3559,辅助信息!E:M,9,FALSE)</f>
        <v>ZTWM-CDGS-XS-2025-0126-四川机司-乐山市校地共建产教融合基地配套设施项目施工二标段钢筋采购合同</v>
      </c>
      <c r="R3559" s="22" t="str">
        <f>_xlfn._xlws.FILTER(辅助信息!D:D,辅助信息!E:E=B3559)</f>
        <v>乐山市校地共建产教融合基地建设项目二标段</v>
      </c>
    </row>
    <row r="3560" hidden="1" spans="2:18">
      <c r="B3560" s="113" t="s">
        <v>186</v>
      </c>
      <c r="C3560" s="63">
        <v>45919</v>
      </c>
      <c r="D3560" s="113" t="str">
        <f>VLOOKUP(B3560,辅助信息!E:K,7,FALSE)</f>
        <v>JWDDCD2025072900123</v>
      </c>
      <c r="E3560" s="113" t="str">
        <f>VLOOKUP(F3560,辅助信息!A:B,2,FALSE)</f>
        <v>螺纹钢</v>
      </c>
      <c r="F3560" s="113" t="s">
        <v>141</v>
      </c>
      <c r="G3560" s="114">
        <v>16</v>
      </c>
      <c r="H3560" s="127">
        <f>IF(SUMIFS('[1]2025年已发货'!$E:$E,'[1]2025年已发货'!$F:$F,C3560,'[1]2025年已发货'!$C:$C,F3560,'[1]2025年已发货'!$G:$G,I3560,'[1]2025年已发货'!$H:$H,J3560)=0,"未发货",SUMIFS('[1]2025年已发货'!$E:$E,'[1]2025年已发货'!$F:$F,C3560,'[1]2025年已发货'!$C:$C,F3560,'[1]2025年已发货'!$G:$G,I3560,'[1]2025年已发货'!$H:$H,J3560))</f>
        <v>16</v>
      </c>
      <c r="I3560" s="113" t="str">
        <f>VLOOKUP(B3560,辅助信息!E:I,3,FALSE)</f>
        <v>(乐山市校地共建产教融合基地建设项目二标段)四川省乐山市市中区苏稽镇</v>
      </c>
      <c r="J3560" s="113" t="str">
        <f>VLOOKUP(B3560,辅助信息!E:I,4,FALSE)</f>
        <v>彭江涛</v>
      </c>
      <c r="K3560" s="113">
        <f>VLOOKUP(J3560,辅助信息!H:I,2,FALSE)</f>
        <v>13990276572</v>
      </c>
      <c r="L3560" s="115" t="str">
        <f>VLOOKUP(B3560,辅助信息!E:J,6,FALSE)</f>
        <v>联系实际收货人（彭江涛13990276572）现场要求炉批号控制2个以下，超2个不给予签收。提前联系到场规格及数量</v>
      </c>
      <c r="M3560" s="84">
        <v>45920</v>
      </c>
      <c r="O3560" s="55">
        <f ca="1" t="shared" si="194"/>
        <v>0</v>
      </c>
      <c r="P3560" s="55">
        <f ca="1" t="shared" si="195"/>
        <v>37</v>
      </c>
      <c r="Q3560" s="22" t="str">
        <f>VLOOKUP(B3560,辅助信息!E:M,9,FALSE)</f>
        <v>ZTWM-CDGS-XS-2025-0126-四川机司-乐山市校地共建产教融合基地配套设施项目施工二标段钢筋采购合同</v>
      </c>
      <c r="R3560" s="22" t="str">
        <f>_xlfn._xlws.FILTER(辅助信息!D:D,辅助信息!E:E=B3560)</f>
        <v>乐山市校地共建产教融合基地建设项目二标段</v>
      </c>
    </row>
    <row r="3561" hidden="1" spans="2:18">
      <c r="B3561" s="113" t="s">
        <v>186</v>
      </c>
      <c r="C3561" s="63">
        <v>45919</v>
      </c>
      <c r="D3561" s="113" t="str">
        <f>VLOOKUP(B3561,辅助信息!E:K,7,FALSE)</f>
        <v>JWDDCD2025072900123</v>
      </c>
      <c r="E3561" s="113" t="str">
        <f>VLOOKUP(F3561,辅助信息!A:B,2,FALSE)</f>
        <v>螺纹钢</v>
      </c>
      <c r="F3561" s="113" t="s">
        <v>142</v>
      </c>
      <c r="G3561" s="114">
        <v>60</v>
      </c>
      <c r="H3561" s="127"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13" t="str">
        <f>VLOOKUP(B3561,辅助信息!E:I,3,FALSE)</f>
        <v>(乐山市校地共建产教融合基地建设项目二标段)四川省乐山市市中区苏稽镇</v>
      </c>
      <c r="J3561" s="113" t="str">
        <f>VLOOKUP(B3561,辅助信息!E:I,4,FALSE)</f>
        <v>彭江涛</v>
      </c>
      <c r="K3561" s="113">
        <f>VLOOKUP(J3561,辅助信息!H:I,2,FALSE)</f>
        <v>13990276572</v>
      </c>
      <c r="L3561" s="115" t="str">
        <f>VLOOKUP(B3561,辅助信息!E:J,6,FALSE)</f>
        <v>联系实际收货人（彭江涛13990276572）现场要求炉批号控制2个以下，超2个不给予签收。提前联系到场规格及数量</v>
      </c>
      <c r="M3561" s="84">
        <v>45920</v>
      </c>
      <c r="O3561" s="55">
        <f ca="1" t="shared" si="194"/>
        <v>0</v>
      </c>
      <c r="P3561" s="55">
        <f ca="1" t="shared" si="195"/>
        <v>37</v>
      </c>
      <c r="Q3561" s="22" t="str">
        <f>VLOOKUP(B3561,辅助信息!E:M,9,FALSE)</f>
        <v>ZTWM-CDGS-XS-2025-0126-四川机司-乐山市校地共建产教融合基地配套设施项目施工二标段钢筋采购合同</v>
      </c>
      <c r="R3561" s="22" t="str">
        <f>_xlfn._xlws.FILTER(辅助信息!D:D,辅助信息!E:E=B3561)</f>
        <v>乐山市校地共建产教融合基地建设项目二标段</v>
      </c>
    </row>
    <row r="3562" hidden="1" spans="2:18">
      <c r="B3562" s="113" t="s">
        <v>186</v>
      </c>
      <c r="C3562" s="63">
        <v>45919</v>
      </c>
      <c r="D3562" s="113" t="str">
        <f>VLOOKUP(B3562,辅助信息!E:K,7,FALSE)</f>
        <v>JWDDCD2025072900123</v>
      </c>
      <c r="E3562" s="113" t="str">
        <f>VLOOKUP(F3562,辅助信息!A:B,2,FALSE)</f>
        <v>盘螺</v>
      </c>
      <c r="F3562" s="113" t="s">
        <v>41</v>
      </c>
      <c r="G3562" s="114">
        <v>3</v>
      </c>
      <c r="H3562" s="127"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13" t="str">
        <f>VLOOKUP(B3562,辅助信息!E:I,3,FALSE)</f>
        <v>(乐山市校地共建产教融合基地建设项目二标段)四川省乐山市市中区苏稽镇</v>
      </c>
      <c r="J3562" s="113" t="str">
        <f>VLOOKUP(B3562,辅助信息!E:I,4,FALSE)</f>
        <v>彭江涛</v>
      </c>
      <c r="K3562" s="113">
        <f>VLOOKUP(J3562,辅助信息!H:I,2,FALSE)</f>
        <v>13990276572</v>
      </c>
      <c r="L3562" s="115" t="str">
        <f>VLOOKUP(B3562,辅助信息!E:J,6,FALSE)</f>
        <v>联系实际收货人（彭江涛13990276572）现场要求炉批号控制2个以下，超2个不给予签收。提前联系到场规格及数量</v>
      </c>
      <c r="M3562" s="84">
        <v>45920</v>
      </c>
      <c r="O3562" s="55">
        <f ca="1" t="shared" si="194"/>
        <v>0</v>
      </c>
      <c r="P3562" s="55">
        <f ca="1" t="shared" si="195"/>
        <v>37</v>
      </c>
      <c r="Q3562" s="22" t="str">
        <f>VLOOKUP(B3562,辅助信息!E:M,9,FALSE)</f>
        <v>ZTWM-CDGS-XS-2025-0126-四川机司-乐山市校地共建产教融合基地配套设施项目施工二标段钢筋采购合同</v>
      </c>
      <c r="R3562" s="22" t="str">
        <f>_xlfn._xlws.FILTER(辅助信息!D:D,辅助信息!E:E=B3562)</f>
        <v>乐山市校地共建产教融合基地建设项目二标段</v>
      </c>
    </row>
    <row r="3563" hidden="1" spans="2:18">
      <c r="B3563" s="113" t="s">
        <v>186</v>
      </c>
      <c r="C3563" s="63">
        <v>45919</v>
      </c>
      <c r="D3563" s="113" t="str">
        <f>VLOOKUP(B3563,辅助信息!E:K,7,FALSE)</f>
        <v>JWDDCD2025072900123</v>
      </c>
      <c r="E3563" s="113" t="str">
        <f>VLOOKUP(F3563,辅助信息!A:B,2,FALSE)</f>
        <v>盘螺</v>
      </c>
      <c r="F3563" s="113" t="s">
        <v>26</v>
      </c>
      <c r="G3563" s="114">
        <v>10</v>
      </c>
      <c r="H3563" s="127"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13" t="str">
        <f>VLOOKUP(B3563,辅助信息!E:I,3,FALSE)</f>
        <v>(乐山市校地共建产教融合基地建设项目二标段)四川省乐山市市中区苏稽镇</v>
      </c>
      <c r="J3563" s="113" t="str">
        <f>VLOOKUP(B3563,辅助信息!E:I,4,FALSE)</f>
        <v>彭江涛</v>
      </c>
      <c r="K3563" s="113">
        <f>VLOOKUP(J3563,辅助信息!H:I,2,FALSE)</f>
        <v>13990276572</v>
      </c>
      <c r="L3563" s="115" t="str">
        <f>VLOOKUP(B3563,辅助信息!E:J,6,FALSE)</f>
        <v>联系实际收货人（彭江涛13990276572）现场要求炉批号控制2个以下，超2个不给予签收。提前联系到场规格及数量</v>
      </c>
      <c r="M3563" s="84">
        <v>45920</v>
      </c>
      <c r="O3563" s="55">
        <f ca="1" t="shared" si="194"/>
        <v>0</v>
      </c>
      <c r="P3563" s="55">
        <f ca="1" t="shared" si="195"/>
        <v>37</v>
      </c>
      <c r="Q3563" s="22" t="str">
        <f>VLOOKUP(B3563,辅助信息!E:M,9,FALSE)</f>
        <v>ZTWM-CDGS-XS-2025-0126-四川机司-乐山市校地共建产教融合基地配套设施项目施工二标段钢筋采购合同</v>
      </c>
      <c r="R3563" s="22" t="str">
        <f>_xlfn._xlws.FILTER(辅助信息!D:D,辅助信息!E:E=B3563)</f>
        <v>乐山市校地共建产教融合基地建设项目二标段</v>
      </c>
    </row>
    <row r="3564" hidden="1" spans="2:18">
      <c r="B3564" s="113" t="s">
        <v>186</v>
      </c>
      <c r="C3564" s="63">
        <v>45919</v>
      </c>
      <c r="D3564" s="113" t="str">
        <f>VLOOKUP(B3564,辅助信息!E:K,7,FALSE)</f>
        <v>JWDDCD2025072900123</v>
      </c>
      <c r="E3564" s="113" t="str">
        <f>VLOOKUP(F3564,辅助信息!A:B,2,FALSE)</f>
        <v>盘螺</v>
      </c>
      <c r="F3564" s="113" t="s">
        <v>49</v>
      </c>
      <c r="G3564" s="114">
        <v>5</v>
      </c>
      <c r="H3564" s="127"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13" t="str">
        <f>VLOOKUP(B3564,辅助信息!E:I,3,FALSE)</f>
        <v>(乐山市校地共建产教融合基地建设项目二标段)四川省乐山市市中区苏稽镇</v>
      </c>
      <c r="J3564" s="113" t="str">
        <f>VLOOKUP(B3564,辅助信息!E:I,4,FALSE)</f>
        <v>彭江涛</v>
      </c>
      <c r="K3564" s="113">
        <f>VLOOKUP(J3564,辅助信息!H:I,2,FALSE)</f>
        <v>13990276572</v>
      </c>
      <c r="L3564" s="115" t="str">
        <f>VLOOKUP(B3564,辅助信息!E:J,6,FALSE)</f>
        <v>联系实际收货人（彭江涛13990276572）现场要求炉批号控制2个以下，超2个不给予签收。提前联系到场规格及数量</v>
      </c>
      <c r="M3564" s="84">
        <v>45920</v>
      </c>
      <c r="O3564" s="55">
        <f ca="1" t="shared" si="194"/>
        <v>0</v>
      </c>
      <c r="P3564" s="55">
        <f ca="1" t="shared" si="195"/>
        <v>37</v>
      </c>
      <c r="Q3564" s="22" t="str">
        <f>VLOOKUP(B3564,辅助信息!E:M,9,FALSE)</f>
        <v>ZTWM-CDGS-XS-2025-0126-四川机司-乐山市校地共建产教融合基地配套设施项目施工二标段钢筋采购合同</v>
      </c>
      <c r="R3564" s="22" t="str">
        <f>_xlfn._xlws.FILTER(辅助信息!D:D,辅助信息!E:E=B3564)</f>
        <v>乐山市校地共建产教融合基地建设项目二标段</v>
      </c>
    </row>
    <row r="3565" hidden="1" spans="2:18">
      <c r="B3565" s="90" t="s">
        <v>187</v>
      </c>
      <c r="C3565" s="63">
        <v>45919</v>
      </c>
      <c r="D3565" s="33" t="str">
        <f>VLOOKUP(B3565,辅助信息!E:K,7,FALSE)</f>
        <v>JWDDCD2025072900121</v>
      </c>
      <c r="E3565" s="33" t="str">
        <f>VLOOKUP(F3565,辅助信息!A:B,2,FALSE)</f>
        <v>盘螺</v>
      </c>
      <c r="F3565" s="33" t="s">
        <v>41</v>
      </c>
      <c r="G3565" s="29">
        <v>10</v>
      </c>
      <c r="H3565" s="127">
        <f>IF(SUMIFS('[1]2025年已发货'!$E:$E,'[1]2025年已发货'!$F:$F,C3565,'[1]2025年已发货'!$C:$C,F3565,'[1]2025年已发货'!$G:$G,I3565,'[1]2025年已发货'!$H:$H,J3565)=0,"未发货",SUMIFS('[1]2025年已发货'!$E:$E,'[1]2025年已发货'!$F:$F,C3565,'[1]2025年已发货'!$C:$C,F3565,'[1]2025年已发货'!$G:$G,I3565,'[1]2025年已发货'!$H:$H,J3565))</f>
        <v>10</v>
      </c>
      <c r="I3565" s="33" t="str">
        <f>VLOOKUP(B3565,辅助信息!E:I,3,FALSE)</f>
        <v>(乐山市校地共建产教融合基地建设项目一标段)四川省乐山市市中区苏稽镇周山嘴</v>
      </c>
      <c r="J3565" s="33" t="str">
        <f>VLOOKUP(B3565,辅助信息!E:I,4,FALSE)</f>
        <v>范增云</v>
      </c>
      <c r="K3565" s="33">
        <f>VLOOKUP(J3565,辅助信息!H:I,2,FALSE)</f>
        <v>13668153241</v>
      </c>
      <c r="L3565" s="102" t="str">
        <f>VLOOKUP(B3565,辅助信息!E:J,6,FALSE)</f>
        <v>联系实际收货人（范增云13668153241）现场要求炉批号控制2个以下，超2个不给予签收。提前联系到场规格及数量</v>
      </c>
      <c r="O3565" s="55" t="str">
        <f ca="1" t="shared" si="194"/>
        <v/>
      </c>
      <c r="P3565" s="55" t="str">
        <f ca="1" t="shared" si="195"/>
        <v/>
      </c>
      <c r="Q3565" s="22" t="str">
        <f>VLOOKUP(B3565,辅助信息!E:M,9,FALSE)</f>
        <v>ZTWM-CDGS-XS-2025-0125-四川机司-乐山市校地共建产教融合基地配套设施项目施工一标段钢筋采购合同</v>
      </c>
      <c r="R3565" s="22" t="str">
        <f>_xlfn._xlws.FILTER(辅助信息!D:D,辅助信息!E:E=B3565)</f>
        <v>乐山市校地共建产教融合基地建设项目一标段</v>
      </c>
    </row>
    <row r="3566" hidden="1" spans="2:18">
      <c r="B3566" s="90" t="s">
        <v>187</v>
      </c>
      <c r="C3566" s="63">
        <v>45919</v>
      </c>
      <c r="D3566" s="33" t="str">
        <f>VLOOKUP(B3566,辅助信息!E:K,7,FALSE)</f>
        <v>JWDDCD2025072900121</v>
      </c>
      <c r="E3566" s="33" t="str">
        <f>VLOOKUP(F3566,辅助信息!A:B,2,FALSE)</f>
        <v>螺纹钢</v>
      </c>
      <c r="F3566" s="33" t="s">
        <v>21</v>
      </c>
      <c r="G3566" s="29">
        <v>5</v>
      </c>
      <c r="H3566" s="127">
        <f>IF(SUMIFS('[1]2025年已发货'!$E:$E,'[1]2025年已发货'!$F:$F,C3566,'[1]2025年已发货'!$C:$C,F3566,'[1]2025年已发货'!$G:$G,I3566,'[1]2025年已发货'!$H:$H,J3566)=0,"未发货",SUMIFS('[1]2025年已发货'!$E:$E,'[1]2025年已发货'!$F:$F,C3566,'[1]2025年已发货'!$C:$C,F3566,'[1]2025年已发货'!$G:$G,I3566,'[1]2025年已发货'!$H:$H,J3566))</f>
        <v>5</v>
      </c>
      <c r="I3566" s="33" t="str">
        <f>VLOOKUP(B3566,辅助信息!E:I,3,FALSE)</f>
        <v>(乐山市校地共建产教融合基地建设项目一标段)四川省乐山市市中区苏稽镇周山嘴</v>
      </c>
      <c r="J3566" s="33" t="str">
        <f>VLOOKUP(B3566,辅助信息!E:I,4,FALSE)</f>
        <v>范增云</v>
      </c>
      <c r="K3566" s="33">
        <f>VLOOKUP(J3566,辅助信息!H:I,2,FALSE)</f>
        <v>13668153241</v>
      </c>
      <c r="L3566" s="102" t="str">
        <f>VLOOKUP(B3566,辅助信息!E:J,6,FALSE)</f>
        <v>联系实际收货人（范增云13668153241）现场要求炉批号控制2个以下，超2个不给予签收。提前联系到场规格及数量</v>
      </c>
      <c r="O3566" s="55" t="str">
        <f ca="1" t="shared" si="194"/>
        <v/>
      </c>
      <c r="P3566" s="55" t="str">
        <f ca="1" t="shared" si="195"/>
        <v/>
      </c>
      <c r="Q3566" s="22" t="str">
        <f>VLOOKUP(B3566,辅助信息!E:M,9,FALSE)</f>
        <v>ZTWM-CDGS-XS-2025-0125-四川机司-乐山市校地共建产教融合基地配套设施项目施工一标段钢筋采购合同</v>
      </c>
      <c r="R3566" s="22" t="str">
        <f>_xlfn._xlws.FILTER(辅助信息!D:D,辅助信息!E:E=B3566)</f>
        <v>乐山市校地共建产教融合基地建设项目一标段</v>
      </c>
    </row>
    <row r="3567" hidden="1" spans="2:18">
      <c r="B3567" s="90" t="s">
        <v>187</v>
      </c>
      <c r="C3567" s="63">
        <v>45919</v>
      </c>
      <c r="D3567" s="33" t="str">
        <f>VLOOKUP(B3567,辅助信息!E:K,7,FALSE)</f>
        <v>JWDDCD2025072900121</v>
      </c>
      <c r="E3567" s="33" t="str">
        <f>VLOOKUP(F3567,辅助信息!A:B,2,FALSE)</f>
        <v>螺纹钢</v>
      </c>
      <c r="F3567" s="33" t="s">
        <v>46</v>
      </c>
      <c r="G3567" s="29">
        <v>5</v>
      </c>
      <c r="H3567" s="127">
        <f>IF(SUMIFS('[1]2025年已发货'!$E:$E,'[1]2025年已发货'!$F:$F,C3567,'[1]2025年已发货'!$C:$C,F3567,'[1]2025年已发货'!$G:$G,I3567,'[1]2025年已发货'!$H:$H,J3567)=0,"未发货",SUMIFS('[1]2025年已发货'!$E:$E,'[1]2025年已发货'!$F:$F,C3567,'[1]2025年已发货'!$C:$C,F3567,'[1]2025年已发货'!$G:$G,I3567,'[1]2025年已发货'!$H:$H,J3567))</f>
        <v>5</v>
      </c>
      <c r="I3567" s="33" t="str">
        <f>VLOOKUP(B3567,辅助信息!E:I,3,FALSE)</f>
        <v>(乐山市校地共建产教融合基地建设项目一标段)四川省乐山市市中区苏稽镇周山嘴</v>
      </c>
      <c r="J3567" s="33" t="str">
        <f>VLOOKUP(B3567,辅助信息!E:I,4,FALSE)</f>
        <v>范增云</v>
      </c>
      <c r="K3567" s="33">
        <f>VLOOKUP(J3567,辅助信息!H:I,2,FALSE)</f>
        <v>13668153241</v>
      </c>
      <c r="L3567" s="102" t="str">
        <f>VLOOKUP(B3567,辅助信息!E:J,6,FALSE)</f>
        <v>联系实际收货人（范增云13668153241）现场要求炉批号控制2个以下，超2个不给予签收。提前联系到场规格及数量</v>
      </c>
      <c r="O3567" s="55" t="str">
        <f ca="1" t="shared" si="194"/>
        <v/>
      </c>
      <c r="P3567" s="55" t="str">
        <f ca="1" t="shared" si="195"/>
        <v/>
      </c>
      <c r="Q3567" s="22" t="str">
        <f>VLOOKUP(B3567,辅助信息!E:M,9,FALSE)</f>
        <v>ZTWM-CDGS-XS-2025-0125-四川机司-乐山市校地共建产教融合基地配套设施项目施工一标段钢筋采购合同</v>
      </c>
      <c r="R3567" s="22" t="str">
        <f>_xlfn._xlws.FILTER(辅助信息!D:D,辅助信息!E:E=B3567)</f>
        <v>乐山市校地共建产教融合基地建设项目一标段</v>
      </c>
    </row>
    <row r="3568" hidden="1" spans="2:18">
      <c r="B3568" s="90" t="s">
        <v>187</v>
      </c>
      <c r="C3568" s="63">
        <v>45919</v>
      </c>
      <c r="D3568" s="33" t="str">
        <f>VLOOKUP(B3568,辅助信息!E:K,7,FALSE)</f>
        <v>JWDDCD2025072900121</v>
      </c>
      <c r="E3568" s="33" t="str">
        <f>VLOOKUP(F3568,辅助信息!A:B,2,FALSE)</f>
        <v>螺纹钢</v>
      </c>
      <c r="F3568" s="33" t="s">
        <v>22</v>
      </c>
      <c r="G3568" s="29">
        <v>10</v>
      </c>
      <c r="H3568" s="127">
        <v>10</v>
      </c>
      <c r="I3568" s="33" t="str">
        <f>VLOOKUP(B3568,辅助信息!E:I,3,FALSE)</f>
        <v>(乐山市校地共建产教融合基地建设项目一标段)四川省乐山市市中区苏稽镇周山嘴</v>
      </c>
      <c r="J3568" s="33" t="str">
        <f>VLOOKUP(B3568,辅助信息!E:I,4,FALSE)</f>
        <v>范增云</v>
      </c>
      <c r="K3568" s="33">
        <f>VLOOKUP(J3568,辅助信息!H:I,2,FALSE)</f>
        <v>13668153241</v>
      </c>
      <c r="L3568" s="102" t="str">
        <f>VLOOKUP(B3568,辅助信息!E:J,6,FALSE)</f>
        <v>联系实际收货人（范增云13668153241）现场要求炉批号控制2个以下，超2个不给予签收。提前联系到场规格及数量</v>
      </c>
      <c r="O3568" s="55" t="str">
        <f ca="1" t="shared" si="194"/>
        <v/>
      </c>
      <c r="P3568" s="55" t="str">
        <f ca="1" t="shared" si="195"/>
        <v/>
      </c>
      <c r="Q3568" s="22" t="str">
        <f>VLOOKUP(B3568,辅助信息!E:M,9,FALSE)</f>
        <v>ZTWM-CDGS-XS-2025-0125-四川机司-乐山市校地共建产教融合基地配套设施项目施工一标段钢筋采购合同</v>
      </c>
      <c r="R3568" s="22" t="str">
        <f>_xlfn._xlws.FILTER(辅助信息!D:D,辅助信息!E:E=B3568)</f>
        <v>乐山市校地共建产教融合基地建设项目一标段</v>
      </c>
    </row>
    <row r="3569" hidden="1" spans="2:18">
      <c r="B3569" s="90" t="s">
        <v>187</v>
      </c>
      <c r="C3569" s="63">
        <v>45919</v>
      </c>
      <c r="D3569" s="33" t="str">
        <f>VLOOKUP(B3569,辅助信息!E:K,7,FALSE)</f>
        <v>JWDDCD2025072900121</v>
      </c>
      <c r="E3569" s="33" t="str">
        <f>VLOOKUP(F3569,辅助信息!A:B,2,FALSE)</f>
        <v>螺纹钢</v>
      </c>
      <c r="F3569" s="33" t="s">
        <v>181</v>
      </c>
      <c r="G3569" s="29">
        <v>5</v>
      </c>
      <c r="H3569" s="127">
        <v>5</v>
      </c>
      <c r="I3569" s="33" t="str">
        <f>VLOOKUP(B3569,辅助信息!E:I,3,FALSE)</f>
        <v>(乐山市校地共建产教融合基地建设项目一标段)四川省乐山市市中区苏稽镇周山嘴</v>
      </c>
      <c r="J3569" s="33" t="str">
        <f>VLOOKUP(B3569,辅助信息!E:I,4,FALSE)</f>
        <v>范增云</v>
      </c>
      <c r="K3569" s="33">
        <f>VLOOKUP(J3569,辅助信息!H:I,2,FALSE)</f>
        <v>13668153241</v>
      </c>
      <c r="L3569" s="102" t="str">
        <f>VLOOKUP(B3569,辅助信息!E:J,6,FALSE)</f>
        <v>联系实际收货人（范增云13668153241）现场要求炉批号控制2个以下，超2个不给予签收。提前联系到场规格及数量</v>
      </c>
      <c r="O3569" s="55" t="str">
        <f ca="1" t="shared" si="194"/>
        <v/>
      </c>
      <c r="P3569" s="55" t="str">
        <f ca="1" t="shared" si="195"/>
        <v/>
      </c>
      <c r="Q3569" s="22" t="str">
        <f>VLOOKUP(B3569,辅助信息!E:M,9,FALSE)</f>
        <v>ZTWM-CDGS-XS-2025-0125-四川机司-乐山市校地共建产教融合基地配套设施项目施工一标段钢筋采购合同</v>
      </c>
      <c r="R3569" s="22" t="str">
        <f>_xlfn._xlws.FILTER(辅助信息!D:D,辅助信息!E:E=B3569)</f>
        <v>乐山市校地共建产教融合基地建设项目一标段</v>
      </c>
    </row>
    <row r="3570" hidden="1" spans="2:18">
      <c r="B3570" s="90" t="s">
        <v>187</v>
      </c>
      <c r="C3570" s="63">
        <v>45919</v>
      </c>
      <c r="D3570" s="33" t="str">
        <f>VLOOKUP(B3570,辅助信息!E:K,7,FALSE)</f>
        <v>JWDDCD2025072900121</v>
      </c>
      <c r="E3570" s="33" t="str">
        <f>VLOOKUP(F3570,辅助信息!A:B,2,FALSE)</f>
        <v>螺纹钢</v>
      </c>
      <c r="F3570" s="33" t="s">
        <v>22</v>
      </c>
      <c r="G3570" s="29">
        <v>20</v>
      </c>
      <c r="H3570" s="127">
        <v>20</v>
      </c>
      <c r="I3570" s="33" t="str">
        <f>VLOOKUP(B3570,辅助信息!E:I,3,FALSE)</f>
        <v>(乐山市校地共建产教融合基地建设项目一标段)四川省乐山市市中区苏稽镇周山嘴</v>
      </c>
      <c r="J3570" s="33" t="str">
        <f>VLOOKUP(B3570,辅助信息!E:I,4,FALSE)</f>
        <v>范增云</v>
      </c>
      <c r="K3570" s="33">
        <f>VLOOKUP(J3570,辅助信息!H:I,2,FALSE)</f>
        <v>13668153241</v>
      </c>
      <c r="L3570" s="102" t="str">
        <f>VLOOKUP(B3570,辅助信息!E:J,6,FALSE)</f>
        <v>联系实际收货人（范增云13668153241）现场要求炉批号控制2个以下，超2个不给予签收。提前联系到场规格及数量</v>
      </c>
      <c r="O3570" s="55" t="str">
        <f ca="1" t="shared" si="194"/>
        <v/>
      </c>
      <c r="P3570" s="55" t="str">
        <f ca="1" t="shared" si="195"/>
        <v/>
      </c>
      <c r="Q3570" s="22" t="str">
        <f>VLOOKUP(B3570,辅助信息!E:M,9,FALSE)</f>
        <v>ZTWM-CDGS-XS-2025-0125-四川机司-乐山市校地共建产教融合基地配套设施项目施工一标段钢筋采购合同</v>
      </c>
      <c r="R3570" s="22" t="str">
        <f>_xlfn._xlws.FILTER(辅助信息!D:D,辅助信息!E:E=B3570)</f>
        <v>乐山市校地共建产教融合基地建设项目一标段</v>
      </c>
    </row>
    <row r="3571" hidden="1" spans="2:18">
      <c r="B3571" s="90" t="s">
        <v>187</v>
      </c>
      <c r="C3571" s="63">
        <v>45919</v>
      </c>
      <c r="D3571" s="33" t="str">
        <f>VLOOKUP(B3571,辅助信息!E:K,7,FALSE)</f>
        <v>JWDDCD2025072900121</v>
      </c>
      <c r="E3571" s="33" t="str">
        <f>VLOOKUP(F3571,辅助信息!A:B,2,FALSE)</f>
        <v>螺纹钢</v>
      </c>
      <c r="F3571" s="33" t="s">
        <v>142</v>
      </c>
      <c r="G3571" s="29">
        <v>15</v>
      </c>
      <c r="H3571" s="127">
        <f>IF(SUMIFS('[1]2025年已发货'!$E:$E,'[1]2025年已发货'!$F:$F,C3571,'[1]2025年已发货'!$C:$C,F3571,'[1]2025年已发货'!$G:$G,I3571,'[1]2025年已发货'!$H:$H,J3571)=0,"未发货",SUMIFS('[1]2025年已发货'!$E:$E,'[1]2025年已发货'!$F:$F,C3571,'[1]2025年已发货'!$C:$C,F3571,'[1]2025年已发货'!$G:$G,I3571,'[1]2025年已发货'!$H:$H,J3571))</f>
        <v>15</v>
      </c>
      <c r="I3571" s="33" t="str">
        <f>VLOOKUP(B3571,辅助信息!E:I,3,FALSE)</f>
        <v>(乐山市校地共建产教融合基地建设项目一标段)四川省乐山市市中区苏稽镇周山嘴</v>
      </c>
      <c r="J3571" s="33" t="str">
        <f>VLOOKUP(B3571,辅助信息!E:I,4,FALSE)</f>
        <v>范增云</v>
      </c>
      <c r="K3571" s="33">
        <f>VLOOKUP(J3571,辅助信息!H:I,2,FALSE)</f>
        <v>13668153241</v>
      </c>
      <c r="L3571" s="102" t="str">
        <f>VLOOKUP(B3571,辅助信息!E:J,6,FALSE)</f>
        <v>联系实际收货人（范增云13668153241）现场要求炉批号控制2个以下，超2个不给予签收。提前联系到场规格及数量</v>
      </c>
      <c r="O3571" s="55" t="str">
        <f ca="1" t="shared" si="194"/>
        <v/>
      </c>
      <c r="P3571" s="55" t="str">
        <f ca="1" t="shared" si="195"/>
        <v/>
      </c>
      <c r="Q3571" s="22" t="str">
        <f>VLOOKUP(B3571,辅助信息!E:M,9,FALSE)</f>
        <v>ZTWM-CDGS-XS-2025-0125-四川机司-乐山市校地共建产教融合基地配套设施项目施工一标段钢筋采购合同</v>
      </c>
      <c r="R3571" s="22" t="str">
        <f>_xlfn._xlws.FILTER(辅助信息!D:D,辅助信息!E:E=B3571)</f>
        <v>乐山市校地共建产教融合基地建设项目一标段</v>
      </c>
    </row>
    <row r="3572" hidden="1" spans="2:18">
      <c r="B3572" s="33" t="s">
        <v>194</v>
      </c>
      <c r="C3572" s="63">
        <v>45919</v>
      </c>
      <c r="D3572" s="33" t="str">
        <f>VLOOKUP(B3572,辅助信息!E:K,7,FALSE)</f>
        <v>JWDD2025071500089</v>
      </c>
      <c r="E3572" s="33" t="str">
        <f>VLOOKUP(F3572,辅助信息!A:B,2,FALSE)</f>
        <v>盘螺</v>
      </c>
      <c r="F3572" s="33" t="s">
        <v>41</v>
      </c>
      <c r="G3572" s="139">
        <v>21.3</v>
      </c>
      <c r="H3572" s="127"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33" t="str">
        <f>VLOOKUP(B3572,辅助信息!E:I,3,FALSE)</f>
        <v>(宜宾兴港三江新区长江工业园保障性租赁住房建设项目-土建)四川省宜宾市翠屏区永善路南段宜宾市三江新区长江工业园区</v>
      </c>
      <c r="J3572" s="33" t="str">
        <f>VLOOKUP(B3572,辅助信息!E:I,4,FALSE)</f>
        <v>赵元虎</v>
      </c>
      <c r="K3572" s="33">
        <f>VLOOKUP(J3572,辅助信息!H:I,2,FALSE)</f>
        <v>13684167136</v>
      </c>
      <c r="L3572" s="102" t="str">
        <f>VLOOKUP(B3572,辅助信息!E:J,6,FALSE)</f>
        <v>现场要求调度统一联系指定收货人，不单独发司机位置。锈货不收，装货前联系收货人核实到场规格,没提前告知进场规格现场不给予接收</v>
      </c>
      <c r="M3572" s="84">
        <v>45920</v>
      </c>
      <c r="O3572" s="55">
        <f ca="1" t="shared" si="194"/>
        <v>0</v>
      </c>
      <c r="P3572" s="55">
        <f ca="1" t="shared" si="195"/>
        <v>37</v>
      </c>
      <c r="Q3572" s="22" t="str">
        <f>VLOOKUP(B3572,辅助信息!E:M,9,FALSE)</f>
        <v>ZTWM-CDYXGS-XS-2025-0014-宜宾兴港建材-三江新区长江工业园片区保障性租赁住房建设项目</v>
      </c>
      <c r="R3572" s="22" t="str">
        <f>_xlfn._xlws.FILTER(辅助信息!D:D,辅助信息!E:E=B3572)</f>
        <v>宜宾兴港三江新区长江工业园建设项目</v>
      </c>
    </row>
    <row r="3573" hidden="1" spans="2:18">
      <c r="B3573" s="33" t="s">
        <v>194</v>
      </c>
      <c r="C3573" s="63">
        <v>45919</v>
      </c>
      <c r="D3573" s="33" t="str">
        <f>VLOOKUP(B3573,辅助信息!E:K,7,FALSE)</f>
        <v>JWDD2025071500089</v>
      </c>
      <c r="E3573" s="33" t="str">
        <f>VLOOKUP(F3573,辅助信息!A:B,2,FALSE)</f>
        <v>盘螺</v>
      </c>
      <c r="F3573" s="33" t="s">
        <v>26</v>
      </c>
      <c r="G3573" s="139">
        <v>2.5</v>
      </c>
      <c r="H3573" s="127">
        <f>IF(SUMIFS('[1]2025年已发货'!$E:$E,'[1]2025年已发货'!$F:$F,C3573,'[1]2025年已发货'!$C:$C,F3573,'[1]2025年已发货'!$G:$G,I3573,'[1]2025年已发货'!$H:$H,J3573)=0,"未发货",SUMIFS('[1]2025年已发货'!$E:$E,'[1]2025年已发货'!$F:$F,C3573,'[1]2025年已发货'!$C:$C,F3573,'[1]2025年已发货'!$G:$G,I3573,'[1]2025年已发货'!$H:$H,J3573))</f>
        <v>2.5</v>
      </c>
      <c r="I3573" s="33" t="str">
        <f>VLOOKUP(B3573,辅助信息!E:I,3,FALSE)</f>
        <v>(宜宾兴港三江新区长江工业园保障性租赁住房建设项目-土建)四川省宜宾市翠屏区永善路南段宜宾市三江新区长江工业园区</v>
      </c>
      <c r="J3573" s="33" t="str">
        <f>VLOOKUP(B3573,辅助信息!E:I,4,FALSE)</f>
        <v>赵元虎</v>
      </c>
      <c r="K3573" s="33">
        <f>VLOOKUP(J3573,辅助信息!H:I,2,FALSE)</f>
        <v>13684167136</v>
      </c>
      <c r="L3573" s="102" t="str">
        <f>VLOOKUP(B3573,辅助信息!E:J,6,FALSE)</f>
        <v>现场要求调度统一联系指定收货人，不单独发司机位置。锈货不收，装货前联系收货人核实到场规格,没提前告知进场规格现场不给予接收</v>
      </c>
      <c r="M3573" s="84">
        <v>45920</v>
      </c>
      <c r="O3573" s="55">
        <f ca="1" t="shared" si="194"/>
        <v>0</v>
      </c>
      <c r="P3573" s="55">
        <f ca="1" t="shared" si="195"/>
        <v>37</v>
      </c>
      <c r="Q3573" s="22" t="str">
        <f>VLOOKUP(B3573,辅助信息!E:M,9,FALSE)</f>
        <v>ZTWM-CDYXGS-XS-2025-0014-宜宾兴港建材-三江新区长江工业园片区保障性租赁住房建设项目</v>
      </c>
      <c r="R3573" s="22" t="str">
        <f>_xlfn._xlws.FILTER(辅助信息!D:D,辅助信息!E:E=B3573)</f>
        <v>宜宾兴港三江新区长江工业园建设项目</v>
      </c>
    </row>
    <row r="3574" hidden="1" spans="2:18">
      <c r="B3574" s="33" t="s">
        <v>194</v>
      </c>
      <c r="C3574" s="63">
        <v>45919</v>
      </c>
      <c r="D3574" s="33" t="str">
        <f>VLOOKUP(B3574,辅助信息!E:K,7,FALSE)</f>
        <v>JWDD2025071500089</v>
      </c>
      <c r="E3574" s="33" t="str">
        <f>VLOOKUP(F3574,辅助信息!A:B,2,FALSE)</f>
        <v>螺纹钢</v>
      </c>
      <c r="F3574" s="33" t="s">
        <v>27</v>
      </c>
      <c r="G3574" s="139">
        <v>15</v>
      </c>
      <c r="H3574" s="127">
        <f>IF(SUMIFS('[1]2025年已发货'!$E:$E,'[1]2025年已发货'!$F:$F,C3574,'[1]2025年已发货'!$C:$C,F3574,'[1]2025年已发货'!$G:$G,I3574,'[1]2025年已发货'!$H:$H,J3574)=0,"未发货",SUMIFS('[1]2025年已发货'!$E:$E,'[1]2025年已发货'!$F:$F,C3574,'[1]2025年已发货'!$C:$C,F3574,'[1]2025年已发货'!$G:$G,I3574,'[1]2025年已发货'!$H:$H,J3574))</f>
        <v>18</v>
      </c>
      <c r="I3574" s="33" t="str">
        <f>VLOOKUP(B3574,辅助信息!E:I,3,FALSE)</f>
        <v>(宜宾兴港三江新区长江工业园保障性租赁住房建设项目-土建)四川省宜宾市翠屏区永善路南段宜宾市三江新区长江工业园区</v>
      </c>
      <c r="J3574" s="33" t="str">
        <f>VLOOKUP(B3574,辅助信息!E:I,4,FALSE)</f>
        <v>赵元虎</v>
      </c>
      <c r="K3574" s="33">
        <f>VLOOKUP(J3574,辅助信息!H:I,2,FALSE)</f>
        <v>13684167136</v>
      </c>
      <c r="L3574" s="102" t="str">
        <f>VLOOKUP(B3574,辅助信息!E:J,6,FALSE)</f>
        <v>现场要求调度统一联系指定收货人，不单独发司机位置。锈货不收，装货前联系收货人核实到场规格,没提前告知进场规格现场不给予接收</v>
      </c>
      <c r="M3574" s="84">
        <v>45920</v>
      </c>
      <c r="O3574" s="55">
        <f ca="1" t="shared" si="194"/>
        <v>0</v>
      </c>
      <c r="P3574" s="55">
        <f ca="1" t="shared" si="195"/>
        <v>37</v>
      </c>
      <c r="Q3574" s="22" t="str">
        <f>VLOOKUP(B3574,辅助信息!E:M,9,FALSE)</f>
        <v>ZTWM-CDYXGS-XS-2025-0014-宜宾兴港建材-三江新区长江工业园片区保障性租赁住房建设项目</v>
      </c>
      <c r="R3574" s="22" t="str">
        <f>_xlfn._xlws.FILTER(辅助信息!D:D,辅助信息!E:E=B3574)</f>
        <v>宜宾兴港三江新区长江工业园建设项目</v>
      </c>
    </row>
    <row r="3575" hidden="1" spans="2:18">
      <c r="B3575" s="33" t="s">
        <v>194</v>
      </c>
      <c r="C3575" s="63">
        <v>45919</v>
      </c>
      <c r="D3575" s="33" t="str">
        <f>VLOOKUP(B3575,辅助信息!E:K,7,FALSE)</f>
        <v>JWDD2025071500089</v>
      </c>
      <c r="E3575" s="33" t="str">
        <f>VLOOKUP(F3575,辅助信息!A:B,2,FALSE)</f>
        <v>螺纹钢</v>
      </c>
      <c r="F3575" s="33" t="s">
        <v>19</v>
      </c>
      <c r="G3575" s="139">
        <v>35</v>
      </c>
      <c r="H3575" s="127">
        <f>IF(SUMIFS('[1]2025年已发货'!$E:$E,'[1]2025年已发货'!$F:$F,C3575,'[1]2025年已发货'!$C:$C,F3575,'[1]2025年已发货'!$G:$G,I3575,'[1]2025年已发货'!$H:$H,J3575)=0,"未发货",SUMIFS('[1]2025年已发货'!$E:$E,'[1]2025年已发货'!$F:$F,C3575,'[1]2025年已发货'!$C:$C,F3575,'[1]2025年已发货'!$G:$G,I3575,'[1]2025年已发货'!$H:$H,J3575))</f>
        <v>35</v>
      </c>
      <c r="I3575" s="33" t="str">
        <f>VLOOKUP(B3575,辅助信息!E:I,3,FALSE)</f>
        <v>(宜宾兴港三江新区长江工业园保障性租赁住房建设项目-土建)四川省宜宾市翠屏区永善路南段宜宾市三江新区长江工业园区</v>
      </c>
      <c r="J3575" s="33" t="str">
        <f>VLOOKUP(B3575,辅助信息!E:I,4,FALSE)</f>
        <v>赵元虎</v>
      </c>
      <c r="K3575" s="33">
        <f>VLOOKUP(J3575,辅助信息!H:I,2,FALSE)</f>
        <v>13684167136</v>
      </c>
      <c r="L3575" s="102" t="str">
        <f>VLOOKUP(B3575,辅助信息!E:J,6,FALSE)</f>
        <v>现场要求调度统一联系指定收货人，不单独发司机位置。锈货不收，装货前联系收货人核实到场规格,没提前告知进场规格现场不给予接收</v>
      </c>
      <c r="M3575" s="84">
        <v>45920</v>
      </c>
      <c r="O3575" s="55">
        <f ca="1" t="shared" si="194"/>
        <v>0</v>
      </c>
      <c r="P3575" s="55">
        <f ca="1" t="shared" si="195"/>
        <v>37</v>
      </c>
      <c r="Q3575" s="22" t="str">
        <f>VLOOKUP(B3575,辅助信息!E:M,9,FALSE)</f>
        <v>ZTWM-CDYXGS-XS-2025-0014-宜宾兴港建材-三江新区长江工业园片区保障性租赁住房建设项目</v>
      </c>
      <c r="R3575" s="22" t="str">
        <f>_xlfn._xlws.FILTER(辅助信息!D:D,辅助信息!E:E=B3575)</f>
        <v>宜宾兴港三江新区长江工业园建设项目</v>
      </c>
    </row>
    <row r="3576" hidden="1" spans="2:18">
      <c r="B3576" s="33" t="s">
        <v>194</v>
      </c>
      <c r="C3576" s="63">
        <v>45919</v>
      </c>
      <c r="D3576" s="33" t="str">
        <f>VLOOKUP(B3576,辅助信息!E:K,7,FALSE)</f>
        <v>JWDD2025071500089</v>
      </c>
      <c r="E3576" s="33" t="str">
        <f>VLOOKUP(F3576,辅助信息!A:B,2,FALSE)</f>
        <v>螺纹钢</v>
      </c>
      <c r="F3576" s="33" t="s">
        <v>30</v>
      </c>
      <c r="G3576" s="139">
        <v>12.5</v>
      </c>
      <c r="H3576" s="127">
        <f>IF(SUMIFS('[1]2025年已发货'!$E:$E,'[1]2025年已发货'!$F:$F,C3576,'[1]2025年已发货'!$C:$C,F3576,'[1]2025年已发货'!$G:$G,I3576,'[1]2025年已发货'!$H:$H,J3576)=0,"未发货",SUMIFS('[1]2025年已发货'!$E:$E,'[1]2025年已发货'!$F:$F,C3576,'[1]2025年已发货'!$C:$C,F3576,'[1]2025年已发货'!$G:$G,I3576,'[1]2025年已发货'!$H:$H,J3576))</f>
        <v>15</v>
      </c>
      <c r="I3576" s="33" t="str">
        <f>VLOOKUP(B3576,辅助信息!E:I,3,FALSE)</f>
        <v>(宜宾兴港三江新区长江工业园保障性租赁住房建设项目-土建)四川省宜宾市翠屏区永善路南段宜宾市三江新区长江工业园区</v>
      </c>
      <c r="J3576" s="33" t="str">
        <f>VLOOKUP(B3576,辅助信息!E:I,4,FALSE)</f>
        <v>赵元虎</v>
      </c>
      <c r="K3576" s="33">
        <f>VLOOKUP(J3576,辅助信息!H:I,2,FALSE)</f>
        <v>13684167136</v>
      </c>
      <c r="L3576" s="102" t="str">
        <f>VLOOKUP(B3576,辅助信息!E:J,6,FALSE)</f>
        <v>现场要求调度统一联系指定收货人，不单独发司机位置。锈货不收，装货前联系收货人核实到场规格,没提前告知进场规格现场不给予接收</v>
      </c>
      <c r="M3576" s="84">
        <v>45920</v>
      </c>
      <c r="O3576" s="55">
        <f ca="1" t="shared" si="194"/>
        <v>0</v>
      </c>
      <c r="P3576" s="55">
        <f ca="1" t="shared" si="195"/>
        <v>37</v>
      </c>
      <c r="Q3576" s="22" t="str">
        <f>VLOOKUP(B3576,辅助信息!E:M,9,FALSE)</f>
        <v>ZTWM-CDYXGS-XS-2025-0014-宜宾兴港建材-三江新区长江工业园片区保障性租赁住房建设项目</v>
      </c>
      <c r="R3576" s="22" t="str">
        <f>_xlfn._xlws.FILTER(辅助信息!D:D,辅助信息!E:E=B3576)</f>
        <v>宜宾兴港三江新区长江工业园建设项目</v>
      </c>
    </row>
    <row r="3577" hidden="1" spans="2:18">
      <c r="B3577" s="33" t="s">
        <v>194</v>
      </c>
      <c r="C3577" s="63">
        <v>45919</v>
      </c>
      <c r="D3577" s="33" t="str">
        <f>VLOOKUP(B3577,辅助信息!E:K,7,FALSE)</f>
        <v>JWDD2025071500089</v>
      </c>
      <c r="E3577" s="33" t="str">
        <f>VLOOKUP(F3577,辅助信息!A:B,2,FALSE)</f>
        <v>螺纹钢</v>
      </c>
      <c r="F3577" s="33" t="s">
        <v>33</v>
      </c>
      <c r="G3577" s="139">
        <v>10</v>
      </c>
      <c r="H3577" s="127">
        <f>IF(SUMIFS('[1]2025年已发货'!$E:$E,'[1]2025年已发货'!$F:$F,C3577,'[1]2025年已发货'!$C:$C,F3577,'[1]2025年已发货'!$G:$G,I3577,'[1]2025年已发货'!$H:$H,J3577)=0,"未发货",SUMIFS('[1]2025年已发货'!$E:$E,'[1]2025年已发货'!$F:$F,C3577,'[1]2025年已发货'!$C:$C,F3577,'[1]2025年已发货'!$G:$G,I3577,'[1]2025年已发货'!$H:$H,J3577))</f>
        <v>10</v>
      </c>
      <c r="I3577" s="33" t="str">
        <f>VLOOKUP(B3577,辅助信息!E:I,3,FALSE)</f>
        <v>(宜宾兴港三江新区长江工业园保障性租赁住房建设项目-土建)四川省宜宾市翠屏区永善路南段宜宾市三江新区长江工业园区</v>
      </c>
      <c r="J3577" s="33" t="str">
        <f>VLOOKUP(B3577,辅助信息!E:I,4,FALSE)</f>
        <v>赵元虎</v>
      </c>
      <c r="K3577" s="33">
        <f>VLOOKUP(J3577,辅助信息!H:I,2,FALSE)</f>
        <v>13684167136</v>
      </c>
      <c r="L3577" s="102" t="str">
        <f>VLOOKUP(B3577,辅助信息!E:J,6,FALSE)</f>
        <v>现场要求调度统一联系指定收货人，不单独发司机位置。锈货不收，装货前联系收货人核实到场规格,没提前告知进场规格现场不给予接收</v>
      </c>
      <c r="M3577" s="84">
        <v>45920</v>
      </c>
      <c r="O3577" s="55">
        <f ca="1" t="shared" si="194"/>
        <v>0</v>
      </c>
      <c r="P3577" s="55">
        <f ca="1" t="shared" si="195"/>
        <v>37</v>
      </c>
      <c r="Q3577" s="22" t="str">
        <f>VLOOKUP(B3577,辅助信息!E:M,9,FALSE)</f>
        <v>ZTWM-CDYXGS-XS-2025-0014-宜宾兴港建材-三江新区长江工业园片区保障性租赁住房建设项目</v>
      </c>
      <c r="R3577" s="22" t="str">
        <f>_xlfn._xlws.FILTER(辅助信息!D:D,辅助信息!E:E=B3577)</f>
        <v>宜宾兴港三江新区长江工业园建设项目</v>
      </c>
    </row>
    <row r="3578" hidden="1" spans="2:18">
      <c r="B3578" s="33" t="s">
        <v>194</v>
      </c>
      <c r="C3578" s="63">
        <v>45919</v>
      </c>
      <c r="D3578" s="33" t="str">
        <f>VLOOKUP(B3578,辅助信息!E:K,7,FALSE)</f>
        <v>JWDD2025071500089</v>
      </c>
      <c r="E3578" s="33" t="str">
        <f>VLOOKUP(F3578,辅助信息!A:B,2,FALSE)</f>
        <v>螺纹钢</v>
      </c>
      <c r="F3578" s="33" t="s">
        <v>28</v>
      </c>
      <c r="G3578" s="139">
        <v>10</v>
      </c>
      <c r="H3578" s="127">
        <f>IF(SUMIFS('[1]2025年已发货'!$E:$E,'[1]2025年已发货'!$F:$F,C3578,'[1]2025年已发货'!$C:$C,F3578,'[1]2025年已发货'!$G:$G,I3578,'[1]2025年已发货'!$H:$H,J3578)=0,"未发货",SUMIFS('[1]2025年已发货'!$E:$E,'[1]2025年已发货'!$F:$F,C3578,'[1]2025年已发货'!$C:$C,F3578,'[1]2025年已发货'!$G:$G,I3578,'[1]2025年已发货'!$H:$H,J3578))</f>
        <v>10</v>
      </c>
      <c r="I3578" s="33" t="str">
        <f>VLOOKUP(B3578,辅助信息!E:I,3,FALSE)</f>
        <v>(宜宾兴港三江新区长江工业园保障性租赁住房建设项目-土建)四川省宜宾市翠屏区永善路南段宜宾市三江新区长江工业园区</v>
      </c>
      <c r="J3578" s="33" t="str">
        <f>VLOOKUP(B3578,辅助信息!E:I,4,FALSE)</f>
        <v>赵元虎</v>
      </c>
      <c r="K3578" s="33">
        <f>VLOOKUP(J3578,辅助信息!H:I,2,FALSE)</f>
        <v>13684167136</v>
      </c>
      <c r="L3578" s="102" t="str">
        <f>VLOOKUP(B3578,辅助信息!E:J,6,FALSE)</f>
        <v>现场要求调度统一联系指定收货人，不单独发司机位置。锈货不收，装货前联系收货人核实到场规格,没提前告知进场规格现场不给予接收</v>
      </c>
      <c r="M3578" s="84">
        <v>45920</v>
      </c>
      <c r="O3578" s="55">
        <f ca="1" t="shared" si="194"/>
        <v>0</v>
      </c>
      <c r="P3578" s="55">
        <f ca="1" t="shared" si="195"/>
        <v>37</v>
      </c>
      <c r="Q3578" s="22" t="str">
        <f>VLOOKUP(B3578,辅助信息!E:M,9,FALSE)</f>
        <v>ZTWM-CDYXGS-XS-2025-0014-宜宾兴港建材-三江新区长江工业园片区保障性租赁住房建设项目</v>
      </c>
      <c r="R3578" s="22" t="str">
        <f>_xlfn._xlws.FILTER(辅助信息!D:D,辅助信息!E:E=B3578)</f>
        <v>宜宾兴港三江新区长江工业园建设项目</v>
      </c>
    </row>
    <row r="3579" hidden="1" spans="2:18">
      <c r="B3579" s="33" t="s">
        <v>194</v>
      </c>
      <c r="C3579" s="63">
        <v>45919</v>
      </c>
      <c r="D3579" s="33" t="str">
        <f>VLOOKUP(B3579,辅助信息!E:K,7,FALSE)</f>
        <v>JWDD2025071500089</v>
      </c>
      <c r="E3579" s="33" t="str">
        <f>VLOOKUP(F3579,辅助信息!A:B,2,FALSE)</f>
        <v>螺纹钢</v>
      </c>
      <c r="F3579" s="33" t="s">
        <v>18</v>
      </c>
      <c r="G3579" s="139">
        <v>10</v>
      </c>
      <c r="H3579" s="127">
        <f>IF(SUMIFS('[1]2025年已发货'!$E:$E,'[1]2025年已发货'!$F:$F,C3579,'[1]2025年已发货'!$C:$C,F3579,'[1]2025年已发货'!$G:$G,I3579,'[1]2025年已发货'!$H:$H,J3579)=0,"未发货",SUMIFS('[1]2025年已发货'!$E:$E,'[1]2025年已发货'!$F:$F,C3579,'[1]2025年已发货'!$C:$C,F3579,'[1]2025年已发货'!$G:$G,I3579,'[1]2025年已发货'!$H:$H,J3579))</f>
        <v>10</v>
      </c>
      <c r="I3579" s="33" t="str">
        <f>VLOOKUP(B3579,辅助信息!E:I,3,FALSE)</f>
        <v>(宜宾兴港三江新区长江工业园保障性租赁住房建设项目-土建)四川省宜宾市翠屏区永善路南段宜宾市三江新区长江工业园区</v>
      </c>
      <c r="J3579" s="33" t="str">
        <f>VLOOKUP(B3579,辅助信息!E:I,4,FALSE)</f>
        <v>赵元虎</v>
      </c>
      <c r="K3579" s="33">
        <f>VLOOKUP(J3579,辅助信息!H:I,2,FALSE)</f>
        <v>13684167136</v>
      </c>
      <c r="L3579" s="102" t="str">
        <f>VLOOKUP(B3579,辅助信息!E:J,6,FALSE)</f>
        <v>现场要求调度统一联系指定收货人，不单独发司机位置。锈货不收，装货前联系收货人核实到场规格,没提前告知进场规格现场不给予接收</v>
      </c>
      <c r="M3579" s="84">
        <v>45920</v>
      </c>
      <c r="O3579" s="55">
        <f ca="1" t="shared" si="194"/>
        <v>0</v>
      </c>
      <c r="P3579" s="55">
        <f ca="1" t="shared" si="195"/>
        <v>37</v>
      </c>
      <c r="Q3579" s="22" t="str">
        <f>VLOOKUP(B3579,辅助信息!E:M,9,FALSE)</f>
        <v>ZTWM-CDYXGS-XS-2025-0014-宜宾兴港建材-三江新区长江工业园片区保障性租赁住房建设项目</v>
      </c>
      <c r="R3579" s="22" t="str">
        <f>_xlfn._xlws.FILTER(辅助信息!D:D,辅助信息!E:E=B3579)</f>
        <v>宜宾兴港三江新区长江工业园建设项目</v>
      </c>
    </row>
    <row r="3580" hidden="1" spans="2:18">
      <c r="B3580" s="33" t="s">
        <v>194</v>
      </c>
      <c r="C3580" s="63">
        <v>45919</v>
      </c>
      <c r="D3580" s="33" t="str">
        <f>VLOOKUP(B3580,辅助信息!E:K,7,FALSE)</f>
        <v>JWDD2025071500089</v>
      </c>
      <c r="E3580" s="33" t="str">
        <f>VLOOKUP(F3580,辅助信息!A:B,2,FALSE)</f>
        <v>盘螺</v>
      </c>
      <c r="F3580" s="33" t="s">
        <v>49</v>
      </c>
      <c r="G3580" s="139">
        <v>4</v>
      </c>
      <c r="H3580" s="127">
        <f>IF(SUMIFS('[1]2025年已发货'!$E:$E,'[1]2025年已发货'!$F:$F,C3580,'[1]2025年已发货'!$C:$C,F3580,'[1]2025年已发货'!$G:$G,I3580,'[1]2025年已发货'!$H:$H,J3580)=0,"未发货",SUMIFS('[1]2025年已发货'!$E:$E,'[1]2025年已发货'!$F:$F,C3580,'[1]2025年已发货'!$C:$C,F3580,'[1]2025年已发货'!$G:$G,I3580,'[1]2025年已发货'!$H:$H,J3580))</f>
        <v>4</v>
      </c>
      <c r="I3580" s="33" t="str">
        <f>VLOOKUP(B3580,辅助信息!E:I,3,FALSE)</f>
        <v>(宜宾兴港三江新区长江工业园保障性租赁住房建设项目-土建)四川省宜宾市翠屏区永善路南段宜宾市三江新区长江工业园区</v>
      </c>
      <c r="J3580" s="33" t="str">
        <f>VLOOKUP(B3580,辅助信息!E:I,4,FALSE)</f>
        <v>赵元虎</v>
      </c>
      <c r="K3580" s="33">
        <f>VLOOKUP(J3580,辅助信息!H:I,2,FALSE)</f>
        <v>13684167136</v>
      </c>
      <c r="L3580" s="102" t="str">
        <f>VLOOKUP(B3580,辅助信息!E:J,6,FALSE)</f>
        <v>现场要求调度统一联系指定收货人，不单独发司机位置。锈货不收，装货前联系收货人核实到场规格,没提前告知进场规格现场不给予接收</v>
      </c>
      <c r="M3580" s="84">
        <v>45920</v>
      </c>
      <c r="O3580" s="55">
        <f ca="1" t="shared" si="194"/>
        <v>0</v>
      </c>
      <c r="P3580" s="55">
        <f ca="1" t="shared" si="195"/>
        <v>37</v>
      </c>
      <c r="Q3580" s="22" t="str">
        <f>VLOOKUP(B3580,辅助信息!E:M,9,FALSE)</f>
        <v>ZTWM-CDYXGS-XS-2025-0014-宜宾兴港建材-三江新区长江工业园片区保障性租赁住房建设项目</v>
      </c>
      <c r="R3580" s="22" t="str">
        <f>_xlfn._xlws.FILTER(辅助信息!D:D,辅助信息!E:E=B3580)</f>
        <v>宜宾兴港三江新区长江工业园建设项目</v>
      </c>
    </row>
    <row r="3581" hidden="1" spans="2:18">
      <c r="B3581" s="33" t="s">
        <v>194</v>
      </c>
      <c r="C3581" s="63">
        <v>45919</v>
      </c>
      <c r="D3581" s="33" t="str">
        <f>VLOOKUP(B3581,辅助信息!E:K,7,FALSE)</f>
        <v>JWDD2025071500089</v>
      </c>
      <c r="E3581" s="33" t="str">
        <f>VLOOKUP(F3581,辅助信息!A:B,2,FALSE)</f>
        <v>盘螺</v>
      </c>
      <c r="F3581" s="33" t="s">
        <v>40</v>
      </c>
      <c r="G3581" s="139">
        <v>20</v>
      </c>
      <c r="H3581" s="127"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33" t="str">
        <f>VLOOKUP(B3581,辅助信息!E:I,3,FALSE)</f>
        <v>(宜宾兴港三江新区长江工业园保障性租赁住房建设项目-土建)四川省宜宾市翠屏区永善路南段宜宾市三江新区长江工业园区</v>
      </c>
      <c r="J3581" s="33" t="str">
        <f>VLOOKUP(B3581,辅助信息!E:I,4,FALSE)</f>
        <v>赵元虎</v>
      </c>
      <c r="K3581" s="33">
        <f>VLOOKUP(J3581,辅助信息!H:I,2,FALSE)</f>
        <v>13684167136</v>
      </c>
      <c r="L3581" s="102" t="str">
        <f>VLOOKUP(B3581,辅助信息!E:J,6,FALSE)</f>
        <v>现场要求调度统一联系指定收货人，不单独发司机位置。锈货不收，装货前联系收货人核实到场规格,没提前告知进场规格现场不给予接收</v>
      </c>
      <c r="M3581" s="84">
        <v>45920</v>
      </c>
      <c r="O3581" s="55">
        <f ca="1" t="shared" si="194"/>
        <v>0</v>
      </c>
      <c r="P3581" s="55">
        <f ca="1" t="shared" si="195"/>
        <v>37</v>
      </c>
      <c r="Q3581" s="22" t="str">
        <f>VLOOKUP(B3581,辅助信息!E:M,9,FALSE)</f>
        <v>ZTWM-CDYXGS-XS-2025-0014-宜宾兴港建材-三江新区长江工业园片区保障性租赁住房建设项目</v>
      </c>
      <c r="R3581" s="22" t="str">
        <f>_xlfn._xlws.FILTER(辅助信息!D:D,辅助信息!E:E=B3581)</f>
        <v>宜宾兴港三江新区长江工业园建设项目</v>
      </c>
    </row>
    <row r="3582" hidden="1" spans="2:18">
      <c r="B3582" s="113" t="s">
        <v>176</v>
      </c>
      <c r="C3582" s="63">
        <v>45921</v>
      </c>
      <c r="D3582" s="113" t="str">
        <f>VLOOKUP(B3582,辅助信息!E:K,7,FALSE)</f>
        <v>JWDDCD2025062200016</v>
      </c>
      <c r="E3582" s="113" t="str">
        <f>VLOOKUP(F3582,辅助信息!A:B,2,FALSE)</f>
        <v>盘螺</v>
      </c>
      <c r="F3582" s="113" t="s">
        <v>40</v>
      </c>
      <c r="G3582" s="123">
        <v>5</v>
      </c>
      <c r="H3582" s="127">
        <f>IF(SUMIFS('[1]2025年已发货'!$E:$E,'[1]2025年已发货'!$F:$F,C3582,'[1]2025年已发货'!$C:$C,F3582,'[1]2025年已发货'!$G:$G,I3582,'[1]2025年已发货'!$H:$H,J3582)=0,"未发货",SUMIFS('[1]2025年已发货'!$E:$E,'[1]2025年已发货'!$F:$F,C3582,'[1]2025年已发货'!$C:$C,F3582,'[1]2025年已发货'!$G:$G,I3582,'[1]2025年已发货'!$H:$H,J3582))</f>
        <v>5</v>
      </c>
      <c r="I3582" s="113" t="str">
        <f>VLOOKUP(B3582,辅助信息!E:I,3,FALSE)</f>
        <v>(武汉电气化局成达万高铁强电项目-渠县)四川省达州市渠县渠北镇雷家湾渠县北站旁</v>
      </c>
      <c r="J3582" s="113" t="str">
        <f>VLOOKUP(B3582,辅助信息!E:I,4,FALSE)</f>
        <v>刘频</v>
      </c>
      <c r="K3582" s="113">
        <f>VLOOKUP(J3582,辅助信息!H:I,2,FALSE)</f>
        <v>18779627939</v>
      </c>
      <c r="L3582" s="115" t="str">
        <f>VLOOKUP(B3582,辅助信息!E:J,6,FALSE)</f>
        <v>锈货不收！！下雨天钢筋没盖篷布不收！！，装货前联系收货人核实到场规格,没提前告知进场规格现场不给予接收</v>
      </c>
      <c r="M3582" s="84">
        <v>45918</v>
      </c>
      <c r="O3582" s="55">
        <f ca="1" t="shared" si="194"/>
        <v>0</v>
      </c>
      <c r="P3582" s="55">
        <f ca="1" t="shared" si="195"/>
        <v>39</v>
      </c>
      <c r="Q3582" s="22" t="str">
        <f>VLOOKUP(B3582,辅助信息!E:M,9,FALSE)</f>
        <v>ZTWM-CDGS-XS-2025-0033-中铁武汉电气化局集团有限公司成达万高速铁路强电工程项目</v>
      </c>
      <c r="R3582" s="22" t="str">
        <f>_xlfn._xlws.FILTER(辅助信息!D:D,辅助信息!E:E=B3582)</f>
        <v>武汉电气化局成达万高铁强电项目</v>
      </c>
    </row>
    <row r="3583" hidden="1" spans="2:18">
      <c r="B3583" s="113" t="s">
        <v>176</v>
      </c>
      <c r="C3583" s="63">
        <v>45921</v>
      </c>
      <c r="D3583" s="113" t="str">
        <f>VLOOKUP(B3583,辅助信息!E:K,7,FALSE)</f>
        <v>JWDDCD2025062200016</v>
      </c>
      <c r="E3583" s="113" t="str">
        <f>VLOOKUP(F3583,辅助信息!A:B,2,FALSE)</f>
        <v>螺纹钢</v>
      </c>
      <c r="F3583" s="113" t="s">
        <v>30</v>
      </c>
      <c r="G3583" s="123">
        <v>9</v>
      </c>
      <c r="H3583" s="127">
        <f>IF(SUMIFS('[1]2025年已发货'!$E:$E,'[1]2025年已发货'!$F:$F,C3583,'[1]2025年已发货'!$C:$C,F3583,'[1]2025年已发货'!$G:$G,I3583,'[1]2025年已发货'!$H:$H,J3583)=0,"未发货",SUMIFS('[1]2025年已发货'!$E:$E,'[1]2025年已发货'!$F:$F,C3583,'[1]2025年已发货'!$C:$C,F3583,'[1]2025年已发货'!$G:$G,I3583,'[1]2025年已发货'!$H:$H,J3583))</f>
        <v>9</v>
      </c>
      <c r="I3583" s="113" t="str">
        <f>VLOOKUP(B3583,辅助信息!E:I,3,FALSE)</f>
        <v>(武汉电气化局成达万高铁强电项目-渠县)四川省达州市渠县渠北镇雷家湾渠县北站旁</v>
      </c>
      <c r="J3583" s="113" t="str">
        <f>VLOOKUP(B3583,辅助信息!E:I,4,FALSE)</f>
        <v>刘频</v>
      </c>
      <c r="K3583" s="113">
        <f>VLOOKUP(J3583,辅助信息!H:I,2,FALSE)</f>
        <v>18779627939</v>
      </c>
      <c r="L3583" s="115" t="str">
        <f>VLOOKUP(B3583,辅助信息!E:J,6,FALSE)</f>
        <v>锈货不收！！下雨天钢筋没盖篷布不收！！，装货前联系收货人核实到场规格,没提前告知进场规格现场不给予接收</v>
      </c>
      <c r="M3583" s="84">
        <v>45918</v>
      </c>
      <c r="O3583" s="55">
        <f ca="1" t="shared" si="194"/>
        <v>0</v>
      </c>
      <c r="P3583" s="55">
        <f ca="1" t="shared" si="195"/>
        <v>39</v>
      </c>
      <c r="Q3583" s="22" t="str">
        <f>VLOOKUP(B3583,辅助信息!E:M,9,FALSE)</f>
        <v>ZTWM-CDGS-XS-2025-0033-中铁武汉电气化局集团有限公司成达万高速铁路强电工程项目</v>
      </c>
      <c r="R3583" s="22" t="str">
        <f>_xlfn._xlws.FILTER(辅助信息!D:D,辅助信息!E:E=B3583)</f>
        <v>武汉电气化局成达万高铁强电项目</v>
      </c>
    </row>
    <row r="3584" hidden="1" spans="2:18">
      <c r="B3584" s="113" t="s">
        <v>176</v>
      </c>
      <c r="C3584" s="63">
        <v>45921</v>
      </c>
      <c r="D3584" s="113" t="str">
        <f>VLOOKUP(B3584,辅助信息!E:K,7,FALSE)</f>
        <v>JWDDCD2025062200016</v>
      </c>
      <c r="E3584" s="113" t="str">
        <f>VLOOKUP(F3584,辅助信息!A:B,2,FALSE)</f>
        <v>螺纹钢</v>
      </c>
      <c r="F3584" s="113" t="s">
        <v>90</v>
      </c>
      <c r="G3584" s="123">
        <v>12</v>
      </c>
      <c r="H3584" s="127">
        <f>IF(SUMIFS('[1]2025年已发货'!$E:$E,'[1]2025年已发货'!$F:$F,C3584,'[1]2025年已发货'!$C:$C,F3584,'[1]2025年已发货'!$G:$G,I3584,'[1]2025年已发货'!$H:$H,J3584)=0,"未发货",SUMIFS('[1]2025年已发货'!$E:$E,'[1]2025年已发货'!$F:$F,C3584,'[1]2025年已发货'!$C:$C,F3584,'[1]2025年已发货'!$G:$G,I3584,'[1]2025年已发货'!$H:$H,J3584))</f>
        <v>12</v>
      </c>
      <c r="I3584" s="113" t="str">
        <f>VLOOKUP(B3584,辅助信息!E:I,3,FALSE)</f>
        <v>(武汉电气化局成达万高铁强电项目-渠县)四川省达州市渠县渠北镇雷家湾渠县北站旁</v>
      </c>
      <c r="J3584" s="113" t="str">
        <f>VLOOKUP(B3584,辅助信息!E:I,4,FALSE)</f>
        <v>刘频</v>
      </c>
      <c r="K3584" s="113">
        <f>VLOOKUP(J3584,辅助信息!H:I,2,FALSE)</f>
        <v>18779627939</v>
      </c>
      <c r="L3584" s="115" t="str">
        <f>VLOOKUP(B3584,辅助信息!E:J,6,FALSE)</f>
        <v>锈货不收！！下雨天钢筋没盖篷布不收！！，装货前联系收货人核实到场规格,没提前告知进场规格现场不给予接收</v>
      </c>
      <c r="M3584" s="84">
        <v>45918</v>
      </c>
      <c r="O3584" s="55">
        <f ca="1" t="shared" si="194"/>
        <v>0</v>
      </c>
      <c r="P3584" s="55">
        <f ca="1" t="shared" si="195"/>
        <v>39</v>
      </c>
      <c r="Q3584" s="22" t="str">
        <f>VLOOKUP(B3584,辅助信息!E:M,9,FALSE)</f>
        <v>ZTWM-CDGS-XS-2025-0033-中铁武汉电气化局集团有限公司成达万高速铁路强电工程项目</v>
      </c>
      <c r="R3584" s="22" t="str">
        <f>_xlfn._xlws.FILTER(辅助信息!D:D,辅助信息!E:E=B3584)</f>
        <v>武汉电气化局成达万高铁强电项目</v>
      </c>
    </row>
    <row r="3585" hidden="1" spans="2:18">
      <c r="B3585" s="113" t="s">
        <v>176</v>
      </c>
      <c r="C3585" s="63">
        <v>45921</v>
      </c>
      <c r="D3585" s="113" t="str">
        <f>VLOOKUP(B3585,辅助信息!E:K,7,FALSE)</f>
        <v>JWDDCD2025062200016</v>
      </c>
      <c r="E3585" s="113" t="str">
        <f>VLOOKUP(F3585,辅助信息!A:B,2,FALSE)</f>
        <v>螺纹钢</v>
      </c>
      <c r="F3585" s="113" t="s">
        <v>133</v>
      </c>
      <c r="G3585" s="123">
        <v>9</v>
      </c>
      <c r="H3585" s="127">
        <f>IF(SUMIFS('[1]2025年已发货'!$E:$E,'[1]2025年已发货'!$F:$F,C3585,'[1]2025年已发货'!$C:$C,F3585,'[1]2025年已发货'!$G:$G,I3585,'[1]2025年已发货'!$H:$H,J3585)=0,"未发货",SUMIFS('[1]2025年已发货'!$E:$E,'[1]2025年已发货'!$F:$F,C3585,'[1]2025年已发货'!$C:$C,F3585,'[1]2025年已发货'!$G:$G,I3585,'[1]2025年已发货'!$H:$H,J3585))</f>
        <v>9</v>
      </c>
      <c r="I3585" s="113" t="str">
        <f>VLOOKUP(B3585,辅助信息!E:I,3,FALSE)</f>
        <v>(武汉电气化局成达万高铁强电项目-渠县)四川省达州市渠县渠北镇雷家湾渠县北站旁</v>
      </c>
      <c r="J3585" s="113" t="str">
        <f>VLOOKUP(B3585,辅助信息!E:I,4,FALSE)</f>
        <v>刘频</v>
      </c>
      <c r="K3585" s="113">
        <f>VLOOKUP(J3585,辅助信息!H:I,2,FALSE)</f>
        <v>18779627939</v>
      </c>
      <c r="L3585" s="115" t="str">
        <f>VLOOKUP(B3585,辅助信息!E:J,6,FALSE)</f>
        <v>锈货不收！！下雨天钢筋没盖篷布不收！！，装货前联系收货人核实到场规格,没提前告知进场规格现场不给予接收</v>
      </c>
      <c r="M3585" s="84">
        <v>45918</v>
      </c>
      <c r="O3585" s="55">
        <f ca="1" t="shared" si="194"/>
        <v>0</v>
      </c>
      <c r="P3585" s="55">
        <f ca="1" t="shared" si="195"/>
        <v>39</v>
      </c>
      <c r="Q3585" s="22" t="str">
        <f>VLOOKUP(B3585,辅助信息!E:M,9,FALSE)</f>
        <v>ZTWM-CDGS-XS-2025-0033-中铁武汉电气化局集团有限公司成达万高速铁路强电工程项目</v>
      </c>
      <c r="R3585" s="22" t="str">
        <f>_xlfn._xlws.FILTER(辅助信息!D:D,辅助信息!E:E=B3585)</f>
        <v>武汉电气化局成达万高铁强电项目</v>
      </c>
    </row>
    <row r="3586" hidden="1" spans="2:18">
      <c r="B3586" s="113" t="s">
        <v>163</v>
      </c>
      <c r="C3586" s="63">
        <v>45921</v>
      </c>
      <c r="D3586" s="113" t="str">
        <f>VLOOKUP(B3586,辅助信息!E:K,7,FALSE)</f>
        <v>JWDDCD2025052800131</v>
      </c>
      <c r="E3586" s="113" t="str">
        <f>VLOOKUP(F3586,辅助信息!A:B,2,FALSE)</f>
        <v>螺纹钢</v>
      </c>
      <c r="F3586" s="113" t="s">
        <v>21</v>
      </c>
      <c r="G3586" s="114">
        <v>35</v>
      </c>
      <c r="H3586" s="127">
        <f>IF(SUMIFS('[1]2025年已发货'!$E:$E,'[1]2025年已发货'!$F:$F,C3586,'[1]2025年已发货'!$C:$C,F3586,'[1]2025年已发货'!$G:$G,I3586,'[1]2025年已发货'!$H:$H,J3586)=0,"未发货",SUMIFS('[1]2025年已发货'!$E:$E,'[1]2025年已发货'!$F:$F,C3586,'[1]2025年已发货'!$C:$C,F3586,'[1]2025年已发货'!$G:$G,I3586,'[1]2025年已发货'!$H:$H,J3586))</f>
        <v>35</v>
      </c>
      <c r="I3586" s="113" t="str">
        <f>VLOOKUP(B3586,辅助信息!E:I,3,FALSE)</f>
        <v>（商投建工达州中医药科技园-4工区-9号楼）达州市通川区达州中医药职业学院犀牛大道北段</v>
      </c>
      <c r="J3586" s="113" t="str">
        <f>VLOOKUP(B3586,辅助信息!E:I,4,FALSE)</f>
        <v>张扬</v>
      </c>
      <c r="K3586" s="113">
        <f>VLOOKUP(J3586,辅助信息!H:I,2,FALSE)</f>
        <v>18381904567</v>
      </c>
      <c r="L3586" s="115" t="str">
        <f>VLOOKUP(B3586,辅助信息!E:J,6,FALSE)</f>
        <v>控制炉批号！多了现场不收！,优先安排达钢,提前联系到场规格及数量</v>
      </c>
      <c r="M3586" s="84">
        <v>45919</v>
      </c>
      <c r="O3586" s="55">
        <f ca="1" t="shared" si="194"/>
        <v>0</v>
      </c>
      <c r="P3586" s="55">
        <f ca="1" t="shared" si="195"/>
        <v>38</v>
      </c>
      <c r="Q3586" s="22" t="str">
        <f>VLOOKUP(B3586,辅助信息!E:M,9,FALSE)</f>
        <v>ZTWM-CDGS-XS-2024-0134-商投建工达州中医药科技成果示范园项目</v>
      </c>
      <c r="R3586" s="22" t="str">
        <f>_xlfn._xlws.FILTER(辅助信息!D:D,辅助信息!E:E=B3586)</f>
        <v>商投建工达州中医药科技园</v>
      </c>
    </row>
    <row r="3587" hidden="1" spans="2:18">
      <c r="B3587" s="113" t="s">
        <v>167</v>
      </c>
      <c r="C3587" s="63">
        <v>45922</v>
      </c>
      <c r="D3587" s="113" t="str">
        <f>VLOOKUP(B3587,辅助信息!E:K,7,FALSE)</f>
        <v>JWDDCD2025102100473</v>
      </c>
      <c r="E3587" s="113" t="str">
        <f>VLOOKUP(F3587,辅助信息!A:B,2,FALSE)</f>
        <v>螺纹钢</v>
      </c>
      <c r="F3587" s="113" t="s">
        <v>27</v>
      </c>
      <c r="G3587" s="114">
        <v>30</v>
      </c>
      <c r="H3587" s="127">
        <f>IF(SUMIFS('[1]2025年已发货'!$E:$E,'[1]2025年已发货'!$F:$F,C3587,'[1]2025年已发货'!$C:$C,F3587,'[1]2025年已发货'!$G:$G,I3587,'[1]2025年已发货'!$H:$H,J3587)=0,"未发货",SUMIFS('[1]2025年已发货'!$E:$E,'[1]2025年已发货'!$F:$F,C3587,'[1]2025年已发货'!$C:$C,F3587,'[1]2025年已发货'!$G:$G,I3587,'[1]2025年已发货'!$H:$H,J3587))</f>
        <v>30</v>
      </c>
      <c r="I3587" s="113" t="str">
        <f>VLOOKUP(B3587,辅助信息!E:I,3,FALSE)</f>
        <v>(五冶建设扩建艺体中学二期工程)四川省成都市双流区光荣路成都艺体中学南200米</v>
      </c>
      <c r="J3587" s="113" t="str">
        <f>VLOOKUP(B3587,辅助信息!E:I,4,FALSE)</f>
        <v>谢序强</v>
      </c>
      <c r="K3587" s="113">
        <f>VLOOKUP(J3587,辅助信息!H:I,2,FALSE)</f>
        <v>13458588232</v>
      </c>
      <c r="L3587" s="115"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84">
        <v>45921</v>
      </c>
      <c r="O3587" s="55">
        <f ca="1" t="shared" si="194"/>
        <v>0</v>
      </c>
      <c r="P3587" s="55">
        <f ca="1" t="shared" si="195"/>
        <v>36</v>
      </c>
      <c r="Q3587" s="22" t="str">
        <f>VLOOKUP(B3587,辅助信息!E:M,9,FALSE)</f>
        <v>ZTWM-CDGS-XS-2025-0073-五冶天府-成都怡心湖片区及龙泉驿医院等项目</v>
      </c>
      <c r="R3587" s="22" t="str">
        <f>_xlfn._xlws.FILTER(辅助信息!D:D,辅助信息!E:E=B3587)</f>
        <v>五冶建设扩建艺体中学二期工程</v>
      </c>
    </row>
    <row r="3588" hidden="1" spans="2:18">
      <c r="B3588" s="113" t="s">
        <v>167</v>
      </c>
      <c r="C3588" s="63">
        <v>45922</v>
      </c>
      <c r="D3588" s="113" t="str">
        <f>VLOOKUP(B3588,辅助信息!E:K,7,FALSE)</f>
        <v>JWDDCD2025102100473</v>
      </c>
      <c r="E3588" s="113" t="str">
        <f>VLOOKUP(F3588,辅助信息!A:B,2,FALSE)</f>
        <v>螺纹钢</v>
      </c>
      <c r="F3588" s="113" t="s">
        <v>21</v>
      </c>
      <c r="G3588" s="114">
        <v>6</v>
      </c>
      <c r="H3588" s="127">
        <f>IF(SUMIFS('[1]2025年已发货'!$E:$E,'[1]2025年已发货'!$F:$F,C3588,'[1]2025年已发货'!$C:$C,F3588,'[1]2025年已发货'!$G:$G,I3588,'[1]2025年已发货'!$H:$H,J3588)=0,"未发货",SUMIFS('[1]2025年已发货'!$E:$E,'[1]2025年已发货'!$F:$F,C3588,'[1]2025年已发货'!$C:$C,F3588,'[1]2025年已发货'!$G:$G,I3588,'[1]2025年已发货'!$H:$H,J3588))</f>
        <v>6</v>
      </c>
      <c r="I3588" s="113" t="str">
        <f>VLOOKUP(B3588,辅助信息!E:I,3,FALSE)</f>
        <v>(五冶建设扩建艺体中学二期工程)四川省成都市双流区光荣路成都艺体中学南200米</v>
      </c>
      <c r="J3588" s="113" t="str">
        <f>VLOOKUP(B3588,辅助信息!E:I,4,FALSE)</f>
        <v>谢序强</v>
      </c>
      <c r="K3588" s="113">
        <f>VLOOKUP(J3588,辅助信息!H:I,2,FALSE)</f>
        <v>13458588232</v>
      </c>
      <c r="L3588" s="115"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84">
        <v>45921</v>
      </c>
      <c r="O3588" s="55">
        <f ca="1" t="shared" si="194"/>
        <v>0</v>
      </c>
      <c r="P3588" s="55">
        <f ca="1" t="shared" si="195"/>
        <v>36</v>
      </c>
      <c r="Q3588" s="22" t="str">
        <f>VLOOKUP(B3588,辅助信息!E:M,9,FALSE)</f>
        <v>ZTWM-CDGS-XS-2025-0073-五冶天府-成都怡心湖片区及龙泉驿医院等项目</v>
      </c>
      <c r="R3588" s="22" t="str">
        <f>_xlfn._xlws.FILTER(辅助信息!D:D,辅助信息!E:E=B3588)</f>
        <v>五冶建设扩建艺体中学二期工程</v>
      </c>
    </row>
    <row r="3589" hidden="1" spans="1:18">
      <c r="A3589" s="50" t="s">
        <v>178</v>
      </c>
      <c r="B3589" s="113" t="s">
        <v>192</v>
      </c>
      <c r="C3589" s="63">
        <v>45921</v>
      </c>
      <c r="D3589" s="113" t="str">
        <f>VLOOKUP(B3589,辅助信息!E:K,7,FALSE)</f>
        <v>JWDDCD2025102100475</v>
      </c>
      <c r="E3589" s="113" t="str">
        <f>VLOOKUP(F3589,辅助信息!A:B,2,FALSE)</f>
        <v>螺纹钢</v>
      </c>
      <c r="F3589" s="113" t="s">
        <v>30</v>
      </c>
      <c r="G3589" s="114">
        <v>25</v>
      </c>
      <c r="H3589" s="127">
        <f>IF(SUMIFS('[1]2025年已发货'!$E:$E,'[1]2025年已发货'!$F:$F,C3589,'[1]2025年已发货'!$C:$C,F3589,'[1]2025年已发货'!$G:$G,I3589,'[1]2025年已发货'!$H:$H,J3589)=0,"未发货",SUMIFS('[1]2025年已发货'!$E:$E,'[1]2025年已发货'!$F:$F,C3589,'[1]2025年已发货'!$C:$C,F3589,'[1]2025年已发货'!$G:$G,I3589,'[1]2025年已发货'!$H:$H,J3589))</f>
        <v>25</v>
      </c>
      <c r="I3589" s="113" t="str">
        <f>VLOOKUP(B3589,辅助信息!E:I,3,FALSE)</f>
        <v>(五冶建设成都国际铁路港多式联项目)四川省成都市青白江区桂平大道成都中远海运陆港多式联运有限公司</v>
      </c>
      <c r="J3589" s="113" t="str">
        <f>VLOOKUP(B3589,辅助信息!E:I,4,FALSE)</f>
        <v>黄勇杰</v>
      </c>
      <c r="K3589" s="113">
        <f>VLOOKUP(J3589,辅助信息!H:I,2,FALSE)</f>
        <v>13880580196</v>
      </c>
      <c r="L3589" s="115"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84">
        <v>45921</v>
      </c>
      <c r="O3589" s="55">
        <f ca="1" t="shared" si="194"/>
        <v>0</v>
      </c>
      <c r="P3589" s="55">
        <f ca="1" t="shared" si="195"/>
        <v>36</v>
      </c>
      <c r="Q3589" s="22" t="str">
        <f>VLOOKUP(B3589,辅助信息!E:M,9,FALSE)</f>
        <v>ZTWM-CDGS-XS-2025-0073-五冶天府-成都怡心湖片区及龙泉驿医院等项目</v>
      </c>
      <c r="R3589" s="22" t="str">
        <f>_xlfn._xlws.FILTER(辅助信息!D:D,辅助信息!E:E=B3589)</f>
        <v>五冶建设成都国际铁路港多式联项目</v>
      </c>
    </row>
    <row r="3590" hidden="1" spans="2:18">
      <c r="B3590" s="113" t="s">
        <v>81</v>
      </c>
      <c r="C3590" s="63">
        <v>45922</v>
      </c>
      <c r="D3590" s="113" t="str">
        <f>VLOOKUP(B3590,辅助信息!E:K,7,FALSE)</f>
        <v>JWDDCD2025060900080</v>
      </c>
      <c r="E3590" s="113" t="str">
        <f>VLOOKUP(F3590,辅助信息!A:B,2,FALSE)</f>
        <v>盘螺</v>
      </c>
      <c r="F3590" s="113" t="s">
        <v>49</v>
      </c>
      <c r="G3590" s="114">
        <v>15</v>
      </c>
      <c r="H3590" s="127">
        <f>IF(SUMIFS('[1]2025年已发货'!$E:$E,'[1]2025年已发货'!$F:$F,C3590,'[1]2025年已发货'!$C:$C,F3590,'[1]2025年已发货'!$G:$G,I3590,'[1]2025年已发货'!$H:$H,J3590)=0,"未发货",SUMIFS('[1]2025年已发货'!$E:$E,'[1]2025年已发货'!$F:$F,C3590,'[1]2025年已发货'!$C:$C,F3590,'[1]2025年已发货'!$G:$G,I3590,'[1]2025年已发货'!$H:$H,J3590))</f>
        <v>15</v>
      </c>
      <c r="I3590" s="113" t="str">
        <f>VLOOKUP(B3590,辅助信息!E:I,3,FALSE)</f>
        <v>（华西简阳西城嘉苑）四川省成都市简阳市简城街道高屋村</v>
      </c>
      <c r="J3590" s="113" t="str">
        <f>VLOOKUP(B3590,辅助信息!E:I,4,FALSE)</f>
        <v>张瀚镭</v>
      </c>
      <c r="K3590" s="113">
        <f>VLOOKUP(J3590,辅助信息!H:I,2,FALSE)</f>
        <v>15884666220</v>
      </c>
      <c r="L3590" s="115" t="str">
        <f>VLOOKUP(B3590,辅助信息!E:J,6,FALSE)</f>
        <v>现场禁止使用氢能源挂车！优先威钢发货,我方卸车,新老国标钢厂不加价可直发，因陕钢多次出现磅差，项目拒绝使用</v>
      </c>
      <c r="M3590" s="84">
        <v>45921</v>
      </c>
      <c r="O3590" s="55">
        <f ca="1" t="shared" si="194"/>
        <v>0</v>
      </c>
      <c r="P3590" s="55">
        <f ca="1" t="shared" si="195"/>
        <v>36</v>
      </c>
      <c r="Q3590" s="22" t="str">
        <f>VLOOKUP(B3590,辅助信息!E:M,9,FALSE)</f>
        <v>ZTWM-CDGS-XS-2024-0030-华西集采-简州大道</v>
      </c>
      <c r="R3590" s="22" t="str">
        <f>_xlfn._xlws.FILTER(辅助信息!D:D,辅助信息!E:E=B3590)</f>
        <v>华西简阳西城嘉苑</v>
      </c>
    </row>
    <row r="3591" hidden="1" spans="2:18">
      <c r="B3591" s="113" t="s">
        <v>81</v>
      </c>
      <c r="C3591" s="63">
        <v>45922</v>
      </c>
      <c r="D3591" s="113" t="str">
        <f>VLOOKUP(B3591,辅助信息!E:K,7,FALSE)</f>
        <v>JWDDCD2025060900080</v>
      </c>
      <c r="E3591" s="113" t="str">
        <f>VLOOKUP(F3591,辅助信息!A:B,2,FALSE)</f>
        <v>盘螺</v>
      </c>
      <c r="F3591" s="113" t="s">
        <v>40</v>
      </c>
      <c r="G3591" s="114">
        <v>100</v>
      </c>
      <c r="H3591" s="127">
        <f>IF(SUMIFS('[1]2025年已发货'!$E:$E,'[1]2025年已发货'!$F:$F,C3591,'[1]2025年已发货'!$C:$C,F3591,'[1]2025年已发货'!$G:$G,I3591,'[1]2025年已发货'!$H:$H,J3591)=0,"未发货",SUMIFS('[1]2025年已发货'!$E:$E,'[1]2025年已发货'!$F:$F,C3591,'[1]2025年已发货'!$C:$C,F3591,'[1]2025年已发货'!$G:$G,I3591,'[1]2025年已发货'!$H:$H,J3591))</f>
        <v>35</v>
      </c>
      <c r="I3591" s="113" t="str">
        <f>VLOOKUP(B3591,辅助信息!E:I,3,FALSE)</f>
        <v>（华西简阳西城嘉苑）四川省成都市简阳市简城街道高屋村</v>
      </c>
      <c r="J3591" s="113" t="str">
        <f>VLOOKUP(B3591,辅助信息!E:I,4,FALSE)</f>
        <v>张瀚镭</v>
      </c>
      <c r="K3591" s="113">
        <f>VLOOKUP(J3591,辅助信息!H:I,2,FALSE)</f>
        <v>15884666220</v>
      </c>
      <c r="L3591" s="115" t="str">
        <f>VLOOKUP(B3591,辅助信息!E:J,6,FALSE)</f>
        <v>现场禁止使用氢能源挂车！优先威钢发货,我方卸车,新老国标钢厂不加价可直发，因陕钢多次出现磅差，项目拒绝使用</v>
      </c>
      <c r="M3591" s="84">
        <v>45921</v>
      </c>
      <c r="O3591" s="55">
        <f ca="1" t="shared" si="194"/>
        <v>0</v>
      </c>
      <c r="P3591" s="55">
        <f ca="1" t="shared" si="195"/>
        <v>36</v>
      </c>
      <c r="Q3591" s="22" t="str">
        <f>VLOOKUP(B3591,辅助信息!E:M,9,FALSE)</f>
        <v>ZTWM-CDGS-XS-2024-0030-华西集采-简州大道</v>
      </c>
      <c r="R3591" s="22" t="str">
        <f>_xlfn._xlws.FILTER(辅助信息!D:D,辅助信息!E:E=B3591)</f>
        <v>华西简阳西城嘉苑</v>
      </c>
    </row>
    <row r="3592" hidden="1" spans="2:18">
      <c r="B3592" s="113" t="s">
        <v>81</v>
      </c>
      <c r="C3592" s="63">
        <v>45922</v>
      </c>
      <c r="D3592" s="113" t="str">
        <f>VLOOKUP(B3592,辅助信息!E:K,7,FALSE)</f>
        <v>JWDDCD2025060900080</v>
      </c>
      <c r="E3592" s="113" t="str">
        <f>VLOOKUP(F3592,辅助信息!A:B,2,FALSE)</f>
        <v>盘螺</v>
      </c>
      <c r="F3592" s="113" t="s">
        <v>41</v>
      </c>
      <c r="G3592" s="114">
        <v>30</v>
      </c>
      <c r="H3592" s="127"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13" t="str">
        <f>VLOOKUP(B3592,辅助信息!E:I,3,FALSE)</f>
        <v>（华西简阳西城嘉苑）四川省成都市简阳市简城街道高屋村</v>
      </c>
      <c r="J3592" s="113" t="str">
        <f>VLOOKUP(B3592,辅助信息!E:I,4,FALSE)</f>
        <v>张瀚镭</v>
      </c>
      <c r="K3592" s="113">
        <f>VLOOKUP(J3592,辅助信息!H:I,2,FALSE)</f>
        <v>15884666220</v>
      </c>
      <c r="L3592" s="115" t="str">
        <f>VLOOKUP(B3592,辅助信息!E:J,6,FALSE)</f>
        <v>现场禁止使用氢能源挂车！优先威钢发货,我方卸车,新老国标钢厂不加价可直发，因陕钢多次出现磅差，项目拒绝使用</v>
      </c>
      <c r="M3592" s="84">
        <v>45921</v>
      </c>
      <c r="O3592" s="55">
        <f ca="1" t="shared" si="194"/>
        <v>0</v>
      </c>
      <c r="P3592" s="55">
        <f ca="1" t="shared" si="195"/>
        <v>36</v>
      </c>
      <c r="Q3592" s="22" t="str">
        <f>VLOOKUP(B3592,辅助信息!E:M,9,FALSE)</f>
        <v>ZTWM-CDGS-XS-2024-0030-华西集采-简州大道</v>
      </c>
      <c r="R3592" s="22" t="str">
        <f>_xlfn._xlws.FILTER(辅助信息!D:D,辅助信息!E:E=B3592)</f>
        <v>华西简阳西城嘉苑</v>
      </c>
    </row>
    <row r="3593" hidden="1" spans="2:18">
      <c r="B3593" s="113" t="s">
        <v>81</v>
      </c>
      <c r="C3593" s="63">
        <v>45922</v>
      </c>
      <c r="D3593" s="113" t="str">
        <f>VLOOKUP(B3593,辅助信息!E:K,7,FALSE)</f>
        <v>JWDDCD2025060900080</v>
      </c>
      <c r="E3593" s="113" t="str">
        <f>VLOOKUP(F3593,辅助信息!A:B,2,FALSE)</f>
        <v>盘螺</v>
      </c>
      <c r="F3593" s="113" t="s">
        <v>26</v>
      </c>
      <c r="G3593" s="114">
        <v>20</v>
      </c>
      <c r="H3593" s="127">
        <f>IF(SUMIFS('[1]2025年已发货'!$E:$E,'[1]2025年已发货'!$F:$F,C3593,'[1]2025年已发货'!$C:$C,F3593,'[1]2025年已发货'!$G:$G,I3593,'[1]2025年已发货'!$H:$H,J3593)=0,"未发货",SUMIFS('[1]2025年已发货'!$E:$E,'[1]2025年已发货'!$F:$F,C3593,'[1]2025年已发货'!$C:$C,F3593,'[1]2025年已发货'!$G:$G,I3593,'[1]2025年已发货'!$H:$H,J3593))</f>
        <v>20</v>
      </c>
      <c r="I3593" s="113" t="str">
        <f>VLOOKUP(B3593,辅助信息!E:I,3,FALSE)</f>
        <v>（华西简阳西城嘉苑）四川省成都市简阳市简城街道高屋村</v>
      </c>
      <c r="J3593" s="113" t="str">
        <f>VLOOKUP(B3593,辅助信息!E:I,4,FALSE)</f>
        <v>张瀚镭</v>
      </c>
      <c r="K3593" s="113">
        <f>VLOOKUP(J3593,辅助信息!H:I,2,FALSE)</f>
        <v>15884666220</v>
      </c>
      <c r="L3593" s="115" t="str">
        <f>VLOOKUP(B3593,辅助信息!E:J,6,FALSE)</f>
        <v>现场禁止使用氢能源挂车！优先威钢发货,我方卸车,新老国标钢厂不加价可直发，因陕钢多次出现磅差，项目拒绝使用</v>
      </c>
      <c r="M3593" s="84">
        <v>45921</v>
      </c>
      <c r="O3593" s="55">
        <f ca="1" t="shared" si="194"/>
        <v>0</v>
      </c>
      <c r="P3593" s="55">
        <f ca="1" t="shared" si="195"/>
        <v>36</v>
      </c>
      <c r="Q3593" s="22" t="str">
        <f>VLOOKUP(B3593,辅助信息!E:M,9,FALSE)</f>
        <v>ZTWM-CDGS-XS-2024-0030-华西集采-简州大道</v>
      </c>
      <c r="R3593" s="22" t="str">
        <f>_xlfn._xlws.FILTER(辅助信息!D:D,辅助信息!E:E=B3593)</f>
        <v>华西简阳西城嘉苑</v>
      </c>
    </row>
    <row r="3594" hidden="1" spans="2:18">
      <c r="B3594" s="143" t="s">
        <v>194</v>
      </c>
      <c r="C3594" s="88">
        <v>45920</v>
      </c>
      <c r="D3594" s="143" t="str">
        <f>VLOOKUP(B3594,辅助信息!E:K,7,FALSE)</f>
        <v>JWDD2025071500089</v>
      </c>
      <c r="E3594" s="143" t="str">
        <f>VLOOKUP(F3594,辅助信息!A:B,2,FALSE)</f>
        <v>盘螺</v>
      </c>
      <c r="F3594" s="143" t="s">
        <v>41</v>
      </c>
      <c r="G3594" s="144">
        <v>21.3</v>
      </c>
      <c r="H3594" s="145">
        <f>IF(SUMIFS('[1]2025年已发货'!$E:$E,'[1]2025年已发货'!$F:$F,C3594,'[1]2025年已发货'!$C:$C,F3594,'[1]2025年已发货'!$G:$G,I3594,'[1]2025年已发货'!$H:$H,J3594)=0,"未发货",SUMIFS('[1]2025年已发货'!$E:$E,'[1]2025年已发货'!$F:$F,C3594,'[1]2025年已发货'!$C:$C,F3594,'[1]2025年已发货'!$G:$G,I3594,'[1]2025年已发货'!$H:$H,J3594))</f>
        <v>17.5</v>
      </c>
      <c r="I3594" s="143" t="str">
        <f>VLOOKUP(B3594,辅助信息!E:I,3,FALSE)</f>
        <v>(宜宾兴港三江新区长江工业园保障性租赁住房建设项目-土建)四川省宜宾市翠屏区永善路南段宜宾市三江新区长江工业园区</v>
      </c>
      <c r="J3594" s="143" t="str">
        <f>VLOOKUP(B3594,辅助信息!E:I,4,FALSE)</f>
        <v>赵元虎</v>
      </c>
      <c r="K3594" s="143">
        <f>VLOOKUP(J3594,辅助信息!H:I,2,FALSE)</f>
        <v>13684167136</v>
      </c>
      <c r="L3594" s="120" t="str">
        <f>VLOOKUP(B3594,辅助信息!E:J,6,FALSE)</f>
        <v>现场要求调度统一联系指定收货人，不单独发司机位置。锈货不收，装货前联系收货人核实到场规格,没提前告知进场规格现场不给予接收</v>
      </c>
      <c r="M3594" s="84">
        <v>45920</v>
      </c>
      <c r="O3594" s="55">
        <f ca="1" t="shared" si="194"/>
        <v>0</v>
      </c>
      <c r="P3594" s="55">
        <f ca="1" t="shared" si="195"/>
        <v>37</v>
      </c>
      <c r="Q3594" s="22" t="str">
        <f>VLOOKUP(B3594,辅助信息!E:M,9,FALSE)</f>
        <v>ZTWM-CDYXGS-XS-2025-0014-宜宾兴港建材-三江新区长江工业园片区保障性租赁住房建设项目</v>
      </c>
      <c r="R3594" s="22" t="str">
        <f>_xlfn._xlws.FILTER(辅助信息!D:D,辅助信息!E:E=B3594)</f>
        <v>宜宾兴港三江新区长江工业园建设项目</v>
      </c>
    </row>
    <row r="3595" hidden="1" spans="2:18">
      <c r="B3595" s="143" t="s">
        <v>194</v>
      </c>
      <c r="C3595" s="88">
        <v>45920</v>
      </c>
      <c r="D3595" s="143" t="str">
        <f>VLOOKUP(B3595,辅助信息!E:K,7,FALSE)</f>
        <v>JWDD2025071500089</v>
      </c>
      <c r="E3595" s="143" t="str">
        <f>VLOOKUP(F3595,辅助信息!A:B,2,FALSE)</f>
        <v>盘螺</v>
      </c>
      <c r="F3595" s="143" t="s">
        <v>40</v>
      </c>
      <c r="G3595" s="144">
        <v>20</v>
      </c>
      <c r="H3595" s="145">
        <f>IF(SUMIFS('[1]2025年已发货'!$E:$E,'[1]2025年已发货'!$F:$F,C3595,'[1]2025年已发货'!$C:$C,F3595,'[1]2025年已发货'!$G:$G,I3595,'[1]2025年已发货'!$H:$H,J3595)=0,"未发货",SUMIFS('[1]2025年已发货'!$E:$E,'[1]2025年已发货'!$F:$F,C3595,'[1]2025年已发货'!$C:$C,F3595,'[1]2025年已发货'!$G:$G,I3595,'[1]2025年已发货'!$H:$H,J3595))</f>
        <v>17.5</v>
      </c>
      <c r="I3595" s="143" t="str">
        <f>VLOOKUP(B3595,辅助信息!E:I,3,FALSE)</f>
        <v>(宜宾兴港三江新区长江工业园保障性租赁住房建设项目-土建)四川省宜宾市翠屏区永善路南段宜宾市三江新区长江工业园区</v>
      </c>
      <c r="J3595" s="143" t="str">
        <f>VLOOKUP(B3595,辅助信息!E:I,4,FALSE)</f>
        <v>赵元虎</v>
      </c>
      <c r="K3595" s="143">
        <f>VLOOKUP(J3595,辅助信息!H:I,2,FALSE)</f>
        <v>13684167136</v>
      </c>
      <c r="L3595" s="120" t="str">
        <f>VLOOKUP(B3595,辅助信息!E:J,6,FALSE)</f>
        <v>现场要求调度统一联系指定收货人，不单独发司机位置。锈货不收，装货前联系收货人核实到场规格,没提前告知进场规格现场不给予接收</v>
      </c>
      <c r="M3595" s="84">
        <v>45920</v>
      </c>
      <c r="O3595" s="55">
        <f ca="1" t="shared" si="194"/>
        <v>0</v>
      </c>
      <c r="P3595" s="55">
        <f ca="1" t="shared" si="195"/>
        <v>37</v>
      </c>
      <c r="Q3595" s="22" t="str">
        <f>VLOOKUP(B3595,辅助信息!E:M,9,FALSE)</f>
        <v>ZTWM-CDYXGS-XS-2025-0014-宜宾兴港建材-三江新区长江工业园片区保障性租赁住房建设项目</v>
      </c>
      <c r="R3595" s="22" t="str">
        <f>_xlfn._xlws.FILTER(辅助信息!D:D,辅助信息!E:E=B3595)</f>
        <v>宜宾兴港三江新区长江工业园建设项目</v>
      </c>
    </row>
    <row r="3596" hidden="1" spans="2:18">
      <c r="B3596" s="33" t="s">
        <v>169</v>
      </c>
      <c r="C3596" s="63">
        <v>45922</v>
      </c>
      <c r="D3596" s="33" t="str">
        <f>VLOOKUP(B3596,辅助信息!E:K,7,FALSE)</f>
        <v>JWDDCD2025051800044</v>
      </c>
      <c r="E3596" s="33" t="str">
        <f>VLOOKUP(F3596,辅助信息!A:B,2,FALSE)</f>
        <v>螺纹钢</v>
      </c>
      <c r="F3596" s="33" t="s">
        <v>28</v>
      </c>
      <c r="G3596" s="29">
        <v>70</v>
      </c>
      <c r="H3596" s="127"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33" t="str">
        <f>VLOOKUP(B3596,辅助信息!E:I,3,FALSE)</f>
        <v>(五冶建设龙泉芙蓉花语项目-1,3地块)龙泉驿区北川路双堰塘钓鱼东100米(北川路)</v>
      </c>
      <c r="J3596" s="33" t="str">
        <f>VLOOKUP(B3596,辅助信息!E:I,4,FALSE)</f>
        <v>祝斯阳</v>
      </c>
      <c r="K3596" s="33">
        <f>VLOOKUP(J3596,辅助信息!H:I,2,FALSE)</f>
        <v>15583590797</v>
      </c>
      <c r="L3596" s="102"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84">
        <v>45922</v>
      </c>
      <c r="O3596" s="55">
        <f ca="1" t="shared" si="194"/>
        <v>0</v>
      </c>
      <c r="P3596" s="55">
        <f ca="1" t="shared" si="195"/>
        <v>35</v>
      </c>
      <c r="Q3596" s="22" t="str">
        <f>VLOOKUP(B3596,辅助信息!E:M,9,FALSE)</f>
        <v>ZTWM-CDGS-XS-2025-0073-五冶天府-成都怡心湖片区及龙泉驿医院等项目</v>
      </c>
      <c r="R3596" s="22" t="str">
        <f>_xlfn._xlws.FILTER(辅助信息!D:D,辅助信息!E:E=B3596)</f>
        <v>五冶建设龙泉芙蓉花语项目</v>
      </c>
    </row>
    <row r="3597" hidden="1" spans="2:18">
      <c r="B3597" s="33" t="s">
        <v>31</v>
      </c>
      <c r="C3597" s="63">
        <v>45922</v>
      </c>
      <c r="D3597" s="33" t="str">
        <f>VLOOKUP(B3597,辅助信息!E:K,7,FALSE)</f>
        <v>JWDDCD2024121000136</v>
      </c>
      <c r="E3597" s="33" t="str">
        <f>VLOOKUP(F3597,辅助信息!A:B,2,FALSE)</f>
        <v>盘螺</v>
      </c>
      <c r="F3597" s="33" t="s">
        <v>49</v>
      </c>
      <c r="G3597" s="29">
        <v>25</v>
      </c>
      <c r="H3597" s="127">
        <f>IF(SUMIFS('[1]2025年已发货'!$E:$E,'[1]2025年已发货'!$F:$F,C3597,'[1]2025年已发货'!$C:$C,F3597,'[1]2025年已发货'!$G:$G,I3597,'[1]2025年已发货'!$H:$H,J3597)=0,"未发货",SUMIFS('[1]2025年已发货'!$E:$E,'[1]2025年已发货'!$F:$F,C3597,'[1]2025年已发货'!$C:$C,F3597,'[1]2025年已发货'!$G:$G,I3597,'[1]2025年已发货'!$H:$H,J3597))</f>
        <v>25</v>
      </c>
      <c r="I3597" s="33" t="str">
        <f>VLOOKUP(B3597,辅助信息!E:I,3,FALSE)</f>
        <v>（四川商建-射洪城乡一体化项目）遂宁市射洪市忠新幼儿园北侧约220米新溪小区</v>
      </c>
      <c r="J3597" s="33" t="str">
        <f>VLOOKUP(B3597,辅助信息!E:I,4,FALSE)</f>
        <v>柏子刚</v>
      </c>
      <c r="K3597" s="33">
        <f>VLOOKUP(J3597,辅助信息!H:I,2,FALSE)</f>
        <v>15692885305</v>
      </c>
      <c r="L3597" s="102" t="str">
        <f>VLOOKUP(B3597,辅助信息!E:J,6,FALSE)</f>
        <v>提前联系到场规格及数量</v>
      </c>
      <c r="M3597" s="84">
        <v>45922</v>
      </c>
      <c r="O3597" s="55">
        <f ca="1" t="shared" si="194"/>
        <v>0</v>
      </c>
      <c r="P3597" s="55">
        <f ca="1" t="shared" si="195"/>
        <v>35</v>
      </c>
      <c r="Q3597" s="22" t="str">
        <f>VLOOKUP(B3597,辅助信息!E:M,9,FALSE)</f>
        <v>ZTWM-CDGS-XS-2024-0179-四川商投-射洪城乡一体化建设项目</v>
      </c>
      <c r="R3597" s="22" t="str">
        <f>_xlfn._xlws.FILTER(辅助信息!D:D,辅助信息!E:E=B3597)</f>
        <v>四川商建
射洪城乡一体化项目</v>
      </c>
    </row>
    <row r="3598" hidden="1" spans="2:18">
      <c r="B3598" s="33" t="s">
        <v>31</v>
      </c>
      <c r="C3598" s="63">
        <v>45922</v>
      </c>
      <c r="D3598" s="33" t="str">
        <f>VLOOKUP(B3598,辅助信息!E:K,7,FALSE)</f>
        <v>JWDDCD2024121000136</v>
      </c>
      <c r="E3598" s="33" t="str">
        <f>VLOOKUP(F3598,辅助信息!A:B,2,FALSE)</f>
        <v>螺纹钢</v>
      </c>
      <c r="F3598" s="33" t="s">
        <v>18</v>
      </c>
      <c r="G3598" s="29">
        <v>10</v>
      </c>
      <c r="H3598" s="127">
        <f>IF(SUMIFS('[1]2025年已发货'!$E:$E,'[1]2025年已发货'!$F:$F,C3598,'[1]2025年已发货'!$C:$C,F3598,'[1]2025年已发货'!$G:$G,I3598,'[1]2025年已发货'!$H:$H,J3598)=0,"未发货",SUMIFS('[1]2025年已发货'!$E:$E,'[1]2025年已发货'!$F:$F,C3598,'[1]2025年已发货'!$C:$C,F3598,'[1]2025年已发货'!$G:$G,I3598,'[1]2025年已发货'!$H:$H,J3598))</f>
        <v>10</v>
      </c>
      <c r="I3598" s="33" t="str">
        <f>VLOOKUP(B3598,辅助信息!E:I,3,FALSE)</f>
        <v>（四川商建-射洪城乡一体化项目）遂宁市射洪市忠新幼儿园北侧约220米新溪小区</v>
      </c>
      <c r="J3598" s="33" t="str">
        <f>VLOOKUP(B3598,辅助信息!E:I,4,FALSE)</f>
        <v>柏子刚</v>
      </c>
      <c r="K3598" s="33">
        <f>VLOOKUP(J3598,辅助信息!H:I,2,FALSE)</f>
        <v>15692885305</v>
      </c>
      <c r="L3598" s="102" t="str">
        <f>VLOOKUP(B3598,辅助信息!E:J,6,FALSE)</f>
        <v>提前联系到场规格及数量</v>
      </c>
      <c r="M3598" s="84">
        <v>45922</v>
      </c>
      <c r="O3598" s="55">
        <f ca="1" t="shared" si="194"/>
        <v>0</v>
      </c>
      <c r="P3598" s="55">
        <f ca="1" t="shared" si="195"/>
        <v>35</v>
      </c>
      <c r="Q3598" s="22" t="str">
        <f>VLOOKUP(B3598,辅助信息!E:M,9,FALSE)</f>
        <v>ZTWM-CDGS-XS-2024-0179-四川商投-射洪城乡一体化建设项目</v>
      </c>
      <c r="R3598" s="22" t="str">
        <f>_xlfn._xlws.FILTER(辅助信息!D:D,辅助信息!E:E=B3598)</f>
        <v>四川商建
射洪城乡一体化项目</v>
      </c>
    </row>
    <row r="3599" hidden="1" spans="2:18">
      <c r="B3599" s="33" t="s">
        <v>176</v>
      </c>
      <c r="C3599" s="63">
        <v>45921</v>
      </c>
      <c r="D3599" s="33" t="str">
        <f>VLOOKUP(B3599,辅助信息!E:K,7,FALSE)</f>
        <v>JWDDCD2025062200016</v>
      </c>
      <c r="E3599" s="33" t="str">
        <f>VLOOKUP(F3599,辅助信息!A:B,2,FALSE)</f>
        <v>盘螺</v>
      </c>
      <c r="F3599" s="33" t="s">
        <v>40</v>
      </c>
      <c r="G3599" s="29">
        <v>5</v>
      </c>
      <c r="H3599" s="127">
        <f>IF(SUMIFS('[1]2025年已发货'!$E:$E,'[1]2025年已发货'!$F:$F,C3599,'[1]2025年已发货'!$C:$C,F3599,'[1]2025年已发货'!$G:$G,I3599,'[1]2025年已发货'!$H:$H,J3599)=0,"未发货",SUMIFS('[1]2025年已发货'!$E:$E,'[1]2025年已发货'!$F:$F,C3599,'[1]2025年已发货'!$C:$C,F3599,'[1]2025年已发货'!$G:$G,I3599,'[1]2025年已发货'!$H:$H,J3599))</f>
        <v>5</v>
      </c>
      <c r="I3599" s="33" t="str">
        <f>VLOOKUP(B3599,辅助信息!E:I,3,FALSE)</f>
        <v>(武汉电气化局成达万高铁强电项目-渠县)四川省达州市渠县渠北镇雷家湾渠县北站旁</v>
      </c>
      <c r="J3599" s="33" t="str">
        <f>VLOOKUP(B3599,辅助信息!E:I,4,FALSE)</f>
        <v>刘频</v>
      </c>
      <c r="K3599" s="33">
        <f>VLOOKUP(J3599,辅助信息!H:I,2,FALSE)</f>
        <v>18779627939</v>
      </c>
      <c r="L3599" s="102" t="str">
        <f>VLOOKUP(B3599,辅助信息!E:J,6,FALSE)</f>
        <v>锈货不收！！下雨天钢筋没盖篷布不收！！，装货前联系收货人核实到场规格,没提前告知进场规格现场不给予接收</v>
      </c>
      <c r="M3599" s="84">
        <v>45922</v>
      </c>
      <c r="O3599" s="55">
        <f ca="1" t="shared" si="194"/>
        <v>0</v>
      </c>
      <c r="P3599" s="55">
        <f ca="1" t="shared" si="195"/>
        <v>35</v>
      </c>
      <c r="Q3599" s="22" t="str">
        <f>VLOOKUP(B3599,辅助信息!E:M,9,FALSE)</f>
        <v>ZTWM-CDGS-XS-2025-0033-中铁武汉电气化局集团有限公司成达万高速铁路强电工程项目</v>
      </c>
      <c r="R3599" s="22" t="str">
        <f>_xlfn._xlws.FILTER(辅助信息!D:D,辅助信息!E:E=B3599)</f>
        <v>武汉电气化局成达万高铁强电项目</v>
      </c>
    </row>
    <row r="3600" hidden="1" spans="2:18">
      <c r="B3600" s="33" t="s">
        <v>176</v>
      </c>
      <c r="C3600" s="63">
        <v>45921</v>
      </c>
      <c r="D3600" s="33" t="str">
        <f>VLOOKUP(B3600,辅助信息!E:K,7,FALSE)</f>
        <v>JWDDCD2025062200016</v>
      </c>
      <c r="E3600" s="33" t="str">
        <f>VLOOKUP(F3600,辅助信息!A:B,2,FALSE)</f>
        <v>螺纹钢</v>
      </c>
      <c r="F3600" s="33" t="s">
        <v>30</v>
      </c>
      <c r="G3600" s="29">
        <v>9</v>
      </c>
      <c r="H3600" s="127">
        <f>IF(SUMIFS('[1]2025年已发货'!$E:$E,'[1]2025年已发货'!$F:$F,C3600,'[1]2025年已发货'!$C:$C,F3600,'[1]2025年已发货'!$G:$G,I3600,'[1]2025年已发货'!$H:$H,J3600)=0,"未发货",SUMIFS('[1]2025年已发货'!$E:$E,'[1]2025年已发货'!$F:$F,C3600,'[1]2025年已发货'!$C:$C,F3600,'[1]2025年已发货'!$G:$G,I3600,'[1]2025年已发货'!$H:$H,J3600))</f>
        <v>9</v>
      </c>
      <c r="I3600" s="33" t="str">
        <f>VLOOKUP(B3600,辅助信息!E:I,3,FALSE)</f>
        <v>(武汉电气化局成达万高铁强电项目-渠县)四川省达州市渠县渠北镇雷家湾渠县北站旁</v>
      </c>
      <c r="J3600" s="33" t="str">
        <f>VLOOKUP(B3600,辅助信息!E:I,4,FALSE)</f>
        <v>刘频</v>
      </c>
      <c r="K3600" s="33">
        <f>VLOOKUP(J3600,辅助信息!H:I,2,FALSE)</f>
        <v>18779627939</v>
      </c>
      <c r="L3600" s="102" t="str">
        <f>VLOOKUP(B3600,辅助信息!E:J,6,FALSE)</f>
        <v>锈货不收！！下雨天钢筋没盖篷布不收！！，装货前联系收货人核实到场规格,没提前告知进场规格现场不给予接收</v>
      </c>
      <c r="M3600" s="84">
        <v>45922</v>
      </c>
      <c r="O3600" s="55">
        <f ca="1" t="shared" si="194"/>
        <v>0</v>
      </c>
      <c r="P3600" s="55">
        <f ca="1" t="shared" si="195"/>
        <v>35</v>
      </c>
      <c r="Q3600" s="22" t="str">
        <f>VLOOKUP(B3600,辅助信息!E:M,9,FALSE)</f>
        <v>ZTWM-CDGS-XS-2025-0033-中铁武汉电气化局集团有限公司成达万高速铁路强电工程项目</v>
      </c>
      <c r="R3600" s="22" t="str">
        <f>_xlfn._xlws.FILTER(辅助信息!D:D,辅助信息!E:E=B3600)</f>
        <v>武汉电气化局成达万高铁强电项目</v>
      </c>
    </row>
    <row r="3601" hidden="1" spans="2:18">
      <c r="B3601" s="33" t="s">
        <v>176</v>
      </c>
      <c r="C3601" s="63">
        <v>45921</v>
      </c>
      <c r="D3601" s="33" t="str">
        <f>VLOOKUP(B3601,辅助信息!E:K,7,FALSE)</f>
        <v>JWDDCD2025062200016</v>
      </c>
      <c r="E3601" s="33" t="str">
        <f>VLOOKUP(F3601,辅助信息!A:B,2,FALSE)</f>
        <v>螺纹钢</v>
      </c>
      <c r="F3601" s="33" t="s">
        <v>90</v>
      </c>
      <c r="G3601" s="29">
        <v>12</v>
      </c>
      <c r="H3601" s="127">
        <f>IF(SUMIFS('[1]2025年已发货'!$E:$E,'[1]2025年已发货'!$F:$F,C3601,'[1]2025年已发货'!$C:$C,F3601,'[1]2025年已发货'!$G:$G,I3601,'[1]2025年已发货'!$H:$H,J3601)=0,"未发货",SUMIFS('[1]2025年已发货'!$E:$E,'[1]2025年已发货'!$F:$F,C3601,'[1]2025年已发货'!$C:$C,F3601,'[1]2025年已发货'!$G:$G,I3601,'[1]2025年已发货'!$H:$H,J3601))</f>
        <v>12</v>
      </c>
      <c r="I3601" s="33" t="str">
        <f>VLOOKUP(B3601,辅助信息!E:I,3,FALSE)</f>
        <v>(武汉电气化局成达万高铁强电项目-渠县)四川省达州市渠县渠北镇雷家湾渠县北站旁</v>
      </c>
      <c r="J3601" s="33" t="str">
        <f>VLOOKUP(B3601,辅助信息!E:I,4,FALSE)</f>
        <v>刘频</v>
      </c>
      <c r="K3601" s="33">
        <f>VLOOKUP(J3601,辅助信息!H:I,2,FALSE)</f>
        <v>18779627939</v>
      </c>
      <c r="L3601" s="102" t="str">
        <f>VLOOKUP(B3601,辅助信息!E:J,6,FALSE)</f>
        <v>锈货不收！！下雨天钢筋没盖篷布不收！！，装货前联系收货人核实到场规格,没提前告知进场规格现场不给予接收</v>
      </c>
      <c r="M3601" s="84">
        <v>45922</v>
      </c>
      <c r="O3601" s="55">
        <f ca="1" t="shared" si="194"/>
        <v>0</v>
      </c>
      <c r="P3601" s="55">
        <f ca="1" t="shared" si="195"/>
        <v>35</v>
      </c>
      <c r="Q3601" s="22" t="str">
        <f>VLOOKUP(B3601,辅助信息!E:M,9,FALSE)</f>
        <v>ZTWM-CDGS-XS-2025-0033-中铁武汉电气化局集团有限公司成达万高速铁路强电工程项目</v>
      </c>
      <c r="R3601" s="22" t="str">
        <f>_xlfn._xlws.FILTER(辅助信息!D:D,辅助信息!E:E=B3601)</f>
        <v>武汉电气化局成达万高铁强电项目</v>
      </c>
    </row>
    <row r="3602" hidden="1" spans="2:18">
      <c r="B3602" s="33" t="s">
        <v>176</v>
      </c>
      <c r="C3602" s="63">
        <v>45921</v>
      </c>
      <c r="D3602" s="33" t="str">
        <f>VLOOKUP(B3602,辅助信息!E:K,7,FALSE)</f>
        <v>JWDDCD2025062200016</v>
      </c>
      <c r="E3602" s="33" t="str">
        <f>VLOOKUP(F3602,辅助信息!A:B,2,FALSE)</f>
        <v>螺纹钢</v>
      </c>
      <c r="F3602" s="33" t="s">
        <v>133</v>
      </c>
      <c r="G3602" s="29">
        <v>9</v>
      </c>
      <c r="H3602" s="127">
        <f>IF(SUMIFS('[1]2025年已发货'!$E:$E,'[1]2025年已发货'!$F:$F,C3602,'[1]2025年已发货'!$C:$C,F3602,'[1]2025年已发货'!$G:$G,I3602,'[1]2025年已发货'!$H:$H,J3602)=0,"未发货",SUMIFS('[1]2025年已发货'!$E:$E,'[1]2025年已发货'!$F:$F,C3602,'[1]2025年已发货'!$C:$C,F3602,'[1]2025年已发货'!$G:$G,I3602,'[1]2025年已发货'!$H:$H,J3602))</f>
        <v>9</v>
      </c>
      <c r="I3602" s="33" t="str">
        <f>VLOOKUP(B3602,辅助信息!E:I,3,FALSE)</f>
        <v>(武汉电气化局成达万高铁强电项目-渠县)四川省达州市渠县渠北镇雷家湾渠县北站旁</v>
      </c>
      <c r="J3602" s="33" t="str">
        <f>VLOOKUP(B3602,辅助信息!E:I,4,FALSE)</f>
        <v>刘频</v>
      </c>
      <c r="K3602" s="33">
        <f>VLOOKUP(J3602,辅助信息!H:I,2,FALSE)</f>
        <v>18779627939</v>
      </c>
      <c r="L3602" s="102" t="str">
        <f>VLOOKUP(B3602,辅助信息!E:J,6,FALSE)</f>
        <v>锈货不收！！下雨天钢筋没盖篷布不收！！，装货前联系收货人核实到场规格,没提前告知进场规格现场不给予接收</v>
      </c>
      <c r="M3602" s="84">
        <v>45922</v>
      </c>
      <c r="O3602" s="55">
        <f ca="1" t="shared" si="194"/>
        <v>0</v>
      </c>
      <c r="P3602" s="55">
        <f ca="1" t="shared" si="195"/>
        <v>35</v>
      </c>
      <c r="Q3602" s="22" t="str">
        <f>VLOOKUP(B3602,辅助信息!E:M,9,FALSE)</f>
        <v>ZTWM-CDGS-XS-2025-0033-中铁武汉电气化局集团有限公司成达万高速铁路强电工程项目</v>
      </c>
      <c r="R3602" s="22" t="str">
        <f>_xlfn._xlws.FILTER(辅助信息!D:D,辅助信息!E:E=B3602)</f>
        <v>武汉电气化局成达万高铁强电项目</v>
      </c>
    </row>
    <row r="3603" hidden="1" spans="1:18">
      <c r="A3603" s="50" t="s">
        <v>220</v>
      </c>
      <c r="B3603" s="90" t="s">
        <v>188</v>
      </c>
      <c r="C3603" s="63">
        <v>45922</v>
      </c>
      <c r="D3603" s="33" t="str">
        <f>VLOOKUP(B3603,辅助信息!E:K,7,FALSE)</f>
        <v>JWDDCD2025062200016</v>
      </c>
      <c r="E3603" s="33" t="str">
        <f>VLOOKUP(F3603,辅助信息!A:B,2,FALSE)</f>
        <v>盘螺</v>
      </c>
      <c r="F3603" s="33" t="s">
        <v>40</v>
      </c>
      <c r="G3603" s="29">
        <v>6</v>
      </c>
      <c r="H3603" s="127">
        <f>IF(SUMIFS('[1]2025年已发货'!$E:$E,'[1]2025年已发货'!$F:$F,C3603,'[1]2025年已发货'!$C:$C,F3603,'[1]2025年已发货'!$G:$G,I3603,'[1]2025年已发货'!$H:$H,J3603)=0,"未发货",SUMIFS('[1]2025年已发货'!$E:$E,'[1]2025年已发货'!$F:$F,C3603,'[1]2025年已发货'!$C:$C,F3603,'[1]2025年已发货'!$G:$G,I3603,'[1]2025年已发货'!$H:$H,J3603))</f>
        <v>6</v>
      </c>
      <c r="I3603" s="33" t="str">
        <f>VLOOKUP(B3603,辅助信息!E:I,3,FALSE)</f>
        <v>(武汉电气化局成达万高铁强电项目-达州主城区)四川省达州市达川区斌郎街道四川省达州市达川区洞洞湾256米</v>
      </c>
      <c r="J3603" s="33" t="str">
        <f>VLOOKUP(B3603,辅助信息!E:I,4,FALSE)</f>
        <v>余凡</v>
      </c>
      <c r="K3603" s="33">
        <f>VLOOKUP(J3603,辅助信息!H:I,2,FALSE)</f>
        <v>18228076992</v>
      </c>
      <c r="L3603" s="102" t="str">
        <f>VLOOKUP(B3603,辅助信息!E:J,6,FALSE)</f>
        <v>锈货不收！！下雨天钢筋没盖篷布不收！！，装货前联系收货人核实到场规格,没提前告知进场规格现场不给予接收</v>
      </c>
      <c r="M3603" s="84">
        <v>45922</v>
      </c>
      <c r="O3603" s="55">
        <f ca="1" t="shared" si="194"/>
        <v>0</v>
      </c>
      <c r="P3603" s="55">
        <f ca="1" t="shared" si="195"/>
        <v>35</v>
      </c>
      <c r="Q3603" s="22" t="str">
        <f>VLOOKUP(B3603,辅助信息!E:M,9,FALSE)</f>
        <v>ZTWM-CDGS-XS-2025-0033-中铁武汉电气化局集团有限公司成达万高速铁路强电工程项目</v>
      </c>
      <c r="R3603" s="22" t="str">
        <f>_xlfn._xlws.FILTER(辅助信息!D:D,辅助信息!E:E=B3603)</f>
        <v>武汉电气化局成达万高铁强电项目</v>
      </c>
    </row>
    <row r="3604" hidden="1" spans="2:18">
      <c r="B3604" s="90" t="s">
        <v>188</v>
      </c>
      <c r="C3604" s="63">
        <v>45922</v>
      </c>
      <c r="D3604" s="33" t="str">
        <f>VLOOKUP(B3604,辅助信息!E:K,7,FALSE)</f>
        <v>JWDDCD2025062200016</v>
      </c>
      <c r="E3604" s="33" t="str">
        <f>VLOOKUP(F3604,辅助信息!A:B,2,FALSE)</f>
        <v>盘螺</v>
      </c>
      <c r="F3604" s="33" t="s">
        <v>41</v>
      </c>
      <c r="G3604" s="29">
        <v>8</v>
      </c>
      <c r="H3604" s="127">
        <f>IF(SUMIFS('[1]2025年已发货'!$E:$E,'[1]2025年已发货'!$F:$F,C3604,'[1]2025年已发货'!$C:$C,F3604,'[1]2025年已发货'!$G:$G,I3604,'[1]2025年已发货'!$H:$H,J3604)=0,"未发货",SUMIFS('[1]2025年已发货'!$E:$E,'[1]2025年已发货'!$F:$F,C3604,'[1]2025年已发货'!$C:$C,F3604,'[1]2025年已发货'!$G:$G,I3604,'[1]2025年已发货'!$H:$H,J3604))</f>
        <v>8</v>
      </c>
      <c r="I3604" s="33" t="str">
        <f>VLOOKUP(B3604,辅助信息!E:I,3,FALSE)</f>
        <v>(武汉电气化局成达万高铁强电项目-达州主城区)四川省达州市达川区斌郎街道四川省达州市达川区洞洞湾256米</v>
      </c>
      <c r="J3604" s="33" t="str">
        <f>VLOOKUP(B3604,辅助信息!E:I,4,FALSE)</f>
        <v>余凡</v>
      </c>
      <c r="K3604" s="33">
        <f>VLOOKUP(J3604,辅助信息!H:I,2,FALSE)</f>
        <v>18228076992</v>
      </c>
      <c r="L3604" s="102" t="str">
        <f>VLOOKUP(B3604,辅助信息!E:J,6,FALSE)</f>
        <v>锈货不收！！下雨天钢筋没盖篷布不收！！，装货前联系收货人核实到场规格,没提前告知进场规格现场不给予接收</v>
      </c>
      <c r="M3604" s="84">
        <v>45922</v>
      </c>
      <c r="O3604" s="55">
        <f ca="1" t="shared" si="194"/>
        <v>0</v>
      </c>
      <c r="P3604" s="55">
        <f ca="1" t="shared" si="195"/>
        <v>35</v>
      </c>
      <c r="Q3604" s="22" t="str">
        <f>VLOOKUP(B3604,辅助信息!E:M,9,FALSE)</f>
        <v>ZTWM-CDGS-XS-2025-0033-中铁武汉电气化局集团有限公司成达万高速铁路强电工程项目</v>
      </c>
      <c r="R3604" s="22" t="str">
        <f>_xlfn._xlws.FILTER(辅助信息!D:D,辅助信息!E:E=B3604)</f>
        <v>武汉电气化局成达万高铁强电项目</v>
      </c>
    </row>
    <row r="3605" hidden="1" spans="2:18">
      <c r="B3605" s="90" t="s">
        <v>188</v>
      </c>
      <c r="C3605" s="63">
        <v>45922</v>
      </c>
      <c r="D3605" s="33" t="str">
        <f>VLOOKUP(B3605,辅助信息!E:K,7,FALSE)</f>
        <v>JWDDCD2025062200016</v>
      </c>
      <c r="E3605" s="33" t="str">
        <f>VLOOKUP(F3605,辅助信息!A:B,2,FALSE)</f>
        <v>螺纹钢</v>
      </c>
      <c r="F3605" s="33" t="s">
        <v>18</v>
      </c>
      <c r="G3605" s="29">
        <v>23</v>
      </c>
      <c r="H3605" s="127">
        <f>IF(SUMIFS('[1]2025年已发货'!$E:$E,'[1]2025年已发货'!$F:$F,C3605,'[1]2025年已发货'!$C:$C,F3605,'[1]2025年已发货'!$G:$G,I3605,'[1]2025年已发货'!$H:$H,J3605)=0,"未发货",SUMIFS('[1]2025年已发货'!$E:$E,'[1]2025年已发货'!$F:$F,C3605,'[1]2025年已发货'!$C:$C,F3605,'[1]2025年已发货'!$G:$G,I3605,'[1]2025年已发货'!$H:$H,J3605))</f>
        <v>23</v>
      </c>
      <c r="I3605" s="33" t="str">
        <f>VLOOKUP(B3605,辅助信息!E:I,3,FALSE)</f>
        <v>(武汉电气化局成达万高铁强电项目-达州主城区)四川省达州市达川区斌郎街道四川省达州市达川区洞洞湾256米</v>
      </c>
      <c r="J3605" s="33" t="str">
        <f>VLOOKUP(B3605,辅助信息!E:I,4,FALSE)</f>
        <v>余凡</v>
      </c>
      <c r="K3605" s="33">
        <f>VLOOKUP(J3605,辅助信息!H:I,2,FALSE)</f>
        <v>18228076992</v>
      </c>
      <c r="L3605" s="102" t="str">
        <f>VLOOKUP(B3605,辅助信息!E:J,6,FALSE)</f>
        <v>锈货不收！！下雨天钢筋没盖篷布不收！！，装货前联系收货人核实到场规格,没提前告知进场规格现场不给予接收</v>
      </c>
      <c r="M3605" s="84">
        <v>45922</v>
      </c>
      <c r="O3605" s="55">
        <f ca="1" t="shared" si="194"/>
        <v>0</v>
      </c>
      <c r="P3605" s="55">
        <f ca="1" t="shared" si="195"/>
        <v>35</v>
      </c>
      <c r="Q3605" s="22" t="str">
        <f>VLOOKUP(B3605,辅助信息!E:M,9,FALSE)</f>
        <v>ZTWM-CDGS-XS-2025-0033-中铁武汉电气化局集团有限公司成达万高速铁路强电工程项目</v>
      </c>
      <c r="R3605" s="22" t="str">
        <f>_xlfn._xlws.FILTER(辅助信息!D:D,辅助信息!E:E=B3605)</f>
        <v>武汉电气化局成达万高铁强电项目</v>
      </c>
    </row>
    <row r="3606" hidden="1" spans="2:18">
      <c r="B3606" s="90" t="s">
        <v>188</v>
      </c>
      <c r="C3606" s="63">
        <v>45922</v>
      </c>
      <c r="D3606" s="33" t="str">
        <f>VLOOKUP(B3606,辅助信息!E:K,7,FALSE)</f>
        <v>JWDDCD2025062200016</v>
      </c>
      <c r="E3606" s="33" t="str">
        <f>VLOOKUP(F3606,辅助信息!A:B,2,FALSE)</f>
        <v>螺纹钢</v>
      </c>
      <c r="F3606" s="33" t="s">
        <v>30</v>
      </c>
      <c r="G3606" s="29">
        <v>2</v>
      </c>
      <c r="H3606" s="127">
        <f>IF(SUMIFS('[1]2025年已发货'!$E:$E,'[1]2025年已发货'!$F:$F,C3606,'[1]2025年已发货'!$C:$C,F3606,'[1]2025年已发货'!$G:$G,I3606,'[1]2025年已发货'!$H:$H,J3606)=0,"未发货",SUMIFS('[1]2025年已发货'!$E:$E,'[1]2025年已发货'!$F:$F,C3606,'[1]2025年已发货'!$C:$C,F3606,'[1]2025年已发货'!$G:$G,I3606,'[1]2025年已发货'!$H:$H,J3606))</f>
        <v>2</v>
      </c>
      <c r="I3606" s="33" t="str">
        <f>VLOOKUP(B3606,辅助信息!E:I,3,FALSE)</f>
        <v>(武汉电气化局成达万高铁强电项目-达州主城区)四川省达州市达川区斌郎街道四川省达州市达川区洞洞湾256米</v>
      </c>
      <c r="J3606" s="33" t="str">
        <f>VLOOKUP(B3606,辅助信息!E:I,4,FALSE)</f>
        <v>余凡</v>
      </c>
      <c r="K3606" s="33">
        <f>VLOOKUP(J3606,辅助信息!H:I,2,FALSE)</f>
        <v>18228076992</v>
      </c>
      <c r="L3606" s="102" t="str">
        <f>VLOOKUP(B3606,辅助信息!E:J,6,FALSE)</f>
        <v>锈货不收！！下雨天钢筋没盖篷布不收！！，装货前联系收货人核实到场规格,没提前告知进场规格现场不给予接收</v>
      </c>
      <c r="M3606" s="84">
        <v>45922</v>
      </c>
      <c r="O3606" s="55">
        <f ca="1" t="shared" si="194"/>
        <v>0</v>
      </c>
      <c r="P3606" s="55">
        <f ca="1" t="shared" si="195"/>
        <v>35</v>
      </c>
      <c r="Q3606" s="22" t="str">
        <f>VLOOKUP(B3606,辅助信息!E:M,9,FALSE)</f>
        <v>ZTWM-CDGS-XS-2025-0033-中铁武汉电气化局集团有限公司成达万高速铁路强电工程项目</v>
      </c>
      <c r="R3606" s="22" t="str">
        <f>_xlfn._xlws.FILTER(辅助信息!D:D,辅助信息!E:E=B3606)</f>
        <v>武汉电气化局成达万高铁强电项目</v>
      </c>
    </row>
    <row r="3607" hidden="1" spans="2:18">
      <c r="B3607" s="33" t="s">
        <v>186</v>
      </c>
      <c r="C3607" s="63">
        <v>45922</v>
      </c>
      <c r="D3607" s="33" t="str">
        <f>VLOOKUP(B3607,辅助信息!E:K,7,FALSE)</f>
        <v>JWDDCD2025072900123</v>
      </c>
      <c r="E3607" s="33" t="str">
        <f>VLOOKUP(F3607,辅助信息!A:B,2,FALSE)</f>
        <v>高线</v>
      </c>
      <c r="F3607" s="33" t="s">
        <v>57</v>
      </c>
      <c r="G3607" s="29">
        <v>5</v>
      </c>
      <c r="H3607" s="127">
        <f>IF(SUMIFS('[1]2025年已发货'!$E:$E,'[1]2025年已发货'!$F:$F,C3607,'[1]2025年已发货'!$C:$C,F3607,'[1]2025年已发货'!$G:$G,I3607,'[1]2025年已发货'!$H:$H,J3607)=0,"未发货",SUMIFS('[1]2025年已发货'!$E:$E,'[1]2025年已发货'!$F:$F,C3607,'[1]2025年已发货'!$C:$C,F3607,'[1]2025年已发货'!$G:$G,I3607,'[1]2025年已发货'!$H:$H,J3607))</f>
        <v>5</v>
      </c>
      <c r="I3607" s="33" t="str">
        <f>VLOOKUP(B3607,辅助信息!E:I,3,FALSE)</f>
        <v>(乐山市校地共建产教融合基地建设项目二标段)四川省乐山市市中区苏稽镇</v>
      </c>
      <c r="J3607" s="33" t="str">
        <f>VLOOKUP(B3607,辅助信息!E:I,4,FALSE)</f>
        <v>彭江涛</v>
      </c>
      <c r="K3607" s="33">
        <f>VLOOKUP(J3607,辅助信息!H:I,2,FALSE)</f>
        <v>13990276572</v>
      </c>
      <c r="L3607" s="102" t="str">
        <f>VLOOKUP(B3607,辅助信息!E:J,6,FALSE)</f>
        <v>联系实际收货人（彭江涛13990276572）现场要求炉批号控制2个以下，超2个不给予签收。提前联系到场规格及数量</v>
      </c>
      <c r="M3607" s="84">
        <v>45922</v>
      </c>
      <c r="O3607" s="55">
        <f ca="1" t="shared" si="194"/>
        <v>0</v>
      </c>
      <c r="P3607" s="55">
        <f ca="1" t="shared" si="195"/>
        <v>35</v>
      </c>
      <c r="Q3607" s="22" t="str">
        <f>VLOOKUP(B3607,辅助信息!E:M,9,FALSE)</f>
        <v>ZTWM-CDGS-XS-2025-0126-四川机司-乐山市校地共建产教融合基地配套设施项目施工二标段钢筋采购合同</v>
      </c>
      <c r="R3607" s="22" t="str">
        <f>_xlfn._xlws.FILTER(辅助信息!D:D,辅助信息!E:E=B3607)</f>
        <v>乐山市校地共建产教融合基地建设项目二标段</v>
      </c>
    </row>
    <row r="3608" hidden="1" spans="2:18">
      <c r="B3608" s="33" t="s">
        <v>186</v>
      </c>
      <c r="C3608" s="63">
        <v>45922</v>
      </c>
      <c r="D3608" s="33" t="str">
        <f>VLOOKUP(B3608,辅助信息!E:K,7,FALSE)</f>
        <v>JWDDCD2025072900123</v>
      </c>
      <c r="E3608" s="33" t="str">
        <f>VLOOKUP(F3608,辅助信息!A:B,2,FALSE)</f>
        <v>高线</v>
      </c>
      <c r="F3608" s="33" t="s">
        <v>53</v>
      </c>
      <c r="G3608" s="29">
        <v>10</v>
      </c>
      <c r="H3608" s="127">
        <f>IF(SUMIFS('[1]2025年已发货'!$E:$E,'[1]2025年已发货'!$F:$F,C3608,'[1]2025年已发货'!$C:$C,F3608,'[1]2025年已发货'!$G:$G,I3608,'[1]2025年已发货'!$H:$H,J3608)=0,"未发货",SUMIFS('[1]2025年已发货'!$E:$E,'[1]2025年已发货'!$F:$F,C3608,'[1]2025年已发货'!$C:$C,F3608,'[1]2025年已发货'!$G:$G,I3608,'[1]2025年已发货'!$H:$H,J3608))</f>
        <v>10</v>
      </c>
      <c r="I3608" s="33" t="str">
        <f>VLOOKUP(B3608,辅助信息!E:I,3,FALSE)</f>
        <v>(乐山市校地共建产教融合基地建设项目二标段)四川省乐山市市中区苏稽镇</v>
      </c>
      <c r="J3608" s="33" t="str">
        <f>VLOOKUP(B3608,辅助信息!E:I,4,FALSE)</f>
        <v>彭江涛</v>
      </c>
      <c r="K3608" s="33">
        <f>VLOOKUP(J3608,辅助信息!H:I,2,FALSE)</f>
        <v>13990276572</v>
      </c>
      <c r="L3608" s="102" t="str">
        <f>VLOOKUP(B3608,辅助信息!E:J,6,FALSE)</f>
        <v>联系实际收货人（彭江涛13990276572）现场要求炉批号控制2个以下，超2个不给予签收。提前联系到场规格及数量</v>
      </c>
      <c r="M3608" s="84">
        <v>45922</v>
      </c>
      <c r="O3608" s="55">
        <f ca="1" t="shared" si="194"/>
        <v>0</v>
      </c>
      <c r="P3608" s="55">
        <f ca="1" t="shared" si="195"/>
        <v>35</v>
      </c>
      <c r="Q3608" s="22" t="str">
        <f>VLOOKUP(B3608,辅助信息!E:M,9,FALSE)</f>
        <v>ZTWM-CDGS-XS-2025-0126-四川机司-乐山市校地共建产教融合基地配套设施项目施工二标段钢筋采购合同</v>
      </c>
      <c r="R3608" s="22" t="str">
        <f>_xlfn._xlws.FILTER(辅助信息!D:D,辅助信息!E:E=B3608)</f>
        <v>乐山市校地共建产教融合基地建设项目二标段</v>
      </c>
    </row>
    <row r="3609" hidden="1" spans="2:18">
      <c r="B3609" s="33" t="s">
        <v>186</v>
      </c>
      <c r="C3609" s="63">
        <v>45922</v>
      </c>
      <c r="D3609" s="33" t="str">
        <f>VLOOKUP(B3609,辅助信息!E:K,7,FALSE)</f>
        <v>JWDDCD2025072900123</v>
      </c>
      <c r="E3609" s="33" t="str">
        <f>VLOOKUP(F3609,辅助信息!A:B,2,FALSE)</f>
        <v>螺纹钢</v>
      </c>
      <c r="F3609" s="33" t="s">
        <v>76</v>
      </c>
      <c r="G3609" s="29">
        <v>6</v>
      </c>
      <c r="H3609" s="127">
        <f>IF(SUMIFS('[1]2025年已发货'!$E:$E,'[1]2025年已发货'!$F:$F,C3609,'[1]2025年已发货'!$C:$C,F3609,'[1]2025年已发货'!$G:$G,I3609,'[1]2025年已发货'!$H:$H,J3609)=0,"未发货",SUMIFS('[1]2025年已发货'!$E:$E,'[1]2025年已发货'!$F:$F,C3609,'[1]2025年已发货'!$C:$C,F3609,'[1]2025年已发货'!$G:$G,I3609,'[1]2025年已发货'!$H:$H,J3609))</f>
        <v>6</v>
      </c>
      <c r="I3609" s="33" t="str">
        <f>VLOOKUP(B3609,辅助信息!E:I,3,FALSE)</f>
        <v>(乐山市校地共建产教融合基地建设项目二标段)四川省乐山市市中区苏稽镇</v>
      </c>
      <c r="J3609" s="33" t="str">
        <f>VLOOKUP(B3609,辅助信息!E:I,4,FALSE)</f>
        <v>彭江涛</v>
      </c>
      <c r="K3609" s="33">
        <f>VLOOKUP(J3609,辅助信息!H:I,2,FALSE)</f>
        <v>13990276572</v>
      </c>
      <c r="L3609" s="102" t="str">
        <f>VLOOKUP(B3609,辅助信息!E:J,6,FALSE)</f>
        <v>联系实际收货人（彭江涛13990276572）现场要求炉批号控制2个以下，超2个不给予签收。提前联系到场规格及数量</v>
      </c>
      <c r="M3609" s="84">
        <v>45922</v>
      </c>
      <c r="O3609" s="55">
        <f ca="1" t="shared" si="194"/>
        <v>0</v>
      </c>
      <c r="P3609" s="55">
        <f ca="1" t="shared" si="195"/>
        <v>35</v>
      </c>
      <c r="Q3609" s="22" t="str">
        <f>VLOOKUP(B3609,辅助信息!E:M,9,FALSE)</f>
        <v>ZTWM-CDGS-XS-2025-0126-四川机司-乐山市校地共建产教融合基地配套设施项目施工二标段钢筋采购合同</v>
      </c>
      <c r="R3609" s="22" t="str">
        <f>_xlfn._xlws.FILTER(辅助信息!D:D,辅助信息!E:E=B3609)</f>
        <v>乐山市校地共建产教融合基地建设项目二标段</v>
      </c>
    </row>
    <row r="3610" hidden="1" spans="2:18">
      <c r="B3610" s="33" t="s">
        <v>186</v>
      </c>
      <c r="C3610" s="63">
        <v>45922</v>
      </c>
      <c r="D3610" s="33" t="str">
        <f>VLOOKUP(B3610,辅助信息!E:K,7,FALSE)</f>
        <v>JWDDCD2025072900123</v>
      </c>
      <c r="E3610" s="33" t="str">
        <f>VLOOKUP(F3610,辅助信息!A:B,2,FALSE)</f>
        <v>螺纹钢</v>
      </c>
      <c r="F3610" s="33" t="s">
        <v>19</v>
      </c>
      <c r="G3610" s="29">
        <v>6</v>
      </c>
      <c r="H3610" s="127">
        <f>IF(SUMIFS('[1]2025年已发货'!$E:$E,'[1]2025年已发货'!$F:$F,C3610,'[1]2025年已发货'!$C:$C,F3610,'[1]2025年已发货'!$G:$G,I3610,'[1]2025年已发货'!$H:$H,J3610)=0,"未发货",SUMIFS('[1]2025年已发货'!$E:$E,'[1]2025年已发货'!$F:$F,C3610,'[1]2025年已发货'!$C:$C,F3610,'[1]2025年已发货'!$G:$G,I3610,'[1]2025年已发货'!$H:$H,J3610))</f>
        <v>6</v>
      </c>
      <c r="I3610" s="33" t="str">
        <f>VLOOKUP(B3610,辅助信息!E:I,3,FALSE)</f>
        <v>(乐山市校地共建产教融合基地建设项目二标段)四川省乐山市市中区苏稽镇</v>
      </c>
      <c r="J3610" s="33" t="str">
        <f>VLOOKUP(B3610,辅助信息!E:I,4,FALSE)</f>
        <v>彭江涛</v>
      </c>
      <c r="K3610" s="33">
        <f>VLOOKUP(J3610,辅助信息!H:I,2,FALSE)</f>
        <v>13990276572</v>
      </c>
      <c r="L3610" s="102" t="str">
        <f>VLOOKUP(B3610,辅助信息!E:J,6,FALSE)</f>
        <v>联系实际收货人（彭江涛13990276572）现场要求炉批号控制2个以下，超2个不给予签收。提前联系到场规格及数量</v>
      </c>
      <c r="M3610" s="84">
        <v>45922</v>
      </c>
      <c r="O3610" s="55">
        <f ca="1" t="shared" si="194"/>
        <v>0</v>
      </c>
      <c r="P3610" s="55">
        <f ca="1" t="shared" si="195"/>
        <v>35</v>
      </c>
      <c r="Q3610" s="22" t="str">
        <f>VLOOKUP(B3610,辅助信息!E:M,9,FALSE)</f>
        <v>ZTWM-CDGS-XS-2025-0126-四川机司-乐山市校地共建产教融合基地配套设施项目施工二标段钢筋采购合同</v>
      </c>
      <c r="R3610" s="22" t="str">
        <f>_xlfn._xlws.FILTER(辅助信息!D:D,辅助信息!E:E=B3610)</f>
        <v>乐山市校地共建产教融合基地建设项目二标段</v>
      </c>
    </row>
    <row r="3611" hidden="1" spans="2:18">
      <c r="B3611" s="33" t="s">
        <v>186</v>
      </c>
      <c r="C3611" s="63">
        <v>45922</v>
      </c>
      <c r="D3611" s="33" t="str">
        <f>VLOOKUP(B3611,辅助信息!E:K,7,FALSE)</f>
        <v>JWDDCD2025072900123</v>
      </c>
      <c r="E3611" s="33" t="str">
        <f>VLOOKUP(F3611,辅助信息!A:B,2,FALSE)</f>
        <v>螺纹钢</v>
      </c>
      <c r="F3611" s="33" t="s">
        <v>90</v>
      </c>
      <c r="G3611" s="29">
        <v>30</v>
      </c>
      <c r="H3611" s="127">
        <f>IF(SUMIFS('[1]2025年已发货'!$E:$E,'[1]2025年已发货'!$F:$F,C3611,'[1]2025年已发货'!$C:$C,F3611,'[1]2025年已发货'!$G:$G,I3611,'[1]2025年已发货'!$H:$H,J3611)=0,"未发货",SUMIFS('[1]2025年已发货'!$E:$E,'[1]2025年已发货'!$F:$F,C3611,'[1]2025年已发货'!$C:$C,F3611,'[1]2025年已发货'!$G:$G,I3611,'[1]2025年已发货'!$H:$H,J3611))</f>
        <v>10</v>
      </c>
      <c r="I3611" s="33" t="str">
        <f>VLOOKUP(B3611,辅助信息!E:I,3,FALSE)</f>
        <v>(乐山市校地共建产教融合基地建设项目二标段)四川省乐山市市中区苏稽镇</v>
      </c>
      <c r="J3611" s="33" t="str">
        <f>VLOOKUP(B3611,辅助信息!E:I,4,FALSE)</f>
        <v>彭江涛</v>
      </c>
      <c r="K3611" s="33">
        <f>VLOOKUP(J3611,辅助信息!H:I,2,FALSE)</f>
        <v>13990276572</v>
      </c>
      <c r="L3611" s="102" t="str">
        <f>VLOOKUP(B3611,辅助信息!E:J,6,FALSE)</f>
        <v>联系实际收货人（彭江涛13990276572）现场要求炉批号控制2个以下，超2个不给予签收。提前联系到场规格及数量</v>
      </c>
      <c r="M3611" s="84">
        <v>45922</v>
      </c>
      <c r="O3611" s="55">
        <f ca="1" t="shared" si="194"/>
        <v>0</v>
      </c>
      <c r="P3611" s="55">
        <f ca="1" t="shared" si="195"/>
        <v>35</v>
      </c>
      <c r="Q3611" s="22" t="str">
        <f>VLOOKUP(B3611,辅助信息!E:M,9,FALSE)</f>
        <v>ZTWM-CDGS-XS-2025-0126-四川机司-乐山市校地共建产教融合基地配套设施项目施工二标段钢筋采购合同</v>
      </c>
      <c r="R3611" s="22" t="str">
        <f>_xlfn._xlws.FILTER(辅助信息!D:D,辅助信息!E:E=B3611)</f>
        <v>乐山市校地共建产教融合基地建设项目二标段</v>
      </c>
    </row>
    <row r="3612" hidden="1" spans="2:18">
      <c r="B3612" s="33" t="s">
        <v>186</v>
      </c>
      <c r="C3612" s="63">
        <v>45922</v>
      </c>
      <c r="D3612" s="33" t="str">
        <f>VLOOKUP(B3612,辅助信息!E:K,7,FALSE)</f>
        <v>JWDDCD2025072900123</v>
      </c>
      <c r="E3612" s="33" t="str">
        <f>VLOOKUP(F3612,辅助信息!A:B,2,FALSE)</f>
        <v>螺纹钢</v>
      </c>
      <c r="F3612" s="33" t="s">
        <v>32</v>
      </c>
      <c r="G3612" s="29">
        <v>10</v>
      </c>
      <c r="H3612" s="127">
        <f>IF(SUMIFS('[1]2025年已发货'!$E:$E,'[1]2025年已发货'!$F:$F,C3612,'[1]2025年已发货'!$C:$C,F3612,'[1]2025年已发货'!$G:$G,I3612,'[1]2025年已发货'!$H:$H,J3612)=0,"未发货",SUMIFS('[1]2025年已发货'!$E:$E,'[1]2025年已发货'!$F:$F,C3612,'[1]2025年已发货'!$C:$C,F3612,'[1]2025年已发货'!$G:$G,I3612,'[1]2025年已发货'!$H:$H,J3612))</f>
        <v>10</v>
      </c>
      <c r="I3612" s="33" t="str">
        <f>VLOOKUP(B3612,辅助信息!E:I,3,FALSE)</f>
        <v>(乐山市校地共建产教融合基地建设项目二标段)四川省乐山市市中区苏稽镇</v>
      </c>
      <c r="J3612" s="33" t="str">
        <f>VLOOKUP(B3612,辅助信息!E:I,4,FALSE)</f>
        <v>彭江涛</v>
      </c>
      <c r="K3612" s="33">
        <f>VLOOKUP(J3612,辅助信息!H:I,2,FALSE)</f>
        <v>13990276572</v>
      </c>
      <c r="L3612" s="102" t="str">
        <f>VLOOKUP(B3612,辅助信息!E:J,6,FALSE)</f>
        <v>联系实际收货人（彭江涛13990276572）现场要求炉批号控制2个以下，超2个不给予签收。提前联系到场规格及数量</v>
      </c>
      <c r="M3612" s="84">
        <v>45922</v>
      </c>
      <c r="O3612" s="55">
        <f ca="1" t="shared" si="194"/>
        <v>0</v>
      </c>
      <c r="P3612" s="55">
        <f ca="1" t="shared" si="195"/>
        <v>35</v>
      </c>
      <c r="Q3612" s="22" t="str">
        <f>VLOOKUP(B3612,辅助信息!E:M,9,FALSE)</f>
        <v>ZTWM-CDGS-XS-2025-0126-四川机司-乐山市校地共建产教融合基地配套设施项目施工二标段钢筋采购合同</v>
      </c>
      <c r="R3612" s="22" t="str">
        <f>_xlfn._xlws.FILTER(辅助信息!D:D,辅助信息!E:E=B3612)</f>
        <v>乐山市校地共建产教融合基地建设项目二标段</v>
      </c>
    </row>
    <row r="3613" hidden="1" spans="2:18">
      <c r="B3613" s="33" t="s">
        <v>186</v>
      </c>
      <c r="C3613" s="63">
        <v>45922</v>
      </c>
      <c r="D3613" s="33" t="str">
        <f>VLOOKUP(B3613,辅助信息!E:K,7,FALSE)</f>
        <v>JWDDCD2025072900123</v>
      </c>
      <c r="E3613" s="33" t="str">
        <f>VLOOKUP(F3613,辅助信息!A:B,2,FALSE)</f>
        <v>螺纹钢</v>
      </c>
      <c r="F3613" s="33" t="s">
        <v>66</v>
      </c>
      <c r="G3613" s="29">
        <v>3</v>
      </c>
      <c r="H3613" s="127">
        <f>IF(SUMIFS('[1]2025年已发货'!$E:$E,'[1]2025年已发货'!$F:$F,C3613,'[1]2025年已发货'!$C:$C,F3613,'[1]2025年已发货'!$G:$G,I3613,'[1]2025年已发货'!$H:$H,J3613)=0,"未发货",SUMIFS('[1]2025年已发货'!$E:$E,'[1]2025年已发货'!$F:$F,C3613,'[1]2025年已发货'!$C:$C,F3613,'[1]2025年已发货'!$G:$G,I3613,'[1]2025年已发货'!$H:$H,J3613))</f>
        <v>3</v>
      </c>
      <c r="I3613" s="33" t="str">
        <f>VLOOKUP(B3613,辅助信息!E:I,3,FALSE)</f>
        <v>(乐山市校地共建产教融合基地建设项目二标段)四川省乐山市市中区苏稽镇</v>
      </c>
      <c r="J3613" s="33" t="str">
        <f>VLOOKUP(B3613,辅助信息!E:I,4,FALSE)</f>
        <v>彭江涛</v>
      </c>
      <c r="K3613" s="33">
        <f>VLOOKUP(J3613,辅助信息!H:I,2,FALSE)</f>
        <v>13990276572</v>
      </c>
      <c r="L3613" s="102" t="str">
        <f>VLOOKUP(B3613,辅助信息!E:J,6,FALSE)</f>
        <v>联系实际收货人（彭江涛13990276572）现场要求炉批号控制2个以下，超2个不给予签收。提前联系到场规格及数量</v>
      </c>
      <c r="M3613" s="84">
        <v>45922</v>
      </c>
      <c r="O3613" s="55">
        <f ca="1" t="shared" si="194"/>
        <v>0</v>
      </c>
      <c r="P3613" s="55">
        <f ca="1" t="shared" si="195"/>
        <v>35</v>
      </c>
      <c r="Q3613" s="22" t="str">
        <f>VLOOKUP(B3613,辅助信息!E:M,9,FALSE)</f>
        <v>ZTWM-CDGS-XS-2025-0126-四川机司-乐山市校地共建产教融合基地配套设施项目施工二标段钢筋采购合同</v>
      </c>
      <c r="R3613" s="22" t="str">
        <f>_xlfn._xlws.FILTER(辅助信息!D:D,辅助信息!E:E=B3613)</f>
        <v>乐山市校地共建产教融合基地建设项目二标段</v>
      </c>
    </row>
    <row r="3614" hidden="1" spans="2:18">
      <c r="B3614" s="33" t="s">
        <v>186</v>
      </c>
      <c r="C3614" s="63">
        <v>45922</v>
      </c>
      <c r="D3614" s="33" t="str">
        <f>VLOOKUP(B3614,辅助信息!E:K,7,FALSE)</f>
        <v>JWDDCD2025072900123</v>
      </c>
      <c r="E3614" s="33" t="str">
        <f>VLOOKUP(F3614,辅助信息!A:B,2,FALSE)</f>
        <v>螺纹钢</v>
      </c>
      <c r="F3614" s="33" t="s">
        <v>82</v>
      </c>
      <c r="G3614" s="29">
        <v>6</v>
      </c>
      <c r="H3614" s="127">
        <f>IF(SUMIFS('[1]2025年已发货'!$E:$E,'[1]2025年已发货'!$F:$F,C3614,'[1]2025年已发货'!$C:$C,F3614,'[1]2025年已发货'!$G:$G,I3614,'[1]2025年已发货'!$H:$H,J3614)=0,"未发货",SUMIFS('[1]2025年已发货'!$E:$E,'[1]2025年已发货'!$F:$F,C3614,'[1]2025年已发货'!$C:$C,F3614,'[1]2025年已发货'!$G:$G,I3614,'[1]2025年已发货'!$H:$H,J3614))</f>
        <v>6</v>
      </c>
      <c r="I3614" s="33" t="str">
        <f>VLOOKUP(B3614,辅助信息!E:I,3,FALSE)</f>
        <v>(乐山市校地共建产教融合基地建设项目二标段)四川省乐山市市中区苏稽镇</v>
      </c>
      <c r="J3614" s="33" t="str">
        <f>VLOOKUP(B3614,辅助信息!E:I,4,FALSE)</f>
        <v>彭江涛</v>
      </c>
      <c r="K3614" s="33">
        <f>VLOOKUP(J3614,辅助信息!H:I,2,FALSE)</f>
        <v>13990276572</v>
      </c>
      <c r="L3614" s="102" t="str">
        <f>VLOOKUP(B3614,辅助信息!E:J,6,FALSE)</f>
        <v>联系实际收货人（彭江涛13990276572）现场要求炉批号控制2个以下，超2个不给予签收。提前联系到场规格及数量</v>
      </c>
      <c r="M3614" s="84">
        <v>45922</v>
      </c>
      <c r="O3614" s="55">
        <f ca="1" t="shared" si="194"/>
        <v>0</v>
      </c>
      <c r="P3614" s="55">
        <f ca="1" t="shared" si="195"/>
        <v>35</v>
      </c>
      <c r="Q3614" s="22" t="str">
        <f>VLOOKUP(B3614,辅助信息!E:M,9,FALSE)</f>
        <v>ZTWM-CDGS-XS-2025-0126-四川机司-乐山市校地共建产教融合基地配套设施项目施工二标段钢筋采购合同</v>
      </c>
      <c r="R3614" s="22" t="str">
        <f>_xlfn._xlws.FILTER(辅助信息!D:D,辅助信息!E:E=B3614)</f>
        <v>乐山市校地共建产教融合基地建设项目二标段</v>
      </c>
    </row>
    <row r="3615" hidden="1" spans="2:18">
      <c r="B3615" s="33" t="s">
        <v>186</v>
      </c>
      <c r="C3615" s="63">
        <v>45922</v>
      </c>
      <c r="D3615" s="33" t="str">
        <f>VLOOKUP(B3615,辅助信息!E:K,7,FALSE)</f>
        <v>JWDDCD2025072900123</v>
      </c>
      <c r="E3615" s="33" t="str">
        <f>VLOOKUP(F3615,辅助信息!A:B,2,FALSE)</f>
        <v>螺纹钢</v>
      </c>
      <c r="F3615" s="33" t="s">
        <v>45</v>
      </c>
      <c r="G3615" s="29">
        <v>3</v>
      </c>
      <c r="H3615" s="127">
        <f>IF(SUMIFS('[1]2025年已发货'!$E:$E,'[1]2025年已发货'!$F:$F,C3615,'[1]2025年已发货'!$C:$C,F3615,'[1]2025年已发货'!$G:$G,I3615,'[1]2025年已发货'!$H:$H,J3615)=0,"未发货",SUMIFS('[1]2025年已发货'!$E:$E,'[1]2025年已发货'!$F:$F,C3615,'[1]2025年已发货'!$C:$C,F3615,'[1]2025年已发货'!$G:$G,I3615,'[1]2025年已发货'!$H:$H,J3615))</f>
        <v>3</v>
      </c>
      <c r="I3615" s="33" t="str">
        <f>VLOOKUP(B3615,辅助信息!E:I,3,FALSE)</f>
        <v>(乐山市校地共建产教融合基地建设项目二标段)四川省乐山市市中区苏稽镇</v>
      </c>
      <c r="J3615" s="33" t="str">
        <f>VLOOKUP(B3615,辅助信息!E:I,4,FALSE)</f>
        <v>彭江涛</v>
      </c>
      <c r="K3615" s="33">
        <f>VLOOKUP(J3615,辅助信息!H:I,2,FALSE)</f>
        <v>13990276572</v>
      </c>
      <c r="L3615" s="102" t="str">
        <f>VLOOKUP(B3615,辅助信息!E:J,6,FALSE)</f>
        <v>联系实际收货人（彭江涛13990276572）现场要求炉批号控制2个以下，超2个不给予签收。提前联系到场规格及数量</v>
      </c>
      <c r="M3615" s="84">
        <v>45922</v>
      </c>
      <c r="O3615" s="55">
        <f ca="1" t="shared" si="194"/>
        <v>0</v>
      </c>
      <c r="P3615" s="55">
        <f ca="1" t="shared" si="195"/>
        <v>35</v>
      </c>
      <c r="Q3615" s="22" t="str">
        <f>VLOOKUP(B3615,辅助信息!E:M,9,FALSE)</f>
        <v>ZTWM-CDGS-XS-2025-0126-四川机司-乐山市校地共建产教融合基地配套设施项目施工二标段钢筋采购合同</v>
      </c>
      <c r="R3615" s="22" t="str">
        <f>_xlfn._xlws.FILTER(辅助信息!D:D,辅助信息!E:E=B3615)</f>
        <v>乐山市校地共建产教融合基地建设项目二标段</v>
      </c>
    </row>
    <row r="3616" hidden="1" spans="2:18">
      <c r="B3616" s="33" t="s">
        <v>186</v>
      </c>
      <c r="C3616" s="63">
        <v>45922</v>
      </c>
      <c r="D3616" s="33" t="str">
        <f>VLOOKUP(B3616,辅助信息!E:K,7,FALSE)</f>
        <v>JWDDCD2025072900123</v>
      </c>
      <c r="E3616" s="33" t="str">
        <f>VLOOKUP(F3616,辅助信息!A:B,2,FALSE)</f>
        <v>螺纹钢</v>
      </c>
      <c r="F3616" s="33" t="s">
        <v>21</v>
      </c>
      <c r="G3616" s="29">
        <v>3</v>
      </c>
      <c r="H3616" s="127">
        <f>IF(SUMIFS('[1]2025年已发货'!$E:$E,'[1]2025年已发货'!$F:$F,C3616,'[1]2025年已发货'!$C:$C,F3616,'[1]2025年已发货'!$G:$G,I3616,'[1]2025年已发货'!$H:$H,J3616)=0,"未发货",SUMIFS('[1]2025年已发货'!$E:$E,'[1]2025年已发货'!$F:$F,C3616,'[1]2025年已发货'!$C:$C,F3616,'[1]2025年已发货'!$G:$G,I3616,'[1]2025年已发货'!$H:$H,J3616))</f>
        <v>3</v>
      </c>
      <c r="I3616" s="33" t="str">
        <f>VLOOKUP(B3616,辅助信息!E:I,3,FALSE)</f>
        <v>(乐山市校地共建产教融合基地建设项目二标段)四川省乐山市市中区苏稽镇</v>
      </c>
      <c r="J3616" s="33" t="str">
        <f>VLOOKUP(B3616,辅助信息!E:I,4,FALSE)</f>
        <v>彭江涛</v>
      </c>
      <c r="K3616" s="33">
        <f>VLOOKUP(J3616,辅助信息!H:I,2,FALSE)</f>
        <v>13990276572</v>
      </c>
      <c r="L3616" s="102" t="str">
        <f>VLOOKUP(B3616,辅助信息!E:J,6,FALSE)</f>
        <v>联系实际收货人（彭江涛13990276572）现场要求炉批号控制2个以下，超2个不给予签收。提前联系到场规格及数量</v>
      </c>
      <c r="M3616" s="84">
        <v>45922</v>
      </c>
      <c r="O3616" s="55">
        <f ca="1" t="shared" ref="O3616:O3679" si="196">IF(OR(M3616="",N3616&lt;&gt;""),"",MAX(M3616-TODAY(),0))</f>
        <v>0</v>
      </c>
      <c r="P3616" s="55">
        <f ca="1" t="shared" ref="P3616:P3679" si="197">IF(M3616="","",IF(N3616&lt;&gt;"",MAX(N3616-M3616,0),IF(TODAY()&gt;M3616,TODAY()-M3616,0)))</f>
        <v>35</v>
      </c>
      <c r="Q3616" s="22" t="str">
        <f>VLOOKUP(B3616,辅助信息!E:M,9,FALSE)</f>
        <v>ZTWM-CDGS-XS-2025-0126-四川机司-乐山市校地共建产教融合基地配套设施项目施工二标段钢筋采购合同</v>
      </c>
      <c r="R3616" s="22" t="str">
        <f>_xlfn._xlws.FILTER(辅助信息!D:D,辅助信息!E:E=B3616)</f>
        <v>乐山市校地共建产教融合基地建设项目二标段</v>
      </c>
    </row>
    <row r="3617" hidden="1" spans="2:18">
      <c r="B3617" s="33" t="s">
        <v>186</v>
      </c>
      <c r="C3617" s="63">
        <v>45922</v>
      </c>
      <c r="D3617" s="33" t="str">
        <f>VLOOKUP(B3617,辅助信息!E:K,7,FALSE)</f>
        <v>JWDDCD2025072900123</v>
      </c>
      <c r="E3617" s="33" t="str">
        <f>VLOOKUP(F3617,辅助信息!A:B,2,FALSE)</f>
        <v>螺纹钢</v>
      </c>
      <c r="F3617" s="33" t="s">
        <v>198</v>
      </c>
      <c r="G3617" s="29">
        <v>4</v>
      </c>
      <c r="H3617" s="127">
        <f>IF(SUMIFS('[1]2025年已发货'!$E:$E,'[1]2025年已发货'!$F:$F,C3617,'[1]2025年已发货'!$C:$C,F3617,'[1]2025年已发货'!$G:$G,I3617,'[1]2025年已发货'!$H:$H,J3617)=0,"未发货",SUMIFS('[1]2025年已发货'!$E:$E,'[1]2025年已发货'!$F:$F,C3617,'[1]2025年已发货'!$C:$C,F3617,'[1]2025年已发货'!$G:$G,I3617,'[1]2025年已发货'!$H:$H,J3617))</f>
        <v>4</v>
      </c>
      <c r="I3617" s="33" t="str">
        <f>VLOOKUP(B3617,辅助信息!E:I,3,FALSE)</f>
        <v>(乐山市校地共建产教融合基地建设项目二标段)四川省乐山市市中区苏稽镇</v>
      </c>
      <c r="J3617" s="33" t="str">
        <f>VLOOKUP(B3617,辅助信息!E:I,4,FALSE)</f>
        <v>彭江涛</v>
      </c>
      <c r="K3617" s="33">
        <f>VLOOKUP(J3617,辅助信息!H:I,2,FALSE)</f>
        <v>13990276572</v>
      </c>
      <c r="L3617" s="102" t="str">
        <f>VLOOKUP(B3617,辅助信息!E:J,6,FALSE)</f>
        <v>联系实际收货人（彭江涛13990276572）现场要求炉批号控制2个以下，超2个不给予签收。提前联系到场规格及数量</v>
      </c>
      <c r="M3617" s="84">
        <v>45922</v>
      </c>
      <c r="O3617" s="55">
        <f ca="1" t="shared" si="196"/>
        <v>0</v>
      </c>
      <c r="P3617" s="55">
        <f ca="1" t="shared" si="197"/>
        <v>35</v>
      </c>
      <c r="Q3617" s="22" t="str">
        <f>VLOOKUP(B3617,辅助信息!E:M,9,FALSE)</f>
        <v>ZTWM-CDGS-XS-2025-0126-四川机司-乐山市校地共建产教融合基地配套设施项目施工二标段钢筋采购合同</v>
      </c>
      <c r="R3617" s="22" t="str">
        <f>_xlfn._xlws.FILTER(辅助信息!D:D,辅助信息!E:E=B3617)</f>
        <v>乐山市校地共建产教融合基地建设项目二标段</v>
      </c>
    </row>
    <row r="3618" hidden="1" spans="2:18">
      <c r="B3618" s="33" t="s">
        <v>186</v>
      </c>
      <c r="C3618" s="63">
        <v>45922</v>
      </c>
      <c r="D3618" s="33" t="str">
        <f>VLOOKUP(B3618,辅助信息!E:K,7,FALSE)</f>
        <v>JWDDCD2025072900123</v>
      </c>
      <c r="E3618" s="33" t="str">
        <f>VLOOKUP(F3618,辅助信息!A:B,2,FALSE)</f>
        <v>螺纹钢</v>
      </c>
      <c r="F3618" s="33" t="s">
        <v>58</v>
      </c>
      <c r="G3618" s="29">
        <v>3</v>
      </c>
      <c r="H3618" s="127">
        <f>IF(SUMIFS('[1]2025年已发货'!$E:$E,'[1]2025年已发货'!$F:$F,C3618,'[1]2025年已发货'!$C:$C,F3618,'[1]2025年已发货'!$G:$G,I3618,'[1]2025年已发货'!$H:$H,J3618)=0,"未发货",SUMIFS('[1]2025年已发货'!$E:$E,'[1]2025年已发货'!$F:$F,C3618,'[1]2025年已发货'!$C:$C,F3618,'[1]2025年已发货'!$G:$G,I3618,'[1]2025年已发货'!$H:$H,J3618))</f>
        <v>3</v>
      </c>
      <c r="I3618" s="33" t="str">
        <f>VLOOKUP(B3618,辅助信息!E:I,3,FALSE)</f>
        <v>(乐山市校地共建产教融合基地建设项目二标段)四川省乐山市市中区苏稽镇</v>
      </c>
      <c r="J3618" s="33" t="str">
        <f>VLOOKUP(B3618,辅助信息!E:I,4,FALSE)</f>
        <v>彭江涛</v>
      </c>
      <c r="K3618" s="33">
        <f>VLOOKUP(J3618,辅助信息!H:I,2,FALSE)</f>
        <v>13990276572</v>
      </c>
      <c r="L3618" s="102" t="str">
        <f>VLOOKUP(B3618,辅助信息!E:J,6,FALSE)</f>
        <v>联系实际收货人（彭江涛13990276572）现场要求炉批号控制2个以下，超2个不给予签收。提前联系到场规格及数量</v>
      </c>
      <c r="M3618" s="84">
        <v>45922</v>
      </c>
      <c r="O3618" s="55">
        <f ca="1" t="shared" si="196"/>
        <v>0</v>
      </c>
      <c r="P3618" s="55">
        <f ca="1" t="shared" si="197"/>
        <v>35</v>
      </c>
      <c r="Q3618" s="22" t="str">
        <f>VLOOKUP(B3618,辅助信息!E:M,9,FALSE)</f>
        <v>ZTWM-CDGS-XS-2025-0126-四川机司-乐山市校地共建产教融合基地配套设施项目施工二标段钢筋采购合同</v>
      </c>
      <c r="R3618" s="22" t="str">
        <f>_xlfn._xlws.FILTER(辅助信息!D:D,辅助信息!E:E=B3618)</f>
        <v>乐山市校地共建产教融合基地建设项目二标段</v>
      </c>
    </row>
    <row r="3619" hidden="1" spans="2:18">
      <c r="B3619" s="33" t="s">
        <v>186</v>
      </c>
      <c r="C3619" s="63">
        <v>45922</v>
      </c>
      <c r="D3619" s="33" t="str">
        <f>VLOOKUP(B3619,辅助信息!E:K,7,FALSE)</f>
        <v>JWDDCD2025072900123</v>
      </c>
      <c r="E3619" s="33" t="str">
        <f>VLOOKUP(F3619,辅助信息!A:B,2,FALSE)</f>
        <v>螺纹钢</v>
      </c>
      <c r="F3619" s="33" t="s">
        <v>199</v>
      </c>
      <c r="G3619" s="29">
        <v>17</v>
      </c>
      <c r="H3619" s="127">
        <f>IF(SUMIFS('[1]2025年已发货'!$E:$E,'[1]2025年已发货'!$F:$F,C3619,'[1]2025年已发货'!$C:$C,F3619,'[1]2025年已发货'!$G:$G,I3619,'[1]2025年已发货'!$H:$H,J3619)=0,"未发货",SUMIFS('[1]2025年已发货'!$E:$E,'[1]2025年已发货'!$F:$F,C3619,'[1]2025年已发货'!$C:$C,F3619,'[1]2025年已发货'!$G:$G,I3619,'[1]2025年已发货'!$H:$H,J3619))</f>
        <v>17</v>
      </c>
      <c r="I3619" s="33" t="str">
        <f>VLOOKUP(B3619,辅助信息!E:I,3,FALSE)</f>
        <v>(乐山市校地共建产教融合基地建设项目二标段)四川省乐山市市中区苏稽镇</v>
      </c>
      <c r="J3619" s="33" t="str">
        <f>VLOOKUP(B3619,辅助信息!E:I,4,FALSE)</f>
        <v>彭江涛</v>
      </c>
      <c r="K3619" s="33">
        <f>VLOOKUP(J3619,辅助信息!H:I,2,FALSE)</f>
        <v>13990276572</v>
      </c>
      <c r="L3619" s="102" t="str">
        <f>VLOOKUP(B3619,辅助信息!E:J,6,FALSE)</f>
        <v>联系实际收货人（彭江涛13990276572）现场要求炉批号控制2个以下，超2个不给予签收。提前联系到场规格及数量</v>
      </c>
      <c r="M3619" s="84">
        <v>45922</v>
      </c>
      <c r="O3619" s="55">
        <f ca="1" t="shared" si="196"/>
        <v>0</v>
      </c>
      <c r="P3619" s="55">
        <f ca="1" t="shared" si="197"/>
        <v>35</v>
      </c>
      <c r="Q3619" s="22" t="str">
        <f>VLOOKUP(B3619,辅助信息!E:M,9,FALSE)</f>
        <v>ZTWM-CDGS-XS-2025-0126-四川机司-乐山市校地共建产教融合基地配套设施项目施工二标段钢筋采购合同</v>
      </c>
      <c r="R3619" s="22" t="str">
        <f>_xlfn._xlws.FILTER(辅助信息!D:D,辅助信息!E:E=B3619)</f>
        <v>乐山市校地共建产教融合基地建设项目二标段</v>
      </c>
    </row>
    <row r="3620" hidden="1" spans="2:18">
      <c r="B3620" s="33" t="s">
        <v>186</v>
      </c>
      <c r="C3620" s="63">
        <v>45922</v>
      </c>
      <c r="D3620" s="33" t="str">
        <f>VLOOKUP(B3620,辅助信息!E:K,7,FALSE)</f>
        <v>JWDDCD2025072900123</v>
      </c>
      <c r="E3620" s="33" t="str">
        <f>VLOOKUP(F3620,辅助信息!A:B,2,FALSE)</f>
        <v>螺纹钢</v>
      </c>
      <c r="F3620" s="33" t="s">
        <v>46</v>
      </c>
      <c r="G3620" s="29">
        <v>3</v>
      </c>
      <c r="H3620" s="127">
        <f>IF(SUMIFS('[1]2025年已发货'!$E:$E,'[1]2025年已发货'!$F:$F,C3620,'[1]2025年已发货'!$C:$C,F3620,'[1]2025年已发货'!$G:$G,I3620,'[1]2025年已发货'!$H:$H,J3620)=0,"未发货",SUMIFS('[1]2025年已发货'!$E:$E,'[1]2025年已发货'!$F:$F,C3620,'[1]2025年已发货'!$C:$C,F3620,'[1]2025年已发货'!$G:$G,I3620,'[1]2025年已发货'!$H:$H,J3620))</f>
        <v>3</v>
      </c>
      <c r="I3620" s="33" t="str">
        <f>VLOOKUP(B3620,辅助信息!E:I,3,FALSE)</f>
        <v>(乐山市校地共建产教融合基地建设项目二标段)四川省乐山市市中区苏稽镇</v>
      </c>
      <c r="J3620" s="33" t="str">
        <f>VLOOKUP(B3620,辅助信息!E:I,4,FALSE)</f>
        <v>彭江涛</v>
      </c>
      <c r="K3620" s="33">
        <f>VLOOKUP(J3620,辅助信息!H:I,2,FALSE)</f>
        <v>13990276572</v>
      </c>
      <c r="L3620" s="102" t="str">
        <f>VLOOKUP(B3620,辅助信息!E:J,6,FALSE)</f>
        <v>联系实际收货人（彭江涛13990276572）现场要求炉批号控制2个以下，超2个不给予签收。提前联系到场规格及数量</v>
      </c>
      <c r="M3620" s="84">
        <v>45922</v>
      </c>
      <c r="O3620" s="55">
        <f ca="1" t="shared" si="196"/>
        <v>0</v>
      </c>
      <c r="P3620" s="55">
        <f ca="1" t="shared" si="197"/>
        <v>35</v>
      </c>
      <c r="Q3620" s="22" t="str">
        <f>VLOOKUP(B3620,辅助信息!E:M,9,FALSE)</f>
        <v>ZTWM-CDGS-XS-2025-0126-四川机司-乐山市校地共建产教融合基地配套设施项目施工二标段钢筋采购合同</v>
      </c>
      <c r="R3620" s="22" t="str">
        <f>_xlfn._xlws.FILTER(辅助信息!D:D,辅助信息!E:E=B3620)</f>
        <v>乐山市校地共建产教融合基地建设项目二标段</v>
      </c>
    </row>
    <row r="3621" hidden="1" spans="2:18">
      <c r="B3621" s="33" t="s">
        <v>186</v>
      </c>
      <c r="C3621" s="63">
        <v>45922</v>
      </c>
      <c r="D3621" s="33" t="str">
        <f>VLOOKUP(B3621,辅助信息!E:K,7,FALSE)</f>
        <v>JWDDCD2025072900123</v>
      </c>
      <c r="E3621" s="33" t="str">
        <f>VLOOKUP(F3621,辅助信息!A:B,2,FALSE)</f>
        <v>螺纹钢</v>
      </c>
      <c r="F3621" s="33" t="s">
        <v>22</v>
      </c>
      <c r="G3621" s="29">
        <v>15</v>
      </c>
      <c r="H3621" s="127">
        <f>IF(SUMIFS('[1]2025年已发货'!$E:$E,'[1]2025年已发货'!$F:$F,C3621,'[1]2025年已发货'!$C:$C,F3621,'[1]2025年已发货'!$G:$G,I3621,'[1]2025年已发货'!$H:$H,J3621)=0,"未发货",SUMIFS('[1]2025年已发货'!$E:$E,'[1]2025年已发货'!$F:$F,C3621,'[1]2025年已发货'!$C:$C,F3621,'[1]2025年已发货'!$G:$G,I3621,'[1]2025年已发货'!$H:$H,J3621))</f>
        <v>15</v>
      </c>
      <c r="I3621" s="33" t="str">
        <f>VLOOKUP(B3621,辅助信息!E:I,3,FALSE)</f>
        <v>(乐山市校地共建产教融合基地建设项目二标段)四川省乐山市市中区苏稽镇</v>
      </c>
      <c r="J3621" s="33" t="str">
        <f>VLOOKUP(B3621,辅助信息!E:I,4,FALSE)</f>
        <v>彭江涛</v>
      </c>
      <c r="K3621" s="33">
        <f>VLOOKUP(J3621,辅助信息!H:I,2,FALSE)</f>
        <v>13990276572</v>
      </c>
      <c r="L3621" s="102" t="str">
        <f>VLOOKUP(B3621,辅助信息!E:J,6,FALSE)</f>
        <v>联系实际收货人（彭江涛13990276572）现场要求炉批号控制2个以下，超2个不给予签收。提前联系到场规格及数量</v>
      </c>
      <c r="M3621" s="84">
        <v>45922</v>
      </c>
      <c r="O3621" s="55">
        <f ca="1" t="shared" si="196"/>
        <v>0</v>
      </c>
      <c r="P3621" s="55">
        <f ca="1" t="shared" si="197"/>
        <v>35</v>
      </c>
      <c r="Q3621" s="22" t="str">
        <f>VLOOKUP(B3621,辅助信息!E:M,9,FALSE)</f>
        <v>ZTWM-CDGS-XS-2025-0126-四川机司-乐山市校地共建产教融合基地配套设施项目施工二标段钢筋采购合同</v>
      </c>
      <c r="R3621" s="22" t="str">
        <f>_xlfn._xlws.FILTER(辅助信息!D:D,辅助信息!E:E=B3621)</f>
        <v>乐山市校地共建产教融合基地建设项目二标段</v>
      </c>
    </row>
    <row r="3622" hidden="1" spans="2:18">
      <c r="B3622" s="33" t="s">
        <v>186</v>
      </c>
      <c r="C3622" s="63">
        <v>45922</v>
      </c>
      <c r="D3622" s="33" t="str">
        <f>VLOOKUP(B3622,辅助信息!E:K,7,FALSE)</f>
        <v>JWDDCD2025072900123</v>
      </c>
      <c r="E3622" s="33" t="str">
        <f>VLOOKUP(F3622,辅助信息!A:B,2,FALSE)</f>
        <v>螺纹钢</v>
      </c>
      <c r="F3622" s="33" t="s">
        <v>142</v>
      </c>
      <c r="G3622" s="29">
        <v>59</v>
      </c>
      <c r="H3622" s="127">
        <f>IF(SUMIFS('[1]2025年已发货'!$E:$E,'[1]2025年已发货'!$F:$F,C3622,'[1]2025年已发货'!$C:$C,F3622,'[1]2025年已发货'!$G:$G,I3622,'[1]2025年已发货'!$H:$H,J3622)=0,"未发货",SUMIFS('[1]2025年已发货'!$E:$E,'[1]2025年已发货'!$F:$F,C3622,'[1]2025年已发货'!$C:$C,F3622,'[1]2025年已发货'!$G:$G,I3622,'[1]2025年已发货'!$H:$H,J3622))</f>
        <v>45</v>
      </c>
      <c r="I3622" s="33" t="str">
        <f>VLOOKUP(B3622,辅助信息!E:I,3,FALSE)</f>
        <v>(乐山市校地共建产教融合基地建设项目二标段)四川省乐山市市中区苏稽镇</v>
      </c>
      <c r="J3622" s="33" t="str">
        <f>VLOOKUP(B3622,辅助信息!E:I,4,FALSE)</f>
        <v>彭江涛</v>
      </c>
      <c r="K3622" s="33">
        <f>VLOOKUP(J3622,辅助信息!H:I,2,FALSE)</f>
        <v>13990276572</v>
      </c>
      <c r="L3622" s="102" t="str">
        <f>VLOOKUP(B3622,辅助信息!E:J,6,FALSE)</f>
        <v>联系实际收货人（彭江涛13990276572）现场要求炉批号控制2个以下，超2个不给予签收。提前联系到场规格及数量</v>
      </c>
      <c r="M3622" s="84">
        <v>45922</v>
      </c>
      <c r="O3622" s="55">
        <f ca="1" t="shared" si="196"/>
        <v>0</v>
      </c>
      <c r="P3622" s="55">
        <f ca="1" t="shared" si="197"/>
        <v>35</v>
      </c>
      <c r="Q3622" s="22" t="str">
        <f>VLOOKUP(B3622,辅助信息!E:M,9,FALSE)</f>
        <v>ZTWM-CDGS-XS-2025-0126-四川机司-乐山市校地共建产教融合基地配套设施项目施工二标段钢筋采购合同</v>
      </c>
      <c r="R3622" s="22" t="str">
        <f>_xlfn._xlws.FILTER(辅助信息!D:D,辅助信息!E:E=B3622)</f>
        <v>乐山市校地共建产教融合基地建设项目二标段</v>
      </c>
    </row>
    <row r="3623" hidden="1" spans="2:18">
      <c r="B3623" s="33" t="s">
        <v>186</v>
      </c>
      <c r="C3623" s="63">
        <v>45922</v>
      </c>
      <c r="D3623" s="33" t="str">
        <f>VLOOKUP(B3623,辅助信息!E:K,7,FALSE)</f>
        <v>JWDDCD2025072900123</v>
      </c>
      <c r="E3623" s="33" t="str">
        <f>VLOOKUP(F3623,辅助信息!A:B,2,FALSE)</f>
        <v>螺纹钢</v>
      </c>
      <c r="F3623" s="33" t="s">
        <v>181</v>
      </c>
      <c r="G3623" s="29">
        <v>6</v>
      </c>
      <c r="H3623" s="127">
        <f>IF(SUMIFS('[1]2025年已发货'!$E:$E,'[1]2025年已发货'!$F:$F,C3623,'[1]2025年已发货'!$C:$C,F3623,'[1]2025年已发货'!$G:$G,I3623,'[1]2025年已发货'!$H:$H,J3623)=0,"未发货",SUMIFS('[1]2025年已发货'!$E:$E,'[1]2025年已发货'!$F:$F,C3623,'[1]2025年已发货'!$C:$C,F3623,'[1]2025年已发货'!$G:$G,I3623,'[1]2025年已发货'!$H:$H,J3623))</f>
        <v>6</v>
      </c>
      <c r="I3623" s="33" t="str">
        <f>VLOOKUP(B3623,辅助信息!E:I,3,FALSE)</f>
        <v>(乐山市校地共建产教融合基地建设项目二标段)四川省乐山市市中区苏稽镇</v>
      </c>
      <c r="J3623" s="33" t="str">
        <f>VLOOKUP(B3623,辅助信息!E:I,4,FALSE)</f>
        <v>彭江涛</v>
      </c>
      <c r="K3623" s="33">
        <f>VLOOKUP(J3623,辅助信息!H:I,2,FALSE)</f>
        <v>13990276572</v>
      </c>
      <c r="L3623" s="102" t="str">
        <f>VLOOKUP(B3623,辅助信息!E:J,6,FALSE)</f>
        <v>联系实际收货人（彭江涛13990276572）现场要求炉批号控制2个以下，超2个不给予签收。提前联系到场规格及数量</v>
      </c>
      <c r="M3623" s="84">
        <v>45922</v>
      </c>
      <c r="O3623" s="55">
        <f ca="1" t="shared" si="196"/>
        <v>0</v>
      </c>
      <c r="P3623" s="55">
        <f ca="1" t="shared" si="197"/>
        <v>35</v>
      </c>
      <c r="Q3623" s="22" t="str">
        <f>VLOOKUP(B3623,辅助信息!E:M,9,FALSE)</f>
        <v>ZTWM-CDGS-XS-2025-0126-四川机司-乐山市校地共建产教融合基地配套设施项目施工二标段钢筋采购合同</v>
      </c>
      <c r="R3623" s="22" t="str">
        <f>_xlfn._xlws.FILTER(辅助信息!D:D,辅助信息!E:E=B3623)</f>
        <v>乐山市校地共建产教融合基地建设项目二标段</v>
      </c>
    </row>
    <row r="3624" hidden="1" spans="2:18">
      <c r="B3624" s="33" t="s">
        <v>186</v>
      </c>
      <c r="C3624" s="63">
        <v>45922</v>
      </c>
      <c r="D3624" s="33" t="str">
        <f>VLOOKUP(B3624,辅助信息!E:K,7,FALSE)</f>
        <v>JWDDCD2025072900123</v>
      </c>
      <c r="E3624" s="33" t="str">
        <f>VLOOKUP(F3624,辅助信息!A:B,2,FALSE)</f>
        <v>螺纹钢</v>
      </c>
      <c r="F3624" s="33" t="s">
        <v>182</v>
      </c>
      <c r="G3624" s="29">
        <v>3</v>
      </c>
      <c r="H3624" s="127">
        <f>IF(SUMIFS('[1]2025年已发货'!$E:$E,'[1]2025年已发货'!$F:$F,C3624,'[1]2025年已发货'!$C:$C,F3624,'[1]2025年已发货'!$G:$G,I3624,'[1]2025年已发货'!$H:$H,J3624)=0,"未发货",SUMIFS('[1]2025年已发货'!$E:$E,'[1]2025年已发货'!$F:$F,C3624,'[1]2025年已发货'!$C:$C,F3624,'[1]2025年已发货'!$G:$G,I3624,'[1]2025年已发货'!$H:$H,J3624))</f>
        <v>3</v>
      </c>
      <c r="I3624" s="33" t="str">
        <f>VLOOKUP(B3624,辅助信息!E:I,3,FALSE)</f>
        <v>(乐山市校地共建产教融合基地建设项目二标段)四川省乐山市市中区苏稽镇</v>
      </c>
      <c r="J3624" s="33" t="str">
        <f>VLOOKUP(B3624,辅助信息!E:I,4,FALSE)</f>
        <v>彭江涛</v>
      </c>
      <c r="K3624" s="33">
        <f>VLOOKUP(J3624,辅助信息!H:I,2,FALSE)</f>
        <v>13990276572</v>
      </c>
      <c r="L3624" s="102" t="str">
        <f>VLOOKUP(B3624,辅助信息!E:J,6,FALSE)</f>
        <v>联系实际收货人（彭江涛13990276572）现场要求炉批号控制2个以下，超2个不给予签收。提前联系到场规格及数量</v>
      </c>
      <c r="M3624" s="84">
        <v>45922</v>
      </c>
      <c r="O3624" s="55">
        <f ca="1" t="shared" si="196"/>
        <v>0</v>
      </c>
      <c r="P3624" s="55">
        <f ca="1" t="shared" si="197"/>
        <v>35</v>
      </c>
      <c r="Q3624" s="22" t="str">
        <f>VLOOKUP(B3624,辅助信息!E:M,9,FALSE)</f>
        <v>ZTWM-CDGS-XS-2025-0126-四川机司-乐山市校地共建产教融合基地配套设施项目施工二标段钢筋采购合同</v>
      </c>
      <c r="R3624" s="22" t="str">
        <f>_xlfn._xlws.FILTER(辅助信息!D:D,辅助信息!E:E=B3624)</f>
        <v>乐山市校地共建产教融合基地建设项目二标段</v>
      </c>
    </row>
    <row r="3625" hidden="1" spans="2:18">
      <c r="B3625" s="33" t="s">
        <v>186</v>
      </c>
      <c r="C3625" s="63">
        <v>45922</v>
      </c>
      <c r="D3625" s="33" t="str">
        <f>VLOOKUP(B3625,辅助信息!E:K,7,FALSE)</f>
        <v>JWDDCD2025072900123</v>
      </c>
      <c r="E3625" s="33" t="str">
        <f>VLOOKUP(F3625,辅助信息!A:B,2,FALSE)</f>
        <v>盘螺</v>
      </c>
      <c r="F3625" s="33" t="s">
        <v>41</v>
      </c>
      <c r="G3625" s="29">
        <v>3</v>
      </c>
      <c r="H3625" s="127">
        <f>IF(SUMIFS('[1]2025年已发货'!$E:$E,'[1]2025年已发货'!$F:$F,C3625,'[1]2025年已发货'!$C:$C,F3625,'[1]2025年已发货'!$G:$G,I3625,'[1]2025年已发货'!$H:$H,J3625)=0,"未发货",SUMIFS('[1]2025年已发货'!$E:$E,'[1]2025年已发货'!$F:$F,C3625,'[1]2025年已发货'!$C:$C,F3625,'[1]2025年已发货'!$G:$G,I3625,'[1]2025年已发货'!$H:$H,J3625))</f>
        <v>3</v>
      </c>
      <c r="I3625" s="33" t="str">
        <f>VLOOKUP(B3625,辅助信息!E:I,3,FALSE)</f>
        <v>(乐山市校地共建产教融合基地建设项目二标段)四川省乐山市市中区苏稽镇</v>
      </c>
      <c r="J3625" s="33" t="str">
        <f>VLOOKUP(B3625,辅助信息!E:I,4,FALSE)</f>
        <v>彭江涛</v>
      </c>
      <c r="K3625" s="33">
        <f>VLOOKUP(J3625,辅助信息!H:I,2,FALSE)</f>
        <v>13990276572</v>
      </c>
      <c r="L3625" s="102" t="str">
        <f>VLOOKUP(B3625,辅助信息!E:J,6,FALSE)</f>
        <v>联系实际收货人（彭江涛13990276572）现场要求炉批号控制2个以下，超2个不给予签收。提前联系到场规格及数量</v>
      </c>
      <c r="M3625" s="84">
        <v>45922</v>
      </c>
      <c r="O3625" s="55">
        <f ca="1" t="shared" si="196"/>
        <v>0</v>
      </c>
      <c r="P3625" s="55">
        <f ca="1" t="shared" si="197"/>
        <v>35</v>
      </c>
      <c r="Q3625" s="22" t="str">
        <f>VLOOKUP(B3625,辅助信息!E:M,9,FALSE)</f>
        <v>ZTWM-CDGS-XS-2025-0126-四川机司-乐山市校地共建产教融合基地配套设施项目施工二标段钢筋采购合同</v>
      </c>
      <c r="R3625" s="22" t="str">
        <f>_xlfn._xlws.FILTER(辅助信息!D:D,辅助信息!E:E=B3625)</f>
        <v>乐山市校地共建产教融合基地建设项目二标段</v>
      </c>
    </row>
    <row r="3626" hidden="1" spans="2:18">
      <c r="B3626" s="33" t="s">
        <v>186</v>
      </c>
      <c r="C3626" s="63">
        <v>45922</v>
      </c>
      <c r="D3626" s="33" t="str">
        <f>VLOOKUP(B3626,辅助信息!E:K,7,FALSE)</f>
        <v>JWDDCD2025072900123</v>
      </c>
      <c r="E3626" s="33" t="str">
        <f>VLOOKUP(F3626,辅助信息!A:B,2,FALSE)</f>
        <v>盘螺</v>
      </c>
      <c r="F3626" s="33" t="s">
        <v>26</v>
      </c>
      <c r="G3626" s="29">
        <v>10</v>
      </c>
      <c r="H3626" s="127">
        <f>IF(SUMIFS('[1]2025年已发货'!$E:$E,'[1]2025年已发货'!$F:$F,C3626,'[1]2025年已发货'!$C:$C,F3626,'[1]2025年已发货'!$G:$G,I3626,'[1]2025年已发货'!$H:$H,J3626)=0,"未发货",SUMIFS('[1]2025年已发货'!$E:$E,'[1]2025年已发货'!$F:$F,C3626,'[1]2025年已发货'!$C:$C,F3626,'[1]2025年已发货'!$G:$G,I3626,'[1]2025年已发货'!$H:$H,J3626))</f>
        <v>10</v>
      </c>
      <c r="I3626" s="33" t="str">
        <f>VLOOKUP(B3626,辅助信息!E:I,3,FALSE)</f>
        <v>(乐山市校地共建产教融合基地建设项目二标段)四川省乐山市市中区苏稽镇</v>
      </c>
      <c r="J3626" s="33" t="str">
        <f>VLOOKUP(B3626,辅助信息!E:I,4,FALSE)</f>
        <v>彭江涛</v>
      </c>
      <c r="K3626" s="33">
        <f>VLOOKUP(J3626,辅助信息!H:I,2,FALSE)</f>
        <v>13990276572</v>
      </c>
      <c r="L3626" s="102" t="str">
        <f>VLOOKUP(B3626,辅助信息!E:J,6,FALSE)</f>
        <v>联系实际收货人（彭江涛13990276572）现场要求炉批号控制2个以下，超2个不给予签收。提前联系到场规格及数量</v>
      </c>
      <c r="M3626" s="84">
        <v>45922</v>
      </c>
      <c r="O3626" s="55">
        <f ca="1" t="shared" si="196"/>
        <v>0</v>
      </c>
      <c r="P3626" s="55">
        <f ca="1" t="shared" si="197"/>
        <v>35</v>
      </c>
      <c r="Q3626" s="22" t="str">
        <f>VLOOKUP(B3626,辅助信息!E:M,9,FALSE)</f>
        <v>ZTWM-CDGS-XS-2025-0126-四川机司-乐山市校地共建产教融合基地配套设施项目施工二标段钢筋采购合同</v>
      </c>
      <c r="R3626" s="22" t="str">
        <f>_xlfn._xlws.FILTER(辅助信息!D:D,辅助信息!E:E=B3626)</f>
        <v>乐山市校地共建产教融合基地建设项目二标段</v>
      </c>
    </row>
    <row r="3627" hidden="1" spans="2:18">
      <c r="B3627" s="33" t="s">
        <v>186</v>
      </c>
      <c r="C3627" s="63">
        <v>45922</v>
      </c>
      <c r="D3627" s="33" t="str">
        <f>VLOOKUP(B3627,辅助信息!E:K,7,FALSE)</f>
        <v>JWDDCD2025072900123</v>
      </c>
      <c r="E3627" s="33" t="str">
        <f>VLOOKUP(F3627,辅助信息!A:B,2,FALSE)</f>
        <v>盘螺</v>
      </c>
      <c r="F3627" s="33" t="s">
        <v>49</v>
      </c>
      <c r="G3627" s="29">
        <v>5</v>
      </c>
      <c r="H3627" s="127">
        <f>IF(SUMIFS('[1]2025年已发货'!$E:$E,'[1]2025年已发货'!$F:$F,C3627,'[1]2025年已发货'!$C:$C,F3627,'[1]2025年已发货'!$G:$G,I3627,'[1]2025年已发货'!$H:$H,J3627)=0,"未发货",SUMIFS('[1]2025年已发货'!$E:$E,'[1]2025年已发货'!$F:$F,C3627,'[1]2025年已发货'!$C:$C,F3627,'[1]2025年已发货'!$G:$G,I3627,'[1]2025年已发货'!$H:$H,J3627))</f>
        <v>5</v>
      </c>
      <c r="I3627" s="33" t="str">
        <f>VLOOKUP(B3627,辅助信息!E:I,3,FALSE)</f>
        <v>(乐山市校地共建产教融合基地建设项目二标段)四川省乐山市市中区苏稽镇</v>
      </c>
      <c r="J3627" s="33" t="str">
        <f>VLOOKUP(B3627,辅助信息!E:I,4,FALSE)</f>
        <v>彭江涛</v>
      </c>
      <c r="K3627" s="33">
        <f>VLOOKUP(J3627,辅助信息!H:I,2,FALSE)</f>
        <v>13990276572</v>
      </c>
      <c r="L3627" s="102" t="str">
        <f>VLOOKUP(B3627,辅助信息!E:J,6,FALSE)</f>
        <v>联系实际收货人（彭江涛13990276572）现场要求炉批号控制2个以下，超2个不给予签收。提前联系到场规格及数量</v>
      </c>
      <c r="M3627" s="84">
        <v>45922</v>
      </c>
      <c r="O3627" s="55">
        <f ca="1" t="shared" si="196"/>
        <v>0</v>
      </c>
      <c r="P3627" s="55">
        <f ca="1" t="shared" si="197"/>
        <v>35</v>
      </c>
      <c r="Q3627" s="22" t="str">
        <f>VLOOKUP(B3627,辅助信息!E:M,9,FALSE)</f>
        <v>ZTWM-CDGS-XS-2025-0126-四川机司-乐山市校地共建产教融合基地配套设施项目施工二标段钢筋采购合同</v>
      </c>
      <c r="R3627" s="22" t="str">
        <f>_xlfn._xlws.FILTER(辅助信息!D:D,辅助信息!E:E=B3627)</f>
        <v>乐山市校地共建产教融合基地建设项目二标段</v>
      </c>
    </row>
    <row r="3628" hidden="1" spans="2:18">
      <c r="B3628" s="33" t="s">
        <v>163</v>
      </c>
      <c r="C3628" s="63">
        <v>45922</v>
      </c>
      <c r="D3628" s="33" t="str">
        <f>VLOOKUP(B3628,辅助信息!E:K,7,FALSE)</f>
        <v>JWDDCD2025052800131</v>
      </c>
      <c r="E3628" s="33" t="str">
        <f>VLOOKUP(F3628,辅助信息!A:B,2,FALSE)</f>
        <v>盘螺</v>
      </c>
      <c r="F3628" s="33" t="s">
        <v>49</v>
      </c>
      <c r="G3628" s="29">
        <v>6</v>
      </c>
      <c r="H3628" s="127"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33" t="str">
        <f>VLOOKUP(B3628,辅助信息!E:I,3,FALSE)</f>
        <v>（商投建工达州中医药科技园-4工区-9号楼）达州市通川区达州中医药职业学院犀牛大道北段</v>
      </c>
      <c r="J3628" s="33" t="str">
        <f>VLOOKUP(B3628,辅助信息!E:I,4,FALSE)</f>
        <v>张扬</v>
      </c>
      <c r="K3628" s="33">
        <f>VLOOKUP(J3628,辅助信息!H:I,2,FALSE)</f>
        <v>18381904567</v>
      </c>
      <c r="L3628" s="102" t="str">
        <f>VLOOKUP(B3628,辅助信息!E:J,6,FALSE)</f>
        <v>控制炉批号！多了现场不收！,优先安排达钢,提前联系到场规格及数量</v>
      </c>
      <c r="M3628" s="84"/>
      <c r="O3628" s="55" t="str">
        <f ca="1" t="shared" si="196"/>
        <v/>
      </c>
      <c r="P3628" s="55" t="str">
        <f ca="1" t="shared" si="197"/>
        <v/>
      </c>
      <c r="Q3628" s="22" t="str">
        <f>VLOOKUP(B3628,辅助信息!E:M,9,FALSE)</f>
        <v>ZTWM-CDGS-XS-2024-0134-商投建工达州中医药科技成果示范园项目</v>
      </c>
      <c r="R3628" s="22" t="str">
        <f>_xlfn._xlws.FILTER(辅助信息!D:D,辅助信息!E:E=B3628)</f>
        <v>商投建工达州中医药科技园</v>
      </c>
    </row>
    <row r="3629" hidden="1" spans="1:18">
      <c r="A3629" s="50" t="s">
        <v>221</v>
      </c>
      <c r="B3629" s="90" t="s">
        <v>163</v>
      </c>
      <c r="C3629" s="63">
        <v>45922</v>
      </c>
      <c r="D3629" s="33" t="str">
        <f>VLOOKUP(B3629,辅助信息!E:K,7,FALSE)</f>
        <v>JWDDCD2025052800131</v>
      </c>
      <c r="E3629" s="33" t="str">
        <f>VLOOKUP(F3629,辅助信息!A:B,2,FALSE)</f>
        <v>盘螺</v>
      </c>
      <c r="F3629" s="33" t="s">
        <v>40</v>
      </c>
      <c r="G3629" s="139">
        <v>47</v>
      </c>
      <c r="H3629" s="127">
        <f>IF(SUMIFS('[1]2025年已发货'!$E:$E,'[1]2025年已发货'!$F:$F,C3629,'[1]2025年已发货'!$C:$C,F3629,'[1]2025年已发货'!$G:$G,I3629,'[1]2025年已发货'!$H:$H,J3629)=0,"未发货",SUMIFS('[1]2025年已发货'!$E:$E,'[1]2025年已发货'!$F:$F,C3629,'[1]2025年已发货'!$C:$C,F3629,'[1]2025年已发货'!$G:$G,I3629,'[1]2025年已发货'!$H:$H,J3629))</f>
        <v>26</v>
      </c>
      <c r="I3629" s="33" t="str">
        <f>VLOOKUP(B3629,辅助信息!E:I,3,FALSE)</f>
        <v>（商投建工达州中医药科技园-4工区-9号楼）达州市通川区达州中医药职业学院犀牛大道北段</v>
      </c>
      <c r="J3629" s="33" t="str">
        <f>VLOOKUP(B3629,辅助信息!E:I,4,FALSE)</f>
        <v>张扬</v>
      </c>
      <c r="K3629" s="33">
        <f>VLOOKUP(J3629,辅助信息!H:I,2,FALSE)</f>
        <v>18381904567</v>
      </c>
      <c r="L3629" s="102" t="str">
        <f>VLOOKUP(B3629,辅助信息!E:J,6,FALSE)</f>
        <v>控制炉批号！多了现场不收！,优先安排达钢,提前联系到场规格及数量</v>
      </c>
      <c r="M3629" s="84">
        <v>45922</v>
      </c>
      <c r="O3629" s="55">
        <f ca="1" t="shared" si="196"/>
        <v>0</v>
      </c>
      <c r="P3629" s="55">
        <f ca="1" t="shared" si="197"/>
        <v>35</v>
      </c>
      <c r="Q3629" s="22" t="str">
        <f>VLOOKUP(B3629,辅助信息!E:M,9,FALSE)</f>
        <v>ZTWM-CDGS-XS-2024-0134-商投建工达州中医药科技成果示范园项目</v>
      </c>
      <c r="R3629" s="22" t="str">
        <f>_xlfn._xlws.FILTER(辅助信息!D:D,辅助信息!E:E=B3629)</f>
        <v>商投建工达州中医药科技园</v>
      </c>
    </row>
    <row r="3630" hidden="1" spans="2:18">
      <c r="B3630" s="90" t="s">
        <v>163</v>
      </c>
      <c r="C3630" s="63">
        <v>45922</v>
      </c>
      <c r="D3630" s="33" t="str">
        <f>VLOOKUP(B3630,辅助信息!E:K,7,FALSE)</f>
        <v>JWDDCD2025052800131</v>
      </c>
      <c r="E3630" s="33" t="str">
        <f>VLOOKUP(F3630,辅助信息!A:B,2,FALSE)</f>
        <v>盘螺</v>
      </c>
      <c r="F3630" s="33" t="s">
        <v>41</v>
      </c>
      <c r="G3630" s="139">
        <v>31</v>
      </c>
      <c r="H3630" s="127">
        <f>IF(SUMIFS('[1]2025年已发货'!$E:$E,'[1]2025年已发货'!$F:$F,C3630,'[1]2025年已发货'!$C:$C,F3630,'[1]2025年已发货'!$G:$G,I3630,'[1]2025年已发货'!$H:$H,J3630)=0,"未发货",SUMIFS('[1]2025年已发货'!$E:$E,'[1]2025年已发货'!$F:$F,C3630,'[1]2025年已发货'!$C:$C,F3630,'[1]2025年已发货'!$G:$G,I3630,'[1]2025年已发货'!$H:$H,J3630))</f>
        <v>21</v>
      </c>
      <c r="I3630" s="33" t="str">
        <f>VLOOKUP(B3630,辅助信息!E:I,3,FALSE)</f>
        <v>（商投建工达州中医药科技园-4工区-9号楼）达州市通川区达州中医药职业学院犀牛大道北段</v>
      </c>
      <c r="J3630" s="33" t="str">
        <f>VLOOKUP(B3630,辅助信息!E:I,4,FALSE)</f>
        <v>张扬</v>
      </c>
      <c r="K3630" s="33">
        <f>VLOOKUP(J3630,辅助信息!H:I,2,FALSE)</f>
        <v>18381904567</v>
      </c>
      <c r="L3630" s="102" t="str">
        <f>VLOOKUP(B3630,辅助信息!E:J,6,FALSE)</f>
        <v>控制炉批号！多了现场不收！,优先安排达钢,提前联系到场规格及数量</v>
      </c>
      <c r="M3630" s="84">
        <v>45922</v>
      </c>
      <c r="O3630" s="55">
        <f ca="1" t="shared" si="196"/>
        <v>0</v>
      </c>
      <c r="P3630" s="55">
        <f ca="1" t="shared" si="197"/>
        <v>35</v>
      </c>
      <c r="Q3630" s="22" t="str">
        <f>VLOOKUP(B3630,辅助信息!E:M,9,FALSE)</f>
        <v>ZTWM-CDGS-XS-2024-0134-商投建工达州中医药科技成果示范园项目</v>
      </c>
      <c r="R3630" s="22" t="str">
        <f>_xlfn._xlws.FILTER(辅助信息!D:D,辅助信息!E:E=B3630)</f>
        <v>商投建工达州中医药科技园</v>
      </c>
    </row>
    <row r="3631" hidden="1" spans="2:18">
      <c r="B3631" s="33" t="s">
        <v>163</v>
      </c>
      <c r="C3631" s="63">
        <v>45922</v>
      </c>
      <c r="D3631" s="33" t="str">
        <f>VLOOKUP(B3631,辅助信息!E:K,7,FALSE)</f>
        <v>JWDDCD2025052800131</v>
      </c>
      <c r="E3631" s="33" t="str">
        <f>VLOOKUP(F3631,辅助信息!A:B,2,FALSE)</f>
        <v>螺纹钢</v>
      </c>
      <c r="F3631" s="33" t="s">
        <v>58</v>
      </c>
      <c r="G3631" s="139">
        <v>15</v>
      </c>
      <c r="H3631" s="127"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33" t="str">
        <f>VLOOKUP(B3631,辅助信息!E:I,3,FALSE)</f>
        <v>（商投建工达州中医药科技园-4工区-9号楼）达州市通川区达州中医药职业学院犀牛大道北段</v>
      </c>
      <c r="J3631" s="33" t="str">
        <f>VLOOKUP(B3631,辅助信息!E:I,4,FALSE)</f>
        <v>张扬</v>
      </c>
      <c r="K3631" s="33">
        <f>VLOOKUP(J3631,辅助信息!H:I,2,FALSE)</f>
        <v>18381904567</v>
      </c>
      <c r="L3631" s="102" t="str">
        <f>VLOOKUP(B3631,辅助信息!E:J,6,FALSE)</f>
        <v>控制炉批号！多了现场不收！,优先安排达钢,提前联系到场规格及数量</v>
      </c>
      <c r="M3631" s="84"/>
      <c r="O3631" s="55" t="str">
        <f ca="1" t="shared" si="196"/>
        <v/>
      </c>
      <c r="P3631" s="55" t="str">
        <f ca="1" t="shared" si="197"/>
        <v/>
      </c>
      <c r="Q3631" s="22" t="str">
        <f>VLOOKUP(B3631,辅助信息!E:M,9,FALSE)</f>
        <v>ZTWM-CDGS-XS-2024-0134-商投建工达州中医药科技成果示范园项目</v>
      </c>
      <c r="R3631" s="22" t="str">
        <f>_xlfn._xlws.FILTER(辅助信息!D:D,辅助信息!E:E=B3631)</f>
        <v>商投建工达州中医药科技园</v>
      </c>
    </row>
    <row r="3632" hidden="1" spans="2:18">
      <c r="B3632" s="33" t="s">
        <v>163</v>
      </c>
      <c r="C3632" s="63">
        <v>45922</v>
      </c>
      <c r="D3632" s="33" t="str">
        <f>VLOOKUP(B3632,辅助信息!E:K,7,FALSE)</f>
        <v>JWDDCD2025052800131</v>
      </c>
      <c r="E3632" s="33" t="str">
        <f>VLOOKUP(F3632,辅助信息!A:B,2,FALSE)</f>
        <v>螺纹钢</v>
      </c>
      <c r="F3632" s="33" t="s">
        <v>46</v>
      </c>
      <c r="G3632" s="139">
        <v>9</v>
      </c>
      <c r="H3632" s="127"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33" t="str">
        <f>VLOOKUP(B3632,辅助信息!E:I,3,FALSE)</f>
        <v>（商投建工达州中医药科技园-4工区-9号楼）达州市通川区达州中医药职业学院犀牛大道北段</v>
      </c>
      <c r="J3632" s="33" t="str">
        <f>VLOOKUP(B3632,辅助信息!E:I,4,FALSE)</f>
        <v>张扬</v>
      </c>
      <c r="K3632" s="33">
        <f>VLOOKUP(J3632,辅助信息!H:I,2,FALSE)</f>
        <v>18381904567</v>
      </c>
      <c r="L3632" s="102" t="str">
        <f>VLOOKUP(B3632,辅助信息!E:J,6,FALSE)</f>
        <v>控制炉批号！多了现场不收！,优先安排达钢,提前联系到场规格及数量</v>
      </c>
      <c r="M3632" s="84"/>
      <c r="O3632" s="55" t="str">
        <f ca="1" t="shared" si="196"/>
        <v/>
      </c>
      <c r="P3632" s="55" t="str">
        <f ca="1" t="shared" si="197"/>
        <v/>
      </c>
      <c r="Q3632" s="22" t="str">
        <f>VLOOKUP(B3632,辅助信息!E:M,9,FALSE)</f>
        <v>ZTWM-CDGS-XS-2024-0134-商投建工达州中医药科技成果示范园项目</v>
      </c>
      <c r="R3632" s="22" t="str">
        <f>_xlfn._xlws.FILTER(辅助信息!D:D,辅助信息!E:E=B3632)</f>
        <v>商投建工达州中医药科技园</v>
      </c>
    </row>
    <row r="3633" hidden="1" spans="2:18">
      <c r="B3633" s="33" t="s">
        <v>163</v>
      </c>
      <c r="C3633" s="63">
        <v>45922</v>
      </c>
      <c r="D3633" s="33" t="str">
        <f>VLOOKUP(B3633,辅助信息!E:K,7,FALSE)</f>
        <v>JWDDCD2025052800131</v>
      </c>
      <c r="E3633" s="33" t="str">
        <f>VLOOKUP(F3633,辅助信息!A:B,2,FALSE)</f>
        <v>螺纹钢</v>
      </c>
      <c r="F3633" s="33" t="s">
        <v>22</v>
      </c>
      <c r="G3633" s="139">
        <v>15</v>
      </c>
      <c r="H3633" s="127"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33" t="str">
        <f>VLOOKUP(B3633,辅助信息!E:I,3,FALSE)</f>
        <v>（商投建工达州中医药科技园-4工区-9号楼）达州市通川区达州中医药职业学院犀牛大道北段</v>
      </c>
      <c r="J3633" s="33" t="str">
        <f>VLOOKUP(B3633,辅助信息!E:I,4,FALSE)</f>
        <v>张扬</v>
      </c>
      <c r="K3633" s="33">
        <f>VLOOKUP(J3633,辅助信息!H:I,2,FALSE)</f>
        <v>18381904567</v>
      </c>
      <c r="L3633" s="102" t="str">
        <f>VLOOKUP(B3633,辅助信息!E:J,6,FALSE)</f>
        <v>控制炉批号！多了现场不收！,优先安排达钢,提前联系到场规格及数量</v>
      </c>
      <c r="M3633" s="84"/>
      <c r="O3633" s="55" t="str">
        <f ca="1" t="shared" si="196"/>
        <v/>
      </c>
      <c r="P3633" s="55" t="str">
        <f ca="1" t="shared" si="197"/>
        <v/>
      </c>
      <c r="Q3633" s="22" t="str">
        <f>VLOOKUP(B3633,辅助信息!E:M,9,FALSE)</f>
        <v>ZTWM-CDGS-XS-2024-0134-商投建工达州中医药科技成果示范园项目</v>
      </c>
      <c r="R3633" s="22" t="str">
        <f>_xlfn._xlws.FILTER(辅助信息!D:D,辅助信息!E:E=B3633)</f>
        <v>商投建工达州中医药科技园</v>
      </c>
    </row>
    <row r="3634" hidden="1" spans="2:18">
      <c r="B3634" s="33" t="s">
        <v>112</v>
      </c>
      <c r="C3634" s="63">
        <v>45922</v>
      </c>
      <c r="D3634" s="33" t="str">
        <f>VLOOKUP(B3634,辅助信息!E:K,7,FALSE)</f>
        <v>JWDDCD2025052800131</v>
      </c>
      <c r="E3634" s="33" t="str">
        <f>VLOOKUP(F3634,辅助信息!A:B,2,FALSE)</f>
        <v>螺纹钢</v>
      </c>
      <c r="F3634" s="33" t="s">
        <v>27</v>
      </c>
      <c r="G3634" s="29">
        <v>15</v>
      </c>
      <c r="H3634" s="127"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33" t="str">
        <f>VLOOKUP(B3634,辅助信息!E:I,3,FALSE)</f>
        <v>（商投建工达州中医药科技园-4工区-10号楼）达州市通川区达州中医药职业学院犀牛大道北段</v>
      </c>
      <c r="J3634" s="33" t="str">
        <f>VLOOKUP(B3634,辅助信息!E:I,4,FALSE)</f>
        <v>张扬</v>
      </c>
      <c r="K3634" s="33">
        <f>VLOOKUP(J3634,辅助信息!H:I,2,FALSE)</f>
        <v>18381904567</v>
      </c>
      <c r="L3634" s="102" t="str">
        <f>VLOOKUP(B3634,辅助信息!E:J,6,FALSE)</f>
        <v>控制炉批号！多了现场不收！,优先安排达钢,提前联系到场规格及数量</v>
      </c>
      <c r="M3634" s="84">
        <v>45925</v>
      </c>
      <c r="O3634" s="55">
        <f ca="1" t="shared" si="196"/>
        <v>0</v>
      </c>
      <c r="P3634" s="55">
        <f ca="1" t="shared" si="197"/>
        <v>32</v>
      </c>
      <c r="Q3634" s="22" t="str">
        <f>VLOOKUP(B3634,辅助信息!E:M,9,FALSE)</f>
        <v>ZTWM-CDGS-XS-2024-0134-商投建工达州中医药科技成果示范园项目</v>
      </c>
      <c r="R3634" s="22" t="str">
        <f>_xlfn._xlws.FILTER(辅助信息!D:D,辅助信息!E:E=B3634)</f>
        <v>商投建工达州中医药科技园</v>
      </c>
    </row>
    <row r="3635" hidden="1" spans="2:18">
      <c r="B3635" s="33" t="s">
        <v>112</v>
      </c>
      <c r="C3635" s="63">
        <v>45922</v>
      </c>
      <c r="D3635" s="33" t="str">
        <f>VLOOKUP(B3635,辅助信息!E:K,7,FALSE)</f>
        <v>JWDDCD2025052800131</v>
      </c>
      <c r="E3635" s="33" t="str">
        <f>VLOOKUP(F3635,辅助信息!A:B,2,FALSE)</f>
        <v>螺纹钢</v>
      </c>
      <c r="F3635" s="33" t="s">
        <v>45</v>
      </c>
      <c r="G3635" s="29">
        <v>6</v>
      </c>
      <c r="H3635" s="127"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33" t="str">
        <f>VLOOKUP(B3635,辅助信息!E:I,3,FALSE)</f>
        <v>（商投建工达州中医药科技园-4工区-10号楼）达州市通川区达州中医药职业学院犀牛大道北段</v>
      </c>
      <c r="J3635" s="33" t="str">
        <f>VLOOKUP(B3635,辅助信息!E:I,4,FALSE)</f>
        <v>张扬</v>
      </c>
      <c r="K3635" s="33">
        <f>VLOOKUP(J3635,辅助信息!H:I,2,FALSE)</f>
        <v>18381904567</v>
      </c>
      <c r="L3635" s="102" t="str">
        <f>VLOOKUP(B3635,辅助信息!E:J,6,FALSE)</f>
        <v>控制炉批号！多了现场不收！,优先安排达钢,提前联系到场规格及数量</v>
      </c>
      <c r="M3635" s="84">
        <v>45925</v>
      </c>
      <c r="O3635" s="55">
        <f ca="1" t="shared" si="196"/>
        <v>0</v>
      </c>
      <c r="P3635" s="55">
        <f ca="1" t="shared" si="197"/>
        <v>32</v>
      </c>
      <c r="Q3635" s="22" t="str">
        <f>VLOOKUP(B3635,辅助信息!E:M,9,FALSE)</f>
        <v>ZTWM-CDGS-XS-2024-0134-商投建工达州中医药科技成果示范园项目</v>
      </c>
      <c r="R3635" s="22" t="str">
        <f>_xlfn._xlws.FILTER(辅助信息!D:D,辅助信息!E:E=B3635)</f>
        <v>商投建工达州中医药科技园</v>
      </c>
    </row>
    <row r="3636" hidden="1" spans="2:18">
      <c r="B3636" s="33" t="s">
        <v>112</v>
      </c>
      <c r="C3636" s="63">
        <v>45922</v>
      </c>
      <c r="D3636" s="33" t="str">
        <f>VLOOKUP(B3636,辅助信息!E:K,7,FALSE)</f>
        <v>JWDDCD2025052800131</v>
      </c>
      <c r="E3636" s="33" t="str">
        <f>VLOOKUP(F3636,辅助信息!A:B,2,FALSE)</f>
        <v>螺纹钢</v>
      </c>
      <c r="F3636" s="33" t="s">
        <v>21</v>
      </c>
      <c r="G3636" s="29">
        <v>12</v>
      </c>
      <c r="H3636" s="127"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33" t="str">
        <f>VLOOKUP(B3636,辅助信息!E:I,3,FALSE)</f>
        <v>（商投建工达州中医药科技园-4工区-10号楼）达州市通川区达州中医药职业学院犀牛大道北段</v>
      </c>
      <c r="J3636" s="33" t="str">
        <f>VLOOKUP(B3636,辅助信息!E:I,4,FALSE)</f>
        <v>张扬</v>
      </c>
      <c r="K3636" s="33">
        <f>VLOOKUP(J3636,辅助信息!H:I,2,FALSE)</f>
        <v>18381904567</v>
      </c>
      <c r="L3636" s="102" t="str">
        <f>VLOOKUP(B3636,辅助信息!E:J,6,FALSE)</f>
        <v>控制炉批号！多了现场不收！,优先安排达钢,提前联系到场规格及数量</v>
      </c>
      <c r="M3636" s="84">
        <v>45925</v>
      </c>
      <c r="O3636" s="55">
        <f ca="1" t="shared" si="196"/>
        <v>0</v>
      </c>
      <c r="P3636" s="55">
        <f ca="1" t="shared" si="197"/>
        <v>32</v>
      </c>
      <c r="Q3636" s="22" t="str">
        <f>VLOOKUP(B3636,辅助信息!E:M,9,FALSE)</f>
        <v>ZTWM-CDGS-XS-2024-0134-商投建工达州中医药科技成果示范园项目</v>
      </c>
      <c r="R3636" s="22" t="str">
        <f>_xlfn._xlws.FILTER(辅助信息!D:D,辅助信息!E:E=B3636)</f>
        <v>商投建工达州中医药科技园</v>
      </c>
    </row>
    <row r="3637" hidden="1" spans="2:18">
      <c r="B3637" s="33" t="s">
        <v>112</v>
      </c>
      <c r="C3637" s="63">
        <v>45922</v>
      </c>
      <c r="D3637" s="33" t="str">
        <f>VLOOKUP(B3637,辅助信息!E:K,7,FALSE)</f>
        <v>JWDDCD2025052800131</v>
      </c>
      <c r="E3637" s="33" t="str">
        <f>VLOOKUP(F3637,辅助信息!A:B,2,FALSE)</f>
        <v>螺纹钢</v>
      </c>
      <c r="F3637" s="33" t="s">
        <v>58</v>
      </c>
      <c r="G3637" s="29">
        <v>12</v>
      </c>
      <c r="H3637" s="127"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33" t="str">
        <f>VLOOKUP(B3637,辅助信息!E:I,3,FALSE)</f>
        <v>（商投建工达州中医药科技园-4工区-10号楼）达州市通川区达州中医药职业学院犀牛大道北段</v>
      </c>
      <c r="J3637" s="33" t="str">
        <f>VLOOKUP(B3637,辅助信息!E:I,4,FALSE)</f>
        <v>张扬</v>
      </c>
      <c r="K3637" s="33">
        <f>VLOOKUP(J3637,辅助信息!H:I,2,FALSE)</f>
        <v>18381904567</v>
      </c>
      <c r="L3637" s="102" t="str">
        <f>VLOOKUP(B3637,辅助信息!E:J,6,FALSE)</f>
        <v>控制炉批号！多了现场不收！,优先安排达钢,提前联系到场规格及数量</v>
      </c>
      <c r="M3637" s="84">
        <v>45925</v>
      </c>
      <c r="O3637" s="55">
        <f ca="1" t="shared" si="196"/>
        <v>0</v>
      </c>
      <c r="P3637" s="55">
        <f ca="1" t="shared" si="197"/>
        <v>32</v>
      </c>
      <c r="Q3637" s="22" t="str">
        <f>VLOOKUP(B3637,辅助信息!E:M,9,FALSE)</f>
        <v>ZTWM-CDGS-XS-2024-0134-商投建工达州中医药科技成果示范园项目</v>
      </c>
      <c r="R3637" s="22" t="str">
        <f>_xlfn._xlws.FILTER(辅助信息!D:D,辅助信息!E:E=B3637)</f>
        <v>商投建工达州中医药科技园</v>
      </c>
    </row>
    <row r="3638" hidden="1" spans="2:18">
      <c r="B3638" s="33" t="s">
        <v>112</v>
      </c>
      <c r="C3638" s="63">
        <v>45922</v>
      </c>
      <c r="D3638" s="33" t="str">
        <f>VLOOKUP(B3638,辅助信息!E:K,7,FALSE)</f>
        <v>JWDDCD2025052800131</v>
      </c>
      <c r="E3638" s="33" t="str">
        <f>VLOOKUP(F3638,辅助信息!A:B,2,FALSE)</f>
        <v>螺纹钢</v>
      </c>
      <c r="F3638" s="33" t="s">
        <v>46</v>
      </c>
      <c r="G3638" s="29">
        <v>15</v>
      </c>
      <c r="H3638" s="127"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33" t="str">
        <f>VLOOKUP(B3638,辅助信息!E:I,3,FALSE)</f>
        <v>（商投建工达州中医药科技园-4工区-10号楼）达州市通川区达州中医药职业学院犀牛大道北段</v>
      </c>
      <c r="J3638" s="33" t="str">
        <f>VLOOKUP(B3638,辅助信息!E:I,4,FALSE)</f>
        <v>张扬</v>
      </c>
      <c r="K3638" s="33">
        <f>VLOOKUP(J3638,辅助信息!H:I,2,FALSE)</f>
        <v>18381904567</v>
      </c>
      <c r="L3638" s="102" t="str">
        <f>VLOOKUP(B3638,辅助信息!E:J,6,FALSE)</f>
        <v>控制炉批号！多了现场不收！,优先安排达钢,提前联系到场规格及数量</v>
      </c>
      <c r="M3638" s="84">
        <v>45925</v>
      </c>
      <c r="O3638" s="55">
        <f ca="1" t="shared" si="196"/>
        <v>0</v>
      </c>
      <c r="P3638" s="55">
        <f ca="1" t="shared" si="197"/>
        <v>32</v>
      </c>
      <c r="Q3638" s="22" t="str">
        <f>VLOOKUP(B3638,辅助信息!E:M,9,FALSE)</f>
        <v>ZTWM-CDGS-XS-2024-0134-商投建工达州中医药科技成果示范园项目</v>
      </c>
      <c r="R3638" s="22" t="str">
        <f>_xlfn._xlws.FILTER(辅助信息!D:D,辅助信息!E:E=B3638)</f>
        <v>商投建工达州中医药科技园</v>
      </c>
    </row>
    <row r="3639" hidden="1" spans="2:18">
      <c r="B3639" s="33" t="s">
        <v>112</v>
      </c>
      <c r="C3639" s="63">
        <v>45922</v>
      </c>
      <c r="D3639" s="33" t="str">
        <f>VLOOKUP(B3639,辅助信息!E:K,7,FALSE)</f>
        <v>JWDDCD2025052800131</v>
      </c>
      <c r="E3639" s="33" t="str">
        <f>VLOOKUP(F3639,辅助信息!A:B,2,FALSE)</f>
        <v>螺纹钢</v>
      </c>
      <c r="F3639" s="33" t="s">
        <v>22</v>
      </c>
      <c r="G3639" s="29">
        <v>6</v>
      </c>
      <c r="H3639" s="127"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33" t="str">
        <f>VLOOKUP(B3639,辅助信息!E:I,3,FALSE)</f>
        <v>（商投建工达州中医药科技园-4工区-10号楼）达州市通川区达州中医药职业学院犀牛大道北段</v>
      </c>
      <c r="J3639" s="33" t="str">
        <f>VLOOKUP(B3639,辅助信息!E:I,4,FALSE)</f>
        <v>张扬</v>
      </c>
      <c r="K3639" s="33">
        <f>VLOOKUP(J3639,辅助信息!H:I,2,FALSE)</f>
        <v>18381904567</v>
      </c>
      <c r="L3639" s="102" t="str">
        <f>VLOOKUP(B3639,辅助信息!E:J,6,FALSE)</f>
        <v>控制炉批号！多了现场不收！,优先安排达钢,提前联系到场规格及数量</v>
      </c>
      <c r="M3639" s="84">
        <v>45925</v>
      </c>
      <c r="O3639" s="55">
        <f ca="1" t="shared" si="196"/>
        <v>0</v>
      </c>
      <c r="P3639" s="55">
        <f ca="1" t="shared" si="197"/>
        <v>32</v>
      </c>
      <c r="Q3639" s="22" t="str">
        <f>VLOOKUP(B3639,辅助信息!E:M,9,FALSE)</f>
        <v>ZTWM-CDGS-XS-2024-0134-商投建工达州中医药科技成果示范园项目</v>
      </c>
      <c r="R3639" s="22" t="str">
        <f>_xlfn._xlws.FILTER(辅助信息!D:D,辅助信息!E:E=B3639)</f>
        <v>商投建工达州中医药科技园</v>
      </c>
    </row>
    <row r="3640" hidden="1" spans="1:18">
      <c r="A3640" s="50" t="s">
        <v>222</v>
      </c>
      <c r="B3640" s="90" t="s">
        <v>203</v>
      </c>
      <c r="C3640" s="63">
        <v>45922</v>
      </c>
      <c r="D3640" s="33" t="str">
        <f>VLOOKUP(B3640,辅助信息!E:K,7,FALSE)</f>
        <v>JWDDCD2025102100479</v>
      </c>
      <c r="E3640" s="33" t="str">
        <f>VLOOKUP(F3640,辅助信息!A:B,2,FALSE)</f>
        <v>螺纹钢</v>
      </c>
      <c r="F3640" s="33" t="s">
        <v>27</v>
      </c>
      <c r="G3640" s="29">
        <v>25</v>
      </c>
      <c r="H3640" s="127">
        <v>25</v>
      </c>
      <c r="I3640" s="33" t="str">
        <f>VLOOKUP(B3640,辅助信息!E:I,3,FALSE)</f>
        <v>(五冶建设空港兴城怡心街道83亩项目)成都市双流区怡心街道高峰社区一组剑和路一段空港兴城怡心街道83亩项目中国五冶项目部</v>
      </c>
      <c r="J3640" s="33" t="str">
        <f>VLOOKUP(B3640,辅助信息!E:I,4,FALSE)</f>
        <v>王刚</v>
      </c>
      <c r="K3640" s="33">
        <f>VLOOKUP(J3640,辅助信息!H:I,2,FALSE)</f>
        <v>15881190525</v>
      </c>
      <c r="L3640" s="102"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84">
        <v>45923</v>
      </c>
      <c r="O3640" s="55">
        <f ca="1" t="shared" si="196"/>
        <v>0</v>
      </c>
      <c r="P3640" s="55">
        <f ca="1" t="shared" si="197"/>
        <v>34</v>
      </c>
      <c r="Q3640" s="22" t="str">
        <f>VLOOKUP(B3640,辅助信息!E:M,9,FALSE)</f>
        <v>ZTWM-CDGS-XS-2025-0073-五冶天府-成都怡心湖片区及龙泉驿医院等项目</v>
      </c>
      <c r="R3640" s="22" t="str">
        <f>_xlfn._xlws.FILTER(辅助信息!D:D,辅助信息!E:E=B3640)</f>
        <v>五冶建设空港兴城怡心街道83亩项目</v>
      </c>
    </row>
    <row r="3641" hidden="1" spans="2:18">
      <c r="B3641" s="90" t="s">
        <v>203</v>
      </c>
      <c r="C3641" s="63">
        <v>45922</v>
      </c>
      <c r="D3641" s="33" t="str">
        <f>VLOOKUP(B3641,辅助信息!E:K,7,FALSE)</f>
        <v>JWDDCD2025102100479</v>
      </c>
      <c r="E3641" s="33" t="str">
        <f>VLOOKUP(F3641,辅助信息!A:B,2,FALSE)</f>
        <v>螺纹钢</v>
      </c>
      <c r="F3641" s="33" t="s">
        <v>19</v>
      </c>
      <c r="G3641" s="29">
        <v>28</v>
      </c>
      <c r="H3641" s="127">
        <v>28</v>
      </c>
      <c r="I3641" s="33" t="str">
        <f>VLOOKUP(B3641,辅助信息!E:I,3,FALSE)</f>
        <v>(五冶建设空港兴城怡心街道83亩项目)成都市双流区怡心街道高峰社区一组剑和路一段空港兴城怡心街道83亩项目中国五冶项目部</v>
      </c>
      <c r="J3641" s="33" t="str">
        <f>VLOOKUP(B3641,辅助信息!E:I,4,FALSE)</f>
        <v>王刚</v>
      </c>
      <c r="K3641" s="33">
        <f>VLOOKUP(J3641,辅助信息!H:I,2,FALSE)</f>
        <v>15881190525</v>
      </c>
      <c r="L3641" s="102"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84">
        <v>45923</v>
      </c>
      <c r="O3641" s="55">
        <f ca="1" t="shared" si="196"/>
        <v>0</v>
      </c>
      <c r="P3641" s="55">
        <f ca="1" t="shared" si="197"/>
        <v>34</v>
      </c>
      <c r="Q3641" s="22" t="str">
        <f>VLOOKUP(B3641,辅助信息!E:M,9,FALSE)</f>
        <v>ZTWM-CDGS-XS-2025-0073-五冶天府-成都怡心湖片区及龙泉驿医院等项目</v>
      </c>
      <c r="R3641" s="22" t="str">
        <f>_xlfn._xlws.FILTER(辅助信息!D:D,辅助信息!E:E=B3641)</f>
        <v>五冶建设空港兴城怡心街道83亩项目</v>
      </c>
    </row>
    <row r="3642" hidden="1" spans="2:18">
      <c r="B3642" s="90" t="s">
        <v>203</v>
      </c>
      <c r="C3642" s="63">
        <v>45922</v>
      </c>
      <c r="D3642" s="33" t="str">
        <f>VLOOKUP(B3642,辅助信息!E:K,7,FALSE)</f>
        <v>JWDDCD2025102100479</v>
      </c>
      <c r="E3642" s="33" t="str">
        <f>VLOOKUP(F3642,辅助信息!A:B,2,FALSE)</f>
        <v>螺纹钢</v>
      </c>
      <c r="F3642" s="33" t="s">
        <v>32</v>
      </c>
      <c r="G3642" s="29">
        <v>10</v>
      </c>
      <c r="H3642" s="127">
        <v>10</v>
      </c>
      <c r="I3642" s="33" t="str">
        <f>VLOOKUP(B3642,辅助信息!E:I,3,FALSE)</f>
        <v>(五冶建设空港兴城怡心街道83亩项目)成都市双流区怡心街道高峰社区一组剑和路一段空港兴城怡心街道83亩项目中国五冶项目部</v>
      </c>
      <c r="J3642" s="33" t="str">
        <f>VLOOKUP(B3642,辅助信息!E:I,4,FALSE)</f>
        <v>王刚</v>
      </c>
      <c r="K3642" s="33">
        <f>VLOOKUP(J3642,辅助信息!H:I,2,FALSE)</f>
        <v>15881190525</v>
      </c>
      <c r="L3642" s="102"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84">
        <v>45923</v>
      </c>
      <c r="O3642" s="55">
        <f ca="1" t="shared" si="196"/>
        <v>0</v>
      </c>
      <c r="P3642" s="55">
        <f ca="1" t="shared" si="197"/>
        <v>34</v>
      </c>
      <c r="Q3642" s="22" t="str">
        <f>VLOOKUP(B3642,辅助信息!E:M,9,FALSE)</f>
        <v>ZTWM-CDGS-XS-2025-0073-五冶天府-成都怡心湖片区及龙泉驿医院等项目</v>
      </c>
      <c r="R3642" s="22" t="str">
        <f>_xlfn._xlws.FILTER(辅助信息!D:D,辅助信息!E:E=B3642)</f>
        <v>五冶建设空港兴城怡心街道83亩项目</v>
      </c>
    </row>
    <row r="3643" hidden="1" spans="2:18">
      <c r="B3643" s="90" t="s">
        <v>203</v>
      </c>
      <c r="C3643" s="63">
        <v>45922</v>
      </c>
      <c r="D3643" s="33" t="str">
        <f>VLOOKUP(B3643,辅助信息!E:K,7,FALSE)</f>
        <v>JWDDCD2025102100479</v>
      </c>
      <c r="E3643" s="33" t="str">
        <f>VLOOKUP(F3643,辅助信息!A:B,2,FALSE)</f>
        <v>螺纹钢</v>
      </c>
      <c r="F3643" s="33" t="s">
        <v>30</v>
      </c>
      <c r="G3643" s="29">
        <v>10</v>
      </c>
      <c r="H3643" s="127">
        <v>10</v>
      </c>
      <c r="I3643" s="33" t="str">
        <f>VLOOKUP(B3643,辅助信息!E:I,3,FALSE)</f>
        <v>(五冶建设空港兴城怡心街道83亩项目)成都市双流区怡心街道高峰社区一组剑和路一段空港兴城怡心街道83亩项目中国五冶项目部</v>
      </c>
      <c r="J3643" s="33" t="str">
        <f>VLOOKUP(B3643,辅助信息!E:I,4,FALSE)</f>
        <v>王刚</v>
      </c>
      <c r="K3643" s="33">
        <f>VLOOKUP(J3643,辅助信息!H:I,2,FALSE)</f>
        <v>15881190525</v>
      </c>
      <c r="L3643" s="102"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84">
        <v>45923</v>
      </c>
      <c r="O3643" s="55">
        <f ca="1" t="shared" si="196"/>
        <v>0</v>
      </c>
      <c r="P3643" s="55">
        <f ca="1" t="shared" si="197"/>
        <v>34</v>
      </c>
      <c r="Q3643" s="22" t="str">
        <f>VLOOKUP(B3643,辅助信息!E:M,9,FALSE)</f>
        <v>ZTWM-CDGS-XS-2025-0073-五冶天府-成都怡心湖片区及龙泉驿医院等项目</v>
      </c>
      <c r="R3643" s="22" t="str">
        <f>_xlfn._xlws.FILTER(辅助信息!D:D,辅助信息!E:E=B3643)</f>
        <v>五冶建设空港兴城怡心街道83亩项目</v>
      </c>
    </row>
    <row r="3644" hidden="1" spans="2:18">
      <c r="B3644" s="90" t="s">
        <v>203</v>
      </c>
      <c r="C3644" s="63">
        <v>45922</v>
      </c>
      <c r="D3644" s="33" t="str">
        <f>VLOOKUP(B3644,辅助信息!E:K,7,FALSE)</f>
        <v>JWDDCD2025102100479</v>
      </c>
      <c r="E3644" s="33" t="str">
        <f>VLOOKUP(F3644,辅助信息!A:B,2,FALSE)</f>
        <v>螺纹钢</v>
      </c>
      <c r="F3644" s="33" t="s">
        <v>33</v>
      </c>
      <c r="G3644" s="29">
        <v>10</v>
      </c>
      <c r="H3644" s="127">
        <v>10</v>
      </c>
      <c r="I3644" s="33" t="str">
        <f>VLOOKUP(B3644,辅助信息!E:I,3,FALSE)</f>
        <v>(五冶建设空港兴城怡心街道83亩项目)成都市双流区怡心街道高峰社区一组剑和路一段空港兴城怡心街道83亩项目中国五冶项目部</v>
      </c>
      <c r="J3644" s="33" t="str">
        <f>VLOOKUP(B3644,辅助信息!E:I,4,FALSE)</f>
        <v>王刚</v>
      </c>
      <c r="K3644" s="33">
        <f>VLOOKUP(J3644,辅助信息!H:I,2,FALSE)</f>
        <v>15881190525</v>
      </c>
      <c r="L3644" s="102"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84">
        <v>45923</v>
      </c>
      <c r="O3644" s="55">
        <f ca="1" t="shared" si="196"/>
        <v>0</v>
      </c>
      <c r="P3644" s="55">
        <f ca="1" t="shared" si="197"/>
        <v>34</v>
      </c>
      <c r="Q3644" s="22" t="str">
        <f>VLOOKUP(B3644,辅助信息!E:M,9,FALSE)</f>
        <v>ZTWM-CDGS-XS-2025-0073-五冶天府-成都怡心湖片区及龙泉驿医院等项目</v>
      </c>
      <c r="R3644" s="22" t="str">
        <f>_xlfn._xlws.FILTER(辅助信息!D:D,辅助信息!E:E=B3644)</f>
        <v>五冶建设空港兴城怡心街道83亩项目</v>
      </c>
    </row>
    <row r="3645" hidden="1" spans="2:18">
      <c r="B3645" s="90" t="s">
        <v>203</v>
      </c>
      <c r="C3645" s="63">
        <v>45922</v>
      </c>
      <c r="D3645" s="33" t="str">
        <f>VLOOKUP(B3645,辅助信息!E:K,7,FALSE)</f>
        <v>JWDDCD2025102100479</v>
      </c>
      <c r="E3645" s="33" t="str">
        <f>VLOOKUP(F3645,辅助信息!A:B,2,FALSE)</f>
        <v>螺纹钢</v>
      </c>
      <c r="F3645" s="33" t="s">
        <v>28</v>
      </c>
      <c r="G3645" s="29">
        <v>10</v>
      </c>
      <c r="H3645" s="127">
        <v>10</v>
      </c>
      <c r="I3645" s="33" t="str">
        <f>VLOOKUP(B3645,辅助信息!E:I,3,FALSE)</f>
        <v>(五冶建设空港兴城怡心街道83亩项目)成都市双流区怡心街道高峰社区一组剑和路一段空港兴城怡心街道83亩项目中国五冶项目部</v>
      </c>
      <c r="J3645" s="33" t="str">
        <f>VLOOKUP(B3645,辅助信息!E:I,4,FALSE)</f>
        <v>王刚</v>
      </c>
      <c r="K3645" s="33">
        <f>VLOOKUP(J3645,辅助信息!H:I,2,FALSE)</f>
        <v>15881190525</v>
      </c>
      <c r="L3645" s="102"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84">
        <v>45923</v>
      </c>
      <c r="O3645" s="55">
        <f ca="1" t="shared" si="196"/>
        <v>0</v>
      </c>
      <c r="P3645" s="55">
        <f ca="1" t="shared" si="197"/>
        <v>34</v>
      </c>
      <c r="Q3645" s="22" t="str">
        <f>VLOOKUP(B3645,辅助信息!E:M,9,FALSE)</f>
        <v>ZTWM-CDGS-XS-2025-0073-五冶天府-成都怡心湖片区及龙泉驿医院等项目</v>
      </c>
      <c r="R3645" s="22" t="str">
        <f>_xlfn._xlws.FILTER(辅助信息!D:D,辅助信息!E:E=B3645)</f>
        <v>五冶建设空港兴城怡心街道83亩项目</v>
      </c>
    </row>
    <row r="3646" hidden="1" spans="2:18">
      <c r="B3646" s="90" t="s">
        <v>203</v>
      </c>
      <c r="C3646" s="63">
        <v>45922</v>
      </c>
      <c r="D3646" s="33" t="str">
        <f>VLOOKUP(B3646,辅助信息!E:K,7,FALSE)</f>
        <v>JWDDCD2025102100479</v>
      </c>
      <c r="E3646" s="33" t="str">
        <f>VLOOKUP(F3646,辅助信息!A:B,2,FALSE)</f>
        <v>螺纹钢</v>
      </c>
      <c r="F3646" s="33" t="s">
        <v>18</v>
      </c>
      <c r="G3646" s="29">
        <v>10</v>
      </c>
      <c r="H3646" s="127">
        <v>10</v>
      </c>
      <c r="I3646" s="33" t="str">
        <f>VLOOKUP(B3646,辅助信息!E:I,3,FALSE)</f>
        <v>(五冶建设空港兴城怡心街道83亩项目)成都市双流区怡心街道高峰社区一组剑和路一段空港兴城怡心街道83亩项目中国五冶项目部</v>
      </c>
      <c r="J3646" s="33" t="str">
        <f>VLOOKUP(B3646,辅助信息!E:I,4,FALSE)</f>
        <v>王刚</v>
      </c>
      <c r="K3646" s="33">
        <f>VLOOKUP(J3646,辅助信息!H:I,2,FALSE)</f>
        <v>15881190525</v>
      </c>
      <c r="L3646" s="102"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84">
        <v>45923</v>
      </c>
      <c r="O3646" s="55">
        <f ca="1" t="shared" si="196"/>
        <v>0</v>
      </c>
      <c r="P3646" s="55">
        <f ca="1" t="shared" si="197"/>
        <v>34</v>
      </c>
      <c r="Q3646" s="22" t="str">
        <f>VLOOKUP(B3646,辅助信息!E:M,9,FALSE)</f>
        <v>ZTWM-CDGS-XS-2025-0073-五冶天府-成都怡心湖片区及龙泉驿医院等项目</v>
      </c>
      <c r="R3646" s="22" t="str">
        <f>_xlfn._xlws.FILTER(辅助信息!D:D,辅助信息!E:E=B3646)</f>
        <v>五冶建设空港兴城怡心街道83亩项目</v>
      </c>
    </row>
    <row r="3647" hidden="1" spans="2:18">
      <c r="B3647" s="90" t="s">
        <v>203</v>
      </c>
      <c r="C3647" s="63">
        <v>45922</v>
      </c>
      <c r="D3647" s="33" t="str">
        <f>VLOOKUP(B3647,辅助信息!E:K,7,FALSE)</f>
        <v>JWDDCD2025102100479</v>
      </c>
      <c r="E3647" s="33" t="str">
        <f>VLOOKUP(F3647,辅助信息!A:B,2,FALSE)</f>
        <v>螺纹钢</v>
      </c>
      <c r="F3647" s="33" t="s">
        <v>65</v>
      </c>
      <c r="G3647" s="29">
        <v>3</v>
      </c>
      <c r="H3647" s="127">
        <v>3</v>
      </c>
      <c r="I3647" s="33" t="str">
        <f>VLOOKUP(B3647,辅助信息!E:I,3,FALSE)</f>
        <v>(五冶建设空港兴城怡心街道83亩项目)成都市双流区怡心街道高峰社区一组剑和路一段空港兴城怡心街道83亩项目中国五冶项目部</v>
      </c>
      <c r="J3647" s="33" t="str">
        <f>VLOOKUP(B3647,辅助信息!E:I,4,FALSE)</f>
        <v>王刚</v>
      </c>
      <c r="K3647" s="33">
        <f>VLOOKUP(J3647,辅助信息!H:I,2,FALSE)</f>
        <v>15881190525</v>
      </c>
      <c r="L3647" s="102"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84">
        <v>45923</v>
      </c>
      <c r="O3647" s="55">
        <f ca="1" t="shared" si="196"/>
        <v>0</v>
      </c>
      <c r="P3647" s="55">
        <f ca="1" t="shared" si="197"/>
        <v>34</v>
      </c>
      <c r="Q3647" s="22" t="str">
        <f>VLOOKUP(B3647,辅助信息!E:M,9,FALSE)</f>
        <v>ZTWM-CDGS-XS-2025-0073-五冶天府-成都怡心湖片区及龙泉驿医院等项目</v>
      </c>
      <c r="R3647" s="22" t="str">
        <f>_xlfn._xlws.FILTER(辅助信息!D:D,辅助信息!E:E=B3647)</f>
        <v>五冶建设空港兴城怡心街道83亩项目</v>
      </c>
    </row>
    <row r="3648" hidden="1" spans="2:18">
      <c r="B3648" s="33" t="s">
        <v>167</v>
      </c>
      <c r="C3648" s="63">
        <v>45922</v>
      </c>
      <c r="D3648" s="33" t="str">
        <f>VLOOKUP(B3648,辅助信息!E:K,7,FALSE)</f>
        <v>JWDDCD2025102100473</v>
      </c>
      <c r="E3648" s="33" t="str">
        <f>VLOOKUP(F3648,辅助信息!A:B,2,FALSE)</f>
        <v>螺纹钢</v>
      </c>
      <c r="F3648" s="33" t="s">
        <v>27</v>
      </c>
      <c r="G3648" s="29">
        <v>21</v>
      </c>
      <c r="H3648" s="127"/>
      <c r="I3648" s="33" t="str">
        <f>VLOOKUP(B3648,辅助信息!E:I,3,FALSE)</f>
        <v>(五冶建设扩建艺体中学二期工程)四川省成都市双流区光荣路成都艺体中学南200米</v>
      </c>
      <c r="J3648" s="33" t="str">
        <f>VLOOKUP(B3648,辅助信息!E:I,4,FALSE)</f>
        <v>谢序强</v>
      </c>
      <c r="K3648" s="33">
        <f>VLOOKUP(J3648,辅助信息!H:I,2,FALSE)</f>
        <v>13458588232</v>
      </c>
      <c r="L3648" s="102"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84">
        <v>45925</v>
      </c>
      <c r="O3648" s="55">
        <f ca="1" t="shared" si="196"/>
        <v>0</v>
      </c>
      <c r="P3648" s="55">
        <f ca="1" t="shared" si="197"/>
        <v>32</v>
      </c>
      <c r="Q3648" s="22" t="str">
        <f>VLOOKUP(B3648,辅助信息!E:M,9,FALSE)</f>
        <v>ZTWM-CDGS-XS-2025-0073-五冶天府-成都怡心湖片区及龙泉驿医院等项目</v>
      </c>
      <c r="R3648" s="22" t="str">
        <f>_xlfn._xlws.FILTER(辅助信息!D:D,辅助信息!E:E=B3648)</f>
        <v>五冶建设扩建艺体中学二期工程</v>
      </c>
    </row>
    <row r="3649" hidden="1" spans="2:18">
      <c r="B3649" s="33" t="s">
        <v>167</v>
      </c>
      <c r="C3649" s="63">
        <v>45922</v>
      </c>
      <c r="D3649" s="33" t="str">
        <f>VLOOKUP(B3649,辅助信息!E:K,7,FALSE)</f>
        <v>JWDDCD2025102100473</v>
      </c>
      <c r="E3649" s="33" t="str">
        <f>VLOOKUP(F3649,辅助信息!A:B,2,FALSE)</f>
        <v>螺纹钢</v>
      </c>
      <c r="F3649" s="33" t="s">
        <v>19</v>
      </c>
      <c r="G3649" s="29">
        <v>27</v>
      </c>
      <c r="H3649" s="127"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33" t="str">
        <f>VLOOKUP(B3649,辅助信息!E:I,3,FALSE)</f>
        <v>(五冶建设扩建艺体中学二期工程)四川省成都市双流区光荣路成都艺体中学南200米</v>
      </c>
      <c r="J3649" s="33" t="str">
        <f>VLOOKUP(B3649,辅助信息!E:I,4,FALSE)</f>
        <v>谢序强</v>
      </c>
      <c r="K3649" s="33">
        <f>VLOOKUP(J3649,辅助信息!H:I,2,FALSE)</f>
        <v>13458588232</v>
      </c>
      <c r="L3649" s="102"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84">
        <v>45925</v>
      </c>
      <c r="O3649" s="55">
        <f ca="1" t="shared" si="196"/>
        <v>0</v>
      </c>
      <c r="P3649" s="55">
        <f ca="1" t="shared" si="197"/>
        <v>32</v>
      </c>
      <c r="Q3649" s="22" t="str">
        <f>VLOOKUP(B3649,辅助信息!E:M,9,FALSE)</f>
        <v>ZTWM-CDGS-XS-2025-0073-五冶天府-成都怡心湖片区及龙泉驿医院等项目</v>
      </c>
      <c r="R3649" s="22" t="str">
        <f>_xlfn._xlws.FILTER(辅助信息!D:D,辅助信息!E:E=B3649)</f>
        <v>五冶建设扩建艺体中学二期工程</v>
      </c>
    </row>
    <row r="3650" hidden="1" spans="2:18">
      <c r="B3650" s="33" t="s">
        <v>167</v>
      </c>
      <c r="C3650" s="63">
        <v>45922</v>
      </c>
      <c r="D3650" s="33" t="str">
        <f>VLOOKUP(B3650,辅助信息!E:K,7,FALSE)</f>
        <v>JWDDCD2025102100473</v>
      </c>
      <c r="E3650" s="33" t="str">
        <f>VLOOKUP(F3650,辅助信息!A:B,2,FALSE)</f>
        <v>螺纹钢</v>
      </c>
      <c r="F3650" s="33" t="s">
        <v>32</v>
      </c>
      <c r="G3650" s="29">
        <v>27</v>
      </c>
      <c r="H3650" s="127"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33" t="str">
        <f>VLOOKUP(B3650,辅助信息!E:I,3,FALSE)</f>
        <v>(五冶建设扩建艺体中学二期工程)四川省成都市双流区光荣路成都艺体中学南200米</v>
      </c>
      <c r="J3650" s="33" t="str">
        <f>VLOOKUP(B3650,辅助信息!E:I,4,FALSE)</f>
        <v>谢序强</v>
      </c>
      <c r="K3650" s="33">
        <f>VLOOKUP(J3650,辅助信息!H:I,2,FALSE)</f>
        <v>13458588232</v>
      </c>
      <c r="L3650" s="102"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84">
        <v>45925</v>
      </c>
      <c r="O3650" s="55">
        <f ca="1" t="shared" si="196"/>
        <v>0</v>
      </c>
      <c r="P3650" s="55">
        <f ca="1" t="shared" si="197"/>
        <v>32</v>
      </c>
      <c r="Q3650" s="22" t="str">
        <f>VLOOKUP(B3650,辅助信息!E:M,9,FALSE)</f>
        <v>ZTWM-CDGS-XS-2025-0073-五冶天府-成都怡心湖片区及龙泉驿医院等项目</v>
      </c>
      <c r="R3650" s="22" t="str">
        <f>_xlfn._xlws.FILTER(辅助信息!D:D,辅助信息!E:E=B3650)</f>
        <v>五冶建设扩建艺体中学二期工程</v>
      </c>
    </row>
    <row r="3651" hidden="1" spans="2:18">
      <c r="B3651" s="33" t="s">
        <v>167</v>
      </c>
      <c r="C3651" s="63">
        <v>45922</v>
      </c>
      <c r="D3651" s="33" t="str">
        <f>VLOOKUP(B3651,辅助信息!E:K,7,FALSE)</f>
        <v>JWDDCD2025102100473</v>
      </c>
      <c r="E3651" s="33" t="str">
        <f>VLOOKUP(F3651,辅助信息!A:B,2,FALSE)</f>
        <v>螺纹钢</v>
      </c>
      <c r="F3651" s="33" t="s">
        <v>33</v>
      </c>
      <c r="G3651" s="29">
        <v>6</v>
      </c>
      <c r="H3651" s="127"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33" t="str">
        <f>VLOOKUP(B3651,辅助信息!E:I,3,FALSE)</f>
        <v>(五冶建设扩建艺体中学二期工程)四川省成都市双流区光荣路成都艺体中学南200米</v>
      </c>
      <c r="J3651" s="33" t="str">
        <f>VLOOKUP(B3651,辅助信息!E:I,4,FALSE)</f>
        <v>谢序强</v>
      </c>
      <c r="K3651" s="33">
        <f>VLOOKUP(J3651,辅助信息!H:I,2,FALSE)</f>
        <v>13458588232</v>
      </c>
      <c r="L3651" s="102"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84">
        <v>45925</v>
      </c>
      <c r="O3651" s="55">
        <f ca="1" t="shared" si="196"/>
        <v>0</v>
      </c>
      <c r="P3651" s="55">
        <f ca="1" t="shared" si="197"/>
        <v>32</v>
      </c>
      <c r="Q3651" s="22" t="str">
        <f>VLOOKUP(B3651,辅助信息!E:M,9,FALSE)</f>
        <v>ZTWM-CDGS-XS-2025-0073-五冶天府-成都怡心湖片区及龙泉驿医院等项目</v>
      </c>
      <c r="R3651" s="22" t="str">
        <f>_xlfn._xlws.FILTER(辅助信息!D:D,辅助信息!E:E=B3651)</f>
        <v>五冶建设扩建艺体中学二期工程</v>
      </c>
    </row>
    <row r="3652" hidden="1" spans="2:18">
      <c r="B3652" s="33" t="s">
        <v>167</v>
      </c>
      <c r="C3652" s="63">
        <v>45922</v>
      </c>
      <c r="D3652" s="33" t="str">
        <f>VLOOKUP(B3652,辅助信息!E:K,7,FALSE)</f>
        <v>JWDDCD2025102100473</v>
      </c>
      <c r="E3652" s="33" t="str">
        <f>VLOOKUP(F3652,辅助信息!A:B,2,FALSE)</f>
        <v>螺纹钢</v>
      </c>
      <c r="F3652" s="33" t="s">
        <v>28</v>
      </c>
      <c r="G3652" s="29">
        <v>12</v>
      </c>
      <c r="H3652" s="127"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33" t="str">
        <f>VLOOKUP(B3652,辅助信息!E:I,3,FALSE)</f>
        <v>(五冶建设扩建艺体中学二期工程)四川省成都市双流区光荣路成都艺体中学南200米</v>
      </c>
      <c r="J3652" s="33" t="str">
        <f>VLOOKUP(B3652,辅助信息!E:I,4,FALSE)</f>
        <v>谢序强</v>
      </c>
      <c r="K3652" s="33">
        <f>VLOOKUP(J3652,辅助信息!H:I,2,FALSE)</f>
        <v>13458588232</v>
      </c>
      <c r="L3652" s="102"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84">
        <v>45925</v>
      </c>
      <c r="O3652" s="55">
        <f ca="1" t="shared" si="196"/>
        <v>0</v>
      </c>
      <c r="P3652" s="55">
        <f ca="1" t="shared" si="197"/>
        <v>32</v>
      </c>
      <c r="Q3652" s="22" t="str">
        <f>VLOOKUP(B3652,辅助信息!E:M,9,FALSE)</f>
        <v>ZTWM-CDGS-XS-2025-0073-五冶天府-成都怡心湖片区及龙泉驿医院等项目</v>
      </c>
      <c r="R3652" s="22" t="str">
        <f>_xlfn._xlws.FILTER(辅助信息!D:D,辅助信息!E:E=B3652)</f>
        <v>五冶建设扩建艺体中学二期工程</v>
      </c>
    </row>
    <row r="3653" hidden="1" spans="2:18">
      <c r="B3653" s="33" t="s">
        <v>167</v>
      </c>
      <c r="C3653" s="63">
        <v>45922</v>
      </c>
      <c r="D3653" s="33" t="str">
        <f>VLOOKUP(B3653,辅助信息!E:K,7,FALSE)</f>
        <v>JWDDCD2025102100473</v>
      </c>
      <c r="E3653" s="33" t="str">
        <f>VLOOKUP(F3653,辅助信息!A:B,2,FALSE)</f>
        <v>螺纹钢</v>
      </c>
      <c r="F3653" s="33" t="s">
        <v>18</v>
      </c>
      <c r="G3653" s="29">
        <v>12</v>
      </c>
      <c r="H3653" s="127"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33" t="str">
        <f>VLOOKUP(B3653,辅助信息!E:I,3,FALSE)</f>
        <v>(五冶建设扩建艺体中学二期工程)四川省成都市双流区光荣路成都艺体中学南200米</v>
      </c>
      <c r="J3653" s="33" t="str">
        <f>VLOOKUP(B3653,辅助信息!E:I,4,FALSE)</f>
        <v>谢序强</v>
      </c>
      <c r="K3653" s="33">
        <f>VLOOKUP(J3653,辅助信息!H:I,2,FALSE)</f>
        <v>13458588232</v>
      </c>
      <c r="L3653" s="102"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84">
        <v>45925</v>
      </c>
      <c r="O3653" s="55">
        <f ca="1" t="shared" si="196"/>
        <v>0</v>
      </c>
      <c r="P3653" s="55">
        <f ca="1" t="shared" si="197"/>
        <v>32</v>
      </c>
      <c r="Q3653" s="22" t="str">
        <f>VLOOKUP(B3653,辅助信息!E:M,9,FALSE)</f>
        <v>ZTWM-CDGS-XS-2025-0073-五冶天府-成都怡心湖片区及龙泉驿医院等项目</v>
      </c>
      <c r="R3653" s="22" t="str">
        <f>_xlfn._xlws.FILTER(辅助信息!D:D,辅助信息!E:E=B3653)</f>
        <v>五冶建设扩建艺体中学二期工程</v>
      </c>
    </row>
    <row r="3654" hidden="1" spans="2:18">
      <c r="B3654" s="33" t="s">
        <v>187</v>
      </c>
      <c r="C3654" s="63">
        <v>45922</v>
      </c>
      <c r="D3654" s="33" t="str">
        <f>VLOOKUP(B3654,辅助信息!E:K,7,FALSE)</f>
        <v>JWDDCD2025072900121</v>
      </c>
      <c r="E3654" s="33" t="str">
        <f>VLOOKUP(F3654,辅助信息!A:B,2,FALSE)</f>
        <v>盘螺</v>
      </c>
      <c r="F3654" s="33" t="s">
        <v>40</v>
      </c>
      <c r="G3654" s="29">
        <v>16</v>
      </c>
      <c r="H3654" s="127"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33" t="str">
        <f>VLOOKUP(B3654,辅助信息!E:I,3,FALSE)</f>
        <v>(乐山市校地共建产教融合基地建设项目一标段)四川省乐山市市中区苏稽镇周山嘴</v>
      </c>
      <c r="J3654" s="33" t="str">
        <f>VLOOKUP(B3654,辅助信息!E:I,4,FALSE)</f>
        <v>范增云</v>
      </c>
      <c r="K3654" s="33">
        <f>VLOOKUP(J3654,辅助信息!H:I,2,FALSE)</f>
        <v>13668153241</v>
      </c>
      <c r="L3654" s="102" t="str">
        <f>VLOOKUP(B3654,辅助信息!E:J,6,FALSE)</f>
        <v>联系实际收货人（范增云13668153241）现场要求炉批号控制2个以下，超2个不给予签收。提前联系到场规格及数量</v>
      </c>
      <c r="O3654" s="55" t="str">
        <f ca="1" t="shared" si="196"/>
        <v/>
      </c>
      <c r="P3654" s="55" t="str">
        <f ca="1" t="shared" si="197"/>
        <v/>
      </c>
      <c r="Q3654" s="22" t="str">
        <f>VLOOKUP(B3654,辅助信息!E:M,9,FALSE)</f>
        <v>ZTWM-CDGS-XS-2025-0125-四川机司-乐山市校地共建产教融合基地配套设施项目施工一标段钢筋采购合同</v>
      </c>
      <c r="R3654" s="22" t="str">
        <f>_xlfn._xlws.FILTER(辅助信息!D:D,辅助信息!E:E=B3654)</f>
        <v>乐山市校地共建产教融合基地建设项目一标段</v>
      </c>
    </row>
    <row r="3655" hidden="1" spans="2:18">
      <c r="B3655" s="33" t="s">
        <v>187</v>
      </c>
      <c r="C3655" s="63">
        <v>45922</v>
      </c>
      <c r="D3655" s="33" t="str">
        <f>VLOOKUP(B3655,辅助信息!E:K,7,FALSE)</f>
        <v>JWDDCD2025072900121</v>
      </c>
      <c r="E3655" s="33" t="str">
        <f>VLOOKUP(F3655,辅助信息!A:B,2,FALSE)</f>
        <v>盘螺</v>
      </c>
      <c r="F3655" s="33" t="s">
        <v>41</v>
      </c>
      <c r="G3655" s="29">
        <v>6</v>
      </c>
      <c r="H3655" s="127"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33" t="str">
        <f>VLOOKUP(B3655,辅助信息!E:I,3,FALSE)</f>
        <v>(乐山市校地共建产教融合基地建设项目一标段)四川省乐山市市中区苏稽镇周山嘴</v>
      </c>
      <c r="J3655" s="33" t="str">
        <f>VLOOKUP(B3655,辅助信息!E:I,4,FALSE)</f>
        <v>范增云</v>
      </c>
      <c r="K3655" s="33">
        <f>VLOOKUP(J3655,辅助信息!H:I,2,FALSE)</f>
        <v>13668153241</v>
      </c>
      <c r="L3655" s="102" t="str">
        <f>VLOOKUP(B3655,辅助信息!E:J,6,FALSE)</f>
        <v>联系实际收货人（范增云13668153241）现场要求炉批号控制2个以下，超2个不给予签收。提前联系到场规格及数量</v>
      </c>
      <c r="O3655" s="55" t="str">
        <f ca="1" t="shared" si="196"/>
        <v/>
      </c>
      <c r="P3655" s="55" t="str">
        <f ca="1" t="shared" si="197"/>
        <v/>
      </c>
      <c r="Q3655" s="22" t="str">
        <f>VLOOKUP(B3655,辅助信息!E:M,9,FALSE)</f>
        <v>ZTWM-CDGS-XS-2025-0125-四川机司-乐山市校地共建产教融合基地配套设施项目施工一标段钢筋采购合同</v>
      </c>
      <c r="R3655" s="22" t="str">
        <f>_xlfn._xlws.FILTER(辅助信息!D:D,辅助信息!E:E=B3655)</f>
        <v>乐山市校地共建产教融合基地建设项目一标段</v>
      </c>
    </row>
    <row r="3656" hidden="1" spans="2:18">
      <c r="B3656" s="33" t="s">
        <v>187</v>
      </c>
      <c r="C3656" s="63">
        <v>45922</v>
      </c>
      <c r="D3656" s="33" t="str">
        <f>VLOOKUP(B3656,辅助信息!E:K,7,FALSE)</f>
        <v>JWDDCD2025072900121</v>
      </c>
      <c r="E3656" s="33" t="str">
        <f>VLOOKUP(F3656,辅助信息!A:B,2,FALSE)</f>
        <v>螺纹钢</v>
      </c>
      <c r="F3656" s="33" t="s">
        <v>66</v>
      </c>
      <c r="G3656" s="29">
        <v>8</v>
      </c>
      <c r="H3656" s="127"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33" t="str">
        <f>VLOOKUP(B3656,辅助信息!E:I,3,FALSE)</f>
        <v>(乐山市校地共建产教融合基地建设项目一标段)四川省乐山市市中区苏稽镇周山嘴</v>
      </c>
      <c r="J3656" s="33" t="str">
        <f>VLOOKUP(B3656,辅助信息!E:I,4,FALSE)</f>
        <v>范增云</v>
      </c>
      <c r="K3656" s="33">
        <f>VLOOKUP(J3656,辅助信息!H:I,2,FALSE)</f>
        <v>13668153241</v>
      </c>
      <c r="L3656" s="102" t="str">
        <f>VLOOKUP(B3656,辅助信息!E:J,6,FALSE)</f>
        <v>联系实际收货人（范增云13668153241）现场要求炉批号控制2个以下，超2个不给予签收。提前联系到场规格及数量</v>
      </c>
      <c r="O3656" s="55" t="str">
        <f ca="1" t="shared" si="196"/>
        <v/>
      </c>
      <c r="P3656" s="55" t="str">
        <f ca="1" t="shared" si="197"/>
        <v/>
      </c>
      <c r="Q3656" s="22" t="str">
        <f>VLOOKUP(B3656,辅助信息!E:M,9,FALSE)</f>
        <v>ZTWM-CDGS-XS-2025-0125-四川机司-乐山市校地共建产教融合基地配套设施项目施工一标段钢筋采购合同</v>
      </c>
      <c r="R3656" s="22" t="str">
        <f>_xlfn._xlws.FILTER(辅助信息!D:D,辅助信息!E:E=B3656)</f>
        <v>乐山市校地共建产教融合基地建设项目一标段</v>
      </c>
    </row>
    <row r="3657" hidden="1" spans="2:18">
      <c r="B3657" s="33" t="s">
        <v>187</v>
      </c>
      <c r="C3657" s="63">
        <v>45922</v>
      </c>
      <c r="D3657" s="33" t="str">
        <f>VLOOKUP(B3657,辅助信息!E:K,7,FALSE)</f>
        <v>JWDDCD2025072900121</v>
      </c>
      <c r="E3657" s="33" t="str">
        <f>VLOOKUP(F3657,辅助信息!A:B,2,FALSE)</f>
        <v>螺纹钢</v>
      </c>
      <c r="F3657" s="33" t="s">
        <v>82</v>
      </c>
      <c r="G3657" s="29">
        <v>5</v>
      </c>
      <c r="H3657" s="127"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33" t="str">
        <f>VLOOKUP(B3657,辅助信息!E:I,3,FALSE)</f>
        <v>(乐山市校地共建产教融合基地建设项目一标段)四川省乐山市市中区苏稽镇周山嘴</v>
      </c>
      <c r="J3657" s="33" t="str">
        <f>VLOOKUP(B3657,辅助信息!E:I,4,FALSE)</f>
        <v>范增云</v>
      </c>
      <c r="K3657" s="33">
        <f>VLOOKUP(J3657,辅助信息!H:I,2,FALSE)</f>
        <v>13668153241</v>
      </c>
      <c r="L3657" s="102" t="str">
        <f>VLOOKUP(B3657,辅助信息!E:J,6,FALSE)</f>
        <v>联系实际收货人（范增云13668153241）现场要求炉批号控制2个以下，超2个不给予签收。提前联系到场规格及数量</v>
      </c>
      <c r="O3657" s="55" t="str">
        <f ca="1" t="shared" si="196"/>
        <v/>
      </c>
      <c r="P3657" s="55" t="str">
        <f ca="1" t="shared" si="197"/>
        <v/>
      </c>
      <c r="Q3657" s="22" t="str">
        <f>VLOOKUP(B3657,辅助信息!E:M,9,FALSE)</f>
        <v>ZTWM-CDGS-XS-2025-0125-四川机司-乐山市校地共建产教融合基地配套设施项目施工一标段钢筋采购合同</v>
      </c>
      <c r="R3657" s="22" t="str">
        <f>_xlfn._xlws.FILTER(辅助信息!D:D,辅助信息!E:E=B3657)</f>
        <v>乐山市校地共建产教融合基地建设项目一标段</v>
      </c>
    </row>
    <row r="3658" hidden="1" spans="2:18">
      <c r="B3658" s="33" t="s">
        <v>187</v>
      </c>
      <c r="C3658" s="63">
        <v>45922</v>
      </c>
      <c r="D3658" s="33" t="str">
        <f>VLOOKUP(B3658,辅助信息!E:K,7,FALSE)</f>
        <v>JWDDCD2025072900121</v>
      </c>
      <c r="E3658" s="33" t="str">
        <f>VLOOKUP(F3658,辅助信息!A:B,2,FALSE)</f>
        <v>螺纹钢</v>
      </c>
      <c r="F3658" s="33" t="s">
        <v>22</v>
      </c>
      <c r="G3658" s="29">
        <v>10</v>
      </c>
      <c r="H3658" s="127"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33" t="str">
        <f>VLOOKUP(B3658,辅助信息!E:I,3,FALSE)</f>
        <v>(乐山市校地共建产教融合基地建设项目一标段)四川省乐山市市中区苏稽镇周山嘴</v>
      </c>
      <c r="J3658" s="33" t="str">
        <f>VLOOKUP(B3658,辅助信息!E:I,4,FALSE)</f>
        <v>范增云</v>
      </c>
      <c r="K3658" s="33">
        <f>VLOOKUP(J3658,辅助信息!H:I,2,FALSE)</f>
        <v>13668153241</v>
      </c>
      <c r="L3658" s="102" t="str">
        <f>VLOOKUP(B3658,辅助信息!E:J,6,FALSE)</f>
        <v>联系实际收货人（范增云13668153241）现场要求炉批号控制2个以下，超2个不给予签收。提前联系到场规格及数量</v>
      </c>
      <c r="O3658" s="55" t="str">
        <f ca="1" t="shared" si="196"/>
        <v/>
      </c>
      <c r="P3658" s="55" t="str">
        <f ca="1" t="shared" si="197"/>
        <v/>
      </c>
      <c r="Q3658" s="22" t="str">
        <f>VLOOKUP(B3658,辅助信息!E:M,9,FALSE)</f>
        <v>ZTWM-CDGS-XS-2025-0125-四川机司-乐山市校地共建产教融合基地配套设施项目施工一标段钢筋采购合同</v>
      </c>
      <c r="R3658" s="22" t="str">
        <f>_xlfn._xlws.FILTER(辅助信息!D:D,辅助信息!E:E=B3658)</f>
        <v>乐山市校地共建产教融合基地建设项目一标段</v>
      </c>
    </row>
    <row r="3659" hidden="1" spans="2:18">
      <c r="B3659" s="33" t="s">
        <v>187</v>
      </c>
      <c r="C3659" s="63">
        <v>45922</v>
      </c>
      <c r="D3659" s="33" t="str">
        <f>VLOOKUP(B3659,辅助信息!E:K,7,FALSE)</f>
        <v>JWDDCD2025072900121</v>
      </c>
      <c r="E3659" s="33" t="str">
        <f>VLOOKUP(F3659,辅助信息!A:B,2,FALSE)</f>
        <v>螺纹钢</v>
      </c>
      <c r="F3659" s="33" t="s">
        <v>141</v>
      </c>
      <c r="G3659" s="29">
        <v>5</v>
      </c>
      <c r="H3659" s="127"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33" t="str">
        <f>VLOOKUP(B3659,辅助信息!E:I,3,FALSE)</f>
        <v>(乐山市校地共建产教融合基地建设项目一标段)四川省乐山市市中区苏稽镇周山嘴</v>
      </c>
      <c r="J3659" s="33" t="str">
        <f>VLOOKUP(B3659,辅助信息!E:I,4,FALSE)</f>
        <v>范增云</v>
      </c>
      <c r="K3659" s="33">
        <f>VLOOKUP(J3659,辅助信息!H:I,2,FALSE)</f>
        <v>13668153241</v>
      </c>
      <c r="L3659" s="102" t="str">
        <f>VLOOKUP(B3659,辅助信息!E:J,6,FALSE)</f>
        <v>联系实际收货人（范增云13668153241）现场要求炉批号控制2个以下，超2个不给予签收。提前联系到场规格及数量</v>
      </c>
      <c r="O3659" s="55" t="str">
        <f ca="1" t="shared" si="196"/>
        <v/>
      </c>
      <c r="P3659" s="55" t="str">
        <f ca="1" t="shared" si="197"/>
        <v/>
      </c>
      <c r="Q3659" s="22" t="str">
        <f>VLOOKUP(B3659,辅助信息!E:M,9,FALSE)</f>
        <v>ZTWM-CDGS-XS-2025-0125-四川机司-乐山市校地共建产教融合基地配套设施项目施工一标段钢筋采购合同</v>
      </c>
      <c r="R3659" s="22" t="str">
        <f>_xlfn._xlws.FILTER(辅助信息!D:D,辅助信息!E:E=B3659)</f>
        <v>乐山市校地共建产教融合基地建设项目一标段</v>
      </c>
    </row>
    <row r="3660" hidden="1" spans="2:18">
      <c r="B3660" s="33" t="s">
        <v>187</v>
      </c>
      <c r="C3660" s="63">
        <v>45922</v>
      </c>
      <c r="D3660" s="33" t="str">
        <f>VLOOKUP(B3660,辅助信息!E:K,7,FALSE)</f>
        <v>JWDDCD2025072900121</v>
      </c>
      <c r="E3660" s="33" t="str">
        <f>VLOOKUP(F3660,辅助信息!A:B,2,FALSE)</f>
        <v>螺纹钢</v>
      </c>
      <c r="F3660" s="33" t="s">
        <v>142</v>
      </c>
      <c r="G3660" s="29">
        <v>12</v>
      </c>
      <c r="H3660" s="127"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33" t="str">
        <f>VLOOKUP(B3660,辅助信息!E:I,3,FALSE)</f>
        <v>(乐山市校地共建产教融合基地建设项目一标段)四川省乐山市市中区苏稽镇周山嘴</v>
      </c>
      <c r="J3660" s="33" t="str">
        <f>VLOOKUP(B3660,辅助信息!E:I,4,FALSE)</f>
        <v>范增云</v>
      </c>
      <c r="K3660" s="33">
        <f>VLOOKUP(J3660,辅助信息!H:I,2,FALSE)</f>
        <v>13668153241</v>
      </c>
      <c r="L3660" s="102" t="str">
        <f>VLOOKUP(B3660,辅助信息!E:J,6,FALSE)</f>
        <v>联系实际收货人（范增云13668153241）现场要求炉批号控制2个以下，超2个不给予签收。提前联系到场规格及数量</v>
      </c>
      <c r="O3660" s="55" t="str">
        <f ca="1" t="shared" si="196"/>
        <v/>
      </c>
      <c r="P3660" s="55" t="str">
        <f ca="1" t="shared" si="197"/>
        <v/>
      </c>
      <c r="Q3660" s="22" t="str">
        <f>VLOOKUP(B3660,辅助信息!E:M,9,FALSE)</f>
        <v>ZTWM-CDGS-XS-2025-0125-四川机司-乐山市校地共建产教融合基地配套设施项目施工一标段钢筋采购合同</v>
      </c>
      <c r="R3660" s="22" t="str">
        <f>_xlfn._xlws.FILTER(辅助信息!D:D,辅助信息!E:E=B3660)</f>
        <v>乐山市校地共建产教融合基地建设项目一标段</v>
      </c>
    </row>
    <row r="3661" hidden="1" spans="2:18">
      <c r="B3661" s="33" t="s">
        <v>187</v>
      </c>
      <c r="C3661" s="63">
        <v>45922</v>
      </c>
      <c r="D3661" s="33" t="str">
        <f>VLOOKUP(B3661,辅助信息!E:K,7,FALSE)</f>
        <v>JWDDCD2025072900121</v>
      </c>
      <c r="E3661" s="33" t="str">
        <f>VLOOKUP(F3661,辅助信息!A:B,2,FALSE)</f>
        <v>螺纹钢</v>
      </c>
      <c r="F3661" s="33" t="s">
        <v>200</v>
      </c>
      <c r="G3661" s="29">
        <v>8</v>
      </c>
      <c r="H3661" s="127"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33" t="str">
        <f>VLOOKUP(B3661,辅助信息!E:I,3,FALSE)</f>
        <v>(乐山市校地共建产教融合基地建设项目一标段)四川省乐山市市中区苏稽镇周山嘴</v>
      </c>
      <c r="J3661" s="33" t="str">
        <f>VLOOKUP(B3661,辅助信息!E:I,4,FALSE)</f>
        <v>范增云</v>
      </c>
      <c r="K3661" s="33">
        <f>VLOOKUP(J3661,辅助信息!H:I,2,FALSE)</f>
        <v>13668153241</v>
      </c>
      <c r="L3661" s="102" t="str">
        <f>VLOOKUP(B3661,辅助信息!E:J,6,FALSE)</f>
        <v>联系实际收货人（范增云13668153241）现场要求炉批号控制2个以下，超2个不给予签收。提前联系到场规格及数量</v>
      </c>
      <c r="O3661" s="55" t="str">
        <f ca="1" t="shared" si="196"/>
        <v/>
      </c>
      <c r="P3661" s="55" t="str">
        <f ca="1" t="shared" si="197"/>
        <v/>
      </c>
      <c r="Q3661" s="22" t="str">
        <f>VLOOKUP(B3661,辅助信息!E:M,9,FALSE)</f>
        <v>ZTWM-CDGS-XS-2025-0125-四川机司-乐山市校地共建产教融合基地配套设施项目施工一标段钢筋采购合同</v>
      </c>
      <c r="R3661" s="22" t="str">
        <f>_xlfn._xlws.FILTER(辅助信息!D:D,辅助信息!E:E=B3661)</f>
        <v>乐山市校地共建产教融合基地建设项目一标段</v>
      </c>
    </row>
    <row r="3662" hidden="1" spans="2:18">
      <c r="B3662" s="113" t="s">
        <v>81</v>
      </c>
      <c r="C3662" s="63">
        <v>45923</v>
      </c>
      <c r="D3662" s="113" t="str">
        <f>VLOOKUP(B3662,辅助信息!E:K,7,FALSE)</f>
        <v>JWDDCD2025060900080</v>
      </c>
      <c r="E3662" s="113" t="str">
        <f>VLOOKUP(F3662,辅助信息!A:B,2,FALSE)</f>
        <v>盘螺</v>
      </c>
      <c r="F3662" s="113" t="s">
        <v>40</v>
      </c>
      <c r="G3662" s="114">
        <v>65</v>
      </c>
      <c r="H3662" s="127">
        <f>IF(SUMIFS('[1]2025年已发货'!$E:$E,'[1]2025年已发货'!$F:$F,C3662,'[1]2025年已发货'!$C:$C,F3662,'[1]2025年已发货'!$G:$G,I3662,'[1]2025年已发货'!$H:$H,J3662)=0,"未发货",SUMIFS('[1]2025年已发货'!$E:$E,'[1]2025年已发货'!$F:$F,C3662,'[1]2025年已发货'!$C:$C,F3662,'[1]2025年已发货'!$G:$G,I3662,'[1]2025年已发货'!$H:$H,J3662))</f>
        <v>40</v>
      </c>
      <c r="I3662" s="113" t="str">
        <f>VLOOKUP(B3662,辅助信息!E:I,3,FALSE)</f>
        <v>（华西简阳西城嘉苑）四川省成都市简阳市简城街道高屋村</v>
      </c>
      <c r="J3662" s="113" t="str">
        <f>VLOOKUP(B3662,辅助信息!E:I,4,FALSE)</f>
        <v>张瀚镭</v>
      </c>
      <c r="K3662" s="113">
        <f>VLOOKUP(J3662,辅助信息!H:I,2,FALSE)</f>
        <v>15884666220</v>
      </c>
      <c r="L3662" s="115" t="str">
        <f>VLOOKUP(B3662,辅助信息!E:J,6,FALSE)</f>
        <v>现场禁止使用氢能源挂车！优先威钢发货,我方卸车,新老国标钢厂不加价可直发，因陕钢多次出现磅差，项目拒绝使用</v>
      </c>
      <c r="M3662" s="84">
        <v>45921</v>
      </c>
      <c r="O3662" s="55">
        <f ca="1" t="shared" si="196"/>
        <v>0</v>
      </c>
      <c r="P3662" s="55">
        <f ca="1" t="shared" si="197"/>
        <v>36</v>
      </c>
      <c r="Q3662" s="22" t="str">
        <f>VLOOKUP(B3662,辅助信息!E:M,9,FALSE)</f>
        <v>ZTWM-CDGS-XS-2024-0030-华西集采-简州大道</v>
      </c>
      <c r="R3662" s="22" t="str">
        <f>_xlfn._xlws.FILTER(辅助信息!D:D,辅助信息!E:E=B3662)</f>
        <v>华西简阳西城嘉苑</v>
      </c>
    </row>
    <row r="3663" hidden="1" spans="2:18">
      <c r="B3663" s="113" t="s">
        <v>81</v>
      </c>
      <c r="C3663" s="63">
        <v>45923</v>
      </c>
      <c r="D3663" s="113" t="str">
        <f>VLOOKUP(B3663,辅助信息!E:K,7,FALSE)</f>
        <v>JWDDCD2025060900080</v>
      </c>
      <c r="E3663" s="113" t="str">
        <f>VLOOKUP(F3663,辅助信息!A:B,2,FALSE)</f>
        <v>盘螺</v>
      </c>
      <c r="F3663" s="113" t="s">
        <v>41</v>
      </c>
      <c r="G3663" s="114">
        <v>30</v>
      </c>
      <c r="H3663" s="127">
        <f>IF(SUMIFS('[1]2025年已发货'!$E:$E,'[1]2025年已发货'!$F:$F,C3663,'[1]2025年已发货'!$C:$C,F3663,'[1]2025年已发货'!$G:$G,I3663,'[1]2025年已发货'!$H:$H,J3663)=0,"未发货",SUMIFS('[1]2025年已发货'!$E:$E,'[1]2025年已发货'!$F:$F,C3663,'[1]2025年已发货'!$C:$C,F3663,'[1]2025年已发货'!$G:$G,I3663,'[1]2025年已发货'!$H:$H,J3663))</f>
        <v>30</v>
      </c>
      <c r="I3663" s="113" t="str">
        <f>VLOOKUP(B3663,辅助信息!E:I,3,FALSE)</f>
        <v>（华西简阳西城嘉苑）四川省成都市简阳市简城街道高屋村</v>
      </c>
      <c r="J3663" s="113" t="str">
        <f>VLOOKUP(B3663,辅助信息!E:I,4,FALSE)</f>
        <v>张瀚镭</v>
      </c>
      <c r="K3663" s="113">
        <f>VLOOKUP(J3663,辅助信息!H:I,2,FALSE)</f>
        <v>15884666220</v>
      </c>
      <c r="L3663" s="115" t="str">
        <f>VLOOKUP(B3663,辅助信息!E:J,6,FALSE)</f>
        <v>现场禁止使用氢能源挂车！优先威钢发货,我方卸车,新老国标钢厂不加价可直发，因陕钢多次出现磅差，项目拒绝使用</v>
      </c>
      <c r="M3663" s="84">
        <v>45921</v>
      </c>
      <c r="O3663" s="55">
        <f ca="1" t="shared" si="196"/>
        <v>0</v>
      </c>
      <c r="P3663" s="55">
        <f ca="1" t="shared" si="197"/>
        <v>36</v>
      </c>
      <c r="Q3663" s="22" t="str">
        <f>VLOOKUP(B3663,辅助信息!E:M,9,FALSE)</f>
        <v>ZTWM-CDGS-XS-2024-0030-华西集采-简州大道</v>
      </c>
      <c r="R3663" s="22" t="str">
        <f>_xlfn._xlws.FILTER(辅助信息!D:D,辅助信息!E:E=B3663)</f>
        <v>华西简阳西城嘉苑</v>
      </c>
    </row>
    <row r="3664" hidden="1" spans="2:18">
      <c r="B3664" s="113" t="s">
        <v>169</v>
      </c>
      <c r="C3664" s="63">
        <v>45923</v>
      </c>
      <c r="D3664" s="113" t="str">
        <f>VLOOKUP(B3664,辅助信息!E:K,7,FALSE)</f>
        <v>JWDDCD2025051800044</v>
      </c>
      <c r="E3664" s="113" t="str">
        <f>VLOOKUP(F3664,辅助信息!A:B,2,FALSE)</f>
        <v>螺纹钢</v>
      </c>
      <c r="F3664" s="113" t="s">
        <v>28</v>
      </c>
      <c r="G3664" s="114">
        <v>70</v>
      </c>
      <c r="H3664" s="127">
        <f>IF(SUMIFS('[1]2025年已发货'!$E:$E,'[1]2025年已发货'!$F:$F,C3664,'[1]2025年已发货'!$C:$C,F3664,'[1]2025年已发货'!$G:$G,I3664,'[1]2025年已发货'!$H:$H,J3664)=0,"未发货",SUMIFS('[1]2025年已发货'!$E:$E,'[1]2025年已发货'!$F:$F,C3664,'[1]2025年已发货'!$C:$C,F3664,'[1]2025年已发货'!$G:$G,I3664,'[1]2025年已发货'!$H:$H,J3664))</f>
        <v>70</v>
      </c>
      <c r="I3664" s="113" t="str">
        <f>VLOOKUP(B3664,辅助信息!E:I,3,FALSE)</f>
        <v>(五冶建设龙泉芙蓉花语项目-1,3地块)龙泉驿区北川路双堰塘钓鱼东100米(北川路)</v>
      </c>
      <c r="J3664" s="113" t="str">
        <f>VLOOKUP(B3664,辅助信息!E:I,4,FALSE)</f>
        <v>祝斯阳</v>
      </c>
      <c r="K3664" s="113">
        <f>VLOOKUP(J3664,辅助信息!H:I,2,FALSE)</f>
        <v>15583590797</v>
      </c>
      <c r="L3664" s="115"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84">
        <v>45922</v>
      </c>
      <c r="O3664" s="55">
        <f ca="1" t="shared" si="196"/>
        <v>0</v>
      </c>
      <c r="P3664" s="55">
        <f ca="1" t="shared" si="197"/>
        <v>35</v>
      </c>
      <c r="Q3664" s="22" t="str">
        <f>VLOOKUP(B3664,辅助信息!E:M,9,FALSE)</f>
        <v>ZTWM-CDGS-XS-2025-0073-五冶天府-成都怡心湖片区及龙泉驿医院等项目</v>
      </c>
      <c r="R3664" s="22" t="str">
        <f>_xlfn._xlws.FILTER(辅助信息!D:D,辅助信息!E:E=B3664)</f>
        <v>五冶建设龙泉芙蓉花语项目</v>
      </c>
    </row>
    <row r="3665" hidden="1" spans="2:18">
      <c r="B3665" s="113" t="s">
        <v>186</v>
      </c>
      <c r="C3665" s="63">
        <v>45923</v>
      </c>
      <c r="D3665" s="113" t="str">
        <f>VLOOKUP(B3665,辅助信息!E:K,7,FALSE)</f>
        <v>JWDDCD2025072900123</v>
      </c>
      <c r="E3665" s="113" t="str">
        <f>VLOOKUP(F3665,辅助信息!A:B,2,FALSE)</f>
        <v>螺纹钢</v>
      </c>
      <c r="F3665" s="113" t="s">
        <v>90</v>
      </c>
      <c r="G3665" s="114">
        <v>20</v>
      </c>
      <c r="H3665" s="127">
        <f>IF(SUMIFS('[1]2025年已发货'!$E:$E,'[1]2025年已发货'!$F:$F,C3665,'[1]2025年已发货'!$C:$C,F3665,'[1]2025年已发货'!$G:$G,I3665,'[1]2025年已发货'!$H:$H,J3665)=0,"未发货",SUMIFS('[1]2025年已发货'!$E:$E,'[1]2025年已发货'!$F:$F,C3665,'[1]2025年已发货'!$C:$C,F3665,'[1]2025年已发货'!$G:$G,I3665,'[1]2025年已发货'!$H:$H,J3665))</f>
        <v>20</v>
      </c>
      <c r="I3665" s="113" t="str">
        <f>VLOOKUP(B3665,辅助信息!E:I,3,FALSE)</f>
        <v>(乐山市校地共建产教融合基地建设项目二标段)四川省乐山市市中区苏稽镇</v>
      </c>
      <c r="J3665" s="113" t="str">
        <f>VLOOKUP(B3665,辅助信息!E:I,4,FALSE)</f>
        <v>彭江涛</v>
      </c>
      <c r="K3665" s="113">
        <f>VLOOKUP(J3665,辅助信息!H:I,2,FALSE)</f>
        <v>13990276572</v>
      </c>
      <c r="L3665" s="115" t="str">
        <f>VLOOKUP(B3665,辅助信息!E:J,6,FALSE)</f>
        <v>联系实际收货人（彭江涛13990276572）现场要求炉批号控制2个以下，超2个不给予签收。提前联系到场规格及数量</v>
      </c>
      <c r="M3665" s="84">
        <v>45922</v>
      </c>
      <c r="O3665" s="55">
        <f ca="1" t="shared" si="196"/>
        <v>0</v>
      </c>
      <c r="P3665" s="55">
        <f ca="1" t="shared" si="197"/>
        <v>35</v>
      </c>
      <c r="Q3665" s="22" t="str">
        <f>VLOOKUP(B3665,辅助信息!E:M,9,FALSE)</f>
        <v>ZTWM-CDGS-XS-2025-0126-四川机司-乐山市校地共建产教融合基地配套设施项目施工二标段钢筋采购合同</v>
      </c>
      <c r="R3665" s="22" t="str">
        <f>_xlfn._xlws.FILTER(辅助信息!D:D,辅助信息!E:E=B3665)</f>
        <v>乐山市校地共建产教融合基地建设项目二标段</v>
      </c>
    </row>
    <row r="3666" hidden="1" spans="2:18">
      <c r="B3666" s="113" t="s">
        <v>186</v>
      </c>
      <c r="C3666" s="63">
        <v>45923</v>
      </c>
      <c r="D3666" s="113" t="str">
        <f>VLOOKUP(B3666,辅助信息!E:K,7,FALSE)</f>
        <v>JWDDCD2025072900123</v>
      </c>
      <c r="E3666" s="113" t="str">
        <f>VLOOKUP(F3666,辅助信息!A:B,2,FALSE)</f>
        <v>螺纹钢</v>
      </c>
      <c r="F3666" s="113" t="s">
        <v>142</v>
      </c>
      <c r="G3666" s="114">
        <v>14</v>
      </c>
      <c r="H3666" s="127">
        <f>IF(SUMIFS('[1]2025年已发货'!$E:$E,'[1]2025年已发货'!$F:$F,C3666,'[1]2025年已发货'!$C:$C,F3666,'[1]2025年已发货'!$G:$G,I3666,'[1]2025年已发货'!$H:$H,J3666)=0,"未发货",SUMIFS('[1]2025年已发货'!$E:$E,'[1]2025年已发货'!$F:$F,C3666,'[1]2025年已发货'!$C:$C,F3666,'[1]2025年已发货'!$G:$G,I3666,'[1]2025年已发货'!$H:$H,J3666))</f>
        <v>14</v>
      </c>
      <c r="I3666" s="113" t="str">
        <f>VLOOKUP(B3666,辅助信息!E:I,3,FALSE)</f>
        <v>(乐山市校地共建产教融合基地建设项目二标段)四川省乐山市市中区苏稽镇</v>
      </c>
      <c r="J3666" s="113" t="str">
        <f>VLOOKUP(B3666,辅助信息!E:I,4,FALSE)</f>
        <v>彭江涛</v>
      </c>
      <c r="K3666" s="113">
        <f>VLOOKUP(J3666,辅助信息!H:I,2,FALSE)</f>
        <v>13990276572</v>
      </c>
      <c r="L3666" s="115" t="str">
        <f>VLOOKUP(B3666,辅助信息!E:J,6,FALSE)</f>
        <v>联系实际收货人（彭江涛13990276572）现场要求炉批号控制2个以下，超2个不给予签收。提前联系到场规格及数量</v>
      </c>
      <c r="M3666" s="84">
        <v>45922</v>
      </c>
      <c r="O3666" s="55">
        <f ca="1" t="shared" si="196"/>
        <v>0</v>
      </c>
      <c r="P3666" s="55">
        <f ca="1" t="shared" si="197"/>
        <v>35</v>
      </c>
      <c r="Q3666" s="22" t="str">
        <f>VLOOKUP(B3666,辅助信息!E:M,9,FALSE)</f>
        <v>ZTWM-CDGS-XS-2025-0126-四川机司-乐山市校地共建产教融合基地配套设施项目施工二标段钢筋采购合同</v>
      </c>
      <c r="R3666" s="22" t="str">
        <f>_xlfn._xlws.FILTER(辅助信息!D:D,辅助信息!E:E=B3666)</f>
        <v>乐山市校地共建产教融合基地建设项目二标段</v>
      </c>
    </row>
    <row r="3667" hidden="1" spans="2:18">
      <c r="B3667" s="113" t="s">
        <v>163</v>
      </c>
      <c r="C3667" s="63">
        <v>45923</v>
      </c>
      <c r="D3667" s="113" t="str">
        <f>VLOOKUP(B3667,辅助信息!E:K,7,FALSE)</f>
        <v>JWDDCD2025052800131</v>
      </c>
      <c r="E3667" s="113" t="str">
        <f>VLOOKUP(F3667,辅助信息!A:B,2,FALSE)</f>
        <v>盘螺</v>
      </c>
      <c r="F3667" s="113" t="s">
        <v>49</v>
      </c>
      <c r="G3667" s="114">
        <v>6</v>
      </c>
      <c r="H3667" s="127"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13" t="str">
        <f>VLOOKUP(B3667,辅助信息!E:I,3,FALSE)</f>
        <v>（商投建工达州中医药科技园-4工区-9号楼）达州市通川区达州中医药职业学院犀牛大道北段</v>
      </c>
      <c r="J3667" s="113" t="str">
        <f>VLOOKUP(B3667,辅助信息!E:I,4,FALSE)</f>
        <v>张扬</v>
      </c>
      <c r="K3667" s="113">
        <f>VLOOKUP(J3667,辅助信息!H:I,2,FALSE)</f>
        <v>18381904567</v>
      </c>
      <c r="L3667" s="115" t="str">
        <f>VLOOKUP(B3667,辅助信息!E:J,6,FALSE)</f>
        <v>控制炉批号！多了现场不收！,优先安排达钢,提前联系到场规格及数量</v>
      </c>
      <c r="M3667" s="84"/>
      <c r="O3667" s="55" t="str">
        <f ca="1" t="shared" si="196"/>
        <v/>
      </c>
      <c r="P3667" s="55" t="str">
        <f ca="1" t="shared" si="197"/>
        <v/>
      </c>
      <c r="Q3667" s="22" t="str">
        <f>VLOOKUP(B3667,辅助信息!E:M,9,FALSE)</f>
        <v>ZTWM-CDGS-XS-2024-0134-商投建工达州中医药科技成果示范园项目</v>
      </c>
      <c r="R3667" s="22" t="str">
        <f>_xlfn._xlws.FILTER(辅助信息!D:D,辅助信息!E:E=B3667)</f>
        <v>商投建工达州中医药科技园</v>
      </c>
    </row>
    <row r="3668" hidden="1" spans="2:18">
      <c r="B3668" s="113" t="s">
        <v>163</v>
      </c>
      <c r="C3668" s="63">
        <v>45923</v>
      </c>
      <c r="D3668" s="113" t="str">
        <f>VLOOKUP(B3668,辅助信息!E:K,7,FALSE)</f>
        <v>JWDDCD2025052800131</v>
      </c>
      <c r="E3668" s="113" t="str">
        <f>VLOOKUP(F3668,辅助信息!A:B,2,FALSE)</f>
        <v>盘螺</v>
      </c>
      <c r="F3668" s="113" t="s">
        <v>40</v>
      </c>
      <c r="G3668" s="114">
        <f>47-26</f>
        <v>21</v>
      </c>
      <c r="H3668" s="127"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13" t="str">
        <f>VLOOKUP(B3668,辅助信息!E:I,3,FALSE)</f>
        <v>（商投建工达州中医药科技园-4工区-9号楼）达州市通川区达州中医药职业学院犀牛大道北段</v>
      </c>
      <c r="J3668" s="113" t="str">
        <f>VLOOKUP(B3668,辅助信息!E:I,4,FALSE)</f>
        <v>张扬</v>
      </c>
      <c r="K3668" s="113">
        <f>VLOOKUP(J3668,辅助信息!H:I,2,FALSE)</f>
        <v>18381904567</v>
      </c>
      <c r="L3668" s="115" t="str">
        <f>VLOOKUP(B3668,辅助信息!E:J,6,FALSE)</f>
        <v>控制炉批号！多了现场不收！,优先安排达钢,提前联系到场规格及数量</v>
      </c>
      <c r="M3668" s="84">
        <v>45922</v>
      </c>
      <c r="O3668" s="55">
        <f ca="1" t="shared" si="196"/>
        <v>0</v>
      </c>
      <c r="P3668" s="55">
        <f ca="1" t="shared" si="197"/>
        <v>35</v>
      </c>
      <c r="Q3668" s="22" t="str">
        <f>VLOOKUP(B3668,辅助信息!E:M,9,FALSE)</f>
        <v>ZTWM-CDGS-XS-2024-0134-商投建工达州中医药科技成果示范园项目</v>
      </c>
      <c r="R3668" s="22" t="str">
        <f>_xlfn._xlws.FILTER(辅助信息!D:D,辅助信息!E:E=B3668)</f>
        <v>商投建工达州中医药科技园</v>
      </c>
    </row>
    <row r="3669" hidden="1" spans="2:18">
      <c r="B3669" s="113" t="s">
        <v>163</v>
      </c>
      <c r="C3669" s="63">
        <v>45923</v>
      </c>
      <c r="D3669" s="113" t="str">
        <f>VLOOKUP(B3669,辅助信息!E:K,7,FALSE)</f>
        <v>JWDDCD2025052800131</v>
      </c>
      <c r="E3669" s="113" t="str">
        <f>VLOOKUP(F3669,辅助信息!A:B,2,FALSE)</f>
        <v>盘螺</v>
      </c>
      <c r="F3669" s="113" t="s">
        <v>41</v>
      </c>
      <c r="G3669" s="114">
        <v>10</v>
      </c>
      <c r="H3669" s="127"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13" t="str">
        <f>VLOOKUP(B3669,辅助信息!E:I,3,FALSE)</f>
        <v>（商投建工达州中医药科技园-4工区-9号楼）达州市通川区达州中医药职业学院犀牛大道北段</v>
      </c>
      <c r="J3669" s="113" t="str">
        <f>VLOOKUP(B3669,辅助信息!E:I,4,FALSE)</f>
        <v>张扬</v>
      </c>
      <c r="K3669" s="113">
        <f>VLOOKUP(J3669,辅助信息!H:I,2,FALSE)</f>
        <v>18381904567</v>
      </c>
      <c r="L3669" s="115" t="str">
        <f>VLOOKUP(B3669,辅助信息!E:J,6,FALSE)</f>
        <v>控制炉批号！多了现场不收！,优先安排达钢,提前联系到场规格及数量</v>
      </c>
      <c r="M3669" s="84">
        <v>45922</v>
      </c>
      <c r="O3669" s="55">
        <f ca="1" t="shared" si="196"/>
        <v>0</v>
      </c>
      <c r="P3669" s="55">
        <f ca="1" t="shared" si="197"/>
        <v>35</v>
      </c>
      <c r="Q3669" s="22" t="str">
        <f>VLOOKUP(B3669,辅助信息!E:M,9,FALSE)</f>
        <v>ZTWM-CDGS-XS-2024-0134-商投建工达州中医药科技成果示范园项目</v>
      </c>
      <c r="R3669" s="22" t="str">
        <f>_xlfn._xlws.FILTER(辅助信息!D:D,辅助信息!E:E=B3669)</f>
        <v>商投建工达州中医药科技园</v>
      </c>
    </row>
    <row r="3670" hidden="1" spans="2:18">
      <c r="B3670" s="113" t="s">
        <v>163</v>
      </c>
      <c r="C3670" s="63">
        <v>45923</v>
      </c>
      <c r="D3670" s="113" t="str">
        <f>VLOOKUP(B3670,辅助信息!E:K,7,FALSE)</f>
        <v>JWDDCD2025052800131</v>
      </c>
      <c r="E3670" s="113" t="str">
        <f>VLOOKUP(F3670,辅助信息!A:B,2,FALSE)</f>
        <v>螺纹钢</v>
      </c>
      <c r="F3670" s="113" t="s">
        <v>58</v>
      </c>
      <c r="G3670" s="114">
        <v>15</v>
      </c>
      <c r="H3670" s="127"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13" t="str">
        <f>VLOOKUP(B3670,辅助信息!E:I,3,FALSE)</f>
        <v>（商投建工达州中医药科技园-4工区-9号楼）达州市通川区达州中医药职业学院犀牛大道北段</v>
      </c>
      <c r="J3670" s="113" t="str">
        <f>VLOOKUP(B3670,辅助信息!E:I,4,FALSE)</f>
        <v>张扬</v>
      </c>
      <c r="K3670" s="113">
        <f>VLOOKUP(J3670,辅助信息!H:I,2,FALSE)</f>
        <v>18381904567</v>
      </c>
      <c r="L3670" s="115" t="str">
        <f>VLOOKUP(B3670,辅助信息!E:J,6,FALSE)</f>
        <v>控制炉批号！多了现场不收！,优先安排达钢,提前联系到场规格及数量</v>
      </c>
      <c r="M3670" s="84"/>
      <c r="O3670" s="55" t="str">
        <f ca="1" t="shared" si="196"/>
        <v/>
      </c>
      <c r="P3670" s="55" t="str">
        <f ca="1" t="shared" si="197"/>
        <v/>
      </c>
      <c r="Q3670" s="22" t="str">
        <f>VLOOKUP(B3670,辅助信息!E:M,9,FALSE)</f>
        <v>ZTWM-CDGS-XS-2024-0134-商投建工达州中医药科技成果示范园项目</v>
      </c>
      <c r="R3670" s="22" t="str">
        <f>_xlfn._xlws.FILTER(辅助信息!D:D,辅助信息!E:E=B3670)</f>
        <v>商投建工达州中医药科技园</v>
      </c>
    </row>
    <row r="3671" hidden="1" spans="2:18">
      <c r="B3671" s="113" t="s">
        <v>163</v>
      </c>
      <c r="C3671" s="63">
        <v>45923</v>
      </c>
      <c r="D3671" s="113" t="str">
        <f>VLOOKUP(B3671,辅助信息!E:K,7,FALSE)</f>
        <v>JWDDCD2025052800131</v>
      </c>
      <c r="E3671" s="113" t="str">
        <f>VLOOKUP(F3671,辅助信息!A:B,2,FALSE)</f>
        <v>螺纹钢</v>
      </c>
      <c r="F3671" s="113" t="s">
        <v>46</v>
      </c>
      <c r="G3671" s="114">
        <v>9</v>
      </c>
      <c r="H3671" s="127"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13" t="str">
        <f>VLOOKUP(B3671,辅助信息!E:I,3,FALSE)</f>
        <v>（商投建工达州中医药科技园-4工区-9号楼）达州市通川区达州中医药职业学院犀牛大道北段</v>
      </c>
      <c r="J3671" s="113" t="str">
        <f>VLOOKUP(B3671,辅助信息!E:I,4,FALSE)</f>
        <v>张扬</v>
      </c>
      <c r="K3671" s="113">
        <f>VLOOKUP(J3671,辅助信息!H:I,2,FALSE)</f>
        <v>18381904567</v>
      </c>
      <c r="L3671" s="115" t="str">
        <f>VLOOKUP(B3671,辅助信息!E:J,6,FALSE)</f>
        <v>控制炉批号！多了现场不收！,优先安排达钢,提前联系到场规格及数量</v>
      </c>
      <c r="M3671" s="84"/>
      <c r="O3671" s="55" t="str">
        <f ca="1" t="shared" si="196"/>
        <v/>
      </c>
      <c r="P3671" s="55" t="str">
        <f ca="1" t="shared" si="197"/>
        <v/>
      </c>
      <c r="Q3671" s="22" t="str">
        <f>VLOOKUP(B3671,辅助信息!E:M,9,FALSE)</f>
        <v>ZTWM-CDGS-XS-2024-0134-商投建工达州中医药科技成果示范园项目</v>
      </c>
      <c r="R3671" s="22" t="str">
        <f>_xlfn._xlws.FILTER(辅助信息!D:D,辅助信息!E:E=B3671)</f>
        <v>商投建工达州中医药科技园</v>
      </c>
    </row>
    <row r="3672" hidden="1" spans="2:18">
      <c r="B3672" s="113" t="s">
        <v>163</v>
      </c>
      <c r="C3672" s="63">
        <v>45923</v>
      </c>
      <c r="D3672" s="113" t="str">
        <f>VLOOKUP(B3672,辅助信息!E:K,7,FALSE)</f>
        <v>JWDDCD2025052800131</v>
      </c>
      <c r="E3672" s="113" t="str">
        <f>VLOOKUP(F3672,辅助信息!A:B,2,FALSE)</f>
        <v>螺纹钢</v>
      </c>
      <c r="F3672" s="113" t="s">
        <v>22</v>
      </c>
      <c r="G3672" s="114">
        <v>15</v>
      </c>
      <c r="H3672" s="127"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13" t="str">
        <f>VLOOKUP(B3672,辅助信息!E:I,3,FALSE)</f>
        <v>（商投建工达州中医药科技园-4工区-9号楼）达州市通川区达州中医药职业学院犀牛大道北段</v>
      </c>
      <c r="J3672" s="113" t="str">
        <f>VLOOKUP(B3672,辅助信息!E:I,4,FALSE)</f>
        <v>张扬</v>
      </c>
      <c r="K3672" s="113">
        <f>VLOOKUP(J3672,辅助信息!H:I,2,FALSE)</f>
        <v>18381904567</v>
      </c>
      <c r="L3672" s="115" t="str">
        <f>VLOOKUP(B3672,辅助信息!E:J,6,FALSE)</f>
        <v>控制炉批号！多了现场不收！,优先安排达钢,提前联系到场规格及数量</v>
      </c>
      <c r="M3672" s="84"/>
      <c r="O3672" s="55" t="str">
        <f ca="1" t="shared" si="196"/>
        <v/>
      </c>
      <c r="P3672" s="55" t="str">
        <f ca="1" t="shared" si="197"/>
        <v/>
      </c>
      <c r="Q3672" s="22" t="str">
        <f>VLOOKUP(B3672,辅助信息!E:M,9,FALSE)</f>
        <v>ZTWM-CDGS-XS-2024-0134-商投建工达州中医药科技成果示范园项目</v>
      </c>
      <c r="R3672" s="22" t="str">
        <f>_xlfn._xlws.FILTER(辅助信息!D:D,辅助信息!E:E=B3672)</f>
        <v>商投建工达州中医药科技园</v>
      </c>
    </row>
    <row r="3673" hidden="1" spans="2:18">
      <c r="B3673" s="113" t="s">
        <v>112</v>
      </c>
      <c r="C3673" s="63">
        <v>45923</v>
      </c>
      <c r="D3673" s="113" t="str">
        <f>VLOOKUP(B3673,辅助信息!E:K,7,FALSE)</f>
        <v>JWDDCD2025052800131</v>
      </c>
      <c r="E3673" s="113" t="str">
        <f>VLOOKUP(F3673,辅助信息!A:B,2,FALSE)</f>
        <v>盘螺</v>
      </c>
      <c r="F3673" s="113" t="s">
        <v>40</v>
      </c>
      <c r="G3673" s="114">
        <v>15</v>
      </c>
      <c r="H3673" s="127"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13" t="str">
        <f>VLOOKUP(B3673,辅助信息!E:I,3,FALSE)</f>
        <v>（商投建工达州中医药科技园-4工区-10号楼）达州市通川区达州中医药职业学院犀牛大道北段</v>
      </c>
      <c r="J3673" s="113" t="str">
        <f>VLOOKUP(B3673,辅助信息!E:I,4,FALSE)</f>
        <v>张扬</v>
      </c>
      <c r="K3673" s="113">
        <f>VLOOKUP(J3673,辅助信息!H:I,2,FALSE)</f>
        <v>18381904567</v>
      </c>
      <c r="L3673" s="115" t="str">
        <f>VLOOKUP(B3673,辅助信息!E:J,6,FALSE)</f>
        <v>控制炉批号！多了现场不收！,优先安排达钢,提前联系到场规格及数量</v>
      </c>
      <c r="M3673" s="84"/>
      <c r="O3673" s="55" t="str">
        <f ca="1" t="shared" si="196"/>
        <v/>
      </c>
      <c r="P3673" s="55" t="str">
        <f ca="1" t="shared" si="197"/>
        <v/>
      </c>
      <c r="Q3673" s="22" t="str">
        <f>VLOOKUP(B3673,辅助信息!E:M,9,FALSE)</f>
        <v>ZTWM-CDGS-XS-2024-0134-商投建工达州中医药科技成果示范园项目</v>
      </c>
      <c r="R3673" s="22" t="str">
        <f>_xlfn._xlws.FILTER(辅助信息!D:D,辅助信息!E:E=B3673)</f>
        <v>商投建工达州中医药科技园</v>
      </c>
    </row>
    <row r="3674" hidden="1" spans="2:18">
      <c r="B3674" s="113" t="s">
        <v>112</v>
      </c>
      <c r="C3674" s="63">
        <v>45923</v>
      </c>
      <c r="D3674" s="113" t="str">
        <f>VLOOKUP(B3674,辅助信息!E:K,7,FALSE)</f>
        <v>JWDDCD2025052800131</v>
      </c>
      <c r="E3674" s="113" t="str">
        <f>VLOOKUP(F3674,辅助信息!A:B,2,FALSE)</f>
        <v>盘螺</v>
      </c>
      <c r="F3674" s="113" t="s">
        <v>41</v>
      </c>
      <c r="G3674" s="114">
        <v>6</v>
      </c>
      <c r="H3674" s="127">
        <f>IF(SUMIFS('[1]2025年已发货'!$E:$E,'[1]2025年已发货'!$F:$F,C3674,'[1]2025年已发货'!$C:$C,F3674,'[1]2025年已发货'!$G:$G,I3674,'[1]2025年已发货'!$H:$H,J3674)=0,"未发货",SUMIFS('[1]2025年已发货'!$E:$E,'[1]2025年已发货'!$F:$F,C3674,'[1]2025年已发货'!$C:$C,F3674,'[1]2025年已发货'!$G:$G,I3674,'[1]2025年已发货'!$H:$H,J3674))</f>
        <v>6</v>
      </c>
      <c r="I3674" s="113" t="str">
        <f>VLOOKUP(B3674,辅助信息!E:I,3,FALSE)</f>
        <v>（商投建工达州中医药科技园-4工区-10号楼）达州市通川区达州中医药职业学院犀牛大道北段</v>
      </c>
      <c r="J3674" s="113" t="str">
        <f>VLOOKUP(B3674,辅助信息!E:I,4,FALSE)</f>
        <v>张扬</v>
      </c>
      <c r="K3674" s="113">
        <f>VLOOKUP(J3674,辅助信息!H:I,2,FALSE)</f>
        <v>18381904567</v>
      </c>
      <c r="L3674" s="115" t="str">
        <f>VLOOKUP(B3674,辅助信息!E:J,6,FALSE)</f>
        <v>控制炉批号！多了现场不收！,优先安排达钢,提前联系到场规格及数量</v>
      </c>
      <c r="M3674" s="84"/>
      <c r="O3674" s="55" t="str">
        <f ca="1" t="shared" si="196"/>
        <v/>
      </c>
      <c r="P3674" s="55" t="str">
        <f ca="1" t="shared" si="197"/>
        <v/>
      </c>
      <c r="Q3674" s="22" t="str">
        <f>VLOOKUP(B3674,辅助信息!E:M,9,FALSE)</f>
        <v>ZTWM-CDGS-XS-2024-0134-商投建工达州中医药科技成果示范园项目</v>
      </c>
      <c r="R3674" s="22" t="str">
        <f>_xlfn._xlws.FILTER(辅助信息!D:D,辅助信息!E:E=B3674)</f>
        <v>商投建工达州中医药科技园</v>
      </c>
    </row>
    <row r="3675" hidden="1" spans="2:18">
      <c r="B3675" s="113" t="s">
        <v>112</v>
      </c>
      <c r="C3675" s="63">
        <v>45923</v>
      </c>
      <c r="D3675" s="113" t="str">
        <f>VLOOKUP(B3675,辅助信息!E:K,7,FALSE)</f>
        <v>JWDDCD2025052800131</v>
      </c>
      <c r="E3675" s="113" t="str">
        <f>VLOOKUP(F3675,辅助信息!A:B,2,FALSE)</f>
        <v>螺纹钢</v>
      </c>
      <c r="F3675" s="113" t="s">
        <v>27</v>
      </c>
      <c r="G3675" s="114">
        <v>15</v>
      </c>
      <c r="H3675" s="127">
        <f>IF(SUMIFS('[1]2025年已发货'!$E:$E,'[1]2025年已发货'!$F:$F,C3675,'[1]2025年已发货'!$C:$C,F3675,'[1]2025年已发货'!$G:$G,I3675,'[1]2025年已发货'!$H:$H,J3675)=0,"未发货",SUMIFS('[1]2025年已发货'!$E:$E,'[1]2025年已发货'!$F:$F,C3675,'[1]2025年已发货'!$C:$C,F3675,'[1]2025年已发货'!$G:$G,I3675,'[1]2025年已发货'!$H:$H,J3675))</f>
        <v>15</v>
      </c>
      <c r="I3675" s="113" t="str">
        <f>VLOOKUP(B3675,辅助信息!E:I,3,FALSE)</f>
        <v>（商投建工达州中医药科技园-4工区-10号楼）达州市通川区达州中医药职业学院犀牛大道北段</v>
      </c>
      <c r="J3675" s="113" t="str">
        <f>VLOOKUP(B3675,辅助信息!E:I,4,FALSE)</f>
        <v>张扬</v>
      </c>
      <c r="K3675" s="113">
        <f>VLOOKUP(J3675,辅助信息!H:I,2,FALSE)</f>
        <v>18381904567</v>
      </c>
      <c r="L3675" s="115" t="str">
        <f>VLOOKUP(B3675,辅助信息!E:J,6,FALSE)</f>
        <v>控制炉批号！多了现场不收！,优先安排达钢,提前联系到场规格及数量</v>
      </c>
      <c r="M3675" s="84">
        <v>45925</v>
      </c>
      <c r="O3675" s="55">
        <f ca="1" t="shared" si="196"/>
        <v>0</v>
      </c>
      <c r="P3675" s="55">
        <f ca="1" t="shared" si="197"/>
        <v>32</v>
      </c>
      <c r="Q3675" s="22" t="str">
        <f>VLOOKUP(B3675,辅助信息!E:M,9,FALSE)</f>
        <v>ZTWM-CDGS-XS-2024-0134-商投建工达州中医药科技成果示范园项目</v>
      </c>
      <c r="R3675" s="22" t="str">
        <f>_xlfn._xlws.FILTER(辅助信息!D:D,辅助信息!E:E=B3675)</f>
        <v>商投建工达州中医药科技园</v>
      </c>
    </row>
    <row r="3676" hidden="1" spans="2:18">
      <c r="B3676" s="113" t="s">
        <v>112</v>
      </c>
      <c r="C3676" s="63">
        <v>45923</v>
      </c>
      <c r="D3676" s="113" t="str">
        <f>VLOOKUP(B3676,辅助信息!E:K,7,FALSE)</f>
        <v>JWDDCD2025052800131</v>
      </c>
      <c r="E3676" s="113" t="str">
        <f>VLOOKUP(F3676,辅助信息!A:B,2,FALSE)</f>
        <v>螺纹钢</v>
      </c>
      <c r="F3676" s="113" t="s">
        <v>32</v>
      </c>
      <c r="G3676" s="114">
        <v>3</v>
      </c>
      <c r="H3676" s="127">
        <f>IF(SUMIFS('[1]2025年已发货'!$E:$E,'[1]2025年已发货'!$F:$F,C3676,'[1]2025年已发货'!$C:$C,F3676,'[1]2025年已发货'!$G:$G,I3676,'[1]2025年已发货'!$H:$H,J3676)=0,"未发货",SUMIFS('[1]2025年已发货'!$E:$E,'[1]2025年已发货'!$F:$F,C3676,'[1]2025年已发货'!$C:$C,F3676,'[1]2025年已发货'!$G:$G,I3676,'[1]2025年已发货'!$H:$H,J3676))</f>
        <v>3</v>
      </c>
      <c r="I3676" s="113" t="str">
        <f>VLOOKUP(B3676,辅助信息!E:I,3,FALSE)</f>
        <v>（商投建工达州中医药科技园-4工区-10号楼）达州市通川区达州中医药职业学院犀牛大道北段</v>
      </c>
      <c r="J3676" s="113" t="str">
        <f>VLOOKUP(B3676,辅助信息!E:I,4,FALSE)</f>
        <v>张扬</v>
      </c>
      <c r="K3676" s="113">
        <f>VLOOKUP(J3676,辅助信息!H:I,2,FALSE)</f>
        <v>18381904567</v>
      </c>
      <c r="L3676" s="115" t="str">
        <f>VLOOKUP(B3676,辅助信息!E:J,6,FALSE)</f>
        <v>控制炉批号！多了现场不收！,优先安排达钢,提前联系到场规格及数量</v>
      </c>
      <c r="M3676" s="84"/>
      <c r="O3676" s="55" t="str">
        <f ca="1" t="shared" si="196"/>
        <v/>
      </c>
      <c r="P3676" s="55" t="str">
        <f ca="1" t="shared" si="197"/>
        <v/>
      </c>
      <c r="Q3676" s="22" t="str">
        <f>VLOOKUP(B3676,辅助信息!E:M,9,FALSE)</f>
        <v>ZTWM-CDGS-XS-2024-0134-商投建工达州中医药科技成果示范园项目</v>
      </c>
      <c r="R3676" s="22" t="str">
        <f>_xlfn._xlws.FILTER(辅助信息!D:D,辅助信息!E:E=B3676)</f>
        <v>商投建工达州中医药科技园</v>
      </c>
    </row>
    <row r="3677" hidden="1" spans="2:18">
      <c r="B3677" s="113" t="s">
        <v>112</v>
      </c>
      <c r="C3677" s="63">
        <v>45923</v>
      </c>
      <c r="D3677" s="113" t="str">
        <f>VLOOKUP(B3677,辅助信息!E:K,7,FALSE)</f>
        <v>JWDDCD2025052800131</v>
      </c>
      <c r="E3677" s="113" t="str">
        <f>VLOOKUP(F3677,辅助信息!A:B,2,FALSE)</f>
        <v>螺纹钢</v>
      </c>
      <c r="F3677" s="113" t="s">
        <v>28</v>
      </c>
      <c r="G3677" s="114">
        <v>6</v>
      </c>
      <c r="H3677" s="127"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13" t="str">
        <f>VLOOKUP(B3677,辅助信息!E:I,3,FALSE)</f>
        <v>（商投建工达州中医药科技园-4工区-10号楼）达州市通川区达州中医药职业学院犀牛大道北段</v>
      </c>
      <c r="J3677" s="113" t="str">
        <f>VLOOKUP(B3677,辅助信息!E:I,4,FALSE)</f>
        <v>张扬</v>
      </c>
      <c r="K3677" s="113">
        <f>VLOOKUP(J3677,辅助信息!H:I,2,FALSE)</f>
        <v>18381904567</v>
      </c>
      <c r="L3677" s="115" t="str">
        <f>VLOOKUP(B3677,辅助信息!E:J,6,FALSE)</f>
        <v>控制炉批号！多了现场不收！,优先安排达钢,提前联系到场规格及数量</v>
      </c>
      <c r="M3677" s="84"/>
      <c r="O3677" s="55" t="str">
        <f ca="1" t="shared" si="196"/>
        <v/>
      </c>
      <c r="P3677" s="55" t="str">
        <f ca="1" t="shared" si="197"/>
        <v/>
      </c>
      <c r="Q3677" s="22" t="str">
        <f>VLOOKUP(B3677,辅助信息!E:M,9,FALSE)</f>
        <v>ZTWM-CDGS-XS-2024-0134-商投建工达州中医药科技成果示范园项目</v>
      </c>
      <c r="R3677" s="22" t="str">
        <f>_xlfn._xlws.FILTER(辅助信息!D:D,辅助信息!E:E=B3677)</f>
        <v>商投建工达州中医药科技园</v>
      </c>
    </row>
    <row r="3678" hidden="1" spans="2:18">
      <c r="B3678" s="113" t="s">
        <v>112</v>
      </c>
      <c r="C3678" s="63">
        <v>45923</v>
      </c>
      <c r="D3678" s="113" t="str">
        <f>VLOOKUP(B3678,辅助信息!E:K,7,FALSE)</f>
        <v>JWDDCD2025052800131</v>
      </c>
      <c r="E3678" s="113" t="str">
        <f>VLOOKUP(F3678,辅助信息!A:B,2,FALSE)</f>
        <v>螺纹钢</v>
      </c>
      <c r="F3678" s="113" t="s">
        <v>18</v>
      </c>
      <c r="G3678" s="114">
        <v>6</v>
      </c>
      <c r="H3678" s="127">
        <f>IF(SUMIFS('[1]2025年已发货'!$E:$E,'[1]2025年已发货'!$F:$F,C3678,'[1]2025年已发货'!$C:$C,F3678,'[1]2025年已发货'!$G:$G,I3678,'[1]2025年已发货'!$H:$H,J3678)=0,"未发货",SUMIFS('[1]2025年已发货'!$E:$E,'[1]2025年已发货'!$F:$F,C3678,'[1]2025年已发货'!$C:$C,F3678,'[1]2025年已发货'!$G:$G,I3678,'[1]2025年已发货'!$H:$H,J3678))</f>
        <v>6</v>
      </c>
      <c r="I3678" s="113" t="str">
        <f>VLOOKUP(B3678,辅助信息!E:I,3,FALSE)</f>
        <v>（商投建工达州中医药科技园-4工区-10号楼）达州市通川区达州中医药职业学院犀牛大道北段</v>
      </c>
      <c r="J3678" s="113" t="str">
        <f>VLOOKUP(B3678,辅助信息!E:I,4,FALSE)</f>
        <v>张扬</v>
      </c>
      <c r="K3678" s="113">
        <f>VLOOKUP(J3678,辅助信息!H:I,2,FALSE)</f>
        <v>18381904567</v>
      </c>
      <c r="L3678" s="115" t="str">
        <f>VLOOKUP(B3678,辅助信息!E:J,6,FALSE)</f>
        <v>控制炉批号！多了现场不收！,优先安排达钢,提前联系到场规格及数量</v>
      </c>
      <c r="M3678" s="84"/>
      <c r="O3678" s="55" t="str">
        <f ca="1" t="shared" si="196"/>
        <v/>
      </c>
      <c r="P3678" s="55" t="str">
        <f ca="1" t="shared" si="197"/>
        <v/>
      </c>
      <c r="Q3678" s="22" t="str">
        <f>VLOOKUP(B3678,辅助信息!E:M,9,FALSE)</f>
        <v>ZTWM-CDGS-XS-2024-0134-商投建工达州中医药科技成果示范园项目</v>
      </c>
      <c r="R3678" s="22" t="str">
        <f>_xlfn._xlws.FILTER(辅助信息!D:D,辅助信息!E:E=B3678)</f>
        <v>商投建工达州中医药科技园</v>
      </c>
    </row>
    <row r="3679" hidden="1" spans="2:18">
      <c r="B3679" s="113" t="s">
        <v>112</v>
      </c>
      <c r="C3679" s="63">
        <v>45923</v>
      </c>
      <c r="D3679" s="113" t="str">
        <f>VLOOKUP(B3679,辅助信息!E:K,7,FALSE)</f>
        <v>JWDDCD2025052800131</v>
      </c>
      <c r="E3679" s="113" t="str">
        <f>VLOOKUP(F3679,辅助信息!A:B,2,FALSE)</f>
        <v>螺纹钢</v>
      </c>
      <c r="F3679" s="113" t="s">
        <v>45</v>
      </c>
      <c r="G3679" s="114">
        <v>6</v>
      </c>
      <c r="H3679" s="127"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13" t="str">
        <f>VLOOKUP(B3679,辅助信息!E:I,3,FALSE)</f>
        <v>（商投建工达州中医药科技园-4工区-10号楼）达州市通川区达州中医药职业学院犀牛大道北段</v>
      </c>
      <c r="J3679" s="113" t="str">
        <f>VLOOKUP(B3679,辅助信息!E:I,4,FALSE)</f>
        <v>张扬</v>
      </c>
      <c r="K3679" s="113">
        <f>VLOOKUP(J3679,辅助信息!H:I,2,FALSE)</f>
        <v>18381904567</v>
      </c>
      <c r="L3679" s="115" t="str">
        <f>VLOOKUP(B3679,辅助信息!E:J,6,FALSE)</f>
        <v>控制炉批号！多了现场不收！,优先安排达钢,提前联系到场规格及数量</v>
      </c>
      <c r="M3679" s="84">
        <v>45925</v>
      </c>
      <c r="O3679" s="55">
        <f ca="1" t="shared" si="196"/>
        <v>0</v>
      </c>
      <c r="P3679" s="55">
        <f ca="1" t="shared" si="197"/>
        <v>32</v>
      </c>
      <c r="Q3679" s="22" t="str">
        <f>VLOOKUP(B3679,辅助信息!E:M,9,FALSE)</f>
        <v>ZTWM-CDGS-XS-2024-0134-商投建工达州中医药科技成果示范园项目</v>
      </c>
      <c r="R3679" s="22" t="str">
        <f>_xlfn._xlws.FILTER(辅助信息!D:D,辅助信息!E:E=B3679)</f>
        <v>商投建工达州中医药科技园</v>
      </c>
    </row>
    <row r="3680" hidden="1" spans="2:18">
      <c r="B3680" s="113" t="s">
        <v>112</v>
      </c>
      <c r="C3680" s="63">
        <v>45923</v>
      </c>
      <c r="D3680" s="113" t="str">
        <f>VLOOKUP(B3680,辅助信息!E:K,7,FALSE)</f>
        <v>JWDDCD2025052800131</v>
      </c>
      <c r="E3680" s="113" t="str">
        <f>VLOOKUP(F3680,辅助信息!A:B,2,FALSE)</f>
        <v>螺纹钢</v>
      </c>
      <c r="F3680" s="113" t="s">
        <v>21</v>
      </c>
      <c r="G3680" s="114">
        <v>12</v>
      </c>
      <c r="H3680" s="127"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13" t="str">
        <f>VLOOKUP(B3680,辅助信息!E:I,3,FALSE)</f>
        <v>（商投建工达州中医药科技园-4工区-10号楼）达州市通川区达州中医药职业学院犀牛大道北段</v>
      </c>
      <c r="J3680" s="113" t="str">
        <f>VLOOKUP(B3680,辅助信息!E:I,4,FALSE)</f>
        <v>张扬</v>
      </c>
      <c r="K3680" s="113">
        <f>VLOOKUP(J3680,辅助信息!H:I,2,FALSE)</f>
        <v>18381904567</v>
      </c>
      <c r="L3680" s="115" t="str">
        <f>VLOOKUP(B3680,辅助信息!E:J,6,FALSE)</f>
        <v>控制炉批号！多了现场不收！,优先安排达钢,提前联系到场规格及数量</v>
      </c>
      <c r="M3680" s="84">
        <v>45925</v>
      </c>
      <c r="O3680" s="55">
        <f ca="1" t="shared" ref="O3680:O3743" si="198">IF(OR(M3680="",N3680&lt;&gt;""),"",MAX(M3680-TODAY(),0))</f>
        <v>0</v>
      </c>
      <c r="P3680" s="55">
        <f ca="1" t="shared" ref="P3680:P3743" si="199">IF(M3680="","",IF(N3680&lt;&gt;"",MAX(N3680-M3680,0),IF(TODAY()&gt;M3680,TODAY()-M3680,0)))</f>
        <v>32</v>
      </c>
      <c r="Q3680" s="22" t="str">
        <f>VLOOKUP(B3680,辅助信息!E:M,9,FALSE)</f>
        <v>ZTWM-CDGS-XS-2024-0134-商投建工达州中医药科技成果示范园项目</v>
      </c>
      <c r="R3680" s="22" t="str">
        <f>_xlfn._xlws.FILTER(辅助信息!D:D,辅助信息!E:E=B3680)</f>
        <v>商投建工达州中医药科技园</v>
      </c>
    </row>
    <row r="3681" hidden="1" spans="2:18">
      <c r="B3681" s="113" t="s">
        <v>112</v>
      </c>
      <c r="C3681" s="63">
        <v>45923</v>
      </c>
      <c r="D3681" s="113" t="str">
        <f>VLOOKUP(B3681,辅助信息!E:K,7,FALSE)</f>
        <v>JWDDCD2025052800131</v>
      </c>
      <c r="E3681" s="113" t="str">
        <f>VLOOKUP(F3681,辅助信息!A:B,2,FALSE)</f>
        <v>螺纹钢</v>
      </c>
      <c r="F3681" s="113" t="s">
        <v>58</v>
      </c>
      <c r="G3681" s="114">
        <v>12</v>
      </c>
      <c r="H3681" s="127"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13" t="str">
        <f>VLOOKUP(B3681,辅助信息!E:I,3,FALSE)</f>
        <v>（商投建工达州中医药科技园-4工区-10号楼）达州市通川区达州中医药职业学院犀牛大道北段</v>
      </c>
      <c r="J3681" s="113" t="str">
        <f>VLOOKUP(B3681,辅助信息!E:I,4,FALSE)</f>
        <v>张扬</v>
      </c>
      <c r="K3681" s="113">
        <f>VLOOKUP(J3681,辅助信息!H:I,2,FALSE)</f>
        <v>18381904567</v>
      </c>
      <c r="L3681" s="115" t="str">
        <f>VLOOKUP(B3681,辅助信息!E:J,6,FALSE)</f>
        <v>控制炉批号！多了现场不收！,优先安排达钢,提前联系到场规格及数量</v>
      </c>
      <c r="M3681" s="84">
        <v>45925</v>
      </c>
      <c r="O3681" s="55">
        <f ca="1" t="shared" si="198"/>
        <v>0</v>
      </c>
      <c r="P3681" s="55">
        <f ca="1" t="shared" si="199"/>
        <v>32</v>
      </c>
      <c r="Q3681" s="22" t="str">
        <f>VLOOKUP(B3681,辅助信息!E:M,9,FALSE)</f>
        <v>ZTWM-CDGS-XS-2024-0134-商投建工达州中医药科技成果示范园项目</v>
      </c>
      <c r="R3681" s="22" t="str">
        <f>_xlfn._xlws.FILTER(辅助信息!D:D,辅助信息!E:E=B3681)</f>
        <v>商投建工达州中医药科技园</v>
      </c>
    </row>
    <row r="3682" hidden="1" spans="2:18">
      <c r="B3682" s="113" t="s">
        <v>112</v>
      </c>
      <c r="C3682" s="63">
        <v>45923</v>
      </c>
      <c r="D3682" s="113" t="str">
        <f>VLOOKUP(B3682,辅助信息!E:K,7,FALSE)</f>
        <v>JWDDCD2025052800131</v>
      </c>
      <c r="E3682" s="113" t="str">
        <f>VLOOKUP(F3682,辅助信息!A:B,2,FALSE)</f>
        <v>螺纹钢</v>
      </c>
      <c r="F3682" s="113" t="s">
        <v>46</v>
      </c>
      <c r="G3682" s="114">
        <v>15</v>
      </c>
      <c r="H3682" s="127">
        <f>IF(SUMIFS('[1]2025年已发货'!$E:$E,'[1]2025年已发货'!$F:$F,C3682,'[1]2025年已发货'!$C:$C,F3682,'[1]2025年已发货'!$G:$G,I3682,'[1]2025年已发货'!$H:$H,J3682)=0,"未发货",SUMIFS('[1]2025年已发货'!$E:$E,'[1]2025年已发货'!$F:$F,C3682,'[1]2025年已发货'!$C:$C,F3682,'[1]2025年已发货'!$G:$G,I3682,'[1]2025年已发货'!$H:$H,J3682))</f>
        <v>15</v>
      </c>
      <c r="I3682" s="113" t="str">
        <f>VLOOKUP(B3682,辅助信息!E:I,3,FALSE)</f>
        <v>（商投建工达州中医药科技园-4工区-10号楼）达州市通川区达州中医药职业学院犀牛大道北段</v>
      </c>
      <c r="J3682" s="113" t="str">
        <f>VLOOKUP(B3682,辅助信息!E:I,4,FALSE)</f>
        <v>张扬</v>
      </c>
      <c r="K3682" s="113">
        <f>VLOOKUP(J3682,辅助信息!H:I,2,FALSE)</f>
        <v>18381904567</v>
      </c>
      <c r="L3682" s="115" t="str">
        <f>VLOOKUP(B3682,辅助信息!E:J,6,FALSE)</f>
        <v>控制炉批号！多了现场不收！,优先安排达钢,提前联系到场规格及数量</v>
      </c>
      <c r="M3682" s="84">
        <v>45925</v>
      </c>
      <c r="O3682" s="55">
        <f ca="1" t="shared" si="198"/>
        <v>0</v>
      </c>
      <c r="P3682" s="55">
        <f ca="1" t="shared" si="199"/>
        <v>32</v>
      </c>
      <c r="Q3682" s="22" t="str">
        <f>VLOOKUP(B3682,辅助信息!E:M,9,FALSE)</f>
        <v>ZTWM-CDGS-XS-2024-0134-商投建工达州中医药科技成果示范园项目</v>
      </c>
      <c r="R3682" s="22" t="str">
        <f>_xlfn._xlws.FILTER(辅助信息!D:D,辅助信息!E:E=B3682)</f>
        <v>商投建工达州中医药科技园</v>
      </c>
    </row>
    <row r="3683" hidden="1" spans="2:18">
      <c r="B3683" s="113" t="s">
        <v>112</v>
      </c>
      <c r="C3683" s="63">
        <v>45923</v>
      </c>
      <c r="D3683" s="113" t="str">
        <f>VLOOKUP(B3683,辅助信息!E:K,7,FALSE)</f>
        <v>JWDDCD2025052800131</v>
      </c>
      <c r="E3683" s="113" t="str">
        <f>VLOOKUP(F3683,辅助信息!A:B,2,FALSE)</f>
        <v>螺纹钢</v>
      </c>
      <c r="F3683" s="113" t="s">
        <v>22</v>
      </c>
      <c r="G3683" s="114">
        <v>6</v>
      </c>
      <c r="H3683" s="127"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13" t="str">
        <f>VLOOKUP(B3683,辅助信息!E:I,3,FALSE)</f>
        <v>（商投建工达州中医药科技园-4工区-10号楼）达州市通川区达州中医药职业学院犀牛大道北段</v>
      </c>
      <c r="J3683" s="113" t="str">
        <f>VLOOKUP(B3683,辅助信息!E:I,4,FALSE)</f>
        <v>张扬</v>
      </c>
      <c r="K3683" s="113">
        <f>VLOOKUP(J3683,辅助信息!H:I,2,FALSE)</f>
        <v>18381904567</v>
      </c>
      <c r="L3683" s="115" t="str">
        <f>VLOOKUP(B3683,辅助信息!E:J,6,FALSE)</f>
        <v>控制炉批号！多了现场不收！,优先安排达钢,提前联系到场规格及数量</v>
      </c>
      <c r="M3683" s="84">
        <v>45925</v>
      </c>
      <c r="O3683" s="55">
        <f ca="1" t="shared" si="198"/>
        <v>0</v>
      </c>
      <c r="P3683" s="55">
        <f ca="1" t="shared" si="199"/>
        <v>32</v>
      </c>
      <c r="Q3683" s="22" t="str">
        <f>VLOOKUP(B3683,辅助信息!E:M,9,FALSE)</f>
        <v>ZTWM-CDGS-XS-2024-0134-商投建工达州中医药科技成果示范园项目</v>
      </c>
      <c r="R3683" s="22" t="str">
        <f>_xlfn._xlws.FILTER(辅助信息!D:D,辅助信息!E:E=B3683)</f>
        <v>商投建工达州中医药科技园</v>
      </c>
    </row>
    <row r="3684" hidden="1" spans="2:18">
      <c r="B3684" s="113" t="s">
        <v>167</v>
      </c>
      <c r="C3684" s="63">
        <v>45923</v>
      </c>
      <c r="D3684" s="113" t="str">
        <f>VLOOKUP(B3684,辅助信息!E:K,7,FALSE)</f>
        <v>JWDDCD2025102100473</v>
      </c>
      <c r="E3684" s="113" t="str">
        <f>VLOOKUP(F3684,辅助信息!A:B,2,FALSE)</f>
        <v>螺纹钢</v>
      </c>
      <c r="F3684" s="113" t="s">
        <v>27</v>
      </c>
      <c r="G3684" s="114">
        <v>21</v>
      </c>
      <c r="H3684" s="127">
        <f>IF(SUMIFS('[1]2025年已发货'!$E:$E,'[1]2025年已发货'!$F:$F,C3684,'[1]2025年已发货'!$C:$C,F3684,'[1]2025年已发货'!$G:$G,I3684,'[1]2025年已发货'!$H:$H,J3684)=0,"未发货",SUMIFS('[1]2025年已发货'!$E:$E,'[1]2025年已发货'!$F:$F,C3684,'[1]2025年已发货'!$C:$C,F3684,'[1]2025年已发货'!$G:$G,I3684,'[1]2025年已发货'!$H:$H,J3684))</f>
        <v>21</v>
      </c>
      <c r="I3684" s="113" t="str">
        <f>VLOOKUP(B3684,辅助信息!E:I,3,FALSE)</f>
        <v>(五冶建设扩建艺体中学二期工程)四川省成都市双流区光荣路成都艺体中学南200米</v>
      </c>
      <c r="J3684" s="113" t="str">
        <f>VLOOKUP(B3684,辅助信息!E:I,4,FALSE)</f>
        <v>谢序强</v>
      </c>
      <c r="K3684" s="113">
        <f>VLOOKUP(J3684,辅助信息!H:I,2,FALSE)</f>
        <v>13458588232</v>
      </c>
      <c r="L3684" s="115"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84">
        <v>45925</v>
      </c>
      <c r="O3684" s="55">
        <f ca="1" t="shared" si="198"/>
        <v>0</v>
      </c>
      <c r="P3684" s="55">
        <f ca="1" t="shared" si="199"/>
        <v>32</v>
      </c>
      <c r="Q3684" s="22" t="str">
        <f>VLOOKUP(B3684,辅助信息!E:M,9,FALSE)</f>
        <v>ZTWM-CDGS-XS-2025-0073-五冶天府-成都怡心湖片区及龙泉驿医院等项目</v>
      </c>
      <c r="R3684" s="22" t="str">
        <f>_xlfn._xlws.FILTER(辅助信息!D:D,辅助信息!E:E=B3684)</f>
        <v>五冶建设扩建艺体中学二期工程</v>
      </c>
    </row>
    <row r="3685" hidden="1" spans="2:18">
      <c r="B3685" s="113" t="s">
        <v>167</v>
      </c>
      <c r="C3685" s="63">
        <v>45923</v>
      </c>
      <c r="D3685" s="113" t="str">
        <f>VLOOKUP(B3685,辅助信息!E:K,7,FALSE)</f>
        <v>JWDDCD2025102100473</v>
      </c>
      <c r="E3685" s="113" t="str">
        <f>VLOOKUP(F3685,辅助信息!A:B,2,FALSE)</f>
        <v>螺纹钢</v>
      </c>
      <c r="F3685" s="113" t="s">
        <v>19</v>
      </c>
      <c r="G3685" s="114">
        <v>27</v>
      </c>
      <c r="H3685" s="127">
        <f>IF(SUMIFS('[1]2025年已发货'!$E:$E,'[1]2025年已发货'!$F:$F,C3685,'[1]2025年已发货'!$C:$C,F3685,'[1]2025年已发货'!$G:$G,I3685,'[1]2025年已发货'!$H:$H,J3685)=0,"未发货",SUMIFS('[1]2025年已发货'!$E:$E,'[1]2025年已发货'!$F:$F,C3685,'[1]2025年已发货'!$C:$C,F3685,'[1]2025年已发货'!$G:$G,I3685,'[1]2025年已发货'!$H:$H,J3685))</f>
        <v>27</v>
      </c>
      <c r="I3685" s="113" t="str">
        <f>VLOOKUP(B3685,辅助信息!E:I,3,FALSE)</f>
        <v>(五冶建设扩建艺体中学二期工程)四川省成都市双流区光荣路成都艺体中学南200米</v>
      </c>
      <c r="J3685" s="113" t="str">
        <f>VLOOKUP(B3685,辅助信息!E:I,4,FALSE)</f>
        <v>谢序强</v>
      </c>
      <c r="K3685" s="113">
        <f>VLOOKUP(J3685,辅助信息!H:I,2,FALSE)</f>
        <v>13458588232</v>
      </c>
      <c r="L3685" s="115"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84">
        <v>45925</v>
      </c>
      <c r="O3685" s="55">
        <f ca="1" t="shared" si="198"/>
        <v>0</v>
      </c>
      <c r="P3685" s="55">
        <f ca="1" t="shared" si="199"/>
        <v>32</v>
      </c>
      <c r="Q3685" s="22" t="str">
        <f>VLOOKUP(B3685,辅助信息!E:M,9,FALSE)</f>
        <v>ZTWM-CDGS-XS-2025-0073-五冶天府-成都怡心湖片区及龙泉驿医院等项目</v>
      </c>
      <c r="R3685" s="22" t="str">
        <f>_xlfn._xlws.FILTER(辅助信息!D:D,辅助信息!E:E=B3685)</f>
        <v>五冶建设扩建艺体中学二期工程</v>
      </c>
    </row>
    <row r="3686" hidden="1" spans="2:18">
      <c r="B3686" s="113" t="s">
        <v>167</v>
      </c>
      <c r="C3686" s="63">
        <v>45923</v>
      </c>
      <c r="D3686" s="113" t="str">
        <f>VLOOKUP(B3686,辅助信息!E:K,7,FALSE)</f>
        <v>JWDDCD2025102100473</v>
      </c>
      <c r="E3686" s="113" t="str">
        <f>VLOOKUP(F3686,辅助信息!A:B,2,FALSE)</f>
        <v>螺纹钢</v>
      </c>
      <c r="F3686" s="113" t="s">
        <v>32</v>
      </c>
      <c r="G3686" s="114">
        <v>27</v>
      </c>
      <c r="H3686" s="127">
        <f>IF(SUMIFS('[1]2025年已发货'!$E:$E,'[1]2025年已发货'!$F:$F,C3686,'[1]2025年已发货'!$C:$C,F3686,'[1]2025年已发货'!$G:$G,I3686,'[1]2025年已发货'!$H:$H,J3686)=0,"未发货",SUMIFS('[1]2025年已发货'!$E:$E,'[1]2025年已发货'!$F:$F,C3686,'[1]2025年已发货'!$C:$C,F3686,'[1]2025年已发货'!$G:$G,I3686,'[1]2025年已发货'!$H:$H,J3686))</f>
        <v>27</v>
      </c>
      <c r="I3686" s="113" t="str">
        <f>VLOOKUP(B3686,辅助信息!E:I,3,FALSE)</f>
        <v>(五冶建设扩建艺体中学二期工程)四川省成都市双流区光荣路成都艺体中学南200米</v>
      </c>
      <c r="J3686" s="113" t="str">
        <f>VLOOKUP(B3686,辅助信息!E:I,4,FALSE)</f>
        <v>谢序强</v>
      </c>
      <c r="K3686" s="113">
        <f>VLOOKUP(J3686,辅助信息!H:I,2,FALSE)</f>
        <v>13458588232</v>
      </c>
      <c r="L3686" s="115"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84">
        <v>45925</v>
      </c>
      <c r="O3686" s="55">
        <f ca="1" t="shared" si="198"/>
        <v>0</v>
      </c>
      <c r="P3686" s="55">
        <f ca="1" t="shared" si="199"/>
        <v>32</v>
      </c>
      <c r="Q3686" s="22" t="str">
        <f>VLOOKUP(B3686,辅助信息!E:M,9,FALSE)</f>
        <v>ZTWM-CDGS-XS-2025-0073-五冶天府-成都怡心湖片区及龙泉驿医院等项目</v>
      </c>
      <c r="R3686" s="22" t="str">
        <f>_xlfn._xlws.FILTER(辅助信息!D:D,辅助信息!E:E=B3686)</f>
        <v>五冶建设扩建艺体中学二期工程</v>
      </c>
    </row>
    <row r="3687" hidden="1" spans="2:18">
      <c r="B3687" s="113" t="s">
        <v>167</v>
      </c>
      <c r="C3687" s="63">
        <v>45923</v>
      </c>
      <c r="D3687" s="113" t="str">
        <f>VLOOKUP(B3687,辅助信息!E:K,7,FALSE)</f>
        <v>JWDDCD2025102100473</v>
      </c>
      <c r="E3687" s="113" t="str">
        <f>VLOOKUP(F3687,辅助信息!A:B,2,FALSE)</f>
        <v>螺纹钢</v>
      </c>
      <c r="F3687" s="113" t="s">
        <v>33</v>
      </c>
      <c r="G3687" s="114">
        <v>6</v>
      </c>
      <c r="H3687" s="127">
        <f>IF(SUMIFS('[1]2025年已发货'!$E:$E,'[1]2025年已发货'!$F:$F,C3687,'[1]2025年已发货'!$C:$C,F3687,'[1]2025年已发货'!$G:$G,I3687,'[1]2025年已发货'!$H:$H,J3687)=0,"未发货",SUMIFS('[1]2025年已发货'!$E:$E,'[1]2025年已发货'!$F:$F,C3687,'[1]2025年已发货'!$C:$C,F3687,'[1]2025年已发货'!$G:$G,I3687,'[1]2025年已发货'!$H:$H,J3687))</f>
        <v>6</v>
      </c>
      <c r="I3687" s="113" t="str">
        <f>VLOOKUP(B3687,辅助信息!E:I,3,FALSE)</f>
        <v>(五冶建设扩建艺体中学二期工程)四川省成都市双流区光荣路成都艺体中学南200米</v>
      </c>
      <c r="J3687" s="113" t="str">
        <f>VLOOKUP(B3687,辅助信息!E:I,4,FALSE)</f>
        <v>谢序强</v>
      </c>
      <c r="K3687" s="113">
        <f>VLOOKUP(J3687,辅助信息!H:I,2,FALSE)</f>
        <v>13458588232</v>
      </c>
      <c r="L3687" s="115"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84">
        <v>45925</v>
      </c>
      <c r="O3687" s="55">
        <f ca="1" t="shared" si="198"/>
        <v>0</v>
      </c>
      <c r="P3687" s="55">
        <f ca="1" t="shared" si="199"/>
        <v>32</v>
      </c>
      <c r="Q3687" s="22" t="str">
        <f>VLOOKUP(B3687,辅助信息!E:M,9,FALSE)</f>
        <v>ZTWM-CDGS-XS-2025-0073-五冶天府-成都怡心湖片区及龙泉驿医院等项目</v>
      </c>
      <c r="R3687" s="22" t="str">
        <f>_xlfn._xlws.FILTER(辅助信息!D:D,辅助信息!E:E=B3687)</f>
        <v>五冶建设扩建艺体中学二期工程</v>
      </c>
    </row>
    <row r="3688" hidden="1" spans="2:18">
      <c r="B3688" s="113" t="s">
        <v>167</v>
      </c>
      <c r="C3688" s="63">
        <v>45923</v>
      </c>
      <c r="D3688" s="113" t="str">
        <f>VLOOKUP(B3688,辅助信息!E:K,7,FALSE)</f>
        <v>JWDDCD2025102100473</v>
      </c>
      <c r="E3688" s="113" t="str">
        <f>VLOOKUP(F3688,辅助信息!A:B,2,FALSE)</f>
        <v>螺纹钢</v>
      </c>
      <c r="F3688" s="113" t="s">
        <v>28</v>
      </c>
      <c r="G3688" s="114">
        <v>12</v>
      </c>
      <c r="H3688" s="127">
        <f>IF(SUMIFS('[1]2025年已发货'!$E:$E,'[1]2025年已发货'!$F:$F,C3688,'[1]2025年已发货'!$C:$C,F3688,'[1]2025年已发货'!$G:$G,I3688,'[1]2025年已发货'!$H:$H,J3688)=0,"未发货",SUMIFS('[1]2025年已发货'!$E:$E,'[1]2025年已发货'!$F:$F,C3688,'[1]2025年已发货'!$C:$C,F3688,'[1]2025年已发货'!$G:$G,I3688,'[1]2025年已发货'!$H:$H,J3688))</f>
        <v>12</v>
      </c>
      <c r="I3688" s="113" t="str">
        <f>VLOOKUP(B3688,辅助信息!E:I,3,FALSE)</f>
        <v>(五冶建设扩建艺体中学二期工程)四川省成都市双流区光荣路成都艺体中学南200米</v>
      </c>
      <c r="J3688" s="113" t="str">
        <f>VLOOKUP(B3688,辅助信息!E:I,4,FALSE)</f>
        <v>谢序强</v>
      </c>
      <c r="K3688" s="113">
        <f>VLOOKUP(J3688,辅助信息!H:I,2,FALSE)</f>
        <v>13458588232</v>
      </c>
      <c r="L3688" s="115"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84">
        <v>45925</v>
      </c>
      <c r="O3688" s="55">
        <f ca="1" t="shared" si="198"/>
        <v>0</v>
      </c>
      <c r="P3688" s="55">
        <f ca="1" t="shared" si="199"/>
        <v>32</v>
      </c>
      <c r="Q3688" s="22" t="str">
        <f>VLOOKUP(B3688,辅助信息!E:M,9,FALSE)</f>
        <v>ZTWM-CDGS-XS-2025-0073-五冶天府-成都怡心湖片区及龙泉驿医院等项目</v>
      </c>
      <c r="R3688" s="22" t="str">
        <f>_xlfn._xlws.FILTER(辅助信息!D:D,辅助信息!E:E=B3688)</f>
        <v>五冶建设扩建艺体中学二期工程</v>
      </c>
    </row>
    <row r="3689" hidden="1" spans="2:18">
      <c r="B3689" s="113" t="s">
        <v>167</v>
      </c>
      <c r="C3689" s="63">
        <v>45923</v>
      </c>
      <c r="D3689" s="113" t="str">
        <f>VLOOKUP(B3689,辅助信息!E:K,7,FALSE)</f>
        <v>JWDDCD2025102100473</v>
      </c>
      <c r="E3689" s="113" t="str">
        <f>VLOOKUP(F3689,辅助信息!A:B,2,FALSE)</f>
        <v>螺纹钢</v>
      </c>
      <c r="F3689" s="113" t="s">
        <v>18</v>
      </c>
      <c r="G3689" s="114">
        <v>12</v>
      </c>
      <c r="H3689" s="127">
        <f>IF(SUMIFS('[1]2025年已发货'!$E:$E,'[1]2025年已发货'!$F:$F,C3689,'[1]2025年已发货'!$C:$C,F3689,'[1]2025年已发货'!$G:$G,I3689,'[1]2025年已发货'!$H:$H,J3689)=0,"未发货",SUMIFS('[1]2025年已发货'!$E:$E,'[1]2025年已发货'!$F:$F,C3689,'[1]2025年已发货'!$C:$C,F3689,'[1]2025年已发货'!$G:$G,I3689,'[1]2025年已发货'!$H:$H,J3689))</f>
        <v>12</v>
      </c>
      <c r="I3689" s="113" t="str">
        <f>VLOOKUP(B3689,辅助信息!E:I,3,FALSE)</f>
        <v>(五冶建设扩建艺体中学二期工程)四川省成都市双流区光荣路成都艺体中学南200米</v>
      </c>
      <c r="J3689" s="113" t="str">
        <f>VLOOKUP(B3689,辅助信息!E:I,4,FALSE)</f>
        <v>谢序强</v>
      </c>
      <c r="K3689" s="113">
        <f>VLOOKUP(J3689,辅助信息!H:I,2,FALSE)</f>
        <v>13458588232</v>
      </c>
      <c r="L3689" s="115"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84">
        <v>45925</v>
      </c>
      <c r="O3689" s="55">
        <f ca="1" t="shared" si="198"/>
        <v>0</v>
      </c>
      <c r="P3689" s="55">
        <f ca="1" t="shared" si="199"/>
        <v>32</v>
      </c>
      <c r="Q3689" s="22" t="str">
        <f>VLOOKUP(B3689,辅助信息!E:M,9,FALSE)</f>
        <v>ZTWM-CDGS-XS-2025-0073-五冶天府-成都怡心湖片区及龙泉驿医院等项目</v>
      </c>
      <c r="R3689" s="22" t="str">
        <f>_xlfn._xlws.FILTER(辅助信息!D:D,辅助信息!E:E=B3689)</f>
        <v>五冶建设扩建艺体中学二期工程</v>
      </c>
    </row>
    <row r="3690" hidden="1" spans="2:18">
      <c r="B3690" s="113" t="s">
        <v>187</v>
      </c>
      <c r="C3690" s="63">
        <v>45923</v>
      </c>
      <c r="D3690" s="113" t="str">
        <f>VLOOKUP(B3690,辅助信息!E:K,7,FALSE)</f>
        <v>JWDDCD2025072900121</v>
      </c>
      <c r="E3690" s="113" t="str">
        <f>VLOOKUP(F3690,辅助信息!A:B,2,FALSE)</f>
        <v>盘螺</v>
      </c>
      <c r="F3690" s="113" t="s">
        <v>40</v>
      </c>
      <c r="G3690" s="114">
        <v>16</v>
      </c>
      <c r="H3690" s="127">
        <f>IF(SUMIFS('[1]2025年已发货'!$E:$E,'[1]2025年已发货'!$F:$F,C3690,'[1]2025年已发货'!$C:$C,F3690,'[1]2025年已发货'!$G:$G,I3690,'[1]2025年已发货'!$H:$H,J3690)=0,"未发货",SUMIFS('[1]2025年已发货'!$E:$E,'[1]2025年已发货'!$F:$F,C3690,'[1]2025年已发货'!$C:$C,F3690,'[1]2025年已发货'!$G:$G,I3690,'[1]2025年已发货'!$H:$H,J3690))</f>
        <v>16</v>
      </c>
      <c r="I3690" s="113" t="str">
        <f>VLOOKUP(B3690,辅助信息!E:I,3,FALSE)</f>
        <v>(乐山市校地共建产教融合基地建设项目一标段)四川省乐山市市中区苏稽镇周山嘴</v>
      </c>
      <c r="J3690" s="113" t="str">
        <f>VLOOKUP(B3690,辅助信息!E:I,4,FALSE)</f>
        <v>范增云</v>
      </c>
      <c r="K3690" s="113">
        <f>VLOOKUP(J3690,辅助信息!H:I,2,FALSE)</f>
        <v>13668153241</v>
      </c>
      <c r="L3690" s="115" t="str">
        <f>VLOOKUP(B3690,辅助信息!E:J,6,FALSE)</f>
        <v>联系实际收货人（范增云13668153241）现场要求炉批号控制2个以下，超2个不给予签收。提前联系到场规格及数量</v>
      </c>
      <c r="M3690" s="84">
        <v>45924</v>
      </c>
      <c r="O3690" s="55">
        <f ca="1" t="shared" si="198"/>
        <v>0</v>
      </c>
      <c r="P3690" s="55">
        <f ca="1" t="shared" si="199"/>
        <v>33</v>
      </c>
      <c r="Q3690" s="22" t="str">
        <f>VLOOKUP(B3690,辅助信息!E:M,9,FALSE)</f>
        <v>ZTWM-CDGS-XS-2025-0125-四川机司-乐山市校地共建产教融合基地配套设施项目施工一标段钢筋采购合同</v>
      </c>
      <c r="R3690" s="22" t="str">
        <f>_xlfn._xlws.FILTER(辅助信息!D:D,辅助信息!E:E=B3690)</f>
        <v>乐山市校地共建产教融合基地建设项目一标段</v>
      </c>
    </row>
    <row r="3691" hidden="1" spans="2:18">
      <c r="B3691" s="113" t="s">
        <v>187</v>
      </c>
      <c r="C3691" s="63">
        <v>45923</v>
      </c>
      <c r="D3691" s="113" t="str">
        <f>VLOOKUP(B3691,辅助信息!E:K,7,FALSE)</f>
        <v>JWDDCD2025072900121</v>
      </c>
      <c r="E3691" s="113" t="str">
        <f>VLOOKUP(F3691,辅助信息!A:B,2,FALSE)</f>
        <v>盘螺</v>
      </c>
      <c r="F3691" s="113" t="s">
        <v>41</v>
      </c>
      <c r="G3691" s="114">
        <v>6</v>
      </c>
      <c r="H3691" s="127">
        <f>IF(SUMIFS('[1]2025年已发货'!$E:$E,'[1]2025年已发货'!$F:$F,C3691,'[1]2025年已发货'!$C:$C,F3691,'[1]2025年已发货'!$G:$G,I3691,'[1]2025年已发货'!$H:$H,J3691)=0,"未发货",SUMIFS('[1]2025年已发货'!$E:$E,'[1]2025年已发货'!$F:$F,C3691,'[1]2025年已发货'!$C:$C,F3691,'[1]2025年已发货'!$G:$G,I3691,'[1]2025年已发货'!$H:$H,J3691))</f>
        <v>6</v>
      </c>
      <c r="I3691" s="113" t="str">
        <f>VLOOKUP(B3691,辅助信息!E:I,3,FALSE)</f>
        <v>(乐山市校地共建产教融合基地建设项目一标段)四川省乐山市市中区苏稽镇周山嘴</v>
      </c>
      <c r="J3691" s="113" t="str">
        <f>VLOOKUP(B3691,辅助信息!E:I,4,FALSE)</f>
        <v>范增云</v>
      </c>
      <c r="K3691" s="113">
        <f>VLOOKUP(J3691,辅助信息!H:I,2,FALSE)</f>
        <v>13668153241</v>
      </c>
      <c r="L3691" s="115" t="str">
        <f>VLOOKUP(B3691,辅助信息!E:J,6,FALSE)</f>
        <v>联系实际收货人（范增云13668153241）现场要求炉批号控制2个以下，超2个不给予签收。提前联系到场规格及数量</v>
      </c>
      <c r="M3691" s="84">
        <v>45924</v>
      </c>
      <c r="O3691" s="55">
        <f ca="1" t="shared" si="198"/>
        <v>0</v>
      </c>
      <c r="P3691" s="55">
        <f ca="1" t="shared" si="199"/>
        <v>33</v>
      </c>
      <c r="Q3691" s="22" t="str">
        <f>VLOOKUP(B3691,辅助信息!E:M,9,FALSE)</f>
        <v>ZTWM-CDGS-XS-2025-0125-四川机司-乐山市校地共建产教融合基地配套设施项目施工一标段钢筋采购合同</v>
      </c>
      <c r="R3691" s="22" t="str">
        <f>_xlfn._xlws.FILTER(辅助信息!D:D,辅助信息!E:E=B3691)</f>
        <v>乐山市校地共建产教融合基地建设项目一标段</v>
      </c>
    </row>
    <row r="3692" hidden="1" spans="2:18">
      <c r="B3692" s="113" t="s">
        <v>187</v>
      </c>
      <c r="C3692" s="63">
        <v>45923</v>
      </c>
      <c r="D3692" s="113" t="str">
        <f>VLOOKUP(B3692,辅助信息!E:K,7,FALSE)</f>
        <v>JWDDCD2025072900121</v>
      </c>
      <c r="E3692" s="113" t="str">
        <f>VLOOKUP(F3692,辅助信息!A:B,2,FALSE)</f>
        <v>螺纹钢</v>
      </c>
      <c r="F3692" s="113" t="s">
        <v>66</v>
      </c>
      <c r="G3692" s="114">
        <v>8</v>
      </c>
      <c r="H3692" s="127">
        <f>IF(SUMIFS('[1]2025年已发货'!$E:$E,'[1]2025年已发货'!$F:$F,C3692,'[1]2025年已发货'!$C:$C,F3692,'[1]2025年已发货'!$G:$G,I3692,'[1]2025年已发货'!$H:$H,J3692)=0,"未发货",SUMIFS('[1]2025年已发货'!$E:$E,'[1]2025年已发货'!$F:$F,C3692,'[1]2025年已发货'!$C:$C,F3692,'[1]2025年已发货'!$G:$G,I3692,'[1]2025年已发货'!$H:$H,J3692))</f>
        <v>8</v>
      </c>
      <c r="I3692" s="113" t="str">
        <f>VLOOKUP(B3692,辅助信息!E:I,3,FALSE)</f>
        <v>(乐山市校地共建产教融合基地建设项目一标段)四川省乐山市市中区苏稽镇周山嘴</v>
      </c>
      <c r="J3692" s="113" t="str">
        <f>VLOOKUP(B3692,辅助信息!E:I,4,FALSE)</f>
        <v>范增云</v>
      </c>
      <c r="K3692" s="113">
        <f>VLOOKUP(J3692,辅助信息!H:I,2,FALSE)</f>
        <v>13668153241</v>
      </c>
      <c r="L3692" s="115" t="str">
        <f>VLOOKUP(B3692,辅助信息!E:J,6,FALSE)</f>
        <v>联系实际收货人（范增云13668153241）现场要求炉批号控制2个以下，超2个不给予签收。提前联系到场规格及数量</v>
      </c>
      <c r="M3692" s="84">
        <v>45924</v>
      </c>
      <c r="O3692" s="55">
        <f ca="1" t="shared" si="198"/>
        <v>0</v>
      </c>
      <c r="P3692" s="55">
        <f ca="1" t="shared" si="199"/>
        <v>33</v>
      </c>
      <c r="Q3692" s="22" t="str">
        <f>VLOOKUP(B3692,辅助信息!E:M,9,FALSE)</f>
        <v>ZTWM-CDGS-XS-2025-0125-四川机司-乐山市校地共建产教融合基地配套设施项目施工一标段钢筋采购合同</v>
      </c>
      <c r="R3692" s="22" t="str">
        <f>_xlfn._xlws.FILTER(辅助信息!D:D,辅助信息!E:E=B3692)</f>
        <v>乐山市校地共建产教融合基地建设项目一标段</v>
      </c>
    </row>
    <row r="3693" hidden="1" spans="2:18">
      <c r="B3693" s="113" t="s">
        <v>187</v>
      </c>
      <c r="C3693" s="63">
        <v>45923</v>
      </c>
      <c r="D3693" s="113" t="str">
        <f>VLOOKUP(B3693,辅助信息!E:K,7,FALSE)</f>
        <v>JWDDCD2025072900121</v>
      </c>
      <c r="E3693" s="113" t="str">
        <f>VLOOKUP(F3693,辅助信息!A:B,2,FALSE)</f>
        <v>螺纹钢</v>
      </c>
      <c r="F3693" s="113" t="s">
        <v>82</v>
      </c>
      <c r="G3693" s="114">
        <v>5</v>
      </c>
      <c r="H3693" s="127">
        <f>IF(SUMIFS('[1]2025年已发货'!$E:$E,'[1]2025年已发货'!$F:$F,C3693,'[1]2025年已发货'!$C:$C,F3693,'[1]2025年已发货'!$G:$G,I3693,'[1]2025年已发货'!$H:$H,J3693)=0,"未发货",SUMIFS('[1]2025年已发货'!$E:$E,'[1]2025年已发货'!$F:$F,C3693,'[1]2025年已发货'!$C:$C,F3693,'[1]2025年已发货'!$G:$G,I3693,'[1]2025年已发货'!$H:$H,J3693))</f>
        <v>5</v>
      </c>
      <c r="I3693" s="113" t="str">
        <f>VLOOKUP(B3693,辅助信息!E:I,3,FALSE)</f>
        <v>(乐山市校地共建产教融合基地建设项目一标段)四川省乐山市市中区苏稽镇周山嘴</v>
      </c>
      <c r="J3693" s="113" t="str">
        <f>VLOOKUP(B3693,辅助信息!E:I,4,FALSE)</f>
        <v>范增云</v>
      </c>
      <c r="K3693" s="113">
        <f>VLOOKUP(J3693,辅助信息!H:I,2,FALSE)</f>
        <v>13668153241</v>
      </c>
      <c r="L3693" s="115" t="str">
        <f>VLOOKUP(B3693,辅助信息!E:J,6,FALSE)</f>
        <v>联系实际收货人（范增云13668153241）现场要求炉批号控制2个以下，超2个不给予签收。提前联系到场规格及数量</v>
      </c>
      <c r="M3693" s="84">
        <v>45924</v>
      </c>
      <c r="O3693" s="55">
        <f ca="1" t="shared" si="198"/>
        <v>0</v>
      </c>
      <c r="P3693" s="55">
        <f ca="1" t="shared" si="199"/>
        <v>33</v>
      </c>
      <c r="Q3693" s="22" t="str">
        <f>VLOOKUP(B3693,辅助信息!E:M,9,FALSE)</f>
        <v>ZTWM-CDGS-XS-2025-0125-四川机司-乐山市校地共建产教融合基地配套设施项目施工一标段钢筋采购合同</v>
      </c>
      <c r="R3693" s="22" t="str">
        <f>_xlfn._xlws.FILTER(辅助信息!D:D,辅助信息!E:E=B3693)</f>
        <v>乐山市校地共建产教融合基地建设项目一标段</v>
      </c>
    </row>
    <row r="3694" hidden="1" spans="2:18">
      <c r="B3694" s="113" t="s">
        <v>187</v>
      </c>
      <c r="C3694" s="63">
        <v>45923</v>
      </c>
      <c r="D3694" s="113" t="str">
        <f>VLOOKUP(B3694,辅助信息!E:K,7,FALSE)</f>
        <v>JWDDCD2025072900121</v>
      </c>
      <c r="E3694" s="113" t="str">
        <f>VLOOKUP(F3694,辅助信息!A:B,2,FALSE)</f>
        <v>螺纹钢</v>
      </c>
      <c r="F3694" s="113" t="s">
        <v>22</v>
      </c>
      <c r="G3694" s="114">
        <v>10</v>
      </c>
      <c r="H3694" s="127">
        <f>IF(SUMIFS('[1]2025年已发货'!$E:$E,'[1]2025年已发货'!$F:$F,C3694,'[1]2025年已发货'!$C:$C,F3694,'[1]2025年已发货'!$G:$G,I3694,'[1]2025年已发货'!$H:$H,J3694)=0,"未发货",SUMIFS('[1]2025年已发货'!$E:$E,'[1]2025年已发货'!$F:$F,C3694,'[1]2025年已发货'!$C:$C,F3694,'[1]2025年已发货'!$G:$G,I3694,'[1]2025年已发货'!$H:$H,J3694))</f>
        <v>10</v>
      </c>
      <c r="I3694" s="113" t="str">
        <f>VLOOKUP(B3694,辅助信息!E:I,3,FALSE)</f>
        <v>(乐山市校地共建产教融合基地建设项目一标段)四川省乐山市市中区苏稽镇周山嘴</v>
      </c>
      <c r="J3694" s="113" t="str">
        <f>VLOOKUP(B3694,辅助信息!E:I,4,FALSE)</f>
        <v>范增云</v>
      </c>
      <c r="K3694" s="113">
        <f>VLOOKUP(J3694,辅助信息!H:I,2,FALSE)</f>
        <v>13668153241</v>
      </c>
      <c r="L3694" s="115" t="str">
        <f>VLOOKUP(B3694,辅助信息!E:J,6,FALSE)</f>
        <v>联系实际收货人（范增云13668153241）现场要求炉批号控制2个以下，超2个不给予签收。提前联系到场规格及数量</v>
      </c>
      <c r="M3694" s="84">
        <v>45924</v>
      </c>
      <c r="O3694" s="55">
        <f ca="1" t="shared" si="198"/>
        <v>0</v>
      </c>
      <c r="P3694" s="55">
        <f ca="1" t="shared" si="199"/>
        <v>33</v>
      </c>
      <c r="Q3694" s="22" t="str">
        <f>VLOOKUP(B3694,辅助信息!E:M,9,FALSE)</f>
        <v>ZTWM-CDGS-XS-2025-0125-四川机司-乐山市校地共建产教融合基地配套设施项目施工一标段钢筋采购合同</v>
      </c>
      <c r="R3694" s="22" t="str">
        <f>_xlfn._xlws.FILTER(辅助信息!D:D,辅助信息!E:E=B3694)</f>
        <v>乐山市校地共建产教融合基地建设项目一标段</v>
      </c>
    </row>
    <row r="3695" hidden="1" spans="2:18">
      <c r="B3695" s="113" t="s">
        <v>187</v>
      </c>
      <c r="C3695" s="63">
        <v>45923</v>
      </c>
      <c r="D3695" s="113" t="str">
        <f>VLOOKUP(B3695,辅助信息!E:K,7,FALSE)</f>
        <v>JWDDCD2025072900121</v>
      </c>
      <c r="E3695" s="113" t="str">
        <f>VLOOKUP(F3695,辅助信息!A:B,2,FALSE)</f>
        <v>螺纹钢</v>
      </c>
      <c r="F3695" s="113" t="s">
        <v>141</v>
      </c>
      <c r="G3695" s="114">
        <v>5</v>
      </c>
      <c r="H3695" s="127">
        <f>IF(SUMIFS('[1]2025年已发货'!$E:$E,'[1]2025年已发货'!$F:$F,C3695,'[1]2025年已发货'!$C:$C,F3695,'[1]2025年已发货'!$G:$G,I3695,'[1]2025年已发货'!$H:$H,J3695)=0,"未发货",SUMIFS('[1]2025年已发货'!$E:$E,'[1]2025年已发货'!$F:$F,C3695,'[1]2025年已发货'!$C:$C,F3695,'[1]2025年已发货'!$G:$G,I3695,'[1]2025年已发货'!$H:$H,J3695))</f>
        <v>6</v>
      </c>
      <c r="I3695" s="113" t="str">
        <f>VLOOKUP(B3695,辅助信息!E:I,3,FALSE)</f>
        <v>(乐山市校地共建产教融合基地建设项目一标段)四川省乐山市市中区苏稽镇周山嘴</v>
      </c>
      <c r="J3695" s="113" t="str">
        <f>VLOOKUP(B3695,辅助信息!E:I,4,FALSE)</f>
        <v>范增云</v>
      </c>
      <c r="K3695" s="113">
        <f>VLOOKUP(J3695,辅助信息!H:I,2,FALSE)</f>
        <v>13668153241</v>
      </c>
      <c r="L3695" s="115" t="str">
        <f>VLOOKUP(B3695,辅助信息!E:J,6,FALSE)</f>
        <v>联系实际收货人（范增云13668153241）现场要求炉批号控制2个以下，超2个不给予签收。提前联系到场规格及数量</v>
      </c>
      <c r="M3695" s="84">
        <v>45924</v>
      </c>
      <c r="O3695" s="55">
        <f ca="1" t="shared" si="198"/>
        <v>0</v>
      </c>
      <c r="P3695" s="55">
        <f ca="1" t="shared" si="199"/>
        <v>33</v>
      </c>
      <c r="Q3695" s="22" t="str">
        <f>VLOOKUP(B3695,辅助信息!E:M,9,FALSE)</f>
        <v>ZTWM-CDGS-XS-2025-0125-四川机司-乐山市校地共建产教融合基地配套设施项目施工一标段钢筋采购合同</v>
      </c>
      <c r="R3695" s="22" t="str">
        <f>_xlfn._xlws.FILTER(辅助信息!D:D,辅助信息!E:E=B3695)</f>
        <v>乐山市校地共建产教融合基地建设项目一标段</v>
      </c>
    </row>
    <row r="3696" hidden="1" spans="2:18">
      <c r="B3696" s="113" t="s">
        <v>187</v>
      </c>
      <c r="C3696" s="63">
        <v>45923</v>
      </c>
      <c r="D3696" s="113" t="str">
        <f>VLOOKUP(B3696,辅助信息!E:K,7,FALSE)</f>
        <v>JWDDCD2025072900121</v>
      </c>
      <c r="E3696" s="113" t="str">
        <f>VLOOKUP(F3696,辅助信息!A:B,2,FALSE)</f>
        <v>螺纹钢</v>
      </c>
      <c r="F3696" s="113" t="s">
        <v>142</v>
      </c>
      <c r="G3696" s="114">
        <v>12</v>
      </c>
      <c r="H3696" s="127">
        <f>IF(SUMIFS('[1]2025年已发货'!$E:$E,'[1]2025年已发货'!$F:$F,C3696,'[1]2025年已发货'!$C:$C,F3696,'[1]2025年已发货'!$G:$G,I3696,'[1]2025年已发货'!$H:$H,J3696)=0,"未发货",SUMIFS('[1]2025年已发货'!$E:$E,'[1]2025年已发货'!$F:$F,C3696,'[1]2025年已发货'!$C:$C,F3696,'[1]2025年已发货'!$G:$G,I3696,'[1]2025年已发货'!$H:$H,J3696))</f>
        <v>11</v>
      </c>
      <c r="I3696" s="113" t="str">
        <f>VLOOKUP(B3696,辅助信息!E:I,3,FALSE)</f>
        <v>(乐山市校地共建产教融合基地建设项目一标段)四川省乐山市市中区苏稽镇周山嘴</v>
      </c>
      <c r="J3696" s="113" t="str">
        <f>VLOOKUP(B3696,辅助信息!E:I,4,FALSE)</f>
        <v>范增云</v>
      </c>
      <c r="K3696" s="113">
        <f>VLOOKUP(J3696,辅助信息!H:I,2,FALSE)</f>
        <v>13668153241</v>
      </c>
      <c r="L3696" s="115" t="str">
        <f>VLOOKUP(B3696,辅助信息!E:J,6,FALSE)</f>
        <v>联系实际收货人（范增云13668153241）现场要求炉批号控制2个以下，超2个不给予签收。提前联系到场规格及数量</v>
      </c>
      <c r="M3696" s="84">
        <v>45924</v>
      </c>
      <c r="O3696" s="55">
        <f ca="1" t="shared" si="198"/>
        <v>0</v>
      </c>
      <c r="P3696" s="55">
        <f ca="1" t="shared" si="199"/>
        <v>33</v>
      </c>
      <c r="Q3696" s="22" t="str">
        <f>VLOOKUP(B3696,辅助信息!E:M,9,FALSE)</f>
        <v>ZTWM-CDGS-XS-2025-0125-四川机司-乐山市校地共建产教融合基地配套设施项目施工一标段钢筋采购合同</v>
      </c>
      <c r="R3696" s="22" t="str">
        <f>_xlfn._xlws.FILTER(辅助信息!D:D,辅助信息!E:E=B3696)</f>
        <v>乐山市校地共建产教融合基地建设项目一标段</v>
      </c>
    </row>
    <row r="3697" hidden="1" spans="2:18">
      <c r="B3697" s="113" t="s">
        <v>187</v>
      </c>
      <c r="C3697" s="63">
        <v>45923</v>
      </c>
      <c r="D3697" s="113" t="str">
        <f>VLOOKUP(B3697,辅助信息!E:K,7,FALSE)</f>
        <v>JWDDCD2025072900121</v>
      </c>
      <c r="E3697" s="113" t="str">
        <f>VLOOKUP(F3697,辅助信息!A:B,2,FALSE)</f>
        <v>螺纹钢</v>
      </c>
      <c r="F3697" s="113" t="s">
        <v>200</v>
      </c>
      <c r="G3697" s="114">
        <v>8</v>
      </c>
      <c r="H3697" s="127">
        <f>IF(SUMIFS('[1]2025年已发货'!$E:$E,'[1]2025年已发货'!$F:$F,C3697,'[1]2025年已发货'!$C:$C,F3697,'[1]2025年已发货'!$G:$G,I3697,'[1]2025年已发货'!$H:$H,J3697)=0,"未发货",SUMIFS('[1]2025年已发货'!$E:$E,'[1]2025年已发货'!$F:$F,C3697,'[1]2025年已发货'!$C:$C,F3697,'[1]2025年已发货'!$G:$G,I3697,'[1]2025年已发货'!$H:$H,J3697))</f>
        <v>8</v>
      </c>
      <c r="I3697" s="113" t="str">
        <f>VLOOKUP(B3697,辅助信息!E:I,3,FALSE)</f>
        <v>(乐山市校地共建产教融合基地建设项目一标段)四川省乐山市市中区苏稽镇周山嘴</v>
      </c>
      <c r="J3697" s="113" t="str">
        <f>VLOOKUP(B3697,辅助信息!E:I,4,FALSE)</f>
        <v>范增云</v>
      </c>
      <c r="K3697" s="113">
        <f>VLOOKUP(J3697,辅助信息!H:I,2,FALSE)</f>
        <v>13668153241</v>
      </c>
      <c r="L3697" s="115" t="str">
        <f>VLOOKUP(B3697,辅助信息!E:J,6,FALSE)</f>
        <v>联系实际收货人（范增云13668153241）现场要求炉批号控制2个以下，超2个不给予签收。提前联系到场规格及数量</v>
      </c>
      <c r="M3697" s="84">
        <v>45924</v>
      </c>
      <c r="O3697" s="55">
        <f ca="1" t="shared" si="198"/>
        <v>0</v>
      </c>
      <c r="P3697" s="55">
        <f ca="1" t="shared" si="199"/>
        <v>33</v>
      </c>
      <c r="Q3697" s="22" t="str">
        <f>VLOOKUP(B3697,辅助信息!E:M,9,FALSE)</f>
        <v>ZTWM-CDGS-XS-2025-0125-四川机司-乐山市校地共建产教融合基地配套设施项目施工一标段钢筋采购合同</v>
      </c>
      <c r="R3697" s="22" t="str">
        <f>_xlfn._xlws.FILTER(辅助信息!D:D,辅助信息!E:E=B3697)</f>
        <v>乐山市校地共建产教融合基地建设项目一标段</v>
      </c>
    </row>
    <row r="3698" hidden="1" spans="2:18">
      <c r="B3698" s="33" t="s">
        <v>215</v>
      </c>
      <c r="C3698" s="63">
        <v>45923</v>
      </c>
      <c r="D3698" s="33" t="str">
        <f>VLOOKUP(B3698,辅助信息!E:K,7,FALSE)</f>
        <v>JWDDCD2025102100486</v>
      </c>
      <c r="E3698" s="33" t="str">
        <f>VLOOKUP(F3698,辅助信息!A:B,2,FALSE)</f>
        <v>螺纹钢</v>
      </c>
      <c r="F3698" s="33" t="s">
        <v>19</v>
      </c>
      <c r="G3698" s="29">
        <v>30</v>
      </c>
      <c r="H3698" s="127">
        <f>IF(SUMIFS('[1]2025年已发货'!$E:$E,'[1]2025年已发货'!$F:$F,C3698,'[1]2025年已发货'!$C:$C,F3698,'[1]2025年已发货'!$G:$G,I3698,'[1]2025年已发货'!$H:$H,J3698)=0,"未发货",SUMIFS('[1]2025年已发货'!$E:$E,'[1]2025年已发货'!$F:$F,C3698,'[1]2025年已发货'!$C:$C,F3698,'[1]2025年已发货'!$G:$G,I3698,'[1]2025年已发货'!$H:$H,J3698))</f>
        <v>30</v>
      </c>
      <c r="I3698" s="33" t="str">
        <f>VLOOKUP(B3698,辅助信息!E:I,3,FALSE)</f>
        <v>(五冶建设龙泉驿一医院配套建设工程)成都市龙泉驿区董朗路69号龙泉驿一医院5号门</v>
      </c>
      <c r="J3698" s="33" t="str">
        <f>VLOOKUP(B3698,辅助信息!E:I,4,FALSE)</f>
        <v>孙敏</v>
      </c>
      <c r="K3698" s="33">
        <f>VLOOKUP(J3698,辅助信息!H:I,2,FALSE)</f>
        <v>13617695006</v>
      </c>
      <c r="L3698" s="102" t="str">
        <f>VLOOKUP(B3698,辅助信息!E:J,6,FALSE)</f>
        <v>联系实际收货人（孙敏13617695006）五冶建设送货单,6份材质书,锈货不收，装货前联系收货人核实到场规格,没提前告知进场规格现场不给予接收</v>
      </c>
      <c r="M3698" s="84">
        <v>45924</v>
      </c>
      <c r="O3698" s="55">
        <f ca="1" t="shared" si="198"/>
        <v>0</v>
      </c>
      <c r="P3698" s="55">
        <f ca="1" t="shared" si="199"/>
        <v>33</v>
      </c>
      <c r="Q3698" s="22" t="str">
        <f>VLOOKUP(B3698,辅助信息!E:M,9,FALSE)</f>
        <v>ZTWM-CDGS-XS-2025-0073-五冶天府-成都怡心湖片区及龙泉驿医院等项目</v>
      </c>
      <c r="R3698" s="22" t="str">
        <f>_xlfn._xlws.FILTER(辅助信息!D:D,辅助信息!E:E=B3698)</f>
        <v>五冶建设龙泉驿一医院配套建设工程</v>
      </c>
    </row>
    <row r="3699" hidden="1" spans="2:18">
      <c r="B3699" s="33" t="s">
        <v>215</v>
      </c>
      <c r="C3699" s="63">
        <v>45923</v>
      </c>
      <c r="D3699" s="33" t="str">
        <f>VLOOKUP(B3699,辅助信息!E:K,7,FALSE)</f>
        <v>JWDDCD2025102100486</v>
      </c>
      <c r="E3699" s="33" t="str">
        <f>VLOOKUP(F3699,辅助信息!A:B,2,FALSE)</f>
        <v>螺纹钢</v>
      </c>
      <c r="F3699" s="33" t="s">
        <v>28</v>
      </c>
      <c r="G3699" s="29">
        <v>16</v>
      </c>
      <c r="H3699" s="127">
        <f>IF(SUMIFS('[1]2025年已发货'!$E:$E,'[1]2025年已发货'!$F:$F,C3699,'[1]2025年已发货'!$C:$C,F3699,'[1]2025年已发货'!$G:$G,I3699,'[1]2025年已发货'!$H:$H,J3699)=0,"未发货",SUMIFS('[1]2025年已发货'!$E:$E,'[1]2025年已发货'!$F:$F,C3699,'[1]2025年已发货'!$C:$C,F3699,'[1]2025年已发货'!$G:$G,I3699,'[1]2025年已发货'!$H:$H,J3699))</f>
        <v>16</v>
      </c>
      <c r="I3699" s="33" t="str">
        <f>VLOOKUP(B3699,辅助信息!E:I,3,FALSE)</f>
        <v>(五冶建设龙泉驿一医院配套建设工程)成都市龙泉驿区董朗路69号龙泉驿一医院5号门</v>
      </c>
      <c r="J3699" s="33" t="str">
        <f>VLOOKUP(B3699,辅助信息!E:I,4,FALSE)</f>
        <v>孙敏</v>
      </c>
      <c r="K3699" s="33">
        <f>VLOOKUP(J3699,辅助信息!H:I,2,FALSE)</f>
        <v>13617695006</v>
      </c>
      <c r="L3699" s="102" t="str">
        <f>VLOOKUP(B3699,辅助信息!E:J,6,FALSE)</f>
        <v>联系实际收货人（孙敏13617695006）五冶建设送货单,6份材质书,锈货不收，装货前联系收货人核实到场规格,没提前告知进场规格现场不给予接收</v>
      </c>
      <c r="M3699" s="84">
        <v>45924</v>
      </c>
      <c r="O3699" s="55">
        <f ca="1" t="shared" si="198"/>
        <v>0</v>
      </c>
      <c r="P3699" s="55">
        <f ca="1" t="shared" si="199"/>
        <v>33</v>
      </c>
      <c r="Q3699" s="22" t="str">
        <f>VLOOKUP(B3699,辅助信息!E:M,9,FALSE)</f>
        <v>ZTWM-CDGS-XS-2025-0073-五冶天府-成都怡心湖片区及龙泉驿医院等项目</v>
      </c>
      <c r="R3699" s="22" t="str">
        <f>_xlfn._xlws.FILTER(辅助信息!D:D,辅助信息!E:E=B3699)</f>
        <v>五冶建设龙泉驿一医院配套建设工程</v>
      </c>
    </row>
    <row r="3700" hidden="1" spans="2:18">
      <c r="B3700" s="33" t="s">
        <v>215</v>
      </c>
      <c r="C3700" s="63">
        <v>45923</v>
      </c>
      <c r="D3700" s="33" t="str">
        <f>VLOOKUP(B3700,辅助信息!E:K,7,FALSE)</f>
        <v>JWDDCD2025102100486</v>
      </c>
      <c r="E3700" s="33" t="str">
        <f>VLOOKUP(F3700,辅助信息!A:B,2,FALSE)</f>
        <v>螺纹钢</v>
      </c>
      <c r="F3700" s="33" t="s">
        <v>18</v>
      </c>
      <c r="G3700" s="29">
        <v>18</v>
      </c>
      <c r="H3700" s="127">
        <f>IF(SUMIFS('[1]2025年已发货'!$E:$E,'[1]2025年已发货'!$F:$F,C3700,'[1]2025年已发货'!$C:$C,F3700,'[1]2025年已发货'!$G:$G,I3700,'[1]2025年已发货'!$H:$H,J3700)=0,"未发货",SUMIFS('[1]2025年已发货'!$E:$E,'[1]2025年已发货'!$F:$F,C3700,'[1]2025年已发货'!$C:$C,F3700,'[1]2025年已发货'!$G:$G,I3700,'[1]2025年已发货'!$H:$H,J3700))</f>
        <v>18</v>
      </c>
      <c r="I3700" s="33" t="str">
        <f>VLOOKUP(B3700,辅助信息!E:I,3,FALSE)</f>
        <v>(五冶建设龙泉驿一医院配套建设工程)成都市龙泉驿区董朗路69号龙泉驿一医院5号门</v>
      </c>
      <c r="J3700" s="33" t="str">
        <f>VLOOKUP(B3700,辅助信息!E:I,4,FALSE)</f>
        <v>孙敏</v>
      </c>
      <c r="K3700" s="33">
        <f>VLOOKUP(J3700,辅助信息!H:I,2,FALSE)</f>
        <v>13617695006</v>
      </c>
      <c r="L3700" s="102" t="str">
        <f>VLOOKUP(B3700,辅助信息!E:J,6,FALSE)</f>
        <v>联系实际收货人（孙敏13617695006）五冶建设送货单,6份材质书,锈货不收，装货前联系收货人核实到场规格,没提前告知进场规格现场不给予接收</v>
      </c>
      <c r="M3700" s="84">
        <v>45924</v>
      </c>
      <c r="O3700" s="55">
        <f ca="1" t="shared" si="198"/>
        <v>0</v>
      </c>
      <c r="P3700" s="55">
        <f ca="1" t="shared" si="199"/>
        <v>33</v>
      </c>
      <c r="Q3700" s="22" t="str">
        <f>VLOOKUP(B3700,辅助信息!E:M,9,FALSE)</f>
        <v>ZTWM-CDGS-XS-2025-0073-五冶天府-成都怡心湖片区及龙泉驿医院等项目</v>
      </c>
      <c r="R3700" s="22" t="str">
        <f>_xlfn._xlws.FILTER(辅助信息!D:D,辅助信息!E:E=B3700)</f>
        <v>五冶建设龙泉驿一医院配套建设工程</v>
      </c>
    </row>
    <row r="3701" hidden="1" spans="2:18">
      <c r="B3701" s="33" t="s">
        <v>215</v>
      </c>
      <c r="C3701" s="63">
        <v>45923</v>
      </c>
      <c r="D3701" s="33" t="str">
        <f>VLOOKUP(B3701,辅助信息!E:K,7,FALSE)</f>
        <v>JWDDCD2025102100486</v>
      </c>
      <c r="E3701" s="33" t="str">
        <f>VLOOKUP(F3701,辅助信息!A:B,2,FALSE)</f>
        <v>螺纹钢</v>
      </c>
      <c r="F3701" s="33" t="s">
        <v>58</v>
      </c>
      <c r="G3701" s="29">
        <v>3</v>
      </c>
      <c r="H3701" s="127">
        <f>IF(SUMIFS('[1]2025年已发货'!$E:$E,'[1]2025年已发货'!$F:$F,C3701,'[1]2025年已发货'!$C:$C,F3701,'[1]2025年已发货'!$G:$G,I3701,'[1]2025年已发货'!$H:$H,J3701)=0,"未发货",SUMIFS('[1]2025年已发货'!$E:$E,'[1]2025年已发货'!$F:$F,C3701,'[1]2025年已发货'!$C:$C,F3701,'[1]2025年已发货'!$G:$G,I3701,'[1]2025年已发货'!$H:$H,J3701))</f>
        <v>3</v>
      </c>
      <c r="I3701" s="33" t="str">
        <f>VLOOKUP(B3701,辅助信息!E:I,3,FALSE)</f>
        <v>(五冶建设龙泉驿一医院配套建设工程)成都市龙泉驿区董朗路69号龙泉驿一医院5号门</v>
      </c>
      <c r="J3701" s="33" t="str">
        <f>VLOOKUP(B3701,辅助信息!E:I,4,FALSE)</f>
        <v>孙敏</v>
      </c>
      <c r="K3701" s="33">
        <f>VLOOKUP(J3701,辅助信息!H:I,2,FALSE)</f>
        <v>13617695006</v>
      </c>
      <c r="L3701" s="102" t="str">
        <f>VLOOKUP(B3701,辅助信息!E:J,6,FALSE)</f>
        <v>联系实际收货人（孙敏13617695006）五冶建设送货单,6份材质书,锈货不收，装货前联系收货人核实到场规格,没提前告知进场规格现场不给予接收</v>
      </c>
      <c r="M3701" s="84">
        <v>45924</v>
      </c>
      <c r="O3701" s="55">
        <f ca="1" t="shared" si="198"/>
        <v>0</v>
      </c>
      <c r="P3701" s="55">
        <f ca="1" t="shared" si="199"/>
        <v>33</v>
      </c>
      <c r="Q3701" s="22" t="str">
        <f>VLOOKUP(B3701,辅助信息!E:M,9,FALSE)</f>
        <v>ZTWM-CDGS-XS-2025-0073-五冶天府-成都怡心湖片区及龙泉驿医院等项目</v>
      </c>
      <c r="R3701" s="22" t="str">
        <f>_xlfn._xlws.FILTER(辅助信息!D:D,辅助信息!E:E=B3701)</f>
        <v>五冶建设龙泉驿一医院配套建设工程</v>
      </c>
    </row>
    <row r="3702" hidden="1" spans="2:18">
      <c r="B3702" s="33" t="s">
        <v>215</v>
      </c>
      <c r="C3702" s="63">
        <v>45923</v>
      </c>
      <c r="D3702" s="33" t="str">
        <f>VLOOKUP(B3702,辅助信息!E:K,7,FALSE)</f>
        <v>JWDDCD2025102100486</v>
      </c>
      <c r="E3702" s="33" t="str">
        <f>VLOOKUP(F3702,辅助信息!A:B,2,FALSE)</f>
        <v>螺纹钢</v>
      </c>
      <c r="F3702" s="33" t="s">
        <v>46</v>
      </c>
      <c r="G3702" s="29">
        <v>3</v>
      </c>
      <c r="H3702" s="127">
        <f>IF(SUMIFS('[1]2025年已发货'!$E:$E,'[1]2025年已发货'!$F:$F,C3702,'[1]2025年已发货'!$C:$C,F3702,'[1]2025年已发货'!$G:$G,I3702,'[1]2025年已发货'!$H:$H,J3702)=0,"未发货",SUMIFS('[1]2025年已发货'!$E:$E,'[1]2025年已发货'!$F:$F,C3702,'[1]2025年已发货'!$C:$C,F3702,'[1]2025年已发货'!$G:$G,I3702,'[1]2025年已发货'!$H:$H,J3702))</f>
        <v>3</v>
      </c>
      <c r="I3702" s="33" t="str">
        <f>VLOOKUP(B3702,辅助信息!E:I,3,FALSE)</f>
        <v>(五冶建设龙泉驿一医院配套建设工程)成都市龙泉驿区董朗路69号龙泉驿一医院5号门</v>
      </c>
      <c r="J3702" s="33" t="str">
        <f>VLOOKUP(B3702,辅助信息!E:I,4,FALSE)</f>
        <v>孙敏</v>
      </c>
      <c r="K3702" s="33">
        <f>VLOOKUP(J3702,辅助信息!H:I,2,FALSE)</f>
        <v>13617695006</v>
      </c>
      <c r="L3702" s="102" t="str">
        <f>VLOOKUP(B3702,辅助信息!E:J,6,FALSE)</f>
        <v>联系实际收货人（孙敏13617695006）五冶建设送货单,6份材质书,锈货不收，装货前联系收货人核实到场规格,没提前告知进场规格现场不给予接收</v>
      </c>
      <c r="M3702" s="84">
        <v>45924</v>
      </c>
      <c r="O3702" s="55">
        <f ca="1" t="shared" si="198"/>
        <v>0</v>
      </c>
      <c r="P3702" s="55">
        <f ca="1" t="shared" si="199"/>
        <v>33</v>
      </c>
      <c r="Q3702" s="22" t="str">
        <f>VLOOKUP(B3702,辅助信息!E:M,9,FALSE)</f>
        <v>ZTWM-CDGS-XS-2025-0073-五冶天府-成都怡心湖片区及龙泉驿医院等项目</v>
      </c>
      <c r="R3702" s="22" t="str">
        <f>_xlfn._xlws.FILTER(辅助信息!D:D,辅助信息!E:E=B3702)</f>
        <v>五冶建设龙泉驿一医院配套建设工程</v>
      </c>
    </row>
    <row r="3703" hidden="1" spans="2:18">
      <c r="B3703" s="33" t="s">
        <v>196</v>
      </c>
      <c r="C3703" s="63">
        <v>45923</v>
      </c>
      <c r="D3703" s="33" t="str">
        <f>VLOOKUP(B3703,辅助信息!E:K,7,FALSE)</f>
        <v>JWDDCD2025102100476</v>
      </c>
      <c r="E3703" s="33" t="str">
        <f>VLOOKUP(F3703,辅助信息!A:B,2,FALSE)</f>
        <v>盘螺</v>
      </c>
      <c r="F3703" s="33" t="s">
        <v>40</v>
      </c>
      <c r="G3703" s="29">
        <v>2.5</v>
      </c>
      <c r="H3703" s="127">
        <f>IF(SUMIFS('[1]2025年已发货'!$E:$E,'[1]2025年已发货'!$F:$F,C3703,'[1]2025年已发货'!$C:$C,F3703,'[1]2025年已发货'!$G:$G,I3703,'[1]2025年已发货'!$H:$H,J3703)=0,"未发货",SUMIFS('[1]2025年已发货'!$E:$E,'[1]2025年已发货'!$F:$F,C3703,'[1]2025年已发货'!$C:$C,F3703,'[1]2025年已发货'!$G:$G,I3703,'[1]2025年已发货'!$H:$H,J3703))</f>
        <v>2.5</v>
      </c>
      <c r="I3703" s="33" t="str">
        <f>VLOOKUP(B3703,辅助信息!E:I,3,FALSE)</f>
        <v>(五冶建设师大附中外语校新建教学楼工程)四川省成都市成华区大观堰2号(四川师范大学附属中学外国语学校)</v>
      </c>
      <c r="J3703" s="33" t="str">
        <f>VLOOKUP(B3703,辅助信息!E:I,4,FALSE)</f>
        <v>蔡浩</v>
      </c>
      <c r="K3703" s="33">
        <f>VLOOKUP(J3703,辅助信息!H:I,2,FALSE)</f>
        <v>13980880820</v>
      </c>
      <c r="L3703" s="102"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55" t="str">
        <f ca="1" t="shared" si="198"/>
        <v/>
      </c>
      <c r="P3703" s="55" t="str">
        <f ca="1" t="shared" si="199"/>
        <v/>
      </c>
      <c r="Q3703" s="22" t="str">
        <f>VLOOKUP(B3703,辅助信息!E:M,9,FALSE)</f>
        <v>ZTWM-CDGS-XS-2025-0073-五冶天府-成都怡心湖片区及龙泉驿医院等项目</v>
      </c>
      <c r="R3703" s="22" t="str">
        <f>_xlfn._xlws.FILTER(辅助信息!D:D,辅助信息!E:E=B3703)</f>
        <v>五冶建设师大附中外语校新建教学楼工程</v>
      </c>
    </row>
    <row r="3704" hidden="1" spans="2:18">
      <c r="B3704" s="33" t="s">
        <v>196</v>
      </c>
      <c r="C3704" s="63">
        <v>45923</v>
      </c>
      <c r="D3704" s="33" t="str">
        <f>VLOOKUP(B3704,辅助信息!E:K,7,FALSE)</f>
        <v>JWDDCD2025102100476</v>
      </c>
      <c r="E3704" s="33" t="str">
        <f>VLOOKUP(F3704,辅助信息!A:B,2,FALSE)</f>
        <v>螺纹钢</v>
      </c>
      <c r="F3704" s="33" t="s">
        <v>27</v>
      </c>
      <c r="G3704" s="29">
        <v>23</v>
      </c>
      <c r="H3704" s="127">
        <f>IF(SUMIFS('[1]2025年已发货'!$E:$E,'[1]2025年已发货'!$F:$F,C3704,'[1]2025年已发货'!$C:$C,F3704,'[1]2025年已发货'!$G:$G,I3704,'[1]2025年已发货'!$H:$H,J3704)=0,"未发货",SUMIFS('[1]2025年已发货'!$E:$E,'[1]2025年已发货'!$F:$F,C3704,'[1]2025年已发货'!$C:$C,F3704,'[1]2025年已发货'!$G:$G,I3704,'[1]2025年已发货'!$H:$H,J3704))</f>
        <v>23</v>
      </c>
      <c r="I3704" s="33" t="str">
        <f>VLOOKUP(B3704,辅助信息!E:I,3,FALSE)</f>
        <v>(五冶建设师大附中外语校新建教学楼工程)四川省成都市成华区大观堰2号(四川师范大学附属中学外国语学校)</v>
      </c>
      <c r="J3704" s="33" t="str">
        <f>VLOOKUP(B3704,辅助信息!E:I,4,FALSE)</f>
        <v>蔡浩</v>
      </c>
      <c r="K3704" s="33">
        <f>VLOOKUP(J3704,辅助信息!H:I,2,FALSE)</f>
        <v>13980880820</v>
      </c>
      <c r="L3704" s="102"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55" t="str">
        <f ca="1" t="shared" si="198"/>
        <v/>
      </c>
      <c r="P3704" s="55" t="str">
        <f ca="1" t="shared" si="199"/>
        <v/>
      </c>
      <c r="Q3704" s="22" t="str">
        <f>VLOOKUP(B3704,辅助信息!E:M,9,FALSE)</f>
        <v>ZTWM-CDGS-XS-2025-0073-五冶天府-成都怡心湖片区及龙泉驿医院等项目</v>
      </c>
      <c r="R3704" s="22" t="str">
        <f>_xlfn._xlws.FILTER(辅助信息!D:D,辅助信息!E:E=B3704)</f>
        <v>五冶建设师大附中外语校新建教学楼工程</v>
      </c>
    </row>
    <row r="3705" hidden="1" spans="2:18">
      <c r="B3705" s="33" t="s">
        <v>196</v>
      </c>
      <c r="C3705" s="63">
        <v>45923</v>
      </c>
      <c r="D3705" s="33" t="str">
        <f>VLOOKUP(B3705,辅助信息!E:K,7,FALSE)</f>
        <v>JWDDCD2025102100476</v>
      </c>
      <c r="E3705" s="33" t="str">
        <f>VLOOKUP(F3705,辅助信息!A:B,2,FALSE)</f>
        <v>螺纹钢</v>
      </c>
      <c r="F3705" s="33" t="s">
        <v>19</v>
      </c>
      <c r="G3705" s="29">
        <v>40</v>
      </c>
      <c r="H3705" s="127">
        <f>IF(SUMIFS('[1]2025年已发货'!$E:$E,'[1]2025年已发货'!$F:$F,C3705,'[1]2025年已发货'!$C:$C,F3705,'[1]2025年已发货'!$G:$G,I3705,'[1]2025年已发货'!$H:$H,J3705)=0,"未发货",SUMIFS('[1]2025年已发货'!$E:$E,'[1]2025年已发货'!$F:$F,C3705,'[1]2025年已发货'!$C:$C,F3705,'[1]2025年已发货'!$G:$G,I3705,'[1]2025年已发货'!$H:$H,J3705))</f>
        <v>40</v>
      </c>
      <c r="I3705" s="33" t="str">
        <f>VLOOKUP(B3705,辅助信息!E:I,3,FALSE)</f>
        <v>(五冶建设师大附中外语校新建教学楼工程)四川省成都市成华区大观堰2号(四川师范大学附属中学外国语学校)</v>
      </c>
      <c r="J3705" s="33" t="str">
        <f>VLOOKUP(B3705,辅助信息!E:I,4,FALSE)</f>
        <v>蔡浩</v>
      </c>
      <c r="K3705" s="33">
        <f>VLOOKUP(J3705,辅助信息!H:I,2,FALSE)</f>
        <v>13980880820</v>
      </c>
      <c r="L3705" s="102"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55" t="str">
        <f ca="1" t="shared" si="198"/>
        <v/>
      </c>
      <c r="P3705" s="55" t="str">
        <f ca="1" t="shared" si="199"/>
        <v/>
      </c>
      <c r="Q3705" s="22" t="str">
        <f>VLOOKUP(B3705,辅助信息!E:M,9,FALSE)</f>
        <v>ZTWM-CDGS-XS-2025-0073-五冶天府-成都怡心湖片区及龙泉驿医院等项目</v>
      </c>
      <c r="R3705" s="22" t="str">
        <f>_xlfn._xlws.FILTER(辅助信息!D:D,辅助信息!E:E=B3705)</f>
        <v>五冶建设师大附中外语校新建教学楼工程</v>
      </c>
    </row>
    <row r="3706" hidden="1" spans="2:18">
      <c r="B3706" s="33" t="s">
        <v>196</v>
      </c>
      <c r="C3706" s="63">
        <v>45923</v>
      </c>
      <c r="D3706" s="33" t="str">
        <f>VLOOKUP(B3706,辅助信息!E:K,7,FALSE)</f>
        <v>JWDDCD2025102100476</v>
      </c>
      <c r="E3706" s="33" t="str">
        <f>VLOOKUP(F3706,辅助信息!A:B,2,FALSE)</f>
        <v>螺纹钢</v>
      </c>
      <c r="F3706" s="33" t="s">
        <v>32</v>
      </c>
      <c r="G3706" s="29">
        <v>2.5</v>
      </c>
      <c r="H3706" s="127">
        <f>IF(SUMIFS('[1]2025年已发货'!$E:$E,'[1]2025年已发货'!$F:$F,C3706,'[1]2025年已发货'!$C:$C,F3706,'[1]2025年已发货'!$G:$G,I3706,'[1]2025年已发货'!$H:$H,J3706)=0,"未发货",SUMIFS('[1]2025年已发货'!$E:$E,'[1]2025年已发货'!$F:$F,C3706,'[1]2025年已发货'!$C:$C,F3706,'[1]2025年已发货'!$G:$G,I3706,'[1]2025年已发货'!$H:$H,J3706))</f>
        <v>2.5</v>
      </c>
      <c r="I3706" s="33" t="str">
        <f>VLOOKUP(B3706,辅助信息!E:I,3,FALSE)</f>
        <v>(五冶建设师大附中外语校新建教学楼工程)四川省成都市成华区大观堰2号(四川师范大学附属中学外国语学校)</v>
      </c>
      <c r="J3706" s="33" t="str">
        <f>VLOOKUP(B3706,辅助信息!E:I,4,FALSE)</f>
        <v>蔡浩</v>
      </c>
      <c r="K3706" s="33">
        <f>VLOOKUP(J3706,辅助信息!H:I,2,FALSE)</f>
        <v>13980880820</v>
      </c>
      <c r="L3706" s="102"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55" t="str">
        <f ca="1" t="shared" si="198"/>
        <v/>
      </c>
      <c r="P3706" s="55" t="str">
        <f ca="1" t="shared" si="199"/>
        <v/>
      </c>
      <c r="Q3706" s="22" t="str">
        <f>VLOOKUP(B3706,辅助信息!E:M,9,FALSE)</f>
        <v>ZTWM-CDGS-XS-2025-0073-五冶天府-成都怡心湖片区及龙泉驿医院等项目</v>
      </c>
      <c r="R3706" s="22" t="str">
        <f>_xlfn._xlws.FILTER(辅助信息!D:D,辅助信息!E:E=B3706)</f>
        <v>五冶建设师大附中外语校新建教学楼工程</v>
      </c>
    </row>
    <row r="3707" hidden="1" spans="2:18">
      <c r="B3707" s="33" t="s">
        <v>196</v>
      </c>
      <c r="C3707" s="63">
        <v>45923</v>
      </c>
      <c r="D3707" s="33" t="str">
        <f>VLOOKUP(B3707,辅助信息!E:K,7,FALSE)</f>
        <v>JWDDCD2025102100476</v>
      </c>
      <c r="E3707" s="33" t="str">
        <f>VLOOKUP(F3707,辅助信息!A:B,2,FALSE)</f>
        <v>螺纹钢</v>
      </c>
      <c r="F3707" s="33" t="s">
        <v>30</v>
      </c>
      <c r="G3707" s="29">
        <v>5</v>
      </c>
      <c r="H3707" s="127">
        <f>IF(SUMIFS('[1]2025年已发货'!$E:$E,'[1]2025年已发货'!$F:$F,C3707,'[1]2025年已发货'!$C:$C,F3707,'[1]2025年已发货'!$G:$G,I3707,'[1]2025年已发货'!$H:$H,J3707)=0,"未发货",SUMIFS('[1]2025年已发货'!$E:$E,'[1]2025年已发货'!$F:$F,C3707,'[1]2025年已发货'!$C:$C,F3707,'[1]2025年已发货'!$G:$G,I3707,'[1]2025年已发货'!$H:$H,J3707))</f>
        <v>5</v>
      </c>
      <c r="I3707" s="33" t="str">
        <f>VLOOKUP(B3707,辅助信息!E:I,3,FALSE)</f>
        <v>(五冶建设师大附中外语校新建教学楼工程)四川省成都市成华区大观堰2号(四川师范大学附属中学外国语学校)</v>
      </c>
      <c r="J3707" s="33" t="str">
        <f>VLOOKUP(B3707,辅助信息!E:I,4,FALSE)</f>
        <v>蔡浩</v>
      </c>
      <c r="K3707" s="33">
        <f>VLOOKUP(J3707,辅助信息!H:I,2,FALSE)</f>
        <v>13980880820</v>
      </c>
      <c r="L3707" s="102"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55" t="str">
        <f ca="1" t="shared" si="198"/>
        <v/>
      </c>
      <c r="P3707" s="55" t="str">
        <f ca="1" t="shared" si="199"/>
        <v/>
      </c>
      <c r="Q3707" s="22" t="str">
        <f>VLOOKUP(B3707,辅助信息!E:M,9,FALSE)</f>
        <v>ZTWM-CDGS-XS-2025-0073-五冶天府-成都怡心湖片区及龙泉驿医院等项目</v>
      </c>
      <c r="R3707" s="22" t="str">
        <f>_xlfn._xlws.FILTER(辅助信息!D:D,辅助信息!E:E=B3707)</f>
        <v>五冶建设师大附中外语校新建教学楼工程</v>
      </c>
    </row>
    <row r="3708" hidden="1" spans="2:18">
      <c r="B3708" s="33" t="s">
        <v>196</v>
      </c>
      <c r="C3708" s="63">
        <v>45923</v>
      </c>
      <c r="D3708" s="33" t="str">
        <f>VLOOKUP(B3708,辅助信息!E:K,7,FALSE)</f>
        <v>JWDDCD2025102100476</v>
      </c>
      <c r="E3708" s="33" t="str">
        <f>VLOOKUP(F3708,辅助信息!A:B,2,FALSE)</f>
        <v>螺纹钢</v>
      </c>
      <c r="F3708" s="33" t="s">
        <v>33</v>
      </c>
      <c r="G3708" s="29">
        <v>5</v>
      </c>
      <c r="H3708" s="127">
        <f>IF(SUMIFS('[1]2025年已发货'!$E:$E,'[1]2025年已发货'!$F:$F,C3708,'[1]2025年已发货'!$C:$C,F3708,'[1]2025年已发货'!$G:$G,I3708,'[1]2025年已发货'!$H:$H,J3708)=0,"未发货",SUMIFS('[1]2025年已发货'!$E:$E,'[1]2025年已发货'!$F:$F,C3708,'[1]2025年已发货'!$C:$C,F3708,'[1]2025年已发货'!$G:$G,I3708,'[1]2025年已发货'!$H:$H,J3708))</f>
        <v>5</v>
      </c>
      <c r="I3708" s="33" t="str">
        <f>VLOOKUP(B3708,辅助信息!E:I,3,FALSE)</f>
        <v>(五冶建设师大附中外语校新建教学楼工程)四川省成都市成华区大观堰2号(四川师范大学附属中学外国语学校)</v>
      </c>
      <c r="J3708" s="33" t="str">
        <f>VLOOKUP(B3708,辅助信息!E:I,4,FALSE)</f>
        <v>蔡浩</v>
      </c>
      <c r="K3708" s="33">
        <f>VLOOKUP(J3708,辅助信息!H:I,2,FALSE)</f>
        <v>13980880820</v>
      </c>
      <c r="L3708" s="102"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55" t="str">
        <f ca="1" t="shared" si="198"/>
        <v/>
      </c>
      <c r="P3708" s="55" t="str">
        <f ca="1" t="shared" si="199"/>
        <v/>
      </c>
      <c r="Q3708" s="22" t="str">
        <f>VLOOKUP(B3708,辅助信息!E:M,9,FALSE)</f>
        <v>ZTWM-CDGS-XS-2025-0073-五冶天府-成都怡心湖片区及龙泉驿医院等项目</v>
      </c>
      <c r="R3708" s="22" t="str">
        <f>_xlfn._xlws.FILTER(辅助信息!D:D,辅助信息!E:E=B3708)</f>
        <v>五冶建设师大附中外语校新建教学楼工程</v>
      </c>
    </row>
    <row r="3709" hidden="1" spans="2:18">
      <c r="B3709" s="33" t="s">
        <v>196</v>
      </c>
      <c r="C3709" s="63">
        <v>45923</v>
      </c>
      <c r="D3709" s="33" t="str">
        <f>VLOOKUP(B3709,辅助信息!E:K,7,FALSE)</f>
        <v>JWDDCD2025102100476</v>
      </c>
      <c r="E3709" s="33" t="str">
        <f>VLOOKUP(F3709,辅助信息!A:B,2,FALSE)</f>
        <v>螺纹钢</v>
      </c>
      <c r="F3709" s="33" t="s">
        <v>28</v>
      </c>
      <c r="G3709" s="29">
        <v>2.5</v>
      </c>
      <c r="H3709" s="127">
        <f>IF(SUMIFS('[1]2025年已发货'!$E:$E,'[1]2025年已发货'!$F:$F,C3709,'[1]2025年已发货'!$C:$C,F3709,'[1]2025年已发货'!$G:$G,I3709,'[1]2025年已发货'!$H:$H,J3709)=0,"未发货",SUMIFS('[1]2025年已发货'!$E:$E,'[1]2025年已发货'!$F:$F,C3709,'[1]2025年已发货'!$C:$C,F3709,'[1]2025年已发货'!$G:$G,I3709,'[1]2025年已发货'!$H:$H,J3709))</f>
        <v>2.5</v>
      </c>
      <c r="I3709" s="33" t="str">
        <f>VLOOKUP(B3709,辅助信息!E:I,3,FALSE)</f>
        <v>(五冶建设师大附中外语校新建教学楼工程)四川省成都市成华区大观堰2号(四川师范大学附属中学外国语学校)</v>
      </c>
      <c r="J3709" s="33" t="str">
        <f>VLOOKUP(B3709,辅助信息!E:I,4,FALSE)</f>
        <v>蔡浩</v>
      </c>
      <c r="K3709" s="33">
        <f>VLOOKUP(J3709,辅助信息!H:I,2,FALSE)</f>
        <v>13980880820</v>
      </c>
      <c r="L3709" s="102"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55" t="str">
        <f ca="1" t="shared" si="198"/>
        <v/>
      </c>
      <c r="P3709" s="55" t="str">
        <f ca="1" t="shared" si="199"/>
        <v/>
      </c>
      <c r="Q3709" s="22" t="str">
        <f>VLOOKUP(B3709,辅助信息!E:M,9,FALSE)</f>
        <v>ZTWM-CDGS-XS-2025-0073-五冶天府-成都怡心湖片区及龙泉驿医院等项目</v>
      </c>
      <c r="R3709" s="22" t="str">
        <f>_xlfn._xlws.FILTER(辅助信息!D:D,辅助信息!E:E=B3709)</f>
        <v>五冶建设师大附中外语校新建教学楼工程</v>
      </c>
    </row>
    <row r="3710" hidden="1" spans="2:18">
      <c r="B3710" s="33" t="s">
        <v>196</v>
      </c>
      <c r="C3710" s="63">
        <v>45923</v>
      </c>
      <c r="D3710" s="33" t="str">
        <f>VLOOKUP(B3710,辅助信息!E:K,7,FALSE)</f>
        <v>JWDDCD2025102100476</v>
      </c>
      <c r="E3710" s="33" t="str">
        <f>VLOOKUP(F3710,辅助信息!A:B,2,FALSE)</f>
        <v>螺纹钢</v>
      </c>
      <c r="F3710" s="33" t="s">
        <v>18</v>
      </c>
      <c r="G3710" s="29">
        <v>7.5</v>
      </c>
      <c r="H3710" s="127">
        <f>IF(SUMIFS('[1]2025年已发货'!$E:$E,'[1]2025年已发货'!$F:$F,C3710,'[1]2025年已发货'!$C:$C,F3710,'[1]2025年已发货'!$G:$G,I3710,'[1]2025年已发货'!$H:$H,J3710)=0,"未发货",SUMIFS('[1]2025年已发货'!$E:$E,'[1]2025年已发货'!$F:$F,C3710,'[1]2025年已发货'!$C:$C,F3710,'[1]2025年已发货'!$G:$G,I3710,'[1]2025年已发货'!$H:$H,J3710))</f>
        <v>7.5</v>
      </c>
      <c r="I3710" s="33" t="str">
        <f>VLOOKUP(B3710,辅助信息!E:I,3,FALSE)</f>
        <v>(五冶建设师大附中外语校新建教学楼工程)四川省成都市成华区大观堰2号(四川师范大学附属中学外国语学校)</v>
      </c>
      <c r="J3710" s="33" t="str">
        <f>VLOOKUP(B3710,辅助信息!E:I,4,FALSE)</f>
        <v>蔡浩</v>
      </c>
      <c r="K3710" s="33">
        <f>VLOOKUP(J3710,辅助信息!H:I,2,FALSE)</f>
        <v>13980880820</v>
      </c>
      <c r="L3710" s="102"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55" t="str">
        <f ca="1" t="shared" si="198"/>
        <v/>
      </c>
      <c r="P3710" s="55" t="str">
        <f ca="1" t="shared" si="199"/>
        <v/>
      </c>
      <c r="Q3710" s="22" t="str">
        <f>VLOOKUP(B3710,辅助信息!E:M,9,FALSE)</f>
        <v>ZTWM-CDGS-XS-2025-0073-五冶天府-成都怡心湖片区及龙泉驿医院等项目</v>
      </c>
      <c r="R3710" s="22" t="str">
        <f>_xlfn._xlws.FILTER(辅助信息!D:D,辅助信息!E:E=B3710)</f>
        <v>五冶建设师大附中外语校新建教学楼工程</v>
      </c>
    </row>
    <row r="3711" hidden="1" spans="2:18">
      <c r="B3711" s="33" t="s">
        <v>196</v>
      </c>
      <c r="C3711" s="63">
        <v>45923</v>
      </c>
      <c r="D3711" s="33" t="str">
        <f>VLOOKUP(B3711,辅助信息!E:K,7,FALSE)</f>
        <v>JWDDCD2025102100476</v>
      </c>
      <c r="E3711" s="33" t="str">
        <f>VLOOKUP(F3711,辅助信息!A:B,2,FALSE)</f>
        <v>螺纹钢</v>
      </c>
      <c r="F3711" s="33" t="s">
        <v>65</v>
      </c>
      <c r="G3711" s="29">
        <v>2.5</v>
      </c>
      <c r="H3711" s="127">
        <f>IF(SUMIFS('[1]2025年已发货'!$E:$E,'[1]2025年已发货'!$F:$F,C3711,'[1]2025年已发货'!$C:$C,F3711,'[1]2025年已发货'!$G:$G,I3711,'[1]2025年已发货'!$H:$H,J3711)=0,"未发货",SUMIFS('[1]2025年已发货'!$E:$E,'[1]2025年已发货'!$F:$F,C3711,'[1]2025年已发货'!$C:$C,F3711,'[1]2025年已发货'!$G:$G,I3711,'[1]2025年已发货'!$H:$H,J3711))</f>
        <v>2.5</v>
      </c>
      <c r="I3711" s="33" t="str">
        <f>VLOOKUP(B3711,辅助信息!E:I,3,FALSE)</f>
        <v>(五冶建设师大附中外语校新建教学楼工程)四川省成都市成华区大观堰2号(四川师范大学附属中学外国语学校)</v>
      </c>
      <c r="J3711" s="33" t="str">
        <f>VLOOKUP(B3711,辅助信息!E:I,4,FALSE)</f>
        <v>蔡浩</v>
      </c>
      <c r="K3711" s="33">
        <f>VLOOKUP(J3711,辅助信息!H:I,2,FALSE)</f>
        <v>13980880820</v>
      </c>
      <c r="L3711" s="102"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55" t="str">
        <f ca="1" t="shared" si="198"/>
        <v/>
      </c>
      <c r="P3711" s="55" t="str">
        <f ca="1" t="shared" si="199"/>
        <v/>
      </c>
      <c r="Q3711" s="22" t="str">
        <f>VLOOKUP(B3711,辅助信息!E:M,9,FALSE)</f>
        <v>ZTWM-CDGS-XS-2025-0073-五冶天府-成都怡心湖片区及龙泉驿医院等项目</v>
      </c>
      <c r="R3711" s="22" t="str">
        <f>_xlfn._xlws.FILTER(辅助信息!D:D,辅助信息!E:E=B3711)</f>
        <v>五冶建设师大附中外语校新建教学楼工程</v>
      </c>
    </row>
    <row r="3712" hidden="1" spans="2:18">
      <c r="B3712" s="33" t="s">
        <v>196</v>
      </c>
      <c r="C3712" s="63">
        <v>45923</v>
      </c>
      <c r="D3712" s="33" t="str">
        <f>VLOOKUP(B3712,辅助信息!E:K,7,FALSE)</f>
        <v>JWDDCD2025102100476</v>
      </c>
      <c r="E3712" s="33" t="str">
        <f>VLOOKUP(F3712,辅助信息!A:B,2,FALSE)</f>
        <v>螺纹钢</v>
      </c>
      <c r="F3712" s="33" t="s">
        <v>58</v>
      </c>
      <c r="G3712" s="29">
        <v>5</v>
      </c>
      <c r="H3712" s="127">
        <f>IF(SUMIFS('[1]2025年已发货'!$E:$E,'[1]2025年已发货'!$F:$F,C3712,'[1]2025年已发货'!$C:$C,F3712,'[1]2025年已发货'!$G:$G,I3712,'[1]2025年已发货'!$H:$H,J3712)=0,"未发货",SUMIFS('[1]2025年已发货'!$E:$E,'[1]2025年已发货'!$F:$F,C3712,'[1]2025年已发货'!$C:$C,F3712,'[1]2025年已发货'!$G:$G,I3712,'[1]2025年已发货'!$H:$H,J3712))</f>
        <v>5</v>
      </c>
      <c r="I3712" s="33" t="str">
        <f>VLOOKUP(B3712,辅助信息!E:I,3,FALSE)</f>
        <v>(五冶建设师大附中外语校新建教学楼工程)四川省成都市成华区大观堰2号(四川师范大学附属中学外国语学校)</v>
      </c>
      <c r="J3712" s="33" t="str">
        <f>VLOOKUP(B3712,辅助信息!E:I,4,FALSE)</f>
        <v>蔡浩</v>
      </c>
      <c r="K3712" s="33">
        <f>VLOOKUP(J3712,辅助信息!H:I,2,FALSE)</f>
        <v>13980880820</v>
      </c>
      <c r="L3712" s="102"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55" t="str">
        <f ca="1" t="shared" si="198"/>
        <v/>
      </c>
      <c r="P3712" s="55" t="str">
        <f ca="1" t="shared" si="199"/>
        <v/>
      </c>
      <c r="Q3712" s="22" t="str">
        <f>VLOOKUP(B3712,辅助信息!E:M,9,FALSE)</f>
        <v>ZTWM-CDGS-XS-2025-0073-五冶天府-成都怡心湖片区及龙泉驿医院等项目</v>
      </c>
      <c r="R3712" s="22" t="str">
        <f>_xlfn._xlws.FILTER(辅助信息!D:D,辅助信息!E:E=B3712)</f>
        <v>五冶建设师大附中外语校新建教学楼工程</v>
      </c>
    </row>
    <row r="3713" hidden="1" spans="2:18">
      <c r="B3713" s="33" t="s">
        <v>196</v>
      </c>
      <c r="C3713" s="63">
        <v>45923</v>
      </c>
      <c r="D3713" s="33" t="str">
        <f>VLOOKUP(B3713,辅助信息!E:K,7,FALSE)</f>
        <v>JWDDCD2025102100476</v>
      </c>
      <c r="E3713" s="33" t="str">
        <f>VLOOKUP(F3713,辅助信息!A:B,2,FALSE)</f>
        <v>螺纹钢</v>
      </c>
      <c r="F3713" s="33" t="s">
        <v>46</v>
      </c>
      <c r="G3713" s="29">
        <v>5</v>
      </c>
      <c r="H3713" s="127">
        <f>IF(SUMIFS('[1]2025年已发货'!$E:$E,'[1]2025年已发货'!$F:$F,C3713,'[1]2025年已发货'!$C:$C,F3713,'[1]2025年已发货'!$G:$G,I3713,'[1]2025年已发货'!$H:$H,J3713)=0,"未发货",SUMIFS('[1]2025年已发货'!$E:$E,'[1]2025年已发货'!$F:$F,C3713,'[1]2025年已发货'!$C:$C,F3713,'[1]2025年已发货'!$G:$G,I3713,'[1]2025年已发货'!$H:$H,J3713))</f>
        <v>5</v>
      </c>
      <c r="I3713" s="33" t="str">
        <f>VLOOKUP(B3713,辅助信息!E:I,3,FALSE)</f>
        <v>(五冶建设师大附中外语校新建教学楼工程)四川省成都市成华区大观堰2号(四川师范大学附属中学外国语学校)</v>
      </c>
      <c r="J3713" s="33" t="str">
        <f>VLOOKUP(B3713,辅助信息!E:I,4,FALSE)</f>
        <v>蔡浩</v>
      </c>
      <c r="K3713" s="33">
        <f>VLOOKUP(J3713,辅助信息!H:I,2,FALSE)</f>
        <v>13980880820</v>
      </c>
      <c r="L3713" s="102"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55" t="str">
        <f ca="1" t="shared" si="198"/>
        <v/>
      </c>
      <c r="P3713" s="55" t="str">
        <f ca="1" t="shared" si="199"/>
        <v/>
      </c>
      <c r="Q3713" s="22" t="str">
        <f>VLOOKUP(B3713,辅助信息!E:M,9,FALSE)</f>
        <v>ZTWM-CDGS-XS-2025-0073-五冶天府-成都怡心湖片区及龙泉驿医院等项目</v>
      </c>
      <c r="R3713" s="22" t="str">
        <f>_xlfn._xlws.FILTER(辅助信息!D:D,辅助信息!E:E=B3713)</f>
        <v>五冶建设师大附中外语校新建教学楼工程</v>
      </c>
    </row>
    <row r="3714" hidden="1" spans="2:18">
      <c r="B3714" s="33" t="s">
        <v>196</v>
      </c>
      <c r="C3714" s="63">
        <v>45923</v>
      </c>
      <c r="D3714" s="33" t="str">
        <f>VLOOKUP(B3714,辅助信息!E:K,7,FALSE)</f>
        <v>JWDDCD2025102100476</v>
      </c>
      <c r="E3714" s="33" t="str">
        <f>VLOOKUP(F3714,辅助信息!A:B,2,FALSE)</f>
        <v>螺纹钢</v>
      </c>
      <c r="F3714" s="33" t="s">
        <v>22</v>
      </c>
      <c r="G3714" s="29">
        <v>20</v>
      </c>
      <c r="H3714" s="127">
        <f>IF(SUMIFS('[1]2025年已发货'!$E:$E,'[1]2025年已发货'!$F:$F,C3714,'[1]2025年已发货'!$C:$C,F3714,'[1]2025年已发货'!$G:$G,I3714,'[1]2025年已发货'!$H:$H,J3714)=0,"未发货",SUMIFS('[1]2025年已发货'!$E:$E,'[1]2025年已发货'!$F:$F,C3714,'[1]2025年已发货'!$C:$C,F3714,'[1]2025年已发货'!$G:$G,I3714,'[1]2025年已发货'!$H:$H,J3714))</f>
        <v>20</v>
      </c>
      <c r="I3714" s="33" t="str">
        <f>VLOOKUP(B3714,辅助信息!E:I,3,FALSE)</f>
        <v>(五冶建设师大附中外语校新建教学楼工程)四川省成都市成华区大观堰2号(四川师范大学附属中学外国语学校)</v>
      </c>
      <c r="J3714" s="33" t="str">
        <f>VLOOKUP(B3714,辅助信息!E:I,4,FALSE)</f>
        <v>蔡浩</v>
      </c>
      <c r="K3714" s="33">
        <f>VLOOKUP(J3714,辅助信息!H:I,2,FALSE)</f>
        <v>13980880820</v>
      </c>
      <c r="L3714" s="102"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55" t="str">
        <f ca="1" t="shared" si="198"/>
        <v/>
      </c>
      <c r="P3714" s="55" t="str">
        <f ca="1" t="shared" si="199"/>
        <v/>
      </c>
      <c r="Q3714" s="22" t="str">
        <f>VLOOKUP(B3714,辅助信息!E:M,9,FALSE)</f>
        <v>ZTWM-CDGS-XS-2025-0073-五冶天府-成都怡心湖片区及龙泉驿医院等项目</v>
      </c>
      <c r="R3714" s="22" t="str">
        <f>_xlfn._xlws.FILTER(辅助信息!D:D,辅助信息!E:E=B3714)</f>
        <v>五冶建设师大附中外语校新建教学楼工程</v>
      </c>
    </row>
    <row r="3715" hidden="1" spans="2:18">
      <c r="B3715" s="33" t="s">
        <v>196</v>
      </c>
      <c r="C3715" s="63">
        <v>45923</v>
      </c>
      <c r="D3715" s="33" t="str">
        <f>VLOOKUP(B3715,辅助信息!E:K,7,FALSE)</f>
        <v>JWDDCD2025102100476</v>
      </c>
      <c r="E3715" s="33" t="str">
        <f>VLOOKUP(F3715,辅助信息!A:B,2,FALSE)</f>
        <v>螺纹钢</v>
      </c>
      <c r="F3715" s="33" t="s">
        <v>181</v>
      </c>
      <c r="G3715" s="29">
        <v>10</v>
      </c>
      <c r="H3715" s="127">
        <f>IF(SUMIFS('[1]2025年已发货'!$E:$E,'[1]2025年已发货'!$F:$F,C3715,'[1]2025年已发货'!$C:$C,F3715,'[1]2025年已发货'!$G:$G,I3715,'[1]2025年已发货'!$H:$H,J3715)=0,"未发货",SUMIFS('[1]2025年已发货'!$E:$E,'[1]2025年已发货'!$F:$F,C3715,'[1]2025年已发货'!$C:$C,F3715,'[1]2025年已发货'!$G:$G,I3715,'[1]2025年已发货'!$H:$H,J3715))</f>
        <v>10</v>
      </c>
      <c r="I3715" s="33" t="str">
        <f>VLOOKUP(B3715,辅助信息!E:I,3,FALSE)</f>
        <v>(五冶建设师大附中外语校新建教学楼工程)四川省成都市成华区大观堰2号(四川师范大学附属中学外国语学校)</v>
      </c>
      <c r="J3715" s="33" t="str">
        <f>VLOOKUP(B3715,辅助信息!E:I,4,FALSE)</f>
        <v>蔡浩</v>
      </c>
      <c r="K3715" s="33">
        <f>VLOOKUP(J3715,辅助信息!H:I,2,FALSE)</f>
        <v>13980880820</v>
      </c>
      <c r="L3715" s="102"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55" t="str">
        <f ca="1" t="shared" si="198"/>
        <v/>
      </c>
      <c r="P3715" s="55" t="str">
        <f ca="1" t="shared" si="199"/>
        <v/>
      </c>
      <c r="Q3715" s="22" t="str">
        <f>VLOOKUP(B3715,辅助信息!E:M,9,FALSE)</f>
        <v>ZTWM-CDGS-XS-2025-0073-五冶天府-成都怡心湖片区及龙泉驿医院等项目</v>
      </c>
      <c r="R3715" s="22" t="str">
        <f>_xlfn._xlws.FILTER(辅助信息!D:D,辅助信息!E:E=B3715)</f>
        <v>五冶建设师大附中外语校新建教学楼工程</v>
      </c>
    </row>
    <row r="3716" hidden="1" spans="2:18">
      <c r="B3716" s="33" t="s">
        <v>196</v>
      </c>
      <c r="C3716" s="63">
        <v>45923</v>
      </c>
      <c r="D3716" s="33" t="str">
        <f>VLOOKUP(B3716,辅助信息!E:K,7,FALSE)</f>
        <v>JWDDCD2025102100476</v>
      </c>
      <c r="E3716" s="33" t="str">
        <f>VLOOKUP(F3716,辅助信息!A:B,2,FALSE)</f>
        <v>螺纹钢</v>
      </c>
      <c r="F3716" s="33" t="s">
        <v>182</v>
      </c>
      <c r="G3716" s="29">
        <v>10</v>
      </c>
      <c r="H3716" s="127">
        <f>IF(SUMIFS('[1]2025年已发货'!$E:$E,'[1]2025年已发货'!$F:$F,C3716,'[1]2025年已发货'!$C:$C,F3716,'[1]2025年已发货'!$G:$G,I3716,'[1]2025年已发货'!$H:$H,J3716)=0,"未发货",SUMIFS('[1]2025年已发货'!$E:$E,'[1]2025年已发货'!$F:$F,C3716,'[1]2025年已发货'!$C:$C,F3716,'[1]2025年已发货'!$G:$G,I3716,'[1]2025年已发货'!$H:$H,J3716))</f>
        <v>10</v>
      </c>
      <c r="I3716" s="33" t="str">
        <f>VLOOKUP(B3716,辅助信息!E:I,3,FALSE)</f>
        <v>(五冶建设师大附中外语校新建教学楼工程)四川省成都市成华区大观堰2号(四川师范大学附属中学外国语学校)</v>
      </c>
      <c r="J3716" s="33" t="str">
        <f>VLOOKUP(B3716,辅助信息!E:I,4,FALSE)</f>
        <v>蔡浩</v>
      </c>
      <c r="K3716" s="33">
        <f>VLOOKUP(J3716,辅助信息!H:I,2,FALSE)</f>
        <v>13980880820</v>
      </c>
      <c r="L3716" s="102"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55" t="str">
        <f ca="1" t="shared" si="198"/>
        <v/>
      </c>
      <c r="P3716" s="55" t="str">
        <f ca="1" t="shared" si="199"/>
        <v/>
      </c>
      <c r="Q3716" s="22" t="str">
        <f>VLOOKUP(B3716,辅助信息!E:M,9,FALSE)</f>
        <v>ZTWM-CDGS-XS-2025-0073-五冶天府-成都怡心湖片区及龙泉驿医院等项目</v>
      </c>
      <c r="R3716" s="22" t="str">
        <f>_xlfn._xlws.FILTER(辅助信息!D:D,辅助信息!E:E=B3716)</f>
        <v>五冶建设师大附中外语校新建教学楼工程</v>
      </c>
    </row>
    <row r="3717" hidden="1" spans="2:18">
      <c r="B3717" s="113" t="s">
        <v>163</v>
      </c>
      <c r="C3717" s="63">
        <v>45924</v>
      </c>
      <c r="D3717" s="113" t="str">
        <f>VLOOKUP(B3717,辅助信息!E:K,7,FALSE)</f>
        <v>JWDDCD2025052800131</v>
      </c>
      <c r="E3717" s="113" t="str">
        <f>VLOOKUP(F3717,辅助信息!A:B,2,FALSE)</f>
        <v>盘螺</v>
      </c>
      <c r="F3717" s="113" t="s">
        <v>49</v>
      </c>
      <c r="G3717" s="114">
        <v>6</v>
      </c>
      <c r="H3717" s="127"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13" t="str">
        <f>VLOOKUP(B3717,辅助信息!E:I,3,FALSE)</f>
        <v>（商投建工达州中医药科技园-4工区-9号楼）达州市通川区达州中医药职业学院犀牛大道北段</v>
      </c>
      <c r="J3717" s="113" t="str">
        <f>VLOOKUP(B3717,辅助信息!E:I,4,FALSE)</f>
        <v>张扬</v>
      </c>
      <c r="K3717" s="113">
        <f>VLOOKUP(J3717,辅助信息!H:I,2,FALSE)</f>
        <v>18381904567</v>
      </c>
      <c r="L3717" s="115" t="str">
        <f>VLOOKUP(B3717,辅助信息!E:J,6,FALSE)</f>
        <v>控制炉批号！多了现场不收！,优先安排达钢,提前联系到场规格及数量</v>
      </c>
      <c r="M3717" s="84"/>
      <c r="O3717" s="55" t="str">
        <f ca="1" t="shared" si="198"/>
        <v/>
      </c>
      <c r="P3717" s="55" t="str">
        <f ca="1" t="shared" si="199"/>
        <v/>
      </c>
      <c r="Q3717" s="22" t="str">
        <f>VLOOKUP(B3717,辅助信息!E:M,9,FALSE)</f>
        <v>ZTWM-CDGS-XS-2024-0134-商投建工达州中医药科技成果示范园项目</v>
      </c>
      <c r="R3717" s="22" t="str">
        <f>_xlfn._xlws.FILTER(辅助信息!D:D,辅助信息!E:E=B3717)</f>
        <v>商投建工达州中医药科技园</v>
      </c>
    </row>
    <row r="3718" hidden="1" spans="2:18">
      <c r="B3718" s="113" t="s">
        <v>163</v>
      </c>
      <c r="C3718" s="63">
        <v>45924</v>
      </c>
      <c r="D3718" s="113" t="str">
        <f>VLOOKUP(B3718,辅助信息!E:K,7,FALSE)</f>
        <v>JWDDCD2025052800131</v>
      </c>
      <c r="E3718" s="113" t="str">
        <f>VLOOKUP(F3718,辅助信息!A:B,2,FALSE)</f>
        <v>盘螺</v>
      </c>
      <c r="F3718" s="113" t="s">
        <v>40</v>
      </c>
      <c r="G3718" s="114">
        <f>47-26</f>
        <v>21</v>
      </c>
      <c r="H3718" s="127"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13" t="str">
        <f>VLOOKUP(B3718,辅助信息!E:I,3,FALSE)</f>
        <v>（商投建工达州中医药科技园-4工区-9号楼）达州市通川区达州中医药职业学院犀牛大道北段</v>
      </c>
      <c r="J3718" s="113" t="str">
        <f>VLOOKUP(B3718,辅助信息!E:I,4,FALSE)</f>
        <v>张扬</v>
      </c>
      <c r="K3718" s="113">
        <f>VLOOKUP(J3718,辅助信息!H:I,2,FALSE)</f>
        <v>18381904567</v>
      </c>
      <c r="L3718" s="115" t="str">
        <f>VLOOKUP(B3718,辅助信息!E:J,6,FALSE)</f>
        <v>控制炉批号！多了现场不收！,优先安排达钢,提前联系到场规格及数量</v>
      </c>
      <c r="M3718" s="84">
        <v>45922</v>
      </c>
      <c r="O3718" s="55">
        <f ca="1" t="shared" si="198"/>
        <v>0</v>
      </c>
      <c r="P3718" s="55">
        <f ca="1" t="shared" si="199"/>
        <v>35</v>
      </c>
      <c r="Q3718" s="22" t="str">
        <f>VLOOKUP(B3718,辅助信息!E:M,9,FALSE)</f>
        <v>ZTWM-CDGS-XS-2024-0134-商投建工达州中医药科技成果示范园项目</v>
      </c>
      <c r="R3718" s="22" t="str">
        <f>_xlfn._xlws.FILTER(辅助信息!D:D,辅助信息!E:E=B3718)</f>
        <v>商投建工达州中医药科技园</v>
      </c>
    </row>
    <row r="3719" hidden="1" spans="2:18">
      <c r="B3719" s="113" t="s">
        <v>163</v>
      </c>
      <c r="C3719" s="63">
        <v>45924</v>
      </c>
      <c r="D3719" s="113" t="str">
        <f>VLOOKUP(B3719,辅助信息!E:K,7,FALSE)</f>
        <v>JWDDCD2025052800131</v>
      </c>
      <c r="E3719" s="113" t="str">
        <f>VLOOKUP(F3719,辅助信息!A:B,2,FALSE)</f>
        <v>盘螺</v>
      </c>
      <c r="F3719" s="113" t="s">
        <v>41</v>
      </c>
      <c r="G3719" s="114">
        <v>10</v>
      </c>
      <c r="H3719" s="127"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13" t="str">
        <f>VLOOKUP(B3719,辅助信息!E:I,3,FALSE)</f>
        <v>（商投建工达州中医药科技园-4工区-9号楼）达州市通川区达州中医药职业学院犀牛大道北段</v>
      </c>
      <c r="J3719" s="113" t="str">
        <f>VLOOKUP(B3719,辅助信息!E:I,4,FALSE)</f>
        <v>张扬</v>
      </c>
      <c r="K3719" s="113">
        <f>VLOOKUP(J3719,辅助信息!H:I,2,FALSE)</f>
        <v>18381904567</v>
      </c>
      <c r="L3719" s="115" t="str">
        <f>VLOOKUP(B3719,辅助信息!E:J,6,FALSE)</f>
        <v>控制炉批号！多了现场不收！,优先安排达钢,提前联系到场规格及数量</v>
      </c>
      <c r="M3719" s="84">
        <v>45922</v>
      </c>
      <c r="O3719" s="55">
        <f ca="1" t="shared" si="198"/>
        <v>0</v>
      </c>
      <c r="P3719" s="55">
        <f ca="1" t="shared" si="199"/>
        <v>35</v>
      </c>
      <c r="Q3719" s="22" t="str">
        <f>VLOOKUP(B3719,辅助信息!E:M,9,FALSE)</f>
        <v>ZTWM-CDGS-XS-2024-0134-商投建工达州中医药科技成果示范园项目</v>
      </c>
      <c r="R3719" s="22" t="str">
        <f>_xlfn._xlws.FILTER(辅助信息!D:D,辅助信息!E:E=B3719)</f>
        <v>商投建工达州中医药科技园</v>
      </c>
    </row>
    <row r="3720" hidden="1" spans="2:18">
      <c r="B3720" s="113" t="s">
        <v>163</v>
      </c>
      <c r="C3720" s="63">
        <v>45924</v>
      </c>
      <c r="D3720" s="113" t="str">
        <f>VLOOKUP(B3720,辅助信息!E:K,7,FALSE)</f>
        <v>JWDDCD2025052800131</v>
      </c>
      <c r="E3720" s="113" t="str">
        <f>VLOOKUP(F3720,辅助信息!A:B,2,FALSE)</f>
        <v>螺纹钢</v>
      </c>
      <c r="F3720" s="113" t="s">
        <v>58</v>
      </c>
      <c r="G3720" s="114">
        <v>15</v>
      </c>
      <c r="H3720" s="127"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13" t="str">
        <f>VLOOKUP(B3720,辅助信息!E:I,3,FALSE)</f>
        <v>（商投建工达州中医药科技园-4工区-9号楼）达州市通川区达州中医药职业学院犀牛大道北段</v>
      </c>
      <c r="J3720" s="113" t="str">
        <f>VLOOKUP(B3720,辅助信息!E:I,4,FALSE)</f>
        <v>张扬</v>
      </c>
      <c r="K3720" s="113">
        <f>VLOOKUP(J3720,辅助信息!H:I,2,FALSE)</f>
        <v>18381904567</v>
      </c>
      <c r="L3720" s="115" t="str">
        <f>VLOOKUP(B3720,辅助信息!E:J,6,FALSE)</f>
        <v>控制炉批号！多了现场不收！,优先安排达钢,提前联系到场规格及数量</v>
      </c>
      <c r="M3720" s="84"/>
      <c r="O3720" s="55" t="str">
        <f ca="1" t="shared" si="198"/>
        <v/>
      </c>
      <c r="P3720" s="55" t="str">
        <f ca="1" t="shared" si="199"/>
        <v/>
      </c>
      <c r="Q3720" s="22" t="str">
        <f>VLOOKUP(B3720,辅助信息!E:M,9,FALSE)</f>
        <v>ZTWM-CDGS-XS-2024-0134-商投建工达州中医药科技成果示范园项目</v>
      </c>
      <c r="R3720" s="22" t="str">
        <f>_xlfn._xlws.FILTER(辅助信息!D:D,辅助信息!E:E=B3720)</f>
        <v>商投建工达州中医药科技园</v>
      </c>
    </row>
    <row r="3721" hidden="1" spans="2:18">
      <c r="B3721" s="113" t="s">
        <v>163</v>
      </c>
      <c r="C3721" s="63">
        <v>45924</v>
      </c>
      <c r="D3721" s="113" t="str">
        <f>VLOOKUP(B3721,辅助信息!E:K,7,FALSE)</f>
        <v>JWDDCD2025052800131</v>
      </c>
      <c r="E3721" s="113" t="str">
        <f>VLOOKUP(F3721,辅助信息!A:B,2,FALSE)</f>
        <v>螺纹钢</v>
      </c>
      <c r="F3721" s="113" t="s">
        <v>46</v>
      </c>
      <c r="G3721" s="114">
        <v>9</v>
      </c>
      <c r="H3721" s="127"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13" t="str">
        <f>VLOOKUP(B3721,辅助信息!E:I,3,FALSE)</f>
        <v>（商投建工达州中医药科技园-4工区-9号楼）达州市通川区达州中医药职业学院犀牛大道北段</v>
      </c>
      <c r="J3721" s="113" t="str">
        <f>VLOOKUP(B3721,辅助信息!E:I,4,FALSE)</f>
        <v>张扬</v>
      </c>
      <c r="K3721" s="113">
        <f>VLOOKUP(J3721,辅助信息!H:I,2,FALSE)</f>
        <v>18381904567</v>
      </c>
      <c r="L3721" s="115" t="str">
        <f>VLOOKUP(B3721,辅助信息!E:J,6,FALSE)</f>
        <v>控制炉批号！多了现场不收！,优先安排达钢,提前联系到场规格及数量</v>
      </c>
      <c r="M3721" s="84"/>
      <c r="O3721" s="55" t="str">
        <f ca="1" t="shared" si="198"/>
        <v/>
      </c>
      <c r="P3721" s="55" t="str">
        <f ca="1" t="shared" si="199"/>
        <v/>
      </c>
      <c r="Q3721" s="22" t="str">
        <f>VLOOKUP(B3721,辅助信息!E:M,9,FALSE)</f>
        <v>ZTWM-CDGS-XS-2024-0134-商投建工达州中医药科技成果示范园项目</v>
      </c>
      <c r="R3721" s="22" t="str">
        <f>_xlfn._xlws.FILTER(辅助信息!D:D,辅助信息!E:E=B3721)</f>
        <v>商投建工达州中医药科技园</v>
      </c>
    </row>
    <row r="3722" hidden="1" spans="2:18">
      <c r="B3722" s="113" t="s">
        <v>163</v>
      </c>
      <c r="C3722" s="63">
        <v>45924</v>
      </c>
      <c r="D3722" s="113" t="str">
        <f>VLOOKUP(B3722,辅助信息!E:K,7,FALSE)</f>
        <v>JWDDCD2025052800131</v>
      </c>
      <c r="E3722" s="113" t="str">
        <f>VLOOKUP(F3722,辅助信息!A:B,2,FALSE)</f>
        <v>螺纹钢</v>
      </c>
      <c r="F3722" s="113" t="s">
        <v>22</v>
      </c>
      <c r="G3722" s="114">
        <v>15</v>
      </c>
      <c r="H3722" s="127"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13" t="str">
        <f>VLOOKUP(B3722,辅助信息!E:I,3,FALSE)</f>
        <v>（商投建工达州中医药科技园-4工区-9号楼）达州市通川区达州中医药职业学院犀牛大道北段</v>
      </c>
      <c r="J3722" s="113" t="str">
        <f>VLOOKUP(B3722,辅助信息!E:I,4,FALSE)</f>
        <v>张扬</v>
      </c>
      <c r="K3722" s="113">
        <f>VLOOKUP(J3722,辅助信息!H:I,2,FALSE)</f>
        <v>18381904567</v>
      </c>
      <c r="L3722" s="115" t="str">
        <f>VLOOKUP(B3722,辅助信息!E:J,6,FALSE)</f>
        <v>控制炉批号！多了现场不收！,优先安排达钢,提前联系到场规格及数量</v>
      </c>
      <c r="M3722" s="84"/>
      <c r="O3722" s="55" t="str">
        <f ca="1" t="shared" si="198"/>
        <v/>
      </c>
      <c r="P3722" s="55" t="str">
        <f ca="1" t="shared" si="199"/>
        <v/>
      </c>
      <c r="Q3722" s="22" t="str">
        <f>VLOOKUP(B3722,辅助信息!E:M,9,FALSE)</f>
        <v>ZTWM-CDGS-XS-2024-0134-商投建工达州中医药科技成果示范园项目</v>
      </c>
      <c r="R3722" s="22" t="str">
        <f>_xlfn._xlws.FILTER(辅助信息!D:D,辅助信息!E:E=B3722)</f>
        <v>商投建工达州中医药科技园</v>
      </c>
    </row>
    <row r="3723" hidden="1" spans="2:18">
      <c r="B3723" s="113" t="s">
        <v>112</v>
      </c>
      <c r="C3723" s="63">
        <v>45924</v>
      </c>
      <c r="D3723" s="113" t="str">
        <f>VLOOKUP(B3723,辅助信息!E:K,7,FALSE)</f>
        <v>JWDDCD2025052800131</v>
      </c>
      <c r="E3723" s="113" t="str">
        <f>VLOOKUP(F3723,辅助信息!A:B,2,FALSE)</f>
        <v>盘螺</v>
      </c>
      <c r="F3723" s="113" t="s">
        <v>40</v>
      </c>
      <c r="G3723" s="114">
        <v>15</v>
      </c>
      <c r="H3723" s="127"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13" t="str">
        <f>VLOOKUP(B3723,辅助信息!E:I,3,FALSE)</f>
        <v>（商投建工达州中医药科技园-4工区-10号楼）达州市通川区达州中医药职业学院犀牛大道北段</v>
      </c>
      <c r="J3723" s="113" t="str">
        <f>VLOOKUP(B3723,辅助信息!E:I,4,FALSE)</f>
        <v>张扬</v>
      </c>
      <c r="K3723" s="113">
        <f>VLOOKUP(J3723,辅助信息!H:I,2,FALSE)</f>
        <v>18381904567</v>
      </c>
      <c r="L3723" s="115" t="str">
        <f>VLOOKUP(B3723,辅助信息!E:J,6,FALSE)</f>
        <v>控制炉批号！多了现场不收！,优先安排达钢,提前联系到场规格及数量</v>
      </c>
      <c r="M3723" s="84"/>
      <c r="O3723" s="55" t="str">
        <f ca="1" t="shared" si="198"/>
        <v/>
      </c>
      <c r="P3723" s="55" t="str">
        <f ca="1" t="shared" si="199"/>
        <v/>
      </c>
      <c r="Q3723" s="22" t="str">
        <f>VLOOKUP(B3723,辅助信息!E:M,9,FALSE)</f>
        <v>ZTWM-CDGS-XS-2024-0134-商投建工达州中医药科技成果示范园项目</v>
      </c>
      <c r="R3723" s="22" t="str">
        <f>_xlfn._xlws.FILTER(辅助信息!D:D,辅助信息!E:E=B3723)</f>
        <v>商投建工达州中医药科技园</v>
      </c>
    </row>
    <row r="3724" hidden="1" spans="2:18">
      <c r="B3724" s="113" t="s">
        <v>112</v>
      </c>
      <c r="C3724" s="63">
        <v>45924</v>
      </c>
      <c r="D3724" s="113" t="str">
        <f>VLOOKUP(B3724,辅助信息!E:K,7,FALSE)</f>
        <v>JWDDCD2025052800131</v>
      </c>
      <c r="E3724" s="113" t="str">
        <f>VLOOKUP(F3724,辅助信息!A:B,2,FALSE)</f>
        <v>螺纹钢</v>
      </c>
      <c r="F3724" s="113" t="s">
        <v>28</v>
      </c>
      <c r="G3724" s="114">
        <v>6</v>
      </c>
      <c r="H3724" s="127"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13" t="str">
        <f>VLOOKUP(B3724,辅助信息!E:I,3,FALSE)</f>
        <v>（商投建工达州中医药科技园-4工区-10号楼）达州市通川区达州中医药职业学院犀牛大道北段</v>
      </c>
      <c r="J3724" s="113" t="str">
        <f>VLOOKUP(B3724,辅助信息!E:I,4,FALSE)</f>
        <v>张扬</v>
      </c>
      <c r="K3724" s="113">
        <f>VLOOKUP(J3724,辅助信息!H:I,2,FALSE)</f>
        <v>18381904567</v>
      </c>
      <c r="L3724" s="115" t="str">
        <f>VLOOKUP(B3724,辅助信息!E:J,6,FALSE)</f>
        <v>控制炉批号！多了现场不收！,优先安排达钢,提前联系到场规格及数量</v>
      </c>
      <c r="M3724" s="84"/>
      <c r="O3724" s="55" t="str">
        <f ca="1" t="shared" si="198"/>
        <v/>
      </c>
      <c r="P3724" s="55" t="str">
        <f ca="1" t="shared" si="199"/>
        <v/>
      </c>
      <c r="Q3724" s="22" t="str">
        <f>VLOOKUP(B3724,辅助信息!E:M,9,FALSE)</f>
        <v>ZTWM-CDGS-XS-2024-0134-商投建工达州中医药科技成果示范园项目</v>
      </c>
      <c r="R3724" s="22" t="str">
        <f>_xlfn._xlws.FILTER(辅助信息!D:D,辅助信息!E:E=B3724)</f>
        <v>商投建工达州中医药科技园</v>
      </c>
    </row>
    <row r="3725" hidden="1" spans="2:18">
      <c r="B3725" s="113" t="s">
        <v>112</v>
      </c>
      <c r="C3725" s="63">
        <v>45924</v>
      </c>
      <c r="D3725" s="113" t="str">
        <f>VLOOKUP(B3725,辅助信息!E:K,7,FALSE)</f>
        <v>JWDDCD2025052800131</v>
      </c>
      <c r="E3725" s="113" t="str">
        <f>VLOOKUP(F3725,辅助信息!A:B,2,FALSE)</f>
        <v>螺纹钢</v>
      </c>
      <c r="F3725" s="113" t="s">
        <v>45</v>
      </c>
      <c r="G3725" s="114">
        <v>6</v>
      </c>
      <c r="H3725" s="127"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13" t="str">
        <f>VLOOKUP(B3725,辅助信息!E:I,3,FALSE)</f>
        <v>（商投建工达州中医药科技园-4工区-10号楼）达州市通川区达州中医药职业学院犀牛大道北段</v>
      </c>
      <c r="J3725" s="113" t="str">
        <f>VLOOKUP(B3725,辅助信息!E:I,4,FALSE)</f>
        <v>张扬</v>
      </c>
      <c r="K3725" s="113">
        <f>VLOOKUP(J3725,辅助信息!H:I,2,FALSE)</f>
        <v>18381904567</v>
      </c>
      <c r="L3725" s="115" t="str">
        <f>VLOOKUP(B3725,辅助信息!E:J,6,FALSE)</f>
        <v>控制炉批号！多了现场不收！,优先安排达钢,提前联系到场规格及数量</v>
      </c>
      <c r="M3725" s="84">
        <v>45925</v>
      </c>
      <c r="O3725" s="55">
        <f ca="1" t="shared" si="198"/>
        <v>0</v>
      </c>
      <c r="P3725" s="55">
        <f ca="1" t="shared" si="199"/>
        <v>32</v>
      </c>
      <c r="Q3725" s="22" t="str">
        <f>VLOOKUP(B3725,辅助信息!E:M,9,FALSE)</f>
        <v>ZTWM-CDGS-XS-2024-0134-商投建工达州中医药科技成果示范园项目</v>
      </c>
      <c r="R3725" s="22" t="str">
        <f>_xlfn._xlws.FILTER(辅助信息!D:D,辅助信息!E:E=B3725)</f>
        <v>商投建工达州中医药科技园</v>
      </c>
    </row>
    <row r="3726" hidden="1" spans="2:18">
      <c r="B3726" s="113" t="s">
        <v>112</v>
      </c>
      <c r="C3726" s="63">
        <v>45924</v>
      </c>
      <c r="D3726" s="113" t="str">
        <f>VLOOKUP(B3726,辅助信息!E:K,7,FALSE)</f>
        <v>JWDDCD2025052800131</v>
      </c>
      <c r="E3726" s="113" t="str">
        <f>VLOOKUP(F3726,辅助信息!A:B,2,FALSE)</f>
        <v>螺纹钢</v>
      </c>
      <c r="F3726" s="113" t="s">
        <v>21</v>
      </c>
      <c r="G3726" s="114">
        <v>12</v>
      </c>
      <c r="H3726" s="127"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13" t="str">
        <f>VLOOKUP(B3726,辅助信息!E:I,3,FALSE)</f>
        <v>（商投建工达州中医药科技园-4工区-10号楼）达州市通川区达州中医药职业学院犀牛大道北段</v>
      </c>
      <c r="J3726" s="113" t="str">
        <f>VLOOKUP(B3726,辅助信息!E:I,4,FALSE)</f>
        <v>张扬</v>
      </c>
      <c r="K3726" s="113">
        <f>VLOOKUP(J3726,辅助信息!H:I,2,FALSE)</f>
        <v>18381904567</v>
      </c>
      <c r="L3726" s="115" t="str">
        <f>VLOOKUP(B3726,辅助信息!E:J,6,FALSE)</f>
        <v>控制炉批号！多了现场不收！,优先安排达钢,提前联系到场规格及数量</v>
      </c>
      <c r="M3726" s="84">
        <v>45925</v>
      </c>
      <c r="O3726" s="55">
        <f ca="1" t="shared" si="198"/>
        <v>0</v>
      </c>
      <c r="P3726" s="55">
        <f ca="1" t="shared" si="199"/>
        <v>32</v>
      </c>
      <c r="Q3726" s="22" t="str">
        <f>VLOOKUP(B3726,辅助信息!E:M,9,FALSE)</f>
        <v>ZTWM-CDGS-XS-2024-0134-商投建工达州中医药科技成果示范园项目</v>
      </c>
      <c r="R3726" s="22" t="str">
        <f>_xlfn._xlws.FILTER(辅助信息!D:D,辅助信息!E:E=B3726)</f>
        <v>商投建工达州中医药科技园</v>
      </c>
    </row>
    <row r="3727" hidden="1" spans="2:18">
      <c r="B3727" s="113" t="s">
        <v>112</v>
      </c>
      <c r="C3727" s="63">
        <v>45924</v>
      </c>
      <c r="D3727" s="113" t="str">
        <f>VLOOKUP(B3727,辅助信息!E:K,7,FALSE)</f>
        <v>JWDDCD2025052800131</v>
      </c>
      <c r="E3727" s="113" t="str">
        <f>VLOOKUP(F3727,辅助信息!A:B,2,FALSE)</f>
        <v>螺纹钢</v>
      </c>
      <c r="F3727" s="113" t="s">
        <v>58</v>
      </c>
      <c r="G3727" s="114">
        <v>12</v>
      </c>
      <c r="H3727" s="127"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13" t="str">
        <f>VLOOKUP(B3727,辅助信息!E:I,3,FALSE)</f>
        <v>（商投建工达州中医药科技园-4工区-10号楼）达州市通川区达州中医药职业学院犀牛大道北段</v>
      </c>
      <c r="J3727" s="113" t="str">
        <f>VLOOKUP(B3727,辅助信息!E:I,4,FALSE)</f>
        <v>张扬</v>
      </c>
      <c r="K3727" s="113">
        <f>VLOOKUP(J3727,辅助信息!H:I,2,FALSE)</f>
        <v>18381904567</v>
      </c>
      <c r="L3727" s="115" t="str">
        <f>VLOOKUP(B3727,辅助信息!E:J,6,FALSE)</f>
        <v>控制炉批号！多了现场不收！,优先安排达钢,提前联系到场规格及数量</v>
      </c>
      <c r="M3727" s="84">
        <v>45925</v>
      </c>
      <c r="O3727" s="55">
        <f ca="1" t="shared" si="198"/>
        <v>0</v>
      </c>
      <c r="P3727" s="55">
        <f ca="1" t="shared" si="199"/>
        <v>32</v>
      </c>
      <c r="Q3727" s="22" t="str">
        <f>VLOOKUP(B3727,辅助信息!E:M,9,FALSE)</f>
        <v>ZTWM-CDGS-XS-2024-0134-商投建工达州中医药科技成果示范园项目</v>
      </c>
      <c r="R3727" s="22" t="str">
        <f>_xlfn._xlws.FILTER(辅助信息!D:D,辅助信息!E:E=B3727)</f>
        <v>商投建工达州中医药科技园</v>
      </c>
    </row>
    <row r="3728" hidden="1" spans="2:18">
      <c r="B3728" s="113" t="s">
        <v>112</v>
      </c>
      <c r="C3728" s="63">
        <v>45924</v>
      </c>
      <c r="D3728" s="113" t="str">
        <f>VLOOKUP(B3728,辅助信息!E:K,7,FALSE)</f>
        <v>JWDDCD2025052800131</v>
      </c>
      <c r="E3728" s="113" t="str">
        <f>VLOOKUP(F3728,辅助信息!A:B,2,FALSE)</f>
        <v>螺纹钢</v>
      </c>
      <c r="F3728" s="113" t="s">
        <v>22</v>
      </c>
      <c r="G3728" s="114">
        <v>6</v>
      </c>
      <c r="H3728" s="127"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13" t="str">
        <f>VLOOKUP(B3728,辅助信息!E:I,3,FALSE)</f>
        <v>（商投建工达州中医药科技园-4工区-10号楼）达州市通川区达州中医药职业学院犀牛大道北段</v>
      </c>
      <c r="J3728" s="113" t="str">
        <f>VLOOKUP(B3728,辅助信息!E:I,4,FALSE)</f>
        <v>张扬</v>
      </c>
      <c r="K3728" s="113">
        <f>VLOOKUP(J3728,辅助信息!H:I,2,FALSE)</f>
        <v>18381904567</v>
      </c>
      <c r="L3728" s="115" t="str">
        <f>VLOOKUP(B3728,辅助信息!E:J,6,FALSE)</f>
        <v>控制炉批号！多了现场不收！,优先安排达钢,提前联系到场规格及数量</v>
      </c>
      <c r="M3728" s="84">
        <v>45925</v>
      </c>
      <c r="O3728" s="55">
        <f ca="1" t="shared" si="198"/>
        <v>0</v>
      </c>
      <c r="P3728" s="55">
        <f ca="1" t="shared" si="199"/>
        <v>32</v>
      </c>
      <c r="Q3728" s="22" t="str">
        <f>VLOOKUP(B3728,辅助信息!E:M,9,FALSE)</f>
        <v>ZTWM-CDGS-XS-2024-0134-商投建工达州中医药科技成果示范园项目</v>
      </c>
      <c r="R3728" s="22" t="str">
        <f>_xlfn._xlws.FILTER(辅助信息!D:D,辅助信息!E:E=B3728)</f>
        <v>商投建工达州中医药科技园</v>
      </c>
    </row>
    <row r="3729" hidden="1" spans="2:18">
      <c r="B3729" s="33" t="s">
        <v>211</v>
      </c>
      <c r="C3729" s="63">
        <v>45924</v>
      </c>
      <c r="D3729" s="33" t="e">
        <f>VLOOKUP(B3729,辅助信息!E:K,7,FALSE)</f>
        <v>#N/A</v>
      </c>
      <c r="E3729" s="33" t="str">
        <f>VLOOKUP(F3729,辅助信息!A:B,2,FALSE)</f>
        <v>螺纹钢</v>
      </c>
      <c r="F3729" s="33" t="s">
        <v>19</v>
      </c>
      <c r="G3729" s="29">
        <v>9</v>
      </c>
      <c r="H3729" s="127"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33" t="e">
        <f>VLOOKUP(B3729,辅助信息!E:I,3,FALSE)</f>
        <v>#N/A</v>
      </c>
      <c r="J3729" s="33" t="e">
        <f>VLOOKUP(B3729,辅助信息!E:I,4,FALSE)</f>
        <v>#N/A</v>
      </c>
      <c r="K3729" s="33" t="e">
        <f>VLOOKUP(J3729,辅助信息!H:I,2,FALSE)</f>
        <v>#N/A</v>
      </c>
      <c r="L3729" s="102" t="e">
        <f>VLOOKUP(B3729,辅助信息!E:J,6,FALSE)</f>
        <v>#N/A</v>
      </c>
      <c r="M3729" s="84">
        <v>45925</v>
      </c>
      <c r="O3729" s="55">
        <f ca="1" t="shared" si="198"/>
        <v>0</v>
      </c>
      <c r="P3729" s="55">
        <f ca="1" t="shared" si="199"/>
        <v>32</v>
      </c>
      <c r="Q3729" s="22" t="e">
        <f>VLOOKUP(B3729,辅助信息!E:M,9,FALSE)</f>
        <v>#N/A</v>
      </c>
      <c r="R3729" s="22" vm="1" t="e">
        <f>_xlfn._xlws.FILTER(辅助信息!D:D,辅助信息!E:E=B3729)</f>
        <v>#VALUE!</v>
      </c>
    </row>
    <row r="3730" hidden="1" spans="2:18">
      <c r="B3730" s="33" t="s">
        <v>211</v>
      </c>
      <c r="C3730" s="63">
        <v>45924</v>
      </c>
      <c r="D3730" s="33" t="e">
        <f>VLOOKUP(B3730,辅助信息!E:K,7,FALSE)</f>
        <v>#N/A</v>
      </c>
      <c r="E3730" s="33" t="str">
        <f>VLOOKUP(F3730,辅助信息!A:B,2,FALSE)</f>
        <v>螺纹钢</v>
      </c>
      <c r="F3730" s="33" t="s">
        <v>32</v>
      </c>
      <c r="G3730" s="29">
        <v>9</v>
      </c>
      <c r="H3730" s="127"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33" t="e">
        <f>VLOOKUP(B3730,辅助信息!E:I,3,FALSE)</f>
        <v>#N/A</v>
      </c>
      <c r="J3730" s="33" t="e">
        <f>VLOOKUP(B3730,辅助信息!E:I,4,FALSE)</f>
        <v>#N/A</v>
      </c>
      <c r="K3730" s="33" t="e">
        <f>VLOOKUP(J3730,辅助信息!H:I,2,FALSE)</f>
        <v>#N/A</v>
      </c>
      <c r="L3730" s="102" t="e">
        <f>VLOOKUP(B3730,辅助信息!E:J,6,FALSE)</f>
        <v>#N/A</v>
      </c>
      <c r="M3730" s="84">
        <v>45925</v>
      </c>
      <c r="O3730" s="55">
        <f ca="1" t="shared" si="198"/>
        <v>0</v>
      </c>
      <c r="P3730" s="55">
        <f ca="1" t="shared" si="199"/>
        <v>32</v>
      </c>
      <c r="Q3730" s="22" t="e">
        <f>VLOOKUP(B3730,辅助信息!E:M,9,FALSE)</f>
        <v>#N/A</v>
      </c>
      <c r="R3730" s="22" vm="1" t="e">
        <f>_xlfn._xlws.FILTER(辅助信息!D:D,辅助信息!E:E=B3730)</f>
        <v>#VALUE!</v>
      </c>
    </row>
    <row r="3731" hidden="1" spans="2:18">
      <c r="B3731" s="33" t="s">
        <v>211</v>
      </c>
      <c r="C3731" s="63">
        <v>45924</v>
      </c>
      <c r="D3731" s="33" t="e">
        <f>VLOOKUP(B3731,辅助信息!E:K,7,FALSE)</f>
        <v>#N/A</v>
      </c>
      <c r="E3731" s="33" t="str">
        <f>VLOOKUP(F3731,辅助信息!A:B,2,FALSE)</f>
        <v>螺纹钢</v>
      </c>
      <c r="F3731" s="33" t="s">
        <v>30</v>
      </c>
      <c r="G3731" s="29">
        <v>9</v>
      </c>
      <c r="H3731" s="127"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33" t="e">
        <f>VLOOKUP(B3731,辅助信息!E:I,3,FALSE)</f>
        <v>#N/A</v>
      </c>
      <c r="J3731" s="33" t="e">
        <f>VLOOKUP(B3731,辅助信息!E:I,4,FALSE)</f>
        <v>#N/A</v>
      </c>
      <c r="K3731" s="33" t="e">
        <f>VLOOKUP(J3731,辅助信息!H:I,2,FALSE)</f>
        <v>#N/A</v>
      </c>
      <c r="L3731" s="102" t="e">
        <f>VLOOKUP(B3731,辅助信息!E:J,6,FALSE)</f>
        <v>#N/A</v>
      </c>
      <c r="M3731" s="84">
        <v>45925</v>
      </c>
      <c r="O3731" s="55">
        <f ca="1" t="shared" si="198"/>
        <v>0</v>
      </c>
      <c r="P3731" s="55">
        <f ca="1" t="shared" si="199"/>
        <v>32</v>
      </c>
      <c r="Q3731" s="22" t="e">
        <f>VLOOKUP(B3731,辅助信息!E:M,9,FALSE)</f>
        <v>#N/A</v>
      </c>
      <c r="R3731" s="22" vm="1" t="e">
        <f>_xlfn._xlws.FILTER(辅助信息!D:D,辅助信息!E:E=B3731)</f>
        <v>#VALUE!</v>
      </c>
    </row>
    <row r="3732" hidden="1" spans="2:18">
      <c r="B3732" s="33" t="s">
        <v>211</v>
      </c>
      <c r="C3732" s="63">
        <v>45924</v>
      </c>
      <c r="D3732" s="33" t="e">
        <f>VLOOKUP(B3732,辅助信息!E:K,7,FALSE)</f>
        <v>#N/A</v>
      </c>
      <c r="E3732" s="33" t="str">
        <f>VLOOKUP(F3732,辅助信息!A:B,2,FALSE)</f>
        <v>螺纹钢</v>
      </c>
      <c r="F3732" s="33" t="s">
        <v>33</v>
      </c>
      <c r="G3732" s="29">
        <v>3</v>
      </c>
      <c r="H3732" s="127"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33" t="e">
        <f>VLOOKUP(B3732,辅助信息!E:I,3,FALSE)</f>
        <v>#N/A</v>
      </c>
      <c r="J3732" s="33" t="e">
        <f>VLOOKUP(B3732,辅助信息!E:I,4,FALSE)</f>
        <v>#N/A</v>
      </c>
      <c r="K3732" s="33" t="e">
        <f>VLOOKUP(J3732,辅助信息!H:I,2,FALSE)</f>
        <v>#N/A</v>
      </c>
      <c r="L3732" s="102" t="e">
        <f>VLOOKUP(B3732,辅助信息!E:J,6,FALSE)</f>
        <v>#N/A</v>
      </c>
      <c r="M3732" s="84">
        <v>45925</v>
      </c>
      <c r="O3732" s="55">
        <f ca="1" t="shared" si="198"/>
        <v>0</v>
      </c>
      <c r="P3732" s="55">
        <f ca="1" t="shared" si="199"/>
        <v>32</v>
      </c>
      <c r="Q3732" s="22" t="e">
        <f>VLOOKUP(B3732,辅助信息!E:M,9,FALSE)</f>
        <v>#N/A</v>
      </c>
      <c r="R3732" s="22" vm="1" t="e">
        <f>_xlfn._xlws.FILTER(辅助信息!D:D,辅助信息!E:E=B3732)</f>
        <v>#VALUE!</v>
      </c>
    </row>
    <row r="3733" hidden="1" spans="2:18">
      <c r="B3733" s="33" t="s">
        <v>211</v>
      </c>
      <c r="C3733" s="63">
        <v>45924</v>
      </c>
      <c r="D3733" s="33" t="e">
        <f>VLOOKUP(B3733,辅助信息!E:K,7,FALSE)</f>
        <v>#N/A</v>
      </c>
      <c r="E3733" s="33" t="str">
        <f>VLOOKUP(F3733,辅助信息!A:B,2,FALSE)</f>
        <v>螺纹钢</v>
      </c>
      <c r="F3733" s="33" t="s">
        <v>28</v>
      </c>
      <c r="G3733" s="29">
        <v>6</v>
      </c>
      <c r="H3733" s="127"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33" t="e">
        <f>VLOOKUP(B3733,辅助信息!E:I,3,FALSE)</f>
        <v>#N/A</v>
      </c>
      <c r="J3733" s="33" t="e">
        <f>VLOOKUP(B3733,辅助信息!E:I,4,FALSE)</f>
        <v>#N/A</v>
      </c>
      <c r="K3733" s="33" t="e">
        <f>VLOOKUP(J3733,辅助信息!H:I,2,FALSE)</f>
        <v>#N/A</v>
      </c>
      <c r="L3733" s="102" t="e">
        <f>VLOOKUP(B3733,辅助信息!E:J,6,FALSE)</f>
        <v>#N/A</v>
      </c>
      <c r="M3733" s="84">
        <v>45925</v>
      </c>
      <c r="O3733" s="55">
        <f ca="1" t="shared" si="198"/>
        <v>0</v>
      </c>
      <c r="P3733" s="55">
        <f ca="1" t="shared" si="199"/>
        <v>32</v>
      </c>
      <c r="Q3733" s="22" t="e">
        <f>VLOOKUP(B3733,辅助信息!E:M,9,FALSE)</f>
        <v>#N/A</v>
      </c>
      <c r="R3733" s="22" vm="1" t="e">
        <f>_xlfn._xlws.FILTER(辅助信息!D:D,辅助信息!E:E=B3733)</f>
        <v>#VALUE!</v>
      </c>
    </row>
    <row r="3734" hidden="1" spans="1:18">
      <c r="A3734" s="146" t="s">
        <v>223</v>
      </c>
      <c r="B3734" s="33" t="s">
        <v>167</v>
      </c>
      <c r="C3734" s="63">
        <v>45924</v>
      </c>
      <c r="D3734" s="33" t="str">
        <f>VLOOKUP(B3734,辅助信息!E:K,7,FALSE)</f>
        <v>JWDDCD2025102100473</v>
      </c>
      <c r="E3734" s="33" t="str">
        <f>VLOOKUP(F3734,辅助信息!A:B,2,FALSE)</f>
        <v>盘螺</v>
      </c>
      <c r="F3734" s="33" t="s">
        <v>49</v>
      </c>
      <c r="G3734" s="29">
        <v>5</v>
      </c>
      <c r="H3734" s="127">
        <f>IF(SUMIFS('[1]2025年已发货'!$E:$E,'[1]2025年已发货'!$F:$F,C3734,'[1]2025年已发货'!$C:$C,F3734,'[1]2025年已发货'!$G:$G,I3734,'[1]2025年已发货'!$H:$H,J3734)=0,"未发货",SUMIFS('[1]2025年已发货'!$E:$E,'[1]2025年已发货'!$F:$F,C3734,'[1]2025年已发货'!$C:$C,F3734,'[1]2025年已发货'!$G:$G,I3734,'[1]2025年已发货'!$H:$H,J3734))</f>
        <v>5</v>
      </c>
      <c r="I3734" s="33" t="str">
        <f>VLOOKUP(B3734,辅助信息!E:I,3,FALSE)</f>
        <v>(五冶建设扩建艺体中学二期工程)四川省成都市双流区光荣路成都艺体中学南200米</v>
      </c>
      <c r="J3734" s="33" t="str">
        <f>VLOOKUP(B3734,辅助信息!E:I,4,FALSE)</f>
        <v>谢序强</v>
      </c>
      <c r="K3734" s="33">
        <f>VLOOKUP(J3734,辅助信息!H:I,2,FALSE)</f>
        <v>13458588232</v>
      </c>
      <c r="L3734" s="102"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55" t="str">
        <f ca="1" t="shared" si="198"/>
        <v/>
      </c>
      <c r="P3734" s="55" t="str">
        <f ca="1" t="shared" si="199"/>
        <v/>
      </c>
      <c r="Q3734" s="22" t="str">
        <f>VLOOKUP(B3734,辅助信息!E:M,9,FALSE)</f>
        <v>ZTWM-CDGS-XS-2025-0073-五冶天府-成都怡心湖片区及龙泉驿医院等项目</v>
      </c>
      <c r="R3734" s="22" t="str">
        <f>_xlfn._xlws.FILTER(辅助信息!D:D,辅助信息!E:E=B3734)</f>
        <v>五冶建设扩建艺体中学二期工程</v>
      </c>
    </row>
    <row r="3735" hidden="1" spans="1:18">
      <c r="A3735" s="146"/>
      <c r="B3735" s="33" t="s">
        <v>167</v>
      </c>
      <c r="C3735" s="63">
        <v>45924</v>
      </c>
      <c r="D3735" s="33" t="str">
        <f>VLOOKUP(B3735,辅助信息!E:K,7,FALSE)</f>
        <v>JWDDCD2025102100473</v>
      </c>
      <c r="E3735" s="33" t="str">
        <f>VLOOKUP(F3735,辅助信息!A:B,2,FALSE)</f>
        <v>盘螺</v>
      </c>
      <c r="F3735" s="33" t="s">
        <v>40</v>
      </c>
      <c r="G3735" s="29">
        <v>6</v>
      </c>
      <c r="H3735" s="127">
        <f>IF(SUMIFS('[1]2025年已发货'!$E:$E,'[1]2025年已发货'!$F:$F,C3735,'[1]2025年已发货'!$C:$C,F3735,'[1]2025年已发货'!$G:$G,I3735,'[1]2025年已发货'!$H:$H,J3735)=0,"未发货",SUMIFS('[1]2025年已发货'!$E:$E,'[1]2025年已发货'!$F:$F,C3735,'[1]2025年已发货'!$C:$C,F3735,'[1]2025年已发货'!$G:$G,I3735,'[1]2025年已发货'!$H:$H,J3735))</f>
        <v>6</v>
      </c>
      <c r="I3735" s="33" t="str">
        <f>VLOOKUP(B3735,辅助信息!E:I,3,FALSE)</f>
        <v>(五冶建设扩建艺体中学二期工程)四川省成都市双流区光荣路成都艺体中学南200米</v>
      </c>
      <c r="J3735" s="33" t="str">
        <f>VLOOKUP(B3735,辅助信息!E:I,4,FALSE)</f>
        <v>谢序强</v>
      </c>
      <c r="K3735" s="33">
        <f>VLOOKUP(J3735,辅助信息!H:I,2,FALSE)</f>
        <v>13458588232</v>
      </c>
      <c r="L3735" s="102"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55" t="str">
        <f ca="1" t="shared" si="198"/>
        <v/>
      </c>
      <c r="P3735" s="55" t="str">
        <f ca="1" t="shared" si="199"/>
        <v/>
      </c>
      <c r="Q3735" s="22" t="str">
        <f>VLOOKUP(B3735,辅助信息!E:M,9,FALSE)</f>
        <v>ZTWM-CDGS-XS-2025-0073-五冶天府-成都怡心湖片区及龙泉驿医院等项目</v>
      </c>
      <c r="R3735" s="22" t="str">
        <f>_xlfn._xlws.FILTER(辅助信息!D:D,辅助信息!E:E=B3735)</f>
        <v>五冶建设扩建艺体中学二期工程</v>
      </c>
    </row>
    <row r="3736" hidden="1" spans="1:18">
      <c r="A3736" s="146"/>
      <c r="B3736" s="33" t="s">
        <v>167</v>
      </c>
      <c r="C3736" s="63">
        <v>45924</v>
      </c>
      <c r="D3736" s="33" t="str">
        <f>VLOOKUP(B3736,辅助信息!E:K,7,FALSE)</f>
        <v>JWDDCD2025102100473</v>
      </c>
      <c r="E3736" s="33" t="str">
        <f>VLOOKUP(F3736,辅助信息!A:B,2,FALSE)</f>
        <v>盘螺</v>
      </c>
      <c r="F3736" s="33" t="s">
        <v>41</v>
      </c>
      <c r="G3736" s="29">
        <v>10</v>
      </c>
      <c r="H3736" s="127">
        <f>IF(SUMIFS('[1]2025年已发货'!$E:$E,'[1]2025年已发货'!$F:$F,C3736,'[1]2025年已发货'!$C:$C,F3736,'[1]2025年已发货'!$G:$G,I3736,'[1]2025年已发货'!$H:$H,J3736)=0,"未发货",SUMIFS('[1]2025年已发货'!$E:$E,'[1]2025年已发货'!$F:$F,C3736,'[1]2025年已发货'!$C:$C,F3736,'[1]2025年已发货'!$G:$G,I3736,'[1]2025年已发货'!$H:$H,J3736))</f>
        <v>10</v>
      </c>
      <c r="I3736" s="33" t="str">
        <f>VLOOKUP(B3736,辅助信息!E:I,3,FALSE)</f>
        <v>(五冶建设扩建艺体中学二期工程)四川省成都市双流区光荣路成都艺体中学南200米</v>
      </c>
      <c r="J3736" s="33" t="str">
        <f>VLOOKUP(B3736,辅助信息!E:I,4,FALSE)</f>
        <v>谢序强</v>
      </c>
      <c r="K3736" s="33">
        <f>VLOOKUP(J3736,辅助信息!H:I,2,FALSE)</f>
        <v>13458588232</v>
      </c>
      <c r="L3736" s="102"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55" t="str">
        <f ca="1" t="shared" si="198"/>
        <v/>
      </c>
      <c r="P3736" s="55" t="str">
        <f ca="1" t="shared" si="199"/>
        <v/>
      </c>
      <c r="Q3736" s="22" t="str">
        <f>VLOOKUP(B3736,辅助信息!E:M,9,FALSE)</f>
        <v>ZTWM-CDGS-XS-2025-0073-五冶天府-成都怡心湖片区及龙泉驿医院等项目</v>
      </c>
      <c r="R3736" s="22" t="str">
        <f>_xlfn._xlws.FILTER(辅助信息!D:D,辅助信息!E:E=B3736)</f>
        <v>五冶建设扩建艺体中学二期工程</v>
      </c>
    </row>
    <row r="3737" hidden="1" spans="1:18">
      <c r="A3737" s="146"/>
      <c r="B3737" s="33" t="s">
        <v>167</v>
      </c>
      <c r="C3737" s="63">
        <v>45924</v>
      </c>
      <c r="D3737" s="33" t="str">
        <f>VLOOKUP(B3737,辅助信息!E:K,7,FALSE)</f>
        <v>JWDDCD2025102100473</v>
      </c>
      <c r="E3737" s="33" t="str">
        <f>VLOOKUP(F3737,辅助信息!A:B,2,FALSE)</f>
        <v>螺纹钢</v>
      </c>
      <c r="F3737" s="33" t="s">
        <v>27</v>
      </c>
      <c r="G3737" s="29">
        <v>30</v>
      </c>
      <c r="H3737" s="127">
        <f>IF(SUMIFS('[1]2025年已发货'!$E:$E,'[1]2025年已发货'!$F:$F,C3737,'[1]2025年已发货'!$C:$C,F3737,'[1]2025年已发货'!$G:$G,I3737,'[1]2025年已发货'!$H:$H,J3737)=0,"未发货",SUMIFS('[1]2025年已发货'!$E:$E,'[1]2025年已发货'!$F:$F,C3737,'[1]2025年已发货'!$C:$C,F3737,'[1]2025年已发货'!$G:$G,I3737,'[1]2025年已发货'!$H:$H,J3737))</f>
        <v>30</v>
      </c>
      <c r="I3737" s="33" t="str">
        <f>VLOOKUP(B3737,辅助信息!E:I,3,FALSE)</f>
        <v>(五冶建设扩建艺体中学二期工程)四川省成都市双流区光荣路成都艺体中学南200米</v>
      </c>
      <c r="J3737" s="33" t="str">
        <f>VLOOKUP(B3737,辅助信息!E:I,4,FALSE)</f>
        <v>谢序强</v>
      </c>
      <c r="K3737" s="33">
        <f>VLOOKUP(J3737,辅助信息!H:I,2,FALSE)</f>
        <v>13458588232</v>
      </c>
      <c r="L3737" s="102"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55" t="str">
        <f ca="1" t="shared" si="198"/>
        <v/>
      </c>
      <c r="P3737" s="55" t="str">
        <f ca="1" t="shared" si="199"/>
        <v/>
      </c>
      <c r="Q3737" s="22" t="str">
        <f>VLOOKUP(B3737,辅助信息!E:M,9,FALSE)</f>
        <v>ZTWM-CDGS-XS-2025-0073-五冶天府-成都怡心湖片区及龙泉驿医院等项目</v>
      </c>
      <c r="R3737" s="22" t="str">
        <f>_xlfn._xlws.FILTER(辅助信息!D:D,辅助信息!E:E=B3737)</f>
        <v>五冶建设扩建艺体中学二期工程</v>
      </c>
    </row>
    <row r="3738" hidden="1" spans="1:18">
      <c r="A3738" s="146"/>
      <c r="B3738" s="33" t="s">
        <v>167</v>
      </c>
      <c r="C3738" s="63">
        <v>45924</v>
      </c>
      <c r="D3738" s="33" t="str">
        <f>VLOOKUP(B3738,辅助信息!E:K,7,FALSE)</f>
        <v>JWDDCD2025102100473</v>
      </c>
      <c r="E3738" s="33" t="str">
        <f>VLOOKUP(F3738,辅助信息!A:B,2,FALSE)</f>
        <v>螺纹钢</v>
      </c>
      <c r="F3738" s="33" t="s">
        <v>45</v>
      </c>
      <c r="G3738" s="29">
        <v>6</v>
      </c>
      <c r="H3738" s="127">
        <f>IF(SUMIFS('[1]2025年已发货'!$E:$E,'[1]2025年已发货'!$F:$F,C3738,'[1]2025年已发货'!$C:$C,F3738,'[1]2025年已发货'!$G:$G,I3738,'[1]2025年已发货'!$H:$H,J3738)=0,"未发货",SUMIFS('[1]2025年已发货'!$E:$E,'[1]2025年已发货'!$F:$F,C3738,'[1]2025年已发货'!$C:$C,F3738,'[1]2025年已发货'!$G:$G,I3738,'[1]2025年已发货'!$H:$H,J3738))</f>
        <v>6</v>
      </c>
      <c r="I3738" s="33" t="str">
        <f>VLOOKUP(B3738,辅助信息!E:I,3,FALSE)</f>
        <v>(五冶建设扩建艺体中学二期工程)四川省成都市双流区光荣路成都艺体中学南200米</v>
      </c>
      <c r="J3738" s="33" t="str">
        <f>VLOOKUP(B3738,辅助信息!E:I,4,FALSE)</f>
        <v>谢序强</v>
      </c>
      <c r="K3738" s="33">
        <f>VLOOKUP(J3738,辅助信息!H:I,2,FALSE)</f>
        <v>13458588232</v>
      </c>
      <c r="L3738" s="102"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55" t="str">
        <f ca="1" t="shared" si="198"/>
        <v/>
      </c>
      <c r="P3738" s="55" t="str">
        <f ca="1" t="shared" si="199"/>
        <v/>
      </c>
      <c r="Q3738" s="22" t="str">
        <f>VLOOKUP(B3738,辅助信息!E:M,9,FALSE)</f>
        <v>ZTWM-CDGS-XS-2025-0073-五冶天府-成都怡心湖片区及龙泉驿医院等项目</v>
      </c>
      <c r="R3738" s="22" t="str">
        <f>_xlfn._xlws.FILTER(辅助信息!D:D,辅助信息!E:E=B3738)</f>
        <v>五冶建设扩建艺体中学二期工程</v>
      </c>
    </row>
    <row r="3739" hidden="1" spans="1:18">
      <c r="A3739" s="146"/>
      <c r="B3739" s="33" t="s">
        <v>167</v>
      </c>
      <c r="C3739" s="63">
        <v>45924</v>
      </c>
      <c r="D3739" s="33" t="str">
        <f>VLOOKUP(B3739,辅助信息!E:K,7,FALSE)</f>
        <v>JWDDCD2025102100473</v>
      </c>
      <c r="E3739" s="33" t="str">
        <f>VLOOKUP(F3739,辅助信息!A:B,2,FALSE)</f>
        <v>螺纹钢</v>
      </c>
      <c r="F3739" s="33" t="s">
        <v>58</v>
      </c>
      <c r="G3739" s="29">
        <v>6</v>
      </c>
      <c r="H3739" s="127">
        <f>IF(SUMIFS('[1]2025年已发货'!$E:$E,'[1]2025年已发货'!$F:$F,C3739,'[1]2025年已发货'!$C:$C,F3739,'[1]2025年已发货'!$G:$G,I3739,'[1]2025年已发货'!$H:$H,J3739)=0,"未发货",SUMIFS('[1]2025年已发货'!$E:$E,'[1]2025年已发货'!$F:$F,C3739,'[1]2025年已发货'!$C:$C,F3739,'[1]2025年已发货'!$G:$G,I3739,'[1]2025年已发货'!$H:$H,J3739))</f>
        <v>6</v>
      </c>
      <c r="I3739" s="33" t="str">
        <f>VLOOKUP(B3739,辅助信息!E:I,3,FALSE)</f>
        <v>(五冶建设扩建艺体中学二期工程)四川省成都市双流区光荣路成都艺体中学南200米</v>
      </c>
      <c r="J3739" s="33" t="str">
        <f>VLOOKUP(B3739,辅助信息!E:I,4,FALSE)</f>
        <v>谢序强</v>
      </c>
      <c r="K3739" s="33">
        <f>VLOOKUP(J3739,辅助信息!H:I,2,FALSE)</f>
        <v>13458588232</v>
      </c>
      <c r="L3739" s="102"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55" t="str">
        <f ca="1" t="shared" si="198"/>
        <v/>
      </c>
      <c r="P3739" s="55" t="str">
        <f ca="1" t="shared" si="199"/>
        <v/>
      </c>
      <c r="Q3739" s="22" t="str">
        <f>VLOOKUP(B3739,辅助信息!E:M,9,FALSE)</f>
        <v>ZTWM-CDGS-XS-2025-0073-五冶天府-成都怡心湖片区及龙泉驿医院等项目</v>
      </c>
      <c r="R3739" s="22" t="str">
        <f>_xlfn._xlws.FILTER(辅助信息!D:D,辅助信息!E:E=B3739)</f>
        <v>五冶建设扩建艺体中学二期工程</v>
      </c>
    </row>
    <row r="3740" hidden="1" spans="1:18">
      <c r="A3740" s="146"/>
      <c r="B3740" s="33" t="s">
        <v>167</v>
      </c>
      <c r="C3740" s="63">
        <v>45924</v>
      </c>
      <c r="D3740" s="33" t="str">
        <f>VLOOKUP(B3740,辅助信息!E:K,7,FALSE)</f>
        <v>JWDDCD2025102100473</v>
      </c>
      <c r="E3740" s="33" t="str">
        <f>VLOOKUP(F3740,辅助信息!A:B,2,FALSE)</f>
        <v>螺纹钢</v>
      </c>
      <c r="F3740" s="33" t="s">
        <v>46</v>
      </c>
      <c r="G3740" s="29">
        <v>6</v>
      </c>
      <c r="H3740" s="127">
        <f>IF(SUMIFS('[1]2025年已发货'!$E:$E,'[1]2025年已发货'!$F:$F,C3740,'[1]2025年已发货'!$C:$C,F3740,'[1]2025年已发货'!$G:$G,I3740,'[1]2025年已发货'!$H:$H,J3740)=0,"未发货",SUMIFS('[1]2025年已发货'!$E:$E,'[1]2025年已发货'!$F:$F,C3740,'[1]2025年已发货'!$C:$C,F3740,'[1]2025年已发货'!$G:$G,I3740,'[1]2025年已发货'!$H:$H,J3740))</f>
        <v>6</v>
      </c>
      <c r="I3740" s="33" t="str">
        <f>VLOOKUP(B3740,辅助信息!E:I,3,FALSE)</f>
        <v>(五冶建设扩建艺体中学二期工程)四川省成都市双流区光荣路成都艺体中学南200米</v>
      </c>
      <c r="J3740" s="33" t="str">
        <f>VLOOKUP(B3740,辅助信息!E:I,4,FALSE)</f>
        <v>谢序强</v>
      </c>
      <c r="K3740" s="33">
        <f>VLOOKUP(J3740,辅助信息!H:I,2,FALSE)</f>
        <v>13458588232</v>
      </c>
      <c r="L3740" s="102"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55" t="str">
        <f ca="1" t="shared" si="198"/>
        <v/>
      </c>
      <c r="P3740" s="55" t="str">
        <f ca="1" t="shared" si="199"/>
        <v/>
      </c>
      <c r="Q3740" s="22" t="str">
        <f>VLOOKUP(B3740,辅助信息!E:M,9,FALSE)</f>
        <v>ZTWM-CDGS-XS-2025-0073-五冶天府-成都怡心湖片区及龙泉驿医院等项目</v>
      </c>
      <c r="R3740" s="22" t="str">
        <f>_xlfn._xlws.FILTER(辅助信息!D:D,辅助信息!E:E=B3740)</f>
        <v>五冶建设扩建艺体中学二期工程</v>
      </c>
    </row>
    <row r="3741" hidden="1" spans="1:18">
      <c r="A3741" s="146"/>
      <c r="B3741" s="33" t="s">
        <v>167</v>
      </c>
      <c r="C3741" s="63">
        <v>45924</v>
      </c>
      <c r="D3741" s="33" t="str">
        <f>VLOOKUP(B3741,辅助信息!E:K,7,FALSE)</f>
        <v>JWDDCD2025102100473</v>
      </c>
      <c r="E3741" s="33" t="str">
        <f>VLOOKUP(F3741,辅助信息!A:B,2,FALSE)</f>
        <v>螺纹钢</v>
      </c>
      <c r="F3741" s="33" t="s">
        <v>22</v>
      </c>
      <c r="G3741" s="29">
        <v>30</v>
      </c>
      <c r="H3741" s="127">
        <f>IF(SUMIFS('[1]2025年已发货'!$E:$E,'[1]2025年已发货'!$F:$F,C3741,'[1]2025年已发货'!$C:$C,F3741,'[1]2025年已发货'!$G:$G,I3741,'[1]2025年已发货'!$H:$H,J3741)=0,"未发货",SUMIFS('[1]2025年已发货'!$E:$E,'[1]2025年已发货'!$F:$F,C3741,'[1]2025年已发货'!$C:$C,F3741,'[1]2025年已发货'!$G:$G,I3741,'[1]2025年已发货'!$H:$H,J3741))</f>
        <v>30</v>
      </c>
      <c r="I3741" s="33" t="str">
        <f>VLOOKUP(B3741,辅助信息!E:I,3,FALSE)</f>
        <v>(五冶建设扩建艺体中学二期工程)四川省成都市双流区光荣路成都艺体中学南200米</v>
      </c>
      <c r="J3741" s="33" t="str">
        <f>VLOOKUP(B3741,辅助信息!E:I,4,FALSE)</f>
        <v>谢序强</v>
      </c>
      <c r="K3741" s="33">
        <f>VLOOKUP(J3741,辅助信息!H:I,2,FALSE)</f>
        <v>13458588232</v>
      </c>
      <c r="L3741" s="102"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55" t="str">
        <f ca="1" t="shared" si="198"/>
        <v/>
      </c>
      <c r="P3741" s="55" t="str">
        <f ca="1" t="shared" si="199"/>
        <v/>
      </c>
      <c r="Q3741" s="22" t="str">
        <f>VLOOKUP(B3741,辅助信息!E:M,9,FALSE)</f>
        <v>ZTWM-CDGS-XS-2025-0073-五冶天府-成都怡心湖片区及龙泉驿医院等项目</v>
      </c>
      <c r="R3741" s="22" t="str">
        <f>_xlfn._xlws.FILTER(辅助信息!D:D,辅助信息!E:E=B3741)</f>
        <v>五冶建设扩建艺体中学二期工程</v>
      </c>
    </row>
    <row r="3742" hidden="1" spans="1:18">
      <c r="A3742" s="146"/>
      <c r="B3742" s="33" t="s">
        <v>167</v>
      </c>
      <c r="C3742" s="63">
        <v>45924</v>
      </c>
      <c r="D3742" s="33" t="str">
        <f>VLOOKUP(B3742,辅助信息!E:K,7,FALSE)</f>
        <v>JWDDCD2025102100473</v>
      </c>
      <c r="E3742" s="33" t="str">
        <f>VLOOKUP(F3742,辅助信息!A:B,2,FALSE)</f>
        <v>螺纹钢</v>
      </c>
      <c r="F3742" s="33" t="s">
        <v>181</v>
      </c>
      <c r="G3742" s="29">
        <v>15</v>
      </c>
      <c r="H3742" s="127"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33" t="str">
        <f>VLOOKUP(B3742,辅助信息!E:I,3,FALSE)</f>
        <v>(五冶建设扩建艺体中学二期工程)四川省成都市双流区光荣路成都艺体中学南200米</v>
      </c>
      <c r="J3742" s="33" t="str">
        <f>VLOOKUP(B3742,辅助信息!E:I,4,FALSE)</f>
        <v>谢序强</v>
      </c>
      <c r="K3742" s="33">
        <f>VLOOKUP(J3742,辅助信息!H:I,2,FALSE)</f>
        <v>13458588232</v>
      </c>
      <c r="L3742" s="102"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55" t="str">
        <f ca="1" t="shared" si="198"/>
        <v/>
      </c>
      <c r="P3742" s="55" t="str">
        <f ca="1" t="shared" si="199"/>
        <v/>
      </c>
      <c r="Q3742" s="22" t="str">
        <f>VLOOKUP(B3742,辅助信息!E:M,9,FALSE)</f>
        <v>ZTWM-CDGS-XS-2025-0073-五冶天府-成都怡心湖片区及龙泉驿医院等项目</v>
      </c>
      <c r="R3742" s="22" t="str">
        <f>_xlfn._xlws.FILTER(辅助信息!D:D,辅助信息!E:E=B3742)</f>
        <v>五冶建设扩建艺体中学二期工程</v>
      </c>
    </row>
    <row r="3743" hidden="1" spans="1:18">
      <c r="A3743" s="146"/>
      <c r="B3743" s="33" t="s">
        <v>167</v>
      </c>
      <c r="C3743" s="63">
        <v>45924</v>
      </c>
      <c r="D3743" s="33" t="str">
        <f>VLOOKUP(B3743,辅助信息!E:K,7,FALSE)</f>
        <v>JWDDCD2025102100473</v>
      </c>
      <c r="E3743" s="33" t="str">
        <f>VLOOKUP(F3743,辅助信息!A:B,2,FALSE)</f>
        <v>螺纹钢</v>
      </c>
      <c r="F3743" s="33" t="s">
        <v>182</v>
      </c>
      <c r="G3743" s="29">
        <v>30</v>
      </c>
      <c r="H3743" s="127">
        <f>IF(SUMIFS('[1]2025年已发货'!$E:$E,'[1]2025年已发货'!$F:$F,C3743,'[1]2025年已发货'!$C:$C,F3743,'[1]2025年已发货'!$G:$G,I3743,'[1]2025年已发货'!$H:$H,J3743)=0,"未发货",SUMIFS('[1]2025年已发货'!$E:$E,'[1]2025年已发货'!$F:$F,C3743,'[1]2025年已发货'!$C:$C,F3743,'[1]2025年已发货'!$G:$G,I3743,'[1]2025年已发货'!$H:$H,J3743))</f>
        <v>10</v>
      </c>
      <c r="I3743" s="33" t="str">
        <f>VLOOKUP(B3743,辅助信息!E:I,3,FALSE)</f>
        <v>(五冶建设扩建艺体中学二期工程)四川省成都市双流区光荣路成都艺体中学南200米</v>
      </c>
      <c r="J3743" s="33" t="str">
        <f>VLOOKUP(B3743,辅助信息!E:I,4,FALSE)</f>
        <v>谢序强</v>
      </c>
      <c r="K3743" s="33">
        <f>VLOOKUP(J3743,辅助信息!H:I,2,FALSE)</f>
        <v>13458588232</v>
      </c>
      <c r="L3743" s="102"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55" t="str">
        <f ca="1" t="shared" si="198"/>
        <v/>
      </c>
      <c r="P3743" s="55" t="str">
        <f ca="1" t="shared" si="199"/>
        <v/>
      </c>
      <c r="Q3743" s="22" t="str">
        <f>VLOOKUP(B3743,辅助信息!E:M,9,FALSE)</f>
        <v>ZTWM-CDGS-XS-2025-0073-五冶天府-成都怡心湖片区及龙泉驿医院等项目</v>
      </c>
      <c r="R3743" s="22" t="str">
        <f>_xlfn._xlws.FILTER(辅助信息!D:D,辅助信息!E:E=B3743)</f>
        <v>五冶建设扩建艺体中学二期工程</v>
      </c>
    </row>
    <row r="3744" hidden="1" spans="2:18">
      <c r="B3744" s="33" t="s">
        <v>47</v>
      </c>
      <c r="C3744" s="63">
        <v>45924</v>
      </c>
      <c r="D3744" s="33" t="str">
        <f>VLOOKUP(B3744,辅助信息!E:K,7,FALSE)</f>
        <v>JWDDCD2025052800131</v>
      </c>
      <c r="E3744" s="33" t="str">
        <f>VLOOKUP(F3744,辅助信息!A:B,2,FALSE)</f>
        <v>盘螺</v>
      </c>
      <c r="F3744" s="33" t="s">
        <v>49</v>
      </c>
      <c r="G3744" s="29">
        <v>3</v>
      </c>
      <c r="H3744" s="127"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33" t="str">
        <f>VLOOKUP(B3744,辅助信息!E:I,3,FALSE)</f>
        <v>（商投建工达州中医药科技园-1工区）达州市通川区达州中医药职业学院犀牛大道北段</v>
      </c>
      <c r="J3744" s="33" t="str">
        <f>VLOOKUP(B3744,辅助信息!E:I,4,FALSE)</f>
        <v>程黄刚</v>
      </c>
      <c r="K3744" s="33">
        <f>VLOOKUP(J3744,辅助信息!H:I,2,FALSE)</f>
        <v>15108211617</v>
      </c>
      <c r="L3744" s="102" t="str">
        <f>VLOOKUP(B3744,辅助信息!E:J,6,FALSE)</f>
        <v>控制炉批号！多了现场不收！,优先安排达钢,提前联系到场规格及数量</v>
      </c>
      <c r="O3744" s="55" t="str">
        <f ca="1" t="shared" ref="O3744:O3807" si="200">IF(OR(M3744="",N3744&lt;&gt;""),"",MAX(M3744-TODAY(),0))</f>
        <v/>
      </c>
      <c r="P3744" s="55" t="str">
        <f ca="1" t="shared" ref="P3744:P3807" si="201">IF(M3744="","",IF(N3744&lt;&gt;"",MAX(N3744-M3744,0),IF(TODAY()&gt;M3744,TODAY()-M3744,0)))</f>
        <v/>
      </c>
      <c r="Q3744" s="22" t="str">
        <f>VLOOKUP(B3744,辅助信息!E:M,9,FALSE)</f>
        <v>ZTWM-CDGS-XS-2024-0134-商投建工达州中医药科技成果示范园项目</v>
      </c>
      <c r="R3744" s="22" t="str">
        <f>_xlfn._xlws.FILTER(辅助信息!D:D,辅助信息!E:E=B3744)</f>
        <v>商投建工达州中医药科技园</v>
      </c>
    </row>
    <row r="3745" hidden="1" spans="2:18">
      <c r="B3745" s="33" t="s">
        <v>47</v>
      </c>
      <c r="C3745" s="63">
        <v>45924</v>
      </c>
      <c r="D3745" s="33" t="str">
        <f>VLOOKUP(B3745,辅助信息!E:K,7,FALSE)</f>
        <v>JWDDCD2025052800131</v>
      </c>
      <c r="E3745" s="33" t="str">
        <f>VLOOKUP(F3745,辅助信息!A:B,2,FALSE)</f>
        <v>盘螺</v>
      </c>
      <c r="F3745" s="33" t="s">
        <v>40</v>
      </c>
      <c r="G3745" s="29">
        <v>15</v>
      </c>
      <c r="H3745" s="127"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33" t="str">
        <f>VLOOKUP(B3745,辅助信息!E:I,3,FALSE)</f>
        <v>（商投建工达州中医药科技园-1工区）达州市通川区达州中医药职业学院犀牛大道北段</v>
      </c>
      <c r="J3745" s="33" t="str">
        <f>VLOOKUP(B3745,辅助信息!E:I,4,FALSE)</f>
        <v>程黄刚</v>
      </c>
      <c r="K3745" s="33">
        <f>VLOOKUP(J3745,辅助信息!H:I,2,FALSE)</f>
        <v>15108211617</v>
      </c>
      <c r="L3745" s="102" t="str">
        <f>VLOOKUP(B3745,辅助信息!E:J,6,FALSE)</f>
        <v>控制炉批号！多了现场不收！,优先安排达钢,提前联系到场规格及数量</v>
      </c>
      <c r="O3745" s="55" t="str">
        <f ca="1" t="shared" si="200"/>
        <v/>
      </c>
      <c r="P3745" s="55" t="str">
        <f ca="1" t="shared" si="201"/>
        <v/>
      </c>
      <c r="Q3745" s="22" t="str">
        <f>VLOOKUP(B3745,辅助信息!E:M,9,FALSE)</f>
        <v>ZTWM-CDGS-XS-2024-0134-商投建工达州中医药科技成果示范园项目</v>
      </c>
      <c r="R3745" s="22" t="str">
        <f>_xlfn._xlws.FILTER(辅助信息!D:D,辅助信息!E:E=B3745)</f>
        <v>商投建工达州中医药科技园</v>
      </c>
    </row>
    <row r="3746" hidden="1" spans="2:18">
      <c r="B3746" s="33" t="s">
        <v>47</v>
      </c>
      <c r="C3746" s="63">
        <v>45924</v>
      </c>
      <c r="D3746" s="33" t="str">
        <f>VLOOKUP(B3746,辅助信息!E:K,7,FALSE)</f>
        <v>JWDDCD2025052800131</v>
      </c>
      <c r="E3746" s="33" t="str">
        <f>VLOOKUP(F3746,辅助信息!A:B,2,FALSE)</f>
        <v>盘螺</v>
      </c>
      <c r="F3746" s="33" t="s">
        <v>41</v>
      </c>
      <c r="G3746" s="29">
        <v>9</v>
      </c>
      <c r="H3746" s="127"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33" t="str">
        <f>VLOOKUP(B3746,辅助信息!E:I,3,FALSE)</f>
        <v>（商投建工达州中医药科技园-1工区）达州市通川区达州中医药职业学院犀牛大道北段</v>
      </c>
      <c r="J3746" s="33" t="str">
        <f>VLOOKUP(B3746,辅助信息!E:I,4,FALSE)</f>
        <v>程黄刚</v>
      </c>
      <c r="K3746" s="33">
        <f>VLOOKUP(J3746,辅助信息!H:I,2,FALSE)</f>
        <v>15108211617</v>
      </c>
      <c r="L3746" s="102" t="str">
        <f>VLOOKUP(B3746,辅助信息!E:J,6,FALSE)</f>
        <v>控制炉批号！多了现场不收！,优先安排达钢,提前联系到场规格及数量</v>
      </c>
      <c r="O3746" s="55" t="str">
        <f ca="1" t="shared" si="200"/>
        <v/>
      </c>
      <c r="P3746" s="55" t="str">
        <f ca="1" t="shared" si="201"/>
        <v/>
      </c>
      <c r="Q3746" s="22" t="str">
        <f>VLOOKUP(B3746,辅助信息!E:M,9,FALSE)</f>
        <v>ZTWM-CDGS-XS-2024-0134-商投建工达州中医药科技成果示范园项目</v>
      </c>
      <c r="R3746" s="22" t="str">
        <f>_xlfn._xlws.FILTER(辅助信息!D:D,辅助信息!E:E=B3746)</f>
        <v>商投建工达州中医药科技园</v>
      </c>
    </row>
    <row r="3747" hidden="1" spans="2:18">
      <c r="B3747" s="33" t="s">
        <v>47</v>
      </c>
      <c r="C3747" s="63">
        <v>45924</v>
      </c>
      <c r="D3747" s="33" t="str">
        <f>VLOOKUP(B3747,辅助信息!E:K,7,FALSE)</f>
        <v>JWDDCD2025052800131</v>
      </c>
      <c r="E3747" s="33" t="str">
        <f>VLOOKUP(F3747,辅助信息!A:B,2,FALSE)</f>
        <v>螺纹钢</v>
      </c>
      <c r="F3747" s="33" t="s">
        <v>27</v>
      </c>
      <c r="G3747" s="29">
        <v>9</v>
      </c>
      <c r="H3747" s="127"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33" t="str">
        <f>VLOOKUP(B3747,辅助信息!E:I,3,FALSE)</f>
        <v>（商投建工达州中医药科技园-1工区）达州市通川区达州中医药职业学院犀牛大道北段</v>
      </c>
      <c r="J3747" s="33" t="str">
        <f>VLOOKUP(B3747,辅助信息!E:I,4,FALSE)</f>
        <v>程黄刚</v>
      </c>
      <c r="K3747" s="33">
        <f>VLOOKUP(J3747,辅助信息!H:I,2,FALSE)</f>
        <v>15108211617</v>
      </c>
      <c r="L3747" s="102" t="str">
        <f>VLOOKUP(B3747,辅助信息!E:J,6,FALSE)</f>
        <v>控制炉批号！多了现场不收！,优先安排达钢,提前联系到场规格及数量</v>
      </c>
      <c r="O3747" s="55" t="str">
        <f ca="1" t="shared" si="200"/>
        <v/>
      </c>
      <c r="P3747" s="55" t="str">
        <f ca="1" t="shared" si="201"/>
        <v/>
      </c>
      <c r="Q3747" s="22" t="str">
        <f>VLOOKUP(B3747,辅助信息!E:M,9,FALSE)</f>
        <v>ZTWM-CDGS-XS-2024-0134-商投建工达州中医药科技成果示范园项目</v>
      </c>
      <c r="R3747" s="22" t="str">
        <f>_xlfn._xlws.FILTER(辅助信息!D:D,辅助信息!E:E=B3747)</f>
        <v>商投建工达州中医药科技园</v>
      </c>
    </row>
    <row r="3748" hidden="1" spans="2:18">
      <c r="B3748" s="33" t="s">
        <v>47</v>
      </c>
      <c r="C3748" s="63">
        <v>45924</v>
      </c>
      <c r="D3748" s="33" t="str">
        <f>VLOOKUP(B3748,辅助信息!E:K,7,FALSE)</f>
        <v>JWDDCD2025052800131</v>
      </c>
      <c r="E3748" s="33" t="str">
        <f>VLOOKUP(F3748,辅助信息!A:B,2,FALSE)</f>
        <v>螺纹钢</v>
      </c>
      <c r="F3748" s="33" t="s">
        <v>19</v>
      </c>
      <c r="G3748" s="29">
        <v>3</v>
      </c>
      <c r="H3748" s="127"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33" t="str">
        <f>VLOOKUP(B3748,辅助信息!E:I,3,FALSE)</f>
        <v>（商投建工达州中医药科技园-1工区）达州市通川区达州中医药职业学院犀牛大道北段</v>
      </c>
      <c r="J3748" s="33" t="str">
        <f>VLOOKUP(B3748,辅助信息!E:I,4,FALSE)</f>
        <v>程黄刚</v>
      </c>
      <c r="K3748" s="33">
        <f>VLOOKUP(J3748,辅助信息!H:I,2,FALSE)</f>
        <v>15108211617</v>
      </c>
      <c r="L3748" s="102" t="str">
        <f>VLOOKUP(B3748,辅助信息!E:J,6,FALSE)</f>
        <v>控制炉批号！多了现场不收！,优先安排达钢,提前联系到场规格及数量</v>
      </c>
      <c r="O3748" s="55" t="str">
        <f ca="1" t="shared" si="200"/>
        <v/>
      </c>
      <c r="P3748" s="55" t="str">
        <f ca="1" t="shared" si="201"/>
        <v/>
      </c>
      <c r="Q3748" s="22" t="str">
        <f>VLOOKUP(B3748,辅助信息!E:M,9,FALSE)</f>
        <v>ZTWM-CDGS-XS-2024-0134-商投建工达州中医药科技成果示范园项目</v>
      </c>
      <c r="R3748" s="22" t="str">
        <f>_xlfn._xlws.FILTER(辅助信息!D:D,辅助信息!E:E=B3748)</f>
        <v>商投建工达州中医药科技园</v>
      </c>
    </row>
    <row r="3749" hidden="1" spans="2:18">
      <c r="B3749" s="33" t="s">
        <v>47</v>
      </c>
      <c r="C3749" s="63">
        <v>45924</v>
      </c>
      <c r="D3749" s="33" t="str">
        <f>VLOOKUP(B3749,辅助信息!E:K,7,FALSE)</f>
        <v>JWDDCD2025052800131</v>
      </c>
      <c r="E3749" s="33" t="str">
        <f>VLOOKUP(F3749,辅助信息!A:B,2,FALSE)</f>
        <v>螺纹钢</v>
      </c>
      <c r="F3749" s="33" t="s">
        <v>32</v>
      </c>
      <c r="G3749" s="29">
        <v>9</v>
      </c>
      <c r="H3749" s="127"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33" t="str">
        <f>VLOOKUP(B3749,辅助信息!E:I,3,FALSE)</f>
        <v>（商投建工达州中医药科技园-1工区）达州市通川区达州中医药职业学院犀牛大道北段</v>
      </c>
      <c r="J3749" s="33" t="str">
        <f>VLOOKUP(B3749,辅助信息!E:I,4,FALSE)</f>
        <v>程黄刚</v>
      </c>
      <c r="K3749" s="33">
        <f>VLOOKUP(J3749,辅助信息!H:I,2,FALSE)</f>
        <v>15108211617</v>
      </c>
      <c r="L3749" s="102" t="str">
        <f>VLOOKUP(B3749,辅助信息!E:J,6,FALSE)</f>
        <v>控制炉批号！多了现场不收！,优先安排达钢,提前联系到场规格及数量</v>
      </c>
      <c r="O3749" s="55" t="str">
        <f ca="1" t="shared" si="200"/>
        <v/>
      </c>
      <c r="P3749" s="55" t="str">
        <f ca="1" t="shared" si="201"/>
        <v/>
      </c>
      <c r="Q3749" s="22" t="str">
        <f>VLOOKUP(B3749,辅助信息!E:M,9,FALSE)</f>
        <v>ZTWM-CDGS-XS-2024-0134-商投建工达州中医药科技成果示范园项目</v>
      </c>
      <c r="R3749" s="22" t="str">
        <f>_xlfn._xlws.FILTER(辅助信息!D:D,辅助信息!E:E=B3749)</f>
        <v>商投建工达州中医药科技园</v>
      </c>
    </row>
    <row r="3750" hidden="1" spans="2:18">
      <c r="B3750" s="33" t="s">
        <v>47</v>
      </c>
      <c r="C3750" s="63">
        <v>45924</v>
      </c>
      <c r="D3750" s="33" t="str">
        <f>VLOOKUP(B3750,辅助信息!E:K,7,FALSE)</f>
        <v>JWDDCD2025052800131</v>
      </c>
      <c r="E3750" s="33" t="str">
        <f>VLOOKUP(F3750,辅助信息!A:B,2,FALSE)</f>
        <v>螺纹钢</v>
      </c>
      <c r="F3750" s="33" t="s">
        <v>33</v>
      </c>
      <c r="G3750" s="29">
        <v>6</v>
      </c>
      <c r="H3750" s="127"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33" t="str">
        <f>VLOOKUP(B3750,辅助信息!E:I,3,FALSE)</f>
        <v>（商投建工达州中医药科技园-1工区）达州市通川区达州中医药职业学院犀牛大道北段</v>
      </c>
      <c r="J3750" s="33" t="str">
        <f>VLOOKUP(B3750,辅助信息!E:I,4,FALSE)</f>
        <v>程黄刚</v>
      </c>
      <c r="K3750" s="33">
        <f>VLOOKUP(J3750,辅助信息!H:I,2,FALSE)</f>
        <v>15108211617</v>
      </c>
      <c r="L3750" s="102" t="str">
        <f>VLOOKUP(B3750,辅助信息!E:J,6,FALSE)</f>
        <v>控制炉批号！多了现场不收！,优先安排达钢,提前联系到场规格及数量</v>
      </c>
      <c r="O3750" s="55" t="str">
        <f ca="1" t="shared" si="200"/>
        <v/>
      </c>
      <c r="P3750" s="55" t="str">
        <f ca="1" t="shared" si="201"/>
        <v/>
      </c>
      <c r="Q3750" s="22" t="str">
        <f>VLOOKUP(B3750,辅助信息!E:M,9,FALSE)</f>
        <v>ZTWM-CDGS-XS-2024-0134-商投建工达州中医药科技成果示范园项目</v>
      </c>
      <c r="R3750" s="22" t="str">
        <f>_xlfn._xlws.FILTER(辅助信息!D:D,辅助信息!E:E=B3750)</f>
        <v>商投建工达州中医药科技园</v>
      </c>
    </row>
    <row r="3751" hidden="1" spans="2:18">
      <c r="B3751" s="33" t="s">
        <v>47</v>
      </c>
      <c r="C3751" s="63">
        <v>45924</v>
      </c>
      <c r="D3751" s="33" t="str">
        <f>VLOOKUP(B3751,辅助信息!E:K,7,FALSE)</f>
        <v>JWDDCD2025052800131</v>
      </c>
      <c r="E3751" s="33" t="str">
        <f>VLOOKUP(F3751,辅助信息!A:B,2,FALSE)</f>
        <v>螺纹钢</v>
      </c>
      <c r="F3751" s="33" t="s">
        <v>28</v>
      </c>
      <c r="G3751" s="29">
        <v>27</v>
      </c>
      <c r="H3751" s="127"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33" t="str">
        <f>VLOOKUP(B3751,辅助信息!E:I,3,FALSE)</f>
        <v>（商投建工达州中医药科技园-1工区）达州市通川区达州中医药职业学院犀牛大道北段</v>
      </c>
      <c r="J3751" s="33" t="str">
        <f>VLOOKUP(B3751,辅助信息!E:I,4,FALSE)</f>
        <v>程黄刚</v>
      </c>
      <c r="K3751" s="33">
        <f>VLOOKUP(J3751,辅助信息!H:I,2,FALSE)</f>
        <v>15108211617</v>
      </c>
      <c r="L3751" s="102" t="str">
        <f>VLOOKUP(B3751,辅助信息!E:J,6,FALSE)</f>
        <v>控制炉批号！多了现场不收！,优先安排达钢,提前联系到场规格及数量</v>
      </c>
      <c r="O3751" s="55" t="str">
        <f ca="1" t="shared" si="200"/>
        <v/>
      </c>
      <c r="P3751" s="55" t="str">
        <f ca="1" t="shared" si="201"/>
        <v/>
      </c>
      <c r="Q3751" s="22" t="str">
        <f>VLOOKUP(B3751,辅助信息!E:M,9,FALSE)</f>
        <v>ZTWM-CDGS-XS-2024-0134-商投建工达州中医药科技成果示范园项目</v>
      </c>
      <c r="R3751" s="22" t="str">
        <f>_xlfn._xlws.FILTER(辅助信息!D:D,辅助信息!E:E=B3751)</f>
        <v>商投建工达州中医药科技园</v>
      </c>
    </row>
    <row r="3752" hidden="1" spans="2:18">
      <c r="B3752" s="33" t="s">
        <v>47</v>
      </c>
      <c r="C3752" s="63">
        <v>45924</v>
      </c>
      <c r="D3752" s="33" t="str">
        <f>VLOOKUP(B3752,辅助信息!E:K,7,FALSE)</f>
        <v>JWDDCD2025052800131</v>
      </c>
      <c r="E3752" s="33" t="str">
        <f>VLOOKUP(F3752,辅助信息!A:B,2,FALSE)</f>
        <v>螺纹钢</v>
      </c>
      <c r="F3752" s="33" t="s">
        <v>18</v>
      </c>
      <c r="G3752" s="29">
        <v>9</v>
      </c>
      <c r="H3752" s="127"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33" t="str">
        <f>VLOOKUP(B3752,辅助信息!E:I,3,FALSE)</f>
        <v>（商投建工达州中医药科技园-1工区）达州市通川区达州中医药职业学院犀牛大道北段</v>
      </c>
      <c r="J3752" s="33" t="str">
        <f>VLOOKUP(B3752,辅助信息!E:I,4,FALSE)</f>
        <v>程黄刚</v>
      </c>
      <c r="K3752" s="33">
        <f>VLOOKUP(J3752,辅助信息!H:I,2,FALSE)</f>
        <v>15108211617</v>
      </c>
      <c r="L3752" s="102" t="str">
        <f>VLOOKUP(B3752,辅助信息!E:J,6,FALSE)</f>
        <v>控制炉批号！多了现场不收！,优先安排达钢,提前联系到场规格及数量</v>
      </c>
      <c r="O3752" s="55" t="str">
        <f ca="1" t="shared" si="200"/>
        <v/>
      </c>
      <c r="P3752" s="55" t="str">
        <f ca="1" t="shared" si="201"/>
        <v/>
      </c>
      <c r="Q3752" s="22" t="str">
        <f>VLOOKUP(B3752,辅助信息!E:M,9,FALSE)</f>
        <v>ZTWM-CDGS-XS-2024-0134-商投建工达州中医药科技成果示范园项目</v>
      </c>
      <c r="R3752" s="22" t="str">
        <f>_xlfn._xlws.FILTER(辅助信息!D:D,辅助信息!E:E=B3752)</f>
        <v>商投建工达州中医药科技园</v>
      </c>
    </row>
    <row r="3753" hidden="1" spans="2:18">
      <c r="B3753" s="33" t="s">
        <v>224</v>
      </c>
      <c r="C3753" s="63">
        <v>45924</v>
      </c>
      <c r="D3753" s="33" t="str">
        <f>VLOOKUP(B3753,辅助信息!E:K,7,FALSE)</f>
        <v>JWDDCD2025092400188</v>
      </c>
      <c r="E3753" s="33" t="str">
        <f>VLOOKUP(F3753,辅助信息!A:B,2,FALSE)</f>
        <v>盘螺</v>
      </c>
      <c r="F3753" s="33" t="s">
        <v>40</v>
      </c>
      <c r="G3753" s="29">
        <v>15</v>
      </c>
      <c r="H3753" s="127">
        <f>IF(SUMIFS('[1]2025年已发货'!$E:$E,'[1]2025年已发货'!$F:$F,C3753,'[1]2025年已发货'!$C:$C,F3753,'[1]2025年已发货'!$G:$G,I3753,'[1]2025年已发货'!$H:$H,J3753)=0,"未发货",SUMIFS('[1]2025年已发货'!$E:$E,'[1]2025年已发货'!$F:$F,C3753,'[1]2025年已发货'!$C:$C,F3753,'[1]2025年已发货'!$G:$G,I3753,'[1]2025年已发货'!$H:$H,J3753))</f>
        <v>15</v>
      </c>
      <c r="I3753" s="33" t="str">
        <f>VLOOKUP(B3753,辅助信息!E:I,3,FALSE)</f>
        <v>(五冶钢构龙泉东洪片区70亩住宅、商业及配套工程项目一标段)成都市龙泉驿外东洪路地铁2号线惠王陵地铁C口</v>
      </c>
      <c r="J3753" s="33" t="str">
        <f>VLOOKUP(B3753,辅助信息!E:I,4,FALSE)</f>
        <v>邹爱国</v>
      </c>
      <c r="K3753" s="33">
        <f>VLOOKUP(J3753,辅助信息!H:I,2,FALSE)</f>
        <v>13540231225</v>
      </c>
      <c r="L3753" s="102">
        <f>VLOOKUP(B3753,辅助信息!E:J,6,FALSE)</f>
        <v>0</v>
      </c>
      <c r="O3753" s="55" t="str">
        <f ca="1" t="shared" si="200"/>
        <v/>
      </c>
      <c r="P3753" s="55" t="str">
        <f ca="1" t="shared" si="201"/>
        <v/>
      </c>
      <c r="Q3753" s="22" t="str">
        <f>VLOOKUP(B3753,辅助信息!E:M,9,FALSE)</f>
        <v>ZTWM-CDGS-XS-2025-0156-五冶钢构-2025年九月第一批次钢筋采购合同(三圣乡项目)-中铁物贸成都公司</v>
      </c>
      <c r="R3753" s="22" t="str">
        <f>_xlfn._xlws.FILTER(辅助信息!D:D,辅助信息!E:E=B3753)</f>
        <v>五冶钢构龙泉东洪片区70亩住宅、商业及配套工程项目一标段</v>
      </c>
    </row>
    <row r="3754" hidden="1" spans="2:18">
      <c r="B3754" s="33" t="s">
        <v>224</v>
      </c>
      <c r="C3754" s="63">
        <v>45924</v>
      </c>
      <c r="D3754" s="33" t="str">
        <f>VLOOKUP(B3754,辅助信息!E:K,7,FALSE)</f>
        <v>JWDDCD2025092400188</v>
      </c>
      <c r="E3754" s="33" t="str">
        <f>VLOOKUP(F3754,辅助信息!A:B,2,FALSE)</f>
        <v>盘螺</v>
      </c>
      <c r="F3754" s="33" t="s">
        <v>41</v>
      </c>
      <c r="G3754" s="29">
        <v>20</v>
      </c>
      <c r="H3754" s="127">
        <f>IF(SUMIFS('[1]2025年已发货'!$E:$E,'[1]2025年已发货'!$F:$F,C3754,'[1]2025年已发货'!$C:$C,F3754,'[1]2025年已发货'!$G:$G,I3754,'[1]2025年已发货'!$H:$H,J3754)=0,"未发货",SUMIFS('[1]2025年已发货'!$E:$E,'[1]2025年已发货'!$F:$F,C3754,'[1]2025年已发货'!$C:$C,F3754,'[1]2025年已发货'!$G:$G,I3754,'[1]2025年已发货'!$H:$H,J3754))</f>
        <v>20</v>
      </c>
      <c r="I3754" s="33" t="str">
        <f>VLOOKUP(B3754,辅助信息!E:I,3,FALSE)</f>
        <v>(五冶钢构龙泉东洪片区70亩住宅、商业及配套工程项目一标段)成都市龙泉驿外东洪路地铁2号线惠王陵地铁C口</v>
      </c>
      <c r="J3754" s="33" t="str">
        <f>VLOOKUP(B3754,辅助信息!E:I,4,FALSE)</f>
        <v>邹爱国</v>
      </c>
      <c r="K3754" s="33">
        <f>VLOOKUP(J3754,辅助信息!H:I,2,FALSE)</f>
        <v>13540231225</v>
      </c>
      <c r="L3754" s="102">
        <f>VLOOKUP(B3754,辅助信息!E:J,6,FALSE)</f>
        <v>0</v>
      </c>
      <c r="O3754" s="55" t="str">
        <f ca="1" t="shared" si="200"/>
        <v/>
      </c>
      <c r="P3754" s="55" t="str">
        <f ca="1" t="shared" si="201"/>
        <v/>
      </c>
      <c r="Q3754" s="22" t="str">
        <f>VLOOKUP(B3754,辅助信息!E:M,9,FALSE)</f>
        <v>ZTWM-CDGS-XS-2025-0156-五冶钢构-2025年九月第一批次钢筋采购合同(三圣乡项目)-中铁物贸成都公司</v>
      </c>
      <c r="R3754" s="22" t="str">
        <f>_xlfn._xlws.FILTER(辅助信息!D:D,辅助信息!E:E=B3754)</f>
        <v>五冶钢构龙泉东洪片区70亩住宅、商业及配套工程项目一标段</v>
      </c>
    </row>
    <row r="3755" hidden="1" spans="2:18">
      <c r="B3755" s="33" t="s">
        <v>224</v>
      </c>
      <c r="C3755" s="63">
        <v>45924</v>
      </c>
      <c r="D3755" s="33" t="str">
        <f>VLOOKUP(B3755,辅助信息!E:K,7,FALSE)</f>
        <v>JWDDCD2025092400188</v>
      </c>
      <c r="E3755" s="33" t="str">
        <f>VLOOKUP(F3755,辅助信息!A:B,2,FALSE)</f>
        <v>螺纹钢</v>
      </c>
      <c r="F3755" s="33" t="s">
        <v>27</v>
      </c>
      <c r="G3755" s="29">
        <v>20</v>
      </c>
      <c r="H3755" s="127">
        <f>IF(SUMIFS('[1]2025年已发货'!$E:$E,'[1]2025年已发货'!$F:$F,C3755,'[1]2025年已发货'!$C:$C,F3755,'[1]2025年已发货'!$G:$G,I3755,'[1]2025年已发货'!$H:$H,J3755)=0,"未发货",SUMIFS('[1]2025年已发货'!$E:$E,'[1]2025年已发货'!$F:$F,C3755,'[1]2025年已发货'!$C:$C,F3755,'[1]2025年已发货'!$G:$G,I3755,'[1]2025年已发货'!$H:$H,J3755))</f>
        <v>20</v>
      </c>
      <c r="I3755" s="33" t="str">
        <f>VLOOKUP(B3755,辅助信息!E:I,3,FALSE)</f>
        <v>(五冶钢构龙泉东洪片区70亩住宅、商业及配套工程项目一标段)成都市龙泉驿外东洪路地铁2号线惠王陵地铁C口</v>
      </c>
      <c r="J3755" s="33" t="str">
        <f>VLOOKUP(B3755,辅助信息!E:I,4,FALSE)</f>
        <v>邹爱国</v>
      </c>
      <c r="K3755" s="33">
        <f>VLOOKUP(J3755,辅助信息!H:I,2,FALSE)</f>
        <v>13540231225</v>
      </c>
      <c r="L3755" s="102">
        <f>VLOOKUP(B3755,辅助信息!E:J,6,FALSE)</f>
        <v>0</v>
      </c>
      <c r="O3755" s="55" t="str">
        <f ca="1" t="shared" si="200"/>
        <v/>
      </c>
      <c r="P3755" s="55" t="str">
        <f ca="1" t="shared" si="201"/>
        <v/>
      </c>
      <c r="Q3755" s="22" t="str">
        <f>VLOOKUP(B3755,辅助信息!E:M,9,FALSE)</f>
        <v>ZTWM-CDGS-XS-2025-0156-五冶钢构-2025年九月第一批次钢筋采购合同(三圣乡项目)-中铁物贸成都公司</v>
      </c>
      <c r="R3755" s="22" t="str">
        <f>_xlfn._xlws.FILTER(辅助信息!D:D,辅助信息!E:E=B3755)</f>
        <v>五冶钢构龙泉东洪片区70亩住宅、商业及配套工程项目一标段</v>
      </c>
    </row>
    <row r="3756" hidden="1" spans="2:18">
      <c r="B3756" s="33" t="s">
        <v>224</v>
      </c>
      <c r="C3756" s="63">
        <v>45924</v>
      </c>
      <c r="D3756" s="33" t="str">
        <f>VLOOKUP(B3756,辅助信息!E:K,7,FALSE)</f>
        <v>JWDDCD2025092400188</v>
      </c>
      <c r="E3756" s="33" t="str">
        <f>VLOOKUP(F3756,辅助信息!A:B,2,FALSE)</f>
        <v>螺纹钢</v>
      </c>
      <c r="F3756" s="33" t="s">
        <v>19</v>
      </c>
      <c r="G3756" s="29">
        <v>10</v>
      </c>
      <c r="H3756" s="127">
        <f>IF(SUMIFS('[1]2025年已发货'!$E:$E,'[1]2025年已发货'!$F:$F,C3756,'[1]2025年已发货'!$C:$C,F3756,'[1]2025年已发货'!$G:$G,I3756,'[1]2025年已发货'!$H:$H,J3756)=0,"未发货",SUMIFS('[1]2025年已发货'!$E:$E,'[1]2025年已发货'!$F:$F,C3756,'[1]2025年已发货'!$C:$C,F3756,'[1]2025年已发货'!$G:$G,I3756,'[1]2025年已发货'!$H:$H,J3756))</f>
        <v>10</v>
      </c>
      <c r="I3756" s="33" t="str">
        <f>VLOOKUP(B3756,辅助信息!E:I,3,FALSE)</f>
        <v>(五冶钢构龙泉东洪片区70亩住宅、商业及配套工程项目一标段)成都市龙泉驿外东洪路地铁2号线惠王陵地铁C口</v>
      </c>
      <c r="J3756" s="33" t="str">
        <f>VLOOKUP(B3756,辅助信息!E:I,4,FALSE)</f>
        <v>邹爱国</v>
      </c>
      <c r="K3756" s="33">
        <f>VLOOKUP(J3756,辅助信息!H:I,2,FALSE)</f>
        <v>13540231225</v>
      </c>
      <c r="L3756" s="102">
        <f>VLOOKUP(B3756,辅助信息!E:J,6,FALSE)</f>
        <v>0</v>
      </c>
      <c r="O3756" s="55" t="str">
        <f ca="1" t="shared" si="200"/>
        <v/>
      </c>
      <c r="P3756" s="55" t="str">
        <f ca="1" t="shared" si="201"/>
        <v/>
      </c>
      <c r="Q3756" s="22" t="str">
        <f>VLOOKUP(B3756,辅助信息!E:M,9,FALSE)</f>
        <v>ZTWM-CDGS-XS-2025-0156-五冶钢构-2025年九月第一批次钢筋采购合同(三圣乡项目)-中铁物贸成都公司</v>
      </c>
      <c r="R3756" s="22" t="str">
        <f>_xlfn._xlws.FILTER(辅助信息!D:D,辅助信息!E:E=B3756)</f>
        <v>五冶钢构龙泉东洪片区70亩住宅、商业及配套工程项目一标段</v>
      </c>
    </row>
    <row r="3757" hidden="1" spans="2:18">
      <c r="B3757" s="33" t="s">
        <v>224</v>
      </c>
      <c r="C3757" s="63">
        <v>45924</v>
      </c>
      <c r="D3757" s="33" t="str">
        <f>VLOOKUP(B3757,辅助信息!E:K,7,FALSE)</f>
        <v>JWDDCD2025092400188</v>
      </c>
      <c r="E3757" s="33" t="str">
        <f>VLOOKUP(F3757,辅助信息!A:B,2,FALSE)</f>
        <v>螺纹钢</v>
      </c>
      <c r="F3757" s="33" t="s">
        <v>32</v>
      </c>
      <c r="G3757" s="29">
        <v>10</v>
      </c>
      <c r="H3757" s="127">
        <f>IF(SUMIFS('[1]2025年已发货'!$E:$E,'[1]2025年已发货'!$F:$F,C3757,'[1]2025年已发货'!$C:$C,F3757,'[1]2025年已发货'!$G:$G,I3757,'[1]2025年已发货'!$H:$H,J3757)=0,"未发货",SUMIFS('[1]2025年已发货'!$E:$E,'[1]2025年已发货'!$F:$F,C3757,'[1]2025年已发货'!$C:$C,F3757,'[1]2025年已发货'!$G:$G,I3757,'[1]2025年已发货'!$H:$H,J3757))</f>
        <v>10</v>
      </c>
      <c r="I3757" s="33" t="str">
        <f>VLOOKUP(B3757,辅助信息!E:I,3,FALSE)</f>
        <v>(五冶钢构龙泉东洪片区70亩住宅、商业及配套工程项目一标段)成都市龙泉驿外东洪路地铁2号线惠王陵地铁C口</v>
      </c>
      <c r="J3757" s="33" t="str">
        <f>VLOOKUP(B3757,辅助信息!E:I,4,FALSE)</f>
        <v>邹爱国</v>
      </c>
      <c r="K3757" s="33">
        <f>VLOOKUP(J3757,辅助信息!H:I,2,FALSE)</f>
        <v>13540231225</v>
      </c>
      <c r="L3757" s="102">
        <f>VLOOKUP(B3757,辅助信息!E:J,6,FALSE)</f>
        <v>0</v>
      </c>
      <c r="O3757" s="55" t="str">
        <f ca="1" t="shared" si="200"/>
        <v/>
      </c>
      <c r="P3757" s="55" t="str">
        <f ca="1" t="shared" si="201"/>
        <v/>
      </c>
      <c r="Q3757" s="22" t="str">
        <f>VLOOKUP(B3757,辅助信息!E:M,9,FALSE)</f>
        <v>ZTWM-CDGS-XS-2025-0156-五冶钢构-2025年九月第一批次钢筋采购合同(三圣乡项目)-中铁物贸成都公司</v>
      </c>
      <c r="R3757" s="22" t="str">
        <f>_xlfn._xlws.FILTER(辅助信息!D:D,辅助信息!E:E=B3757)</f>
        <v>五冶钢构龙泉东洪片区70亩住宅、商业及配套工程项目一标段</v>
      </c>
    </row>
    <row r="3758" hidden="1" spans="2:18">
      <c r="B3758" s="33" t="s">
        <v>224</v>
      </c>
      <c r="C3758" s="63">
        <v>45924</v>
      </c>
      <c r="D3758" s="33" t="str">
        <f>VLOOKUP(B3758,辅助信息!E:K,7,FALSE)</f>
        <v>JWDDCD2025092400188</v>
      </c>
      <c r="E3758" s="33" t="str">
        <f>VLOOKUP(F3758,辅助信息!A:B,2,FALSE)</f>
        <v>螺纹钢</v>
      </c>
      <c r="F3758" s="33" t="s">
        <v>30</v>
      </c>
      <c r="G3758" s="29">
        <v>10</v>
      </c>
      <c r="H3758" s="127">
        <f>IF(SUMIFS('[1]2025年已发货'!$E:$E,'[1]2025年已发货'!$F:$F,C3758,'[1]2025年已发货'!$C:$C,F3758,'[1]2025年已发货'!$G:$G,I3758,'[1]2025年已发货'!$H:$H,J3758)=0,"未发货",SUMIFS('[1]2025年已发货'!$E:$E,'[1]2025年已发货'!$F:$F,C3758,'[1]2025年已发货'!$C:$C,F3758,'[1]2025年已发货'!$G:$G,I3758,'[1]2025年已发货'!$H:$H,J3758))</f>
        <v>10</v>
      </c>
      <c r="I3758" s="33" t="str">
        <f>VLOOKUP(B3758,辅助信息!E:I,3,FALSE)</f>
        <v>(五冶钢构龙泉东洪片区70亩住宅、商业及配套工程项目一标段)成都市龙泉驿外东洪路地铁2号线惠王陵地铁C口</v>
      </c>
      <c r="J3758" s="33" t="str">
        <f>VLOOKUP(B3758,辅助信息!E:I,4,FALSE)</f>
        <v>邹爱国</v>
      </c>
      <c r="K3758" s="33">
        <f>VLOOKUP(J3758,辅助信息!H:I,2,FALSE)</f>
        <v>13540231225</v>
      </c>
      <c r="L3758" s="102">
        <f>VLOOKUP(B3758,辅助信息!E:J,6,FALSE)</f>
        <v>0</v>
      </c>
      <c r="O3758" s="55" t="str">
        <f ca="1" t="shared" si="200"/>
        <v/>
      </c>
      <c r="P3758" s="55" t="str">
        <f ca="1" t="shared" si="201"/>
        <v/>
      </c>
      <c r="Q3758" s="22" t="str">
        <f>VLOOKUP(B3758,辅助信息!E:M,9,FALSE)</f>
        <v>ZTWM-CDGS-XS-2025-0156-五冶钢构-2025年九月第一批次钢筋采购合同(三圣乡项目)-中铁物贸成都公司</v>
      </c>
      <c r="R3758" s="22" t="str">
        <f>_xlfn._xlws.FILTER(辅助信息!D:D,辅助信息!E:E=B3758)</f>
        <v>五冶钢构龙泉东洪片区70亩住宅、商业及配套工程项目一标段</v>
      </c>
    </row>
    <row r="3759" hidden="1" spans="2:18">
      <c r="B3759" s="33" t="s">
        <v>224</v>
      </c>
      <c r="C3759" s="63">
        <v>45924</v>
      </c>
      <c r="D3759" s="33" t="str">
        <f>VLOOKUP(B3759,辅助信息!E:K,7,FALSE)</f>
        <v>JWDDCD2025092400188</v>
      </c>
      <c r="E3759" s="33" t="str">
        <f>VLOOKUP(F3759,辅助信息!A:B,2,FALSE)</f>
        <v>螺纹钢</v>
      </c>
      <c r="F3759" s="33" t="s">
        <v>33</v>
      </c>
      <c r="G3759" s="29">
        <v>5</v>
      </c>
      <c r="H3759" s="127">
        <f>IF(SUMIFS('[1]2025年已发货'!$E:$E,'[1]2025年已发货'!$F:$F,C3759,'[1]2025年已发货'!$C:$C,F3759,'[1]2025年已发货'!$G:$G,I3759,'[1]2025年已发货'!$H:$H,J3759)=0,"未发货",SUMIFS('[1]2025年已发货'!$E:$E,'[1]2025年已发货'!$F:$F,C3759,'[1]2025年已发货'!$C:$C,F3759,'[1]2025年已发货'!$G:$G,I3759,'[1]2025年已发货'!$H:$H,J3759))</f>
        <v>5</v>
      </c>
      <c r="I3759" s="33" t="str">
        <f>VLOOKUP(B3759,辅助信息!E:I,3,FALSE)</f>
        <v>(五冶钢构龙泉东洪片区70亩住宅、商业及配套工程项目一标段)成都市龙泉驿外东洪路地铁2号线惠王陵地铁C口</v>
      </c>
      <c r="J3759" s="33" t="str">
        <f>VLOOKUP(B3759,辅助信息!E:I,4,FALSE)</f>
        <v>邹爱国</v>
      </c>
      <c r="K3759" s="33">
        <f>VLOOKUP(J3759,辅助信息!H:I,2,FALSE)</f>
        <v>13540231225</v>
      </c>
      <c r="L3759" s="102">
        <f>VLOOKUP(B3759,辅助信息!E:J,6,FALSE)</f>
        <v>0</v>
      </c>
      <c r="O3759" s="55" t="str">
        <f ca="1" t="shared" si="200"/>
        <v/>
      </c>
      <c r="P3759" s="55" t="str">
        <f ca="1" t="shared" si="201"/>
        <v/>
      </c>
      <c r="Q3759" s="22" t="str">
        <f>VLOOKUP(B3759,辅助信息!E:M,9,FALSE)</f>
        <v>ZTWM-CDGS-XS-2025-0156-五冶钢构-2025年九月第一批次钢筋采购合同(三圣乡项目)-中铁物贸成都公司</v>
      </c>
      <c r="R3759" s="22" t="str">
        <f>_xlfn._xlws.FILTER(辅助信息!D:D,辅助信息!E:E=B3759)</f>
        <v>五冶钢构龙泉东洪片区70亩住宅、商业及配套工程项目一标段</v>
      </c>
    </row>
    <row r="3760" hidden="1" spans="2:18">
      <c r="B3760" s="33" t="s">
        <v>224</v>
      </c>
      <c r="C3760" s="63">
        <v>45924</v>
      </c>
      <c r="D3760" s="33" t="str">
        <f>VLOOKUP(B3760,辅助信息!E:K,7,FALSE)</f>
        <v>JWDDCD2025092400188</v>
      </c>
      <c r="E3760" s="33" t="str">
        <f>VLOOKUP(F3760,辅助信息!A:B,2,FALSE)</f>
        <v>螺纹钢</v>
      </c>
      <c r="F3760" s="33" t="s">
        <v>28</v>
      </c>
      <c r="G3760" s="29">
        <v>5</v>
      </c>
      <c r="H3760" s="127">
        <f>IF(SUMIFS('[1]2025年已发货'!$E:$E,'[1]2025年已发货'!$F:$F,C3760,'[1]2025年已发货'!$C:$C,F3760,'[1]2025年已发货'!$G:$G,I3760,'[1]2025年已发货'!$H:$H,J3760)=0,"未发货",SUMIFS('[1]2025年已发货'!$E:$E,'[1]2025年已发货'!$F:$F,C3760,'[1]2025年已发货'!$C:$C,F3760,'[1]2025年已发货'!$G:$G,I3760,'[1]2025年已发货'!$H:$H,J3760))</f>
        <v>5</v>
      </c>
      <c r="I3760" s="33" t="str">
        <f>VLOOKUP(B3760,辅助信息!E:I,3,FALSE)</f>
        <v>(五冶钢构龙泉东洪片区70亩住宅、商业及配套工程项目一标段)成都市龙泉驿外东洪路地铁2号线惠王陵地铁C口</v>
      </c>
      <c r="J3760" s="33" t="str">
        <f>VLOOKUP(B3760,辅助信息!E:I,4,FALSE)</f>
        <v>邹爱国</v>
      </c>
      <c r="K3760" s="33">
        <f>VLOOKUP(J3760,辅助信息!H:I,2,FALSE)</f>
        <v>13540231225</v>
      </c>
      <c r="L3760" s="102">
        <f>VLOOKUP(B3760,辅助信息!E:J,6,FALSE)</f>
        <v>0</v>
      </c>
      <c r="O3760" s="55" t="str">
        <f ca="1" t="shared" si="200"/>
        <v/>
      </c>
      <c r="P3760" s="55" t="str">
        <f ca="1" t="shared" si="201"/>
        <v/>
      </c>
      <c r="Q3760" s="22" t="str">
        <f>VLOOKUP(B3760,辅助信息!E:M,9,FALSE)</f>
        <v>ZTWM-CDGS-XS-2025-0156-五冶钢构-2025年九月第一批次钢筋采购合同(三圣乡项目)-中铁物贸成都公司</v>
      </c>
      <c r="R3760" s="22" t="str">
        <f>_xlfn._xlws.FILTER(辅助信息!D:D,辅助信息!E:E=B3760)</f>
        <v>五冶钢构龙泉东洪片区70亩住宅、商业及配套工程项目一标段</v>
      </c>
    </row>
    <row r="3761" hidden="1" spans="2:18">
      <c r="B3761" s="33" t="s">
        <v>224</v>
      </c>
      <c r="C3761" s="63">
        <v>45924</v>
      </c>
      <c r="D3761" s="33" t="str">
        <f>VLOOKUP(B3761,辅助信息!E:K,7,FALSE)</f>
        <v>JWDDCD2025092400188</v>
      </c>
      <c r="E3761" s="33" t="str">
        <f>VLOOKUP(F3761,辅助信息!A:B,2,FALSE)</f>
        <v>螺纹钢</v>
      </c>
      <c r="F3761" s="33" t="s">
        <v>18</v>
      </c>
      <c r="G3761" s="29">
        <v>10</v>
      </c>
      <c r="H3761" s="127">
        <f>IF(SUMIFS('[1]2025年已发货'!$E:$E,'[1]2025年已发货'!$F:$F,C3761,'[1]2025年已发货'!$C:$C,F3761,'[1]2025年已发货'!$G:$G,I3761,'[1]2025年已发货'!$H:$H,J3761)=0,"未发货",SUMIFS('[1]2025年已发货'!$E:$E,'[1]2025年已发货'!$F:$F,C3761,'[1]2025年已发货'!$C:$C,F3761,'[1]2025年已发货'!$G:$G,I3761,'[1]2025年已发货'!$H:$H,J3761))</f>
        <v>10</v>
      </c>
      <c r="I3761" s="33" t="str">
        <f>VLOOKUP(B3761,辅助信息!E:I,3,FALSE)</f>
        <v>(五冶钢构龙泉东洪片区70亩住宅、商业及配套工程项目一标段)成都市龙泉驿外东洪路地铁2号线惠王陵地铁C口</v>
      </c>
      <c r="J3761" s="33" t="str">
        <f>VLOOKUP(B3761,辅助信息!E:I,4,FALSE)</f>
        <v>邹爱国</v>
      </c>
      <c r="K3761" s="33">
        <f>VLOOKUP(J3761,辅助信息!H:I,2,FALSE)</f>
        <v>13540231225</v>
      </c>
      <c r="L3761" s="102">
        <f>VLOOKUP(B3761,辅助信息!E:J,6,FALSE)</f>
        <v>0</v>
      </c>
      <c r="O3761" s="55" t="str">
        <f ca="1" t="shared" si="200"/>
        <v/>
      </c>
      <c r="P3761" s="55" t="str">
        <f ca="1" t="shared" si="201"/>
        <v/>
      </c>
      <c r="Q3761" s="22" t="str">
        <f>VLOOKUP(B3761,辅助信息!E:M,9,FALSE)</f>
        <v>ZTWM-CDGS-XS-2025-0156-五冶钢构-2025年九月第一批次钢筋采购合同(三圣乡项目)-中铁物贸成都公司</v>
      </c>
      <c r="R3761" s="22" t="str">
        <f>_xlfn._xlws.FILTER(辅助信息!D:D,辅助信息!E:E=B3761)</f>
        <v>五冶钢构龙泉东洪片区70亩住宅、商业及配套工程项目一标段</v>
      </c>
    </row>
    <row r="3762" hidden="1" spans="2:18">
      <c r="B3762" s="33" t="s">
        <v>225</v>
      </c>
      <c r="C3762" s="63">
        <v>45924</v>
      </c>
      <c r="D3762" s="33" t="str">
        <f>VLOOKUP(B3762,辅助信息!E:K,7,FALSE)</f>
        <v>JWDDCD2025092400210</v>
      </c>
      <c r="E3762" s="33" t="str">
        <f>VLOOKUP(F3762,辅助信息!A:B,2,FALSE)</f>
        <v>盘螺</v>
      </c>
      <c r="F3762" s="33" t="s">
        <v>40</v>
      </c>
      <c r="G3762" s="29">
        <v>10</v>
      </c>
      <c r="H3762" s="127">
        <f>IF(SUMIFS('[1]2025年已发货'!$E:$E,'[1]2025年已发货'!$F:$F,C3762,'[1]2025年已发货'!$C:$C,F3762,'[1]2025年已发货'!$G:$G,I3762,'[1]2025年已发货'!$H:$H,J3762)=0,"未发货",SUMIFS('[1]2025年已发货'!$E:$E,'[1]2025年已发货'!$F:$F,C3762,'[1]2025年已发货'!$C:$C,F3762,'[1]2025年已发货'!$G:$G,I3762,'[1]2025年已发货'!$H:$H,J3762))</f>
        <v>10</v>
      </c>
      <c r="I3762" s="33" t="str">
        <f>VLOOKUP(B3762,辅助信息!E:I,3,FALSE)</f>
        <v>(五冶钢构龙泉东洪片区85亩住宅、商业及配套工程项目一标段)成都市龙泉驿外东洪路地铁2号线惠王陵地铁C口</v>
      </c>
      <c r="J3762" s="33" t="str">
        <f>VLOOKUP(B3762,辅助信息!E:I,4,FALSE)</f>
        <v>岳工</v>
      </c>
      <c r="K3762" s="33">
        <f>VLOOKUP(J3762,辅助信息!H:I,2,FALSE)</f>
        <v>18599951655</v>
      </c>
      <c r="L3762" s="102">
        <f>VLOOKUP(B3762,辅助信息!E:J,6,FALSE)</f>
        <v>0</v>
      </c>
      <c r="O3762" s="55" t="str">
        <f ca="1" t="shared" si="200"/>
        <v/>
      </c>
      <c r="P3762" s="55" t="str">
        <f ca="1" t="shared" si="201"/>
        <v/>
      </c>
      <c r="Q3762" s="22" t="str">
        <f>VLOOKUP(B3762,辅助信息!E:M,9,FALSE)</f>
        <v>ZTWM-CDGS-XS-2025-0156-五冶钢构-2025年九月第一批次钢筋采购合同(三圣乡项目)-中铁物贸成都公司</v>
      </c>
      <c r="R3762" s="22" t="str">
        <f>_xlfn._xlws.FILTER(辅助信息!D:D,辅助信息!E:E=B3762)</f>
        <v>五冶钢构龙泉东洪片区85亩住宅、商业及配套工程项目一标段</v>
      </c>
    </row>
    <row r="3763" hidden="1" spans="2:18">
      <c r="B3763" s="33" t="s">
        <v>225</v>
      </c>
      <c r="C3763" s="63">
        <v>45924</v>
      </c>
      <c r="D3763" s="33" t="str">
        <f>VLOOKUP(B3763,辅助信息!E:K,7,FALSE)</f>
        <v>JWDDCD2025092400210</v>
      </c>
      <c r="E3763" s="33" t="str">
        <f>VLOOKUP(F3763,辅助信息!A:B,2,FALSE)</f>
        <v>盘螺</v>
      </c>
      <c r="F3763" s="33" t="s">
        <v>41</v>
      </c>
      <c r="G3763" s="29">
        <v>40</v>
      </c>
      <c r="H3763" s="127">
        <f>IF(SUMIFS('[1]2025年已发货'!$E:$E,'[1]2025年已发货'!$F:$F,C3763,'[1]2025年已发货'!$C:$C,F3763,'[1]2025年已发货'!$G:$G,I3763,'[1]2025年已发货'!$H:$H,J3763)=0,"未发货",SUMIFS('[1]2025年已发货'!$E:$E,'[1]2025年已发货'!$F:$F,C3763,'[1]2025年已发货'!$C:$C,F3763,'[1]2025年已发货'!$G:$G,I3763,'[1]2025年已发货'!$H:$H,J3763))</f>
        <v>40</v>
      </c>
      <c r="I3763" s="33" t="str">
        <f>VLOOKUP(B3763,辅助信息!E:I,3,FALSE)</f>
        <v>(五冶钢构龙泉东洪片区85亩住宅、商业及配套工程项目一标段)成都市龙泉驿外东洪路地铁2号线惠王陵地铁C口</v>
      </c>
      <c r="J3763" s="33" t="str">
        <f>VLOOKUP(B3763,辅助信息!E:I,4,FALSE)</f>
        <v>岳工</v>
      </c>
      <c r="K3763" s="33">
        <f>VLOOKUP(J3763,辅助信息!H:I,2,FALSE)</f>
        <v>18599951655</v>
      </c>
      <c r="L3763" s="102">
        <f>VLOOKUP(B3763,辅助信息!E:J,6,FALSE)</f>
        <v>0</v>
      </c>
      <c r="O3763" s="55" t="str">
        <f ca="1" t="shared" si="200"/>
        <v/>
      </c>
      <c r="P3763" s="55" t="str">
        <f ca="1" t="shared" si="201"/>
        <v/>
      </c>
      <c r="Q3763" s="22" t="str">
        <f>VLOOKUP(B3763,辅助信息!E:M,9,FALSE)</f>
        <v>ZTWM-CDGS-XS-2025-0156-五冶钢构-2025年九月第一批次钢筋采购合同(三圣乡项目)-中铁物贸成都公司</v>
      </c>
      <c r="R3763" s="22" t="str">
        <f>_xlfn._xlws.FILTER(辅助信息!D:D,辅助信息!E:E=B3763)</f>
        <v>五冶钢构龙泉东洪片区85亩住宅、商业及配套工程项目一标段</v>
      </c>
    </row>
    <row r="3764" hidden="1" spans="2:18">
      <c r="B3764" s="33" t="s">
        <v>225</v>
      </c>
      <c r="C3764" s="63">
        <v>45924</v>
      </c>
      <c r="D3764" s="33" t="str">
        <f>VLOOKUP(B3764,辅助信息!E:K,7,FALSE)</f>
        <v>JWDDCD2025092400210</v>
      </c>
      <c r="E3764" s="33" t="str">
        <f>VLOOKUP(F3764,辅助信息!A:B,2,FALSE)</f>
        <v>螺纹钢</v>
      </c>
      <c r="F3764" s="33" t="s">
        <v>27</v>
      </c>
      <c r="G3764" s="29">
        <v>65</v>
      </c>
      <c r="H3764" s="127">
        <f>IF(SUMIFS('[1]2025年已发货'!$E:$E,'[1]2025年已发货'!$F:$F,C3764,'[1]2025年已发货'!$C:$C,F3764,'[1]2025年已发货'!$G:$G,I3764,'[1]2025年已发货'!$H:$H,J3764)=0,"未发货",SUMIFS('[1]2025年已发货'!$E:$E,'[1]2025年已发货'!$F:$F,C3764,'[1]2025年已发货'!$C:$C,F3764,'[1]2025年已发货'!$G:$G,I3764,'[1]2025年已发货'!$H:$H,J3764))</f>
        <v>65</v>
      </c>
      <c r="I3764" s="33" t="str">
        <f>VLOOKUP(B3764,辅助信息!E:I,3,FALSE)</f>
        <v>(五冶钢构龙泉东洪片区85亩住宅、商业及配套工程项目一标段)成都市龙泉驿外东洪路地铁2号线惠王陵地铁C口</v>
      </c>
      <c r="J3764" s="33" t="str">
        <f>VLOOKUP(B3764,辅助信息!E:I,4,FALSE)</f>
        <v>岳工</v>
      </c>
      <c r="K3764" s="33">
        <f>VLOOKUP(J3764,辅助信息!H:I,2,FALSE)</f>
        <v>18599951655</v>
      </c>
      <c r="L3764" s="102">
        <f>VLOOKUP(B3764,辅助信息!E:J,6,FALSE)</f>
        <v>0</v>
      </c>
      <c r="O3764" s="55" t="str">
        <f ca="1" t="shared" si="200"/>
        <v/>
      </c>
      <c r="P3764" s="55" t="str">
        <f ca="1" t="shared" si="201"/>
        <v/>
      </c>
      <c r="Q3764" s="22" t="str">
        <f>VLOOKUP(B3764,辅助信息!E:M,9,FALSE)</f>
        <v>ZTWM-CDGS-XS-2025-0156-五冶钢构-2025年九月第一批次钢筋采购合同(三圣乡项目)-中铁物贸成都公司</v>
      </c>
      <c r="R3764" s="22" t="str">
        <f>_xlfn._xlws.FILTER(辅助信息!D:D,辅助信息!E:E=B3764)</f>
        <v>五冶钢构龙泉东洪片区85亩住宅、商业及配套工程项目一标段</v>
      </c>
    </row>
    <row r="3765" hidden="1" spans="2:18">
      <c r="B3765" s="33" t="s">
        <v>225</v>
      </c>
      <c r="C3765" s="63">
        <v>45924</v>
      </c>
      <c r="D3765" s="33" t="str">
        <f>VLOOKUP(B3765,辅助信息!E:K,7,FALSE)</f>
        <v>JWDDCD2025092400210</v>
      </c>
      <c r="E3765" s="33" t="str">
        <f>VLOOKUP(F3765,辅助信息!A:B,2,FALSE)</f>
        <v>螺纹钢</v>
      </c>
      <c r="F3765" s="33" t="s">
        <v>19</v>
      </c>
      <c r="G3765" s="29">
        <v>15</v>
      </c>
      <c r="H3765" s="127">
        <f>IF(SUMIFS('[1]2025年已发货'!$E:$E,'[1]2025年已发货'!$F:$F,C3765,'[1]2025年已发货'!$C:$C,F3765,'[1]2025年已发货'!$G:$G,I3765,'[1]2025年已发货'!$H:$H,J3765)=0,"未发货",SUMIFS('[1]2025年已发货'!$E:$E,'[1]2025年已发货'!$F:$F,C3765,'[1]2025年已发货'!$C:$C,F3765,'[1]2025年已发货'!$G:$G,I3765,'[1]2025年已发货'!$H:$H,J3765))</f>
        <v>15</v>
      </c>
      <c r="I3765" s="33" t="str">
        <f>VLOOKUP(B3765,辅助信息!E:I,3,FALSE)</f>
        <v>(五冶钢构龙泉东洪片区85亩住宅、商业及配套工程项目一标段)成都市龙泉驿外东洪路地铁2号线惠王陵地铁C口</v>
      </c>
      <c r="J3765" s="33" t="str">
        <f>VLOOKUP(B3765,辅助信息!E:I,4,FALSE)</f>
        <v>岳工</v>
      </c>
      <c r="K3765" s="33">
        <f>VLOOKUP(J3765,辅助信息!H:I,2,FALSE)</f>
        <v>18599951655</v>
      </c>
      <c r="L3765" s="102">
        <f>VLOOKUP(B3765,辅助信息!E:J,6,FALSE)</f>
        <v>0</v>
      </c>
      <c r="O3765" s="55" t="str">
        <f ca="1" t="shared" si="200"/>
        <v/>
      </c>
      <c r="P3765" s="55" t="str">
        <f ca="1" t="shared" si="201"/>
        <v/>
      </c>
      <c r="Q3765" s="22" t="str">
        <f>VLOOKUP(B3765,辅助信息!E:M,9,FALSE)</f>
        <v>ZTWM-CDGS-XS-2025-0156-五冶钢构-2025年九月第一批次钢筋采购合同(三圣乡项目)-中铁物贸成都公司</v>
      </c>
      <c r="R3765" s="22" t="str">
        <f>_xlfn._xlws.FILTER(辅助信息!D:D,辅助信息!E:E=B3765)</f>
        <v>五冶钢构龙泉东洪片区85亩住宅、商业及配套工程项目一标段</v>
      </c>
    </row>
    <row r="3766" hidden="1" spans="2:18">
      <c r="B3766" s="33" t="s">
        <v>225</v>
      </c>
      <c r="C3766" s="63">
        <v>45924</v>
      </c>
      <c r="D3766" s="33" t="str">
        <f>VLOOKUP(B3766,辅助信息!E:K,7,FALSE)</f>
        <v>JWDDCD2025092400210</v>
      </c>
      <c r="E3766" s="33" t="str">
        <f>VLOOKUP(F3766,辅助信息!A:B,2,FALSE)</f>
        <v>螺纹钢</v>
      </c>
      <c r="F3766" s="33" t="s">
        <v>33</v>
      </c>
      <c r="G3766" s="29">
        <v>19</v>
      </c>
      <c r="H3766" s="127">
        <f>IF(SUMIFS('[1]2025年已发货'!$E:$E,'[1]2025年已发货'!$F:$F,C3766,'[1]2025年已发货'!$C:$C,F3766,'[1]2025年已发货'!$G:$G,I3766,'[1]2025年已发货'!$H:$H,J3766)=0,"未发货",SUMIFS('[1]2025年已发货'!$E:$E,'[1]2025年已发货'!$F:$F,C3766,'[1]2025年已发货'!$C:$C,F3766,'[1]2025年已发货'!$G:$G,I3766,'[1]2025年已发货'!$H:$H,J3766))</f>
        <v>19</v>
      </c>
      <c r="I3766" s="33" t="str">
        <f>VLOOKUP(B3766,辅助信息!E:I,3,FALSE)</f>
        <v>(五冶钢构龙泉东洪片区85亩住宅、商业及配套工程项目一标段)成都市龙泉驿外东洪路地铁2号线惠王陵地铁C口</v>
      </c>
      <c r="J3766" s="33" t="str">
        <f>VLOOKUP(B3766,辅助信息!E:I,4,FALSE)</f>
        <v>岳工</v>
      </c>
      <c r="K3766" s="33">
        <f>VLOOKUP(J3766,辅助信息!H:I,2,FALSE)</f>
        <v>18599951655</v>
      </c>
      <c r="L3766" s="102">
        <f>VLOOKUP(B3766,辅助信息!E:J,6,FALSE)</f>
        <v>0</v>
      </c>
      <c r="O3766" s="55" t="str">
        <f ca="1" t="shared" si="200"/>
        <v/>
      </c>
      <c r="P3766" s="55" t="str">
        <f ca="1" t="shared" si="201"/>
        <v/>
      </c>
      <c r="Q3766" s="22" t="str">
        <f>VLOOKUP(B3766,辅助信息!E:M,9,FALSE)</f>
        <v>ZTWM-CDGS-XS-2025-0156-五冶钢构-2025年九月第一批次钢筋采购合同(三圣乡项目)-中铁物贸成都公司</v>
      </c>
      <c r="R3766" s="22" t="str">
        <f>_xlfn._xlws.FILTER(辅助信息!D:D,辅助信息!E:E=B3766)</f>
        <v>五冶钢构龙泉东洪片区85亩住宅、商业及配套工程项目一标段</v>
      </c>
    </row>
    <row r="3767" hidden="1" spans="2:18">
      <c r="B3767" s="33" t="s">
        <v>225</v>
      </c>
      <c r="C3767" s="63">
        <v>45924</v>
      </c>
      <c r="D3767" s="33" t="str">
        <f>VLOOKUP(B3767,辅助信息!E:K,7,FALSE)</f>
        <v>JWDDCD2025092400210</v>
      </c>
      <c r="E3767" s="33" t="str">
        <f>VLOOKUP(F3767,辅助信息!A:B,2,FALSE)</f>
        <v>螺纹钢</v>
      </c>
      <c r="F3767" s="33" t="s">
        <v>18</v>
      </c>
      <c r="G3767" s="29">
        <v>8</v>
      </c>
      <c r="H3767" s="127">
        <f>IF(SUMIFS('[1]2025年已发货'!$E:$E,'[1]2025年已发货'!$F:$F,C3767,'[1]2025年已发货'!$C:$C,F3767,'[1]2025年已发货'!$G:$G,I3767,'[1]2025年已发货'!$H:$H,J3767)=0,"未发货",SUMIFS('[1]2025年已发货'!$E:$E,'[1]2025年已发货'!$F:$F,C3767,'[1]2025年已发货'!$C:$C,F3767,'[1]2025年已发货'!$G:$G,I3767,'[1]2025年已发货'!$H:$H,J3767))</f>
        <v>8</v>
      </c>
      <c r="I3767" s="33" t="str">
        <f>VLOOKUP(B3767,辅助信息!E:I,3,FALSE)</f>
        <v>(五冶钢构龙泉东洪片区85亩住宅、商业及配套工程项目一标段)成都市龙泉驿外东洪路地铁2号线惠王陵地铁C口</v>
      </c>
      <c r="J3767" s="33" t="str">
        <f>VLOOKUP(B3767,辅助信息!E:I,4,FALSE)</f>
        <v>岳工</v>
      </c>
      <c r="K3767" s="33">
        <f>VLOOKUP(J3767,辅助信息!H:I,2,FALSE)</f>
        <v>18599951655</v>
      </c>
      <c r="L3767" s="102">
        <f>VLOOKUP(B3767,辅助信息!E:J,6,FALSE)</f>
        <v>0</v>
      </c>
      <c r="O3767" s="55" t="str">
        <f ca="1" t="shared" si="200"/>
        <v/>
      </c>
      <c r="P3767" s="55" t="str">
        <f ca="1" t="shared" si="201"/>
        <v/>
      </c>
      <c r="Q3767" s="22" t="str">
        <f>VLOOKUP(B3767,辅助信息!E:M,9,FALSE)</f>
        <v>ZTWM-CDGS-XS-2025-0156-五冶钢构-2025年九月第一批次钢筋采购合同(三圣乡项目)-中铁物贸成都公司</v>
      </c>
      <c r="R3767" s="22" t="str">
        <f>_xlfn._xlws.FILTER(辅助信息!D:D,辅助信息!E:E=B3767)</f>
        <v>五冶钢构龙泉东洪片区85亩住宅、商业及配套工程项目一标段</v>
      </c>
    </row>
    <row r="3768" hidden="1" spans="2:18">
      <c r="B3768" s="33" t="s">
        <v>225</v>
      </c>
      <c r="C3768" s="63">
        <v>45924</v>
      </c>
      <c r="D3768" s="33" t="str">
        <f>VLOOKUP(B3768,辅助信息!E:K,7,FALSE)</f>
        <v>JWDDCD2025092400210</v>
      </c>
      <c r="E3768" s="33" t="str">
        <f>VLOOKUP(F3768,辅助信息!A:B,2,FALSE)</f>
        <v>螺纹钢</v>
      </c>
      <c r="F3768" s="33" t="s">
        <v>21</v>
      </c>
      <c r="G3768" s="29">
        <v>2</v>
      </c>
      <c r="H3768" s="127">
        <f>IF(SUMIFS('[1]2025年已发货'!$E:$E,'[1]2025年已发货'!$F:$F,C3768,'[1]2025年已发货'!$C:$C,F3768,'[1]2025年已发货'!$G:$G,I3768,'[1]2025年已发货'!$H:$H,J3768)=0,"未发货",SUMIFS('[1]2025年已发货'!$E:$E,'[1]2025年已发货'!$F:$F,C3768,'[1]2025年已发货'!$C:$C,F3768,'[1]2025年已发货'!$G:$G,I3768,'[1]2025年已发货'!$H:$H,J3768))</f>
        <v>2</v>
      </c>
      <c r="I3768" s="33" t="str">
        <f>VLOOKUP(B3768,辅助信息!E:I,3,FALSE)</f>
        <v>(五冶钢构龙泉东洪片区85亩住宅、商业及配套工程项目一标段)成都市龙泉驿外东洪路地铁2号线惠王陵地铁C口</v>
      </c>
      <c r="J3768" s="33" t="str">
        <f>VLOOKUP(B3768,辅助信息!E:I,4,FALSE)</f>
        <v>岳工</v>
      </c>
      <c r="K3768" s="33">
        <f>VLOOKUP(J3768,辅助信息!H:I,2,FALSE)</f>
        <v>18599951655</v>
      </c>
      <c r="L3768" s="102">
        <f>VLOOKUP(B3768,辅助信息!E:J,6,FALSE)</f>
        <v>0</v>
      </c>
      <c r="O3768" s="55" t="str">
        <f ca="1" t="shared" si="200"/>
        <v/>
      </c>
      <c r="P3768" s="55" t="str">
        <f ca="1" t="shared" si="201"/>
        <v/>
      </c>
      <c r="Q3768" s="22" t="str">
        <f>VLOOKUP(B3768,辅助信息!E:M,9,FALSE)</f>
        <v>ZTWM-CDGS-XS-2025-0156-五冶钢构-2025年九月第一批次钢筋采购合同(三圣乡项目)-中铁物贸成都公司</v>
      </c>
      <c r="R3768" s="22" t="str">
        <f>_xlfn._xlws.FILTER(辅助信息!D:D,辅助信息!E:E=B3768)</f>
        <v>五冶钢构龙泉东洪片区85亩住宅、商业及配套工程项目一标段</v>
      </c>
    </row>
    <row r="3769" hidden="1" spans="2:18">
      <c r="B3769" s="33" t="s">
        <v>225</v>
      </c>
      <c r="C3769" s="63">
        <v>45924</v>
      </c>
      <c r="D3769" s="33" t="str">
        <f>VLOOKUP(B3769,辅助信息!E:K,7,FALSE)</f>
        <v>JWDDCD2025092400210</v>
      </c>
      <c r="E3769" s="33" t="str">
        <f>VLOOKUP(F3769,辅助信息!A:B,2,FALSE)</f>
        <v>螺纹钢</v>
      </c>
      <c r="F3769" s="33" t="s">
        <v>58</v>
      </c>
      <c r="G3769" s="29">
        <v>3</v>
      </c>
      <c r="H3769" s="127">
        <f>IF(SUMIFS('[1]2025年已发货'!$E:$E,'[1]2025年已发货'!$F:$F,C3769,'[1]2025年已发货'!$C:$C,F3769,'[1]2025年已发货'!$G:$G,I3769,'[1]2025年已发货'!$H:$H,J3769)=0,"未发货",SUMIFS('[1]2025年已发货'!$E:$E,'[1]2025年已发货'!$F:$F,C3769,'[1]2025年已发货'!$C:$C,F3769,'[1]2025年已发货'!$G:$G,I3769,'[1]2025年已发货'!$H:$H,J3769))</f>
        <v>3</v>
      </c>
      <c r="I3769" s="33" t="str">
        <f>VLOOKUP(B3769,辅助信息!E:I,3,FALSE)</f>
        <v>(五冶钢构龙泉东洪片区85亩住宅、商业及配套工程项目一标段)成都市龙泉驿外东洪路地铁2号线惠王陵地铁C口</v>
      </c>
      <c r="J3769" s="33" t="str">
        <f>VLOOKUP(B3769,辅助信息!E:I,4,FALSE)</f>
        <v>岳工</v>
      </c>
      <c r="K3769" s="33">
        <f>VLOOKUP(J3769,辅助信息!H:I,2,FALSE)</f>
        <v>18599951655</v>
      </c>
      <c r="L3769" s="102">
        <f>VLOOKUP(B3769,辅助信息!E:J,6,FALSE)</f>
        <v>0</v>
      </c>
      <c r="O3769" s="55" t="str">
        <f ca="1" t="shared" si="200"/>
        <v/>
      </c>
      <c r="P3769" s="55" t="str">
        <f ca="1" t="shared" si="201"/>
        <v/>
      </c>
      <c r="Q3769" s="22" t="str">
        <f>VLOOKUP(B3769,辅助信息!E:M,9,FALSE)</f>
        <v>ZTWM-CDGS-XS-2025-0156-五冶钢构-2025年九月第一批次钢筋采购合同(三圣乡项目)-中铁物贸成都公司</v>
      </c>
      <c r="R3769" s="22" t="str">
        <f>_xlfn._xlws.FILTER(辅助信息!D:D,辅助信息!E:E=B3769)</f>
        <v>五冶钢构龙泉东洪片区85亩住宅、商业及配套工程项目一标段</v>
      </c>
    </row>
    <row r="3770" hidden="1" spans="2:18">
      <c r="B3770" s="33" t="s">
        <v>225</v>
      </c>
      <c r="C3770" s="63">
        <v>45924</v>
      </c>
      <c r="D3770" s="33" t="str">
        <f>VLOOKUP(B3770,辅助信息!E:K,7,FALSE)</f>
        <v>JWDDCD2025092400210</v>
      </c>
      <c r="E3770" s="33" t="str">
        <f>VLOOKUP(F3770,辅助信息!A:B,2,FALSE)</f>
        <v>螺纹钢</v>
      </c>
      <c r="F3770" s="33" t="s">
        <v>46</v>
      </c>
      <c r="G3770" s="29">
        <v>8</v>
      </c>
      <c r="H3770" s="127">
        <f>IF(SUMIFS('[1]2025年已发货'!$E:$E,'[1]2025年已发货'!$F:$F,C3770,'[1]2025年已发货'!$C:$C,F3770,'[1]2025年已发货'!$G:$G,I3770,'[1]2025年已发货'!$H:$H,J3770)=0,"未发货",SUMIFS('[1]2025年已发货'!$E:$E,'[1]2025年已发货'!$F:$F,C3770,'[1]2025年已发货'!$C:$C,F3770,'[1]2025年已发货'!$G:$G,I3770,'[1]2025年已发货'!$H:$H,J3770))</f>
        <v>8</v>
      </c>
      <c r="I3770" s="33" t="str">
        <f>VLOOKUP(B3770,辅助信息!E:I,3,FALSE)</f>
        <v>(五冶钢构龙泉东洪片区85亩住宅、商业及配套工程项目一标段)成都市龙泉驿外东洪路地铁2号线惠王陵地铁C口</v>
      </c>
      <c r="J3770" s="33" t="str">
        <f>VLOOKUP(B3770,辅助信息!E:I,4,FALSE)</f>
        <v>岳工</v>
      </c>
      <c r="K3770" s="33">
        <f>VLOOKUP(J3770,辅助信息!H:I,2,FALSE)</f>
        <v>18599951655</v>
      </c>
      <c r="L3770" s="102">
        <f>VLOOKUP(B3770,辅助信息!E:J,6,FALSE)</f>
        <v>0</v>
      </c>
      <c r="O3770" s="55" t="str">
        <f ca="1" t="shared" si="200"/>
        <v/>
      </c>
      <c r="P3770" s="55" t="str">
        <f ca="1" t="shared" si="201"/>
        <v/>
      </c>
      <c r="Q3770" s="22" t="str">
        <f>VLOOKUP(B3770,辅助信息!E:M,9,FALSE)</f>
        <v>ZTWM-CDGS-XS-2025-0156-五冶钢构-2025年九月第一批次钢筋采购合同(三圣乡项目)-中铁物贸成都公司</v>
      </c>
      <c r="R3770" s="22" t="str">
        <f>_xlfn._xlws.FILTER(辅助信息!D:D,辅助信息!E:E=B3770)</f>
        <v>五冶钢构龙泉东洪片区85亩住宅、商业及配套工程项目一标段</v>
      </c>
    </row>
    <row r="3771" hidden="1" spans="2:18">
      <c r="B3771" s="33" t="s">
        <v>225</v>
      </c>
      <c r="C3771" s="63">
        <v>45924</v>
      </c>
      <c r="D3771" s="33" t="str">
        <f>VLOOKUP(B3771,辅助信息!E:K,7,FALSE)</f>
        <v>JWDDCD2025092400210</v>
      </c>
      <c r="E3771" s="33" t="str">
        <f>VLOOKUP(F3771,辅助信息!A:B,2,FALSE)</f>
        <v>螺纹钢</v>
      </c>
      <c r="F3771" s="33" t="s">
        <v>22</v>
      </c>
      <c r="G3771" s="29">
        <v>5</v>
      </c>
      <c r="H3771" s="127">
        <f>IF(SUMIFS('[1]2025年已发货'!$E:$E,'[1]2025年已发货'!$F:$F,C3771,'[1]2025年已发货'!$C:$C,F3771,'[1]2025年已发货'!$G:$G,I3771,'[1]2025年已发货'!$H:$H,J3771)=0,"未发货",SUMIFS('[1]2025年已发货'!$E:$E,'[1]2025年已发货'!$F:$F,C3771,'[1]2025年已发货'!$C:$C,F3771,'[1]2025年已发货'!$G:$G,I3771,'[1]2025年已发货'!$H:$H,J3771))</f>
        <v>5</v>
      </c>
      <c r="I3771" s="33" t="str">
        <f>VLOOKUP(B3771,辅助信息!E:I,3,FALSE)</f>
        <v>(五冶钢构龙泉东洪片区85亩住宅、商业及配套工程项目一标段)成都市龙泉驿外东洪路地铁2号线惠王陵地铁C口</v>
      </c>
      <c r="J3771" s="33" t="str">
        <f>VLOOKUP(B3771,辅助信息!E:I,4,FALSE)</f>
        <v>岳工</v>
      </c>
      <c r="K3771" s="33">
        <f>VLOOKUP(J3771,辅助信息!H:I,2,FALSE)</f>
        <v>18599951655</v>
      </c>
      <c r="L3771" s="102">
        <f>VLOOKUP(B3771,辅助信息!E:J,6,FALSE)</f>
        <v>0</v>
      </c>
      <c r="O3771" s="55" t="str">
        <f ca="1" t="shared" si="200"/>
        <v/>
      </c>
      <c r="P3771" s="55" t="str">
        <f ca="1" t="shared" si="201"/>
        <v/>
      </c>
      <c r="Q3771" s="22" t="str">
        <f>VLOOKUP(B3771,辅助信息!E:M,9,FALSE)</f>
        <v>ZTWM-CDGS-XS-2025-0156-五冶钢构-2025年九月第一批次钢筋采购合同(三圣乡项目)-中铁物贸成都公司</v>
      </c>
      <c r="R3771" s="22" t="str">
        <f>_xlfn._xlws.FILTER(辅助信息!D:D,辅助信息!E:E=B3771)</f>
        <v>五冶钢构龙泉东洪片区85亩住宅、商业及配套工程项目一标段</v>
      </c>
    </row>
    <row r="3772" hidden="1" spans="2:18">
      <c r="B3772" s="33" t="s">
        <v>226</v>
      </c>
      <c r="C3772" s="63">
        <v>45924</v>
      </c>
      <c r="D3772" s="33" t="str">
        <f>VLOOKUP(B3772,辅助信息!E:K,7,FALSE)</f>
        <v>JWDDCD2025092400211</v>
      </c>
      <c r="E3772" s="33" t="str">
        <f>VLOOKUP(F3772,辅助信息!A:B,2,FALSE)</f>
        <v>盘螺</v>
      </c>
      <c r="F3772" s="33" t="s">
        <v>49</v>
      </c>
      <c r="G3772" s="29">
        <v>25</v>
      </c>
      <c r="H3772" s="127">
        <f>IF(SUMIFS('[1]2025年已发货'!$E:$E,'[1]2025年已发货'!$F:$F,C3772,'[1]2025年已发货'!$C:$C,F3772,'[1]2025年已发货'!$G:$G,I3772,'[1]2025年已发货'!$H:$H,J3772)=0,"未发货",SUMIFS('[1]2025年已发货'!$E:$E,'[1]2025年已发货'!$F:$F,C3772,'[1]2025年已发货'!$C:$C,F3772,'[1]2025年已发货'!$G:$G,I3772,'[1]2025年已发货'!$H:$H,J3772))</f>
        <v>25</v>
      </c>
      <c r="I3772" s="33" t="str">
        <f>VLOOKUP(B3772,辅助信息!E:I,3,FALSE)</f>
        <v>(五冶钢构龙泉东洪片区85亩住宅、商业及配套工程项目二标段)成都市龙泉驿外东洪路地铁2号线惠王陵地铁C口</v>
      </c>
      <c r="J3772" s="33" t="str">
        <f>VLOOKUP(B3772,辅助信息!E:I,4,FALSE)</f>
        <v>李渊</v>
      </c>
      <c r="K3772" s="33">
        <f>VLOOKUP(J3772,辅助信息!H:I,2,FALSE)</f>
        <v>18381013849</v>
      </c>
      <c r="L3772" s="102">
        <f>VLOOKUP(B3772,辅助信息!E:J,6,FALSE)</f>
        <v>0</v>
      </c>
      <c r="O3772" s="55" t="str">
        <f ca="1" t="shared" si="200"/>
        <v/>
      </c>
      <c r="P3772" s="55" t="str">
        <f ca="1" t="shared" si="201"/>
        <v/>
      </c>
      <c r="Q3772" s="22" t="str">
        <f>VLOOKUP(B3772,辅助信息!E:M,9,FALSE)</f>
        <v>ZTWM-CDGS-XS-2025-0156-五冶钢构-2025年九月第一批次钢筋采购合同(三圣乡项目)-中铁物贸成都公司</v>
      </c>
      <c r="R3772" s="22" t="str">
        <f>_xlfn._xlws.FILTER(辅助信息!D:D,辅助信息!E:E=B3772)</f>
        <v>五冶钢构龙泉东洪片区85亩住宅、商业及配套工程项目二标段</v>
      </c>
    </row>
    <row r="3773" hidden="1" spans="2:18">
      <c r="B3773" s="33" t="s">
        <v>226</v>
      </c>
      <c r="C3773" s="63">
        <v>45924</v>
      </c>
      <c r="D3773" s="33" t="str">
        <f>VLOOKUP(B3773,辅助信息!E:K,7,FALSE)</f>
        <v>JWDDCD2025092400211</v>
      </c>
      <c r="E3773" s="33" t="str">
        <f>VLOOKUP(F3773,辅助信息!A:B,2,FALSE)</f>
        <v>盘螺</v>
      </c>
      <c r="F3773" s="33" t="s">
        <v>40</v>
      </c>
      <c r="G3773" s="29">
        <v>45</v>
      </c>
      <c r="H3773" s="127">
        <f>IF(SUMIFS('[1]2025年已发货'!$E:$E,'[1]2025年已发货'!$F:$F,C3773,'[1]2025年已发货'!$C:$C,F3773,'[1]2025年已发货'!$G:$G,I3773,'[1]2025年已发货'!$H:$H,J3773)=0,"未发货",SUMIFS('[1]2025年已发货'!$E:$E,'[1]2025年已发货'!$F:$F,C3773,'[1]2025年已发货'!$C:$C,F3773,'[1]2025年已发货'!$G:$G,I3773,'[1]2025年已发货'!$H:$H,J3773))</f>
        <v>45</v>
      </c>
      <c r="I3773" s="33" t="str">
        <f>VLOOKUP(B3773,辅助信息!E:I,3,FALSE)</f>
        <v>(五冶钢构龙泉东洪片区85亩住宅、商业及配套工程项目二标段)成都市龙泉驿外东洪路地铁2号线惠王陵地铁C口</v>
      </c>
      <c r="J3773" s="33" t="str">
        <f>VLOOKUP(B3773,辅助信息!E:I,4,FALSE)</f>
        <v>李渊</v>
      </c>
      <c r="K3773" s="33">
        <f>VLOOKUP(J3773,辅助信息!H:I,2,FALSE)</f>
        <v>18381013849</v>
      </c>
      <c r="L3773" s="102">
        <f>VLOOKUP(B3773,辅助信息!E:J,6,FALSE)</f>
        <v>0</v>
      </c>
      <c r="O3773" s="55" t="str">
        <f ca="1" t="shared" si="200"/>
        <v/>
      </c>
      <c r="P3773" s="55" t="str">
        <f ca="1" t="shared" si="201"/>
        <v/>
      </c>
      <c r="Q3773" s="22" t="str">
        <f>VLOOKUP(B3773,辅助信息!E:M,9,FALSE)</f>
        <v>ZTWM-CDGS-XS-2025-0156-五冶钢构-2025年九月第一批次钢筋采购合同(三圣乡项目)-中铁物贸成都公司</v>
      </c>
      <c r="R3773" s="22" t="str">
        <f>_xlfn._xlws.FILTER(辅助信息!D:D,辅助信息!E:E=B3773)</f>
        <v>五冶钢构龙泉东洪片区85亩住宅、商业及配套工程项目二标段</v>
      </c>
    </row>
    <row r="3774" hidden="1" spans="2:18">
      <c r="B3774" s="33" t="s">
        <v>226</v>
      </c>
      <c r="C3774" s="63">
        <v>45924</v>
      </c>
      <c r="D3774" s="33" t="str">
        <f>VLOOKUP(B3774,辅助信息!E:K,7,FALSE)</f>
        <v>JWDDCD2025092400211</v>
      </c>
      <c r="E3774" s="33" t="str">
        <f>VLOOKUP(F3774,辅助信息!A:B,2,FALSE)</f>
        <v>螺纹钢</v>
      </c>
      <c r="F3774" s="33" t="s">
        <v>27</v>
      </c>
      <c r="G3774" s="29">
        <v>35</v>
      </c>
      <c r="H3774" s="127">
        <f>IF(SUMIFS('[1]2025年已发货'!$E:$E,'[1]2025年已发货'!$F:$F,C3774,'[1]2025年已发货'!$C:$C,F3774,'[1]2025年已发货'!$G:$G,I3774,'[1]2025年已发货'!$H:$H,J3774)=0,"未发货",SUMIFS('[1]2025年已发货'!$E:$E,'[1]2025年已发货'!$F:$F,C3774,'[1]2025年已发货'!$C:$C,F3774,'[1]2025年已发货'!$G:$G,I3774,'[1]2025年已发货'!$H:$H,J3774))</f>
        <v>35</v>
      </c>
      <c r="I3774" s="33" t="str">
        <f>VLOOKUP(B3774,辅助信息!E:I,3,FALSE)</f>
        <v>(五冶钢构龙泉东洪片区85亩住宅、商业及配套工程项目二标段)成都市龙泉驿外东洪路地铁2号线惠王陵地铁C口</v>
      </c>
      <c r="J3774" s="33" t="str">
        <f>VLOOKUP(B3774,辅助信息!E:I,4,FALSE)</f>
        <v>李渊</v>
      </c>
      <c r="K3774" s="33">
        <f>VLOOKUP(J3774,辅助信息!H:I,2,FALSE)</f>
        <v>18381013849</v>
      </c>
      <c r="L3774" s="102">
        <f>VLOOKUP(B3774,辅助信息!E:J,6,FALSE)</f>
        <v>0</v>
      </c>
      <c r="O3774" s="55" t="str">
        <f ca="1" t="shared" si="200"/>
        <v/>
      </c>
      <c r="P3774" s="55" t="str">
        <f ca="1" t="shared" si="201"/>
        <v/>
      </c>
      <c r="Q3774" s="22" t="str">
        <f>VLOOKUP(B3774,辅助信息!E:M,9,FALSE)</f>
        <v>ZTWM-CDGS-XS-2025-0156-五冶钢构-2025年九月第一批次钢筋采购合同(三圣乡项目)-中铁物贸成都公司</v>
      </c>
      <c r="R3774" s="22" t="str">
        <f>_xlfn._xlws.FILTER(辅助信息!D:D,辅助信息!E:E=B3774)</f>
        <v>五冶钢构龙泉东洪片区85亩住宅、商业及配套工程项目二标段</v>
      </c>
    </row>
    <row r="3775" hidden="1" spans="2:18">
      <c r="B3775" s="33" t="s">
        <v>226</v>
      </c>
      <c r="C3775" s="63">
        <v>45924</v>
      </c>
      <c r="D3775" s="33" t="str">
        <f>VLOOKUP(B3775,辅助信息!E:K,7,FALSE)</f>
        <v>JWDDCD2025092400211</v>
      </c>
      <c r="E3775" s="33" t="str">
        <f>VLOOKUP(F3775,辅助信息!A:B,2,FALSE)</f>
        <v>螺纹钢</v>
      </c>
      <c r="F3775" s="33" t="s">
        <v>19</v>
      </c>
      <c r="G3775" s="29">
        <v>35</v>
      </c>
      <c r="H3775" s="127">
        <f>IF(SUMIFS('[1]2025年已发货'!$E:$E,'[1]2025年已发货'!$F:$F,C3775,'[1]2025年已发货'!$C:$C,F3775,'[1]2025年已发货'!$G:$G,I3775,'[1]2025年已发货'!$H:$H,J3775)=0,"未发货",SUMIFS('[1]2025年已发货'!$E:$E,'[1]2025年已发货'!$F:$F,C3775,'[1]2025年已发货'!$C:$C,F3775,'[1]2025年已发货'!$G:$G,I3775,'[1]2025年已发货'!$H:$H,J3775))</f>
        <v>35</v>
      </c>
      <c r="I3775" s="33" t="str">
        <f>VLOOKUP(B3775,辅助信息!E:I,3,FALSE)</f>
        <v>(五冶钢构龙泉东洪片区85亩住宅、商业及配套工程项目二标段)成都市龙泉驿外东洪路地铁2号线惠王陵地铁C口</v>
      </c>
      <c r="J3775" s="33" t="str">
        <f>VLOOKUP(B3775,辅助信息!E:I,4,FALSE)</f>
        <v>李渊</v>
      </c>
      <c r="K3775" s="33">
        <f>VLOOKUP(J3775,辅助信息!H:I,2,FALSE)</f>
        <v>18381013849</v>
      </c>
      <c r="L3775" s="102">
        <f>VLOOKUP(B3775,辅助信息!E:J,6,FALSE)</f>
        <v>0</v>
      </c>
      <c r="O3775" s="55" t="str">
        <f ca="1" t="shared" si="200"/>
        <v/>
      </c>
      <c r="P3775" s="55" t="str">
        <f ca="1" t="shared" si="201"/>
        <v/>
      </c>
      <c r="Q3775" s="22" t="str">
        <f>VLOOKUP(B3775,辅助信息!E:M,9,FALSE)</f>
        <v>ZTWM-CDGS-XS-2025-0156-五冶钢构-2025年九月第一批次钢筋采购合同(三圣乡项目)-中铁物贸成都公司</v>
      </c>
      <c r="R3775" s="22" t="str">
        <f>_xlfn._xlws.FILTER(辅助信息!D:D,辅助信息!E:E=B3775)</f>
        <v>五冶钢构龙泉东洪片区85亩住宅、商业及配套工程项目二标段</v>
      </c>
    </row>
    <row r="3776" hidden="1" spans="2:18">
      <c r="B3776" s="33" t="s">
        <v>226</v>
      </c>
      <c r="C3776" s="63">
        <v>45924</v>
      </c>
      <c r="D3776" s="33" t="str">
        <f>VLOOKUP(B3776,辅助信息!E:K,7,FALSE)</f>
        <v>JWDDCD2025092400211</v>
      </c>
      <c r="E3776" s="33" t="str">
        <f>VLOOKUP(F3776,辅助信息!A:B,2,FALSE)</f>
        <v>螺纹钢</v>
      </c>
      <c r="F3776" s="33" t="s">
        <v>30</v>
      </c>
      <c r="G3776" s="29">
        <v>35</v>
      </c>
      <c r="H3776" s="127">
        <f>IF(SUMIFS('[1]2025年已发货'!$E:$E,'[1]2025年已发货'!$F:$F,C3776,'[1]2025年已发货'!$C:$C,F3776,'[1]2025年已发货'!$G:$G,I3776,'[1]2025年已发货'!$H:$H,J3776)=0,"未发货",SUMIFS('[1]2025年已发货'!$E:$E,'[1]2025年已发货'!$F:$F,C3776,'[1]2025年已发货'!$C:$C,F3776,'[1]2025年已发货'!$G:$G,I3776,'[1]2025年已发货'!$H:$H,J3776))</f>
        <v>35</v>
      </c>
      <c r="I3776" s="33" t="str">
        <f>VLOOKUP(B3776,辅助信息!E:I,3,FALSE)</f>
        <v>(五冶钢构龙泉东洪片区85亩住宅、商业及配套工程项目二标段)成都市龙泉驿外东洪路地铁2号线惠王陵地铁C口</v>
      </c>
      <c r="J3776" s="33" t="str">
        <f>VLOOKUP(B3776,辅助信息!E:I,4,FALSE)</f>
        <v>李渊</v>
      </c>
      <c r="K3776" s="33">
        <f>VLOOKUP(J3776,辅助信息!H:I,2,FALSE)</f>
        <v>18381013849</v>
      </c>
      <c r="L3776" s="102">
        <f>VLOOKUP(B3776,辅助信息!E:J,6,FALSE)</f>
        <v>0</v>
      </c>
      <c r="O3776" s="55" t="str">
        <f ca="1" t="shared" si="200"/>
        <v/>
      </c>
      <c r="P3776" s="55" t="str">
        <f ca="1" t="shared" si="201"/>
        <v/>
      </c>
      <c r="Q3776" s="22" t="str">
        <f>VLOOKUP(B3776,辅助信息!E:M,9,FALSE)</f>
        <v>ZTWM-CDGS-XS-2025-0156-五冶钢构-2025年九月第一批次钢筋采购合同(三圣乡项目)-中铁物贸成都公司</v>
      </c>
      <c r="R3776" s="22" t="str">
        <f>_xlfn._xlws.FILTER(辅助信息!D:D,辅助信息!E:E=B3776)</f>
        <v>五冶钢构龙泉东洪片区85亩住宅、商业及配套工程项目二标段</v>
      </c>
    </row>
    <row r="3777" hidden="1" spans="2:18">
      <c r="B3777" s="33" t="s">
        <v>150</v>
      </c>
      <c r="C3777" s="63">
        <v>45924</v>
      </c>
      <c r="D3777" s="33" t="str">
        <f>VLOOKUP(B3777,辅助信息!E:K,7,FALSE)</f>
        <v>JWDDCD2025050800101</v>
      </c>
      <c r="E3777" s="33" t="str">
        <f>VLOOKUP(F3777,辅助信息!A:B,2,FALSE)</f>
        <v>螺纹钢</v>
      </c>
      <c r="F3777" s="33" t="s">
        <v>32</v>
      </c>
      <c r="G3777" s="29">
        <v>9</v>
      </c>
      <c r="H3777" s="127"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33" t="str">
        <f>VLOOKUP(B3777,辅助信息!E:I,3,FALSE)</f>
        <v>(中铁科研院宜宾泥溪项目)中铁科研院集团有限公司宜宾市泥溪东互通式立交下穿成贵客专铁路工程项目钢筋加工厂</v>
      </c>
      <c r="J3777" s="33" t="str">
        <f>VLOOKUP(B3777,辅助信息!E:I,4,FALSE)</f>
        <v>蔡鹏</v>
      </c>
      <c r="K3777" s="33">
        <f>VLOOKUP(J3777,辅助信息!H:I,2,FALSE)</f>
        <v>19130850820</v>
      </c>
      <c r="L3777" s="102" t="str">
        <f>VLOOKUP(B3777,辅助信息!E:J,6,FALSE)</f>
        <v>装货前联系收货人核实到场规格，货物最下面用方木垫下方便卸货</v>
      </c>
      <c r="O3777" s="55" t="str">
        <f ca="1" t="shared" si="200"/>
        <v/>
      </c>
      <c r="P3777" s="55" t="str">
        <f ca="1" t="shared" si="201"/>
        <v/>
      </c>
      <c r="Q3777" s="22" t="str">
        <f>VLOOKUP(B3777,辅助信息!E:M,9,FALSE)</f>
        <v>ZTWM-CDGS-XS-2025-0050-中铁科研院-宜宾泥溪项目</v>
      </c>
      <c r="R3777" s="22" t="str">
        <f>_xlfn._xlws.FILTER(辅助信息!D:D,辅助信息!E:E=B3777)</f>
        <v>中铁科研院宜宾泥溪项目</v>
      </c>
    </row>
    <row r="3778" hidden="1" spans="2:18">
      <c r="B3778" s="33" t="s">
        <v>150</v>
      </c>
      <c r="C3778" s="63">
        <v>45924</v>
      </c>
      <c r="D3778" s="33" t="str">
        <f>VLOOKUP(B3778,辅助信息!E:K,7,FALSE)</f>
        <v>JWDDCD2025050800101</v>
      </c>
      <c r="E3778" s="33" t="str">
        <f>VLOOKUP(F3778,辅助信息!A:B,2,FALSE)</f>
        <v>螺纹钢</v>
      </c>
      <c r="F3778" s="33" t="s">
        <v>33</v>
      </c>
      <c r="G3778" s="29">
        <v>6</v>
      </c>
      <c r="H3778" s="127"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33" t="str">
        <f>VLOOKUP(B3778,辅助信息!E:I,3,FALSE)</f>
        <v>(中铁科研院宜宾泥溪项目)中铁科研院集团有限公司宜宾市泥溪东互通式立交下穿成贵客专铁路工程项目钢筋加工厂</v>
      </c>
      <c r="J3778" s="33" t="str">
        <f>VLOOKUP(B3778,辅助信息!E:I,4,FALSE)</f>
        <v>蔡鹏</v>
      </c>
      <c r="K3778" s="33">
        <f>VLOOKUP(J3778,辅助信息!H:I,2,FALSE)</f>
        <v>19130850820</v>
      </c>
      <c r="L3778" s="102" t="str">
        <f>VLOOKUP(B3778,辅助信息!E:J,6,FALSE)</f>
        <v>装货前联系收货人核实到场规格，货物最下面用方木垫下方便卸货</v>
      </c>
      <c r="O3778" s="55" t="str">
        <f ca="1" t="shared" si="200"/>
        <v/>
      </c>
      <c r="P3778" s="55" t="str">
        <f ca="1" t="shared" si="201"/>
        <v/>
      </c>
      <c r="Q3778" s="22" t="str">
        <f>VLOOKUP(B3778,辅助信息!E:M,9,FALSE)</f>
        <v>ZTWM-CDGS-XS-2025-0050-中铁科研院-宜宾泥溪项目</v>
      </c>
      <c r="R3778" s="22" t="str">
        <f>_xlfn._xlws.FILTER(辅助信息!D:D,辅助信息!E:E=B3778)</f>
        <v>中铁科研院宜宾泥溪项目</v>
      </c>
    </row>
    <row r="3779" hidden="1" spans="2:18">
      <c r="B3779" s="33" t="s">
        <v>150</v>
      </c>
      <c r="C3779" s="63">
        <v>45924</v>
      </c>
      <c r="D3779" s="33" t="str">
        <f>VLOOKUP(B3779,辅助信息!E:K,7,FALSE)</f>
        <v>JWDDCD2025050800101</v>
      </c>
      <c r="E3779" s="33" t="str">
        <f>VLOOKUP(F3779,辅助信息!A:B,2,FALSE)</f>
        <v>螺纹钢</v>
      </c>
      <c r="F3779" s="33" t="s">
        <v>65</v>
      </c>
      <c r="G3779" s="29">
        <v>15</v>
      </c>
      <c r="H3779" s="127"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33" t="str">
        <f>VLOOKUP(B3779,辅助信息!E:I,3,FALSE)</f>
        <v>(中铁科研院宜宾泥溪项目)中铁科研院集团有限公司宜宾市泥溪东互通式立交下穿成贵客专铁路工程项目钢筋加工厂</v>
      </c>
      <c r="J3779" s="33" t="str">
        <f>VLOOKUP(B3779,辅助信息!E:I,4,FALSE)</f>
        <v>蔡鹏</v>
      </c>
      <c r="K3779" s="33">
        <f>VLOOKUP(J3779,辅助信息!H:I,2,FALSE)</f>
        <v>19130850820</v>
      </c>
      <c r="L3779" s="102" t="str">
        <f>VLOOKUP(B3779,辅助信息!E:J,6,FALSE)</f>
        <v>装货前联系收货人核实到场规格，货物最下面用方木垫下方便卸货</v>
      </c>
      <c r="O3779" s="55" t="str">
        <f ca="1" t="shared" si="200"/>
        <v/>
      </c>
      <c r="P3779" s="55" t="str">
        <f ca="1" t="shared" si="201"/>
        <v/>
      </c>
      <c r="Q3779" s="22" t="str">
        <f>VLOOKUP(B3779,辅助信息!E:M,9,FALSE)</f>
        <v>ZTWM-CDGS-XS-2025-0050-中铁科研院-宜宾泥溪项目</v>
      </c>
      <c r="R3779" s="22" t="str">
        <f>_xlfn._xlws.FILTER(辅助信息!D:D,辅助信息!E:E=B3779)</f>
        <v>中铁科研院宜宾泥溪项目</v>
      </c>
    </row>
    <row r="3780" hidden="1" spans="2:18">
      <c r="B3780" s="33" t="s">
        <v>150</v>
      </c>
      <c r="C3780" s="63">
        <v>45924</v>
      </c>
      <c r="D3780" s="33" t="str">
        <f>VLOOKUP(B3780,辅助信息!E:K,7,FALSE)</f>
        <v>JWDDCD2025050800101</v>
      </c>
      <c r="E3780" s="33" t="str">
        <f>VLOOKUP(F3780,辅助信息!A:B,2,FALSE)</f>
        <v>盘螺</v>
      </c>
      <c r="F3780" s="33" t="s">
        <v>41</v>
      </c>
      <c r="G3780" s="29">
        <v>10</v>
      </c>
      <c r="H3780" s="127"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33" t="str">
        <f>VLOOKUP(B3780,辅助信息!E:I,3,FALSE)</f>
        <v>(中铁科研院宜宾泥溪项目)中铁科研院集团有限公司宜宾市泥溪东互通式立交下穿成贵客专铁路工程项目钢筋加工厂</v>
      </c>
      <c r="J3780" s="33" t="str">
        <f>VLOOKUP(B3780,辅助信息!E:I,4,FALSE)</f>
        <v>蔡鹏</v>
      </c>
      <c r="K3780" s="33">
        <f>VLOOKUP(J3780,辅助信息!H:I,2,FALSE)</f>
        <v>19130850820</v>
      </c>
      <c r="L3780" s="102" t="str">
        <f>VLOOKUP(B3780,辅助信息!E:J,6,FALSE)</f>
        <v>装货前联系收货人核实到场规格，货物最下面用方木垫下方便卸货</v>
      </c>
      <c r="O3780" s="55" t="str">
        <f ca="1" t="shared" si="200"/>
        <v/>
      </c>
      <c r="P3780" s="55" t="str">
        <f ca="1" t="shared" si="201"/>
        <v/>
      </c>
      <c r="Q3780" s="22" t="str">
        <f>VLOOKUP(B3780,辅助信息!E:M,9,FALSE)</f>
        <v>ZTWM-CDGS-XS-2025-0050-中铁科研院-宜宾泥溪项目</v>
      </c>
      <c r="R3780" s="22" t="str">
        <f>_xlfn._xlws.FILTER(辅助信息!D:D,辅助信息!E:E=B3780)</f>
        <v>中铁科研院宜宾泥溪项目</v>
      </c>
    </row>
    <row r="3781" hidden="1" spans="2:18">
      <c r="B3781" s="33" t="s">
        <v>150</v>
      </c>
      <c r="C3781" s="63">
        <v>45924</v>
      </c>
      <c r="D3781" s="33" t="str">
        <f>VLOOKUP(B3781,辅助信息!E:K,7,FALSE)</f>
        <v>JWDDCD2025050800101</v>
      </c>
      <c r="E3781" s="33" t="str">
        <f>VLOOKUP(F3781,辅助信息!A:B,2,FALSE)</f>
        <v>盘螺</v>
      </c>
      <c r="F3781" s="33" t="s">
        <v>26</v>
      </c>
      <c r="G3781" s="29">
        <v>30</v>
      </c>
      <c r="H3781" s="127"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33" t="str">
        <f>VLOOKUP(B3781,辅助信息!E:I,3,FALSE)</f>
        <v>(中铁科研院宜宾泥溪项目)中铁科研院集团有限公司宜宾市泥溪东互通式立交下穿成贵客专铁路工程项目钢筋加工厂</v>
      </c>
      <c r="J3781" s="33" t="str">
        <f>VLOOKUP(B3781,辅助信息!E:I,4,FALSE)</f>
        <v>蔡鹏</v>
      </c>
      <c r="K3781" s="33">
        <f>VLOOKUP(J3781,辅助信息!H:I,2,FALSE)</f>
        <v>19130850820</v>
      </c>
      <c r="L3781" s="102" t="str">
        <f>VLOOKUP(B3781,辅助信息!E:J,6,FALSE)</f>
        <v>装货前联系收货人核实到场规格，货物最下面用方木垫下方便卸货</v>
      </c>
      <c r="O3781" s="55" t="str">
        <f ca="1" t="shared" si="200"/>
        <v/>
      </c>
      <c r="P3781" s="55" t="str">
        <f ca="1" t="shared" si="201"/>
        <v/>
      </c>
      <c r="Q3781" s="22" t="str">
        <f>VLOOKUP(B3781,辅助信息!E:M,9,FALSE)</f>
        <v>ZTWM-CDGS-XS-2025-0050-中铁科研院-宜宾泥溪项目</v>
      </c>
      <c r="R3781" s="22" t="str">
        <f>_xlfn._xlws.FILTER(辅助信息!D:D,辅助信息!E:E=B3781)</f>
        <v>中铁科研院宜宾泥溪项目</v>
      </c>
    </row>
    <row r="3782" hidden="1" spans="2:18">
      <c r="B3782" s="113" t="s">
        <v>163</v>
      </c>
      <c r="C3782" s="63">
        <v>45925</v>
      </c>
      <c r="D3782" s="113" t="str">
        <f>VLOOKUP(B3782,辅助信息!E:K,7,FALSE)</f>
        <v>JWDDCD2025052800131</v>
      </c>
      <c r="E3782" s="113" t="str">
        <f>VLOOKUP(F3782,辅助信息!A:B,2,FALSE)</f>
        <v>盘螺</v>
      </c>
      <c r="F3782" s="113" t="s">
        <v>49</v>
      </c>
      <c r="G3782" s="114">
        <v>6</v>
      </c>
      <c r="H3782" s="127">
        <f>IF(SUMIFS('[1]2025年已发货'!$E:$E,'[1]2025年已发货'!$F:$F,C3782,'[1]2025年已发货'!$C:$C,F3782,'[1]2025年已发货'!$G:$G,I3782,'[1]2025年已发货'!$H:$H,J3782)=0,"未发货",SUMIFS('[1]2025年已发货'!$E:$E,'[1]2025年已发货'!$F:$F,C3782,'[1]2025年已发货'!$C:$C,F3782,'[1]2025年已发货'!$G:$G,I3782,'[1]2025年已发货'!$H:$H,J3782))</f>
        <v>6</v>
      </c>
      <c r="I3782" s="113" t="str">
        <f>VLOOKUP(B3782,辅助信息!E:I,3,FALSE)</f>
        <v>（商投建工达州中医药科技园-4工区-9号楼）达州市通川区达州中医药职业学院犀牛大道北段</v>
      </c>
      <c r="J3782" s="113" t="str">
        <f>VLOOKUP(B3782,辅助信息!E:I,4,FALSE)</f>
        <v>张扬</v>
      </c>
      <c r="K3782" s="113">
        <f>VLOOKUP(J3782,辅助信息!H:I,2,FALSE)</f>
        <v>18381904567</v>
      </c>
      <c r="L3782" s="115" t="str">
        <f>VLOOKUP(B3782,辅助信息!E:J,6,FALSE)</f>
        <v>控制炉批号！多了现场不收！,优先安排达钢,提前联系到场规格及数量</v>
      </c>
      <c r="M3782" s="84"/>
      <c r="O3782" s="55" t="str">
        <f ca="1" t="shared" si="200"/>
        <v/>
      </c>
      <c r="P3782" s="55" t="str">
        <f ca="1" t="shared" si="201"/>
        <v/>
      </c>
      <c r="Q3782" s="22" t="str">
        <f>VLOOKUP(B3782,辅助信息!E:M,9,FALSE)</f>
        <v>ZTWM-CDGS-XS-2024-0134-商投建工达州中医药科技成果示范园项目</v>
      </c>
      <c r="R3782" s="22" t="str">
        <f>_xlfn._xlws.FILTER(辅助信息!D:D,辅助信息!E:E=B3782)</f>
        <v>商投建工达州中医药科技园</v>
      </c>
    </row>
    <row r="3783" hidden="1" spans="2:18">
      <c r="B3783" s="113" t="s">
        <v>163</v>
      </c>
      <c r="C3783" s="63">
        <v>45925</v>
      </c>
      <c r="D3783" s="113" t="str">
        <f>VLOOKUP(B3783,辅助信息!E:K,7,FALSE)</f>
        <v>JWDDCD2025052800131</v>
      </c>
      <c r="E3783" s="113" t="str">
        <f>VLOOKUP(F3783,辅助信息!A:B,2,FALSE)</f>
        <v>盘螺</v>
      </c>
      <c r="F3783" s="113" t="s">
        <v>40</v>
      </c>
      <c r="G3783" s="114">
        <f>47-26</f>
        <v>21</v>
      </c>
      <c r="H3783" s="127">
        <f>IF(SUMIFS('[1]2025年已发货'!$E:$E,'[1]2025年已发货'!$F:$F,C3783,'[1]2025年已发货'!$C:$C,F3783,'[1]2025年已发货'!$G:$G,I3783,'[1]2025年已发货'!$H:$H,J3783)=0,"未发货",SUMIFS('[1]2025年已发货'!$E:$E,'[1]2025年已发货'!$F:$F,C3783,'[1]2025年已发货'!$C:$C,F3783,'[1]2025年已发货'!$G:$G,I3783,'[1]2025年已发货'!$H:$H,J3783))</f>
        <v>21</v>
      </c>
      <c r="I3783" s="113" t="str">
        <f>VLOOKUP(B3783,辅助信息!E:I,3,FALSE)</f>
        <v>（商投建工达州中医药科技园-4工区-9号楼）达州市通川区达州中医药职业学院犀牛大道北段</v>
      </c>
      <c r="J3783" s="113" t="str">
        <f>VLOOKUP(B3783,辅助信息!E:I,4,FALSE)</f>
        <v>张扬</v>
      </c>
      <c r="K3783" s="113">
        <f>VLOOKUP(J3783,辅助信息!H:I,2,FALSE)</f>
        <v>18381904567</v>
      </c>
      <c r="L3783" s="115" t="str">
        <f>VLOOKUP(B3783,辅助信息!E:J,6,FALSE)</f>
        <v>控制炉批号！多了现场不收！,优先安排达钢,提前联系到场规格及数量</v>
      </c>
      <c r="M3783" s="84">
        <v>45922</v>
      </c>
      <c r="O3783" s="55">
        <f ca="1" t="shared" si="200"/>
        <v>0</v>
      </c>
      <c r="P3783" s="55">
        <f ca="1" t="shared" si="201"/>
        <v>35</v>
      </c>
      <c r="Q3783" s="22" t="str">
        <f>VLOOKUP(B3783,辅助信息!E:M,9,FALSE)</f>
        <v>ZTWM-CDGS-XS-2024-0134-商投建工达州中医药科技成果示范园项目</v>
      </c>
      <c r="R3783" s="22" t="str">
        <f>_xlfn._xlws.FILTER(辅助信息!D:D,辅助信息!E:E=B3783)</f>
        <v>商投建工达州中医药科技园</v>
      </c>
    </row>
    <row r="3784" hidden="1" spans="2:18">
      <c r="B3784" s="113" t="s">
        <v>163</v>
      </c>
      <c r="C3784" s="63">
        <v>45925</v>
      </c>
      <c r="D3784" s="113" t="str">
        <f>VLOOKUP(B3784,辅助信息!E:K,7,FALSE)</f>
        <v>JWDDCD2025052800131</v>
      </c>
      <c r="E3784" s="113" t="str">
        <f>VLOOKUP(F3784,辅助信息!A:B,2,FALSE)</f>
        <v>盘螺</v>
      </c>
      <c r="F3784" s="113" t="s">
        <v>41</v>
      </c>
      <c r="G3784" s="114">
        <v>10</v>
      </c>
      <c r="H3784" s="127">
        <f>IF(SUMIFS('[1]2025年已发货'!$E:$E,'[1]2025年已发货'!$F:$F,C3784,'[1]2025年已发货'!$C:$C,F3784,'[1]2025年已发货'!$G:$G,I3784,'[1]2025年已发货'!$H:$H,J3784)=0,"未发货",SUMIFS('[1]2025年已发货'!$E:$E,'[1]2025年已发货'!$F:$F,C3784,'[1]2025年已发货'!$C:$C,F3784,'[1]2025年已发货'!$G:$G,I3784,'[1]2025年已发货'!$H:$H,J3784))</f>
        <v>10</v>
      </c>
      <c r="I3784" s="113" t="str">
        <f>VLOOKUP(B3784,辅助信息!E:I,3,FALSE)</f>
        <v>（商投建工达州中医药科技园-4工区-9号楼）达州市通川区达州中医药职业学院犀牛大道北段</v>
      </c>
      <c r="J3784" s="113" t="str">
        <f>VLOOKUP(B3784,辅助信息!E:I,4,FALSE)</f>
        <v>张扬</v>
      </c>
      <c r="K3784" s="113">
        <f>VLOOKUP(J3784,辅助信息!H:I,2,FALSE)</f>
        <v>18381904567</v>
      </c>
      <c r="L3784" s="115" t="str">
        <f>VLOOKUP(B3784,辅助信息!E:J,6,FALSE)</f>
        <v>控制炉批号！多了现场不收！,优先安排达钢,提前联系到场规格及数量</v>
      </c>
      <c r="M3784" s="84">
        <v>45922</v>
      </c>
      <c r="O3784" s="55">
        <f ca="1" t="shared" si="200"/>
        <v>0</v>
      </c>
      <c r="P3784" s="55">
        <f ca="1" t="shared" si="201"/>
        <v>35</v>
      </c>
      <c r="Q3784" s="22" t="str">
        <f>VLOOKUP(B3784,辅助信息!E:M,9,FALSE)</f>
        <v>ZTWM-CDGS-XS-2024-0134-商投建工达州中医药科技成果示范园项目</v>
      </c>
      <c r="R3784" s="22" t="str">
        <f>_xlfn._xlws.FILTER(辅助信息!D:D,辅助信息!E:E=B3784)</f>
        <v>商投建工达州中医药科技园</v>
      </c>
    </row>
    <row r="3785" hidden="1" spans="2:18">
      <c r="B3785" s="113" t="s">
        <v>163</v>
      </c>
      <c r="C3785" s="63">
        <v>45925</v>
      </c>
      <c r="D3785" s="113" t="str">
        <f>VLOOKUP(B3785,辅助信息!E:K,7,FALSE)</f>
        <v>JWDDCD2025052800131</v>
      </c>
      <c r="E3785" s="113" t="str">
        <f>VLOOKUP(F3785,辅助信息!A:B,2,FALSE)</f>
        <v>螺纹钢</v>
      </c>
      <c r="F3785" s="113" t="s">
        <v>58</v>
      </c>
      <c r="G3785" s="114">
        <v>15</v>
      </c>
      <c r="H3785" s="127"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13" t="str">
        <f>VLOOKUP(B3785,辅助信息!E:I,3,FALSE)</f>
        <v>（商投建工达州中医药科技园-4工区-9号楼）达州市通川区达州中医药职业学院犀牛大道北段</v>
      </c>
      <c r="J3785" s="113" t="str">
        <f>VLOOKUP(B3785,辅助信息!E:I,4,FALSE)</f>
        <v>张扬</v>
      </c>
      <c r="K3785" s="113">
        <f>VLOOKUP(J3785,辅助信息!H:I,2,FALSE)</f>
        <v>18381904567</v>
      </c>
      <c r="L3785" s="115" t="str">
        <f>VLOOKUP(B3785,辅助信息!E:J,6,FALSE)</f>
        <v>控制炉批号！多了现场不收！,优先安排达钢,提前联系到场规格及数量</v>
      </c>
      <c r="M3785" s="84"/>
      <c r="O3785" s="55" t="str">
        <f ca="1" t="shared" si="200"/>
        <v/>
      </c>
      <c r="P3785" s="55" t="str">
        <f ca="1" t="shared" si="201"/>
        <v/>
      </c>
      <c r="Q3785" s="22" t="str">
        <f>VLOOKUP(B3785,辅助信息!E:M,9,FALSE)</f>
        <v>ZTWM-CDGS-XS-2024-0134-商投建工达州中医药科技成果示范园项目</v>
      </c>
      <c r="R3785" s="22" t="str">
        <f>_xlfn._xlws.FILTER(辅助信息!D:D,辅助信息!E:E=B3785)</f>
        <v>商投建工达州中医药科技园</v>
      </c>
    </row>
    <row r="3786" hidden="1" spans="2:18">
      <c r="B3786" s="113" t="s">
        <v>163</v>
      </c>
      <c r="C3786" s="63">
        <v>45925</v>
      </c>
      <c r="D3786" s="113" t="str">
        <f>VLOOKUP(B3786,辅助信息!E:K,7,FALSE)</f>
        <v>JWDDCD2025052800131</v>
      </c>
      <c r="E3786" s="113" t="str">
        <f>VLOOKUP(F3786,辅助信息!A:B,2,FALSE)</f>
        <v>螺纹钢</v>
      </c>
      <c r="F3786" s="113" t="s">
        <v>46</v>
      </c>
      <c r="G3786" s="114">
        <v>9</v>
      </c>
      <c r="H3786" s="127"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13" t="str">
        <f>VLOOKUP(B3786,辅助信息!E:I,3,FALSE)</f>
        <v>（商投建工达州中医药科技园-4工区-9号楼）达州市通川区达州中医药职业学院犀牛大道北段</v>
      </c>
      <c r="J3786" s="113" t="str">
        <f>VLOOKUP(B3786,辅助信息!E:I,4,FALSE)</f>
        <v>张扬</v>
      </c>
      <c r="K3786" s="113">
        <f>VLOOKUP(J3786,辅助信息!H:I,2,FALSE)</f>
        <v>18381904567</v>
      </c>
      <c r="L3786" s="115" t="str">
        <f>VLOOKUP(B3786,辅助信息!E:J,6,FALSE)</f>
        <v>控制炉批号！多了现场不收！,优先安排达钢,提前联系到场规格及数量</v>
      </c>
      <c r="M3786" s="84"/>
      <c r="O3786" s="55" t="str">
        <f ca="1" t="shared" si="200"/>
        <v/>
      </c>
      <c r="P3786" s="55" t="str">
        <f ca="1" t="shared" si="201"/>
        <v/>
      </c>
      <c r="Q3786" s="22" t="str">
        <f>VLOOKUP(B3786,辅助信息!E:M,9,FALSE)</f>
        <v>ZTWM-CDGS-XS-2024-0134-商投建工达州中医药科技成果示范园项目</v>
      </c>
      <c r="R3786" s="22" t="str">
        <f>_xlfn._xlws.FILTER(辅助信息!D:D,辅助信息!E:E=B3786)</f>
        <v>商投建工达州中医药科技园</v>
      </c>
    </row>
    <row r="3787" hidden="1" spans="2:18">
      <c r="B3787" s="113" t="s">
        <v>163</v>
      </c>
      <c r="C3787" s="63">
        <v>45925</v>
      </c>
      <c r="D3787" s="113" t="str">
        <f>VLOOKUP(B3787,辅助信息!E:K,7,FALSE)</f>
        <v>JWDDCD2025052800131</v>
      </c>
      <c r="E3787" s="113" t="str">
        <f>VLOOKUP(F3787,辅助信息!A:B,2,FALSE)</f>
        <v>螺纹钢</v>
      </c>
      <c r="F3787" s="113" t="s">
        <v>22</v>
      </c>
      <c r="G3787" s="114">
        <v>15</v>
      </c>
      <c r="H3787" s="127"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13" t="str">
        <f>VLOOKUP(B3787,辅助信息!E:I,3,FALSE)</f>
        <v>（商投建工达州中医药科技园-4工区-9号楼）达州市通川区达州中医药职业学院犀牛大道北段</v>
      </c>
      <c r="J3787" s="113" t="str">
        <f>VLOOKUP(B3787,辅助信息!E:I,4,FALSE)</f>
        <v>张扬</v>
      </c>
      <c r="K3787" s="113">
        <f>VLOOKUP(J3787,辅助信息!H:I,2,FALSE)</f>
        <v>18381904567</v>
      </c>
      <c r="L3787" s="115" t="str">
        <f>VLOOKUP(B3787,辅助信息!E:J,6,FALSE)</f>
        <v>控制炉批号！多了现场不收！,优先安排达钢,提前联系到场规格及数量</v>
      </c>
      <c r="M3787" s="84"/>
      <c r="O3787" s="55" t="str">
        <f ca="1" t="shared" si="200"/>
        <v/>
      </c>
      <c r="P3787" s="55" t="str">
        <f ca="1" t="shared" si="201"/>
        <v/>
      </c>
      <c r="Q3787" s="22" t="str">
        <f>VLOOKUP(B3787,辅助信息!E:M,9,FALSE)</f>
        <v>ZTWM-CDGS-XS-2024-0134-商投建工达州中医药科技成果示范园项目</v>
      </c>
      <c r="R3787" s="22" t="str">
        <f>_xlfn._xlws.FILTER(辅助信息!D:D,辅助信息!E:E=B3787)</f>
        <v>商投建工达州中医药科技园</v>
      </c>
    </row>
    <row r="3788" hidden="1" spans="2:18">
      <c r="B3788" s="113" t="s">
        <v>112</v>
      </c>
      <c r="C3788" s="63">
        <v>45925</v>
      </c>
      <c r="D3788" s="113" t="str">
        <f>VLOOKUP(B3788,辅助信息!E:K,7,FALSE)</f>
        <v>JWDDCD2025052800131</v>
      </c>
      <c r="E3788" s="113" t="str">
        <f>VLOOKUP(F3788,辅助信息!A:B,2,FALSE)</f>
        <v>盘螺</v>
      </c>
      <c r="F3788" s="113" t="s">
        <v>40</v>
      </c>
      <c r="G3788" s="114">
        <v>15</v>
      </c>
      <c r="H3788" s="127"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13" t="str">
        <f>VLOOKUP(B3788,辅助信息!E:I,3,FALSE)</f>
        <v>（商投建工达州中医药科技园-4工区-10号楼）达州市通川区达州中医药职业学院犀牛大道北段</v>
      </c>
      <c r="J3788" s="113" t="str">
        <f>VLOOKUP(B3788,辅助信息!E:I,4,FALSE)</f>
        <v>张扬</v>
      </c>
      <c r="K3788" s="113">
        <f>VLOOKUP(J3788,辅助信息!H:I,2,FALSE)</f>
        <v>18381904567</v>
      </c>
      <c r="L3788" s="115" t="str">
        <f>VLOOKUP(B3788,辅助信息!E:J,6,FALSE)</f>
        <v>控制炉批号！多了现场不收！,优先安排达钢,提前联系到场规格及数量</v>
      </c>
      <c r="M3788" s="84"/>
      <c r="O3788" s="55" t="str">
        <f ca="1" t="shared" si="200"/>
        <v/>
      </c>
      <c r="P3788" s="55" t="str">
        <f ca="1" t="shared" si="201"/>
        <v/>
      </c>
      <c r="Q3788" s="22" t="str">
        <f>VLOOKUP(B3788,辅助信息!E:M,9,FALSE)</f>
        <v>ZTWM-CDGS-XS-2024-0134-商投建工达州中医药科技成果示范园项目</v>
      </c>
      <c r="R3788" s="22" t="str">
        <f>_xlfn._xlws.FILTER(辅助信息!D:D,辅助信息!E:E=B3788)</f>
        <v>商投建工达州中医药科技园</v>
      </c>
    </row>
    <row r="3789" hidden="1" spans="2:18">
      <c r="B3789" s="113" t="s">
        <v>112</v>
      </c>
      <c r="C3789" s="63">
        <v>45925</v>
      </c>
      <c r="D3789" s="113" t="str">
        <f>VLOOKUP(B3789,辅助信息!E:K,7,FALSE)</f>
        <v>JWDDCD2025052800131</v>
      </c>
      <c r="E3789" s="113" t="str">
        <f>VLOOKUP(F3789,辅助信息!A:B,2,FALSE)</f>
        <v>螺纹钢</v>
      </c>
      <c r="F3789" s="113" t="s">
        <v>28</v>
      </c>
      <c r="G3789" s="114">
        <v>6</v>
      </c>
      <c r="H3789" s="127"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13" t="str">
        <f>VLOOKUP(B3789,辅助信息!E:I,3,FALSE)</f>
        <v>（商投建工达州中医药科技园-4工区-10号楼）达州市通川区达州中医药职业学院犀牛大道北段</v>
      </c>
      <c r="J3789" s="113" t="str">
        <f>VLOOKUP(B3789,辅助信息!E:I,4,FALSE)</f>
        <v>张扬</v>
      </c>
      <c r="K3789" s="113">
        <f>VLOOKUP(J3789,辅助信息!H:I,2,FALSE)</f>
        <v>18381904567</v>
      </c>
      <c r="L3789" s="115" t="str">
        <f>VLOOKUP(B3789,辅助信息!E:J,6,FALSE)</f>
        <v>控制炉批号！多了现场不收！,优先安排达钢,提前联系到场规格及数量</v>
      </c>
      <c r="M3789" s="84"/>
      <c r="O3789" s="55" t="str">
        <f ca="1" t="shared" si="200"/>
        <v/>
      </c>
      <c r="P3789" s="55" t="str">
        <f ca="1" t="shared" si="201"/>
        <v/>
      </c>
      <c r="Q3789" s="22" t="str">
        <f>VLOOKUP(B3789,辅助信息!E:M,9,FALSE)</f>
        <v>ZTWM-CDGS-XS-2024-0134-商投建工达州中医药科技成果示范园项目</v>
      </c>
      <c r="R3789" s="22" t="str">
        <f>_xlfn._xlws.FILTER(辅助信息!D:D,辅助信息!E:E=B3789)</f>
        <v>商投建工达州中医药科技园</v>
      </c>
    </row>
    <row r="3790" hidden="1" spans="2:18">
      <c r="B3790" s="113" t="s">
        <v>112</v>
      </c>
      <c r="C3790" s="63">
        <v>45925</v>
      </c>
      <c r="D3790" s="113" t="str">
        <f>VLOOKUP(B3790,辅助信息!E:K,7,FALSE)</f>
        <v>JWDDCD2025052800131</v>
      </c>
      <c r="E3790" s="113" t="str">
        <f>VLOOKUP(F3790,辅助信息!A:B,2,FALSE)</f>
        <v>螺纹钢</v>
      </c>
      <c r="F3790" s="113" t="s">
        <v>45</v>
      </c>
      <c r="G3790" s="114">
        <v>6</v>
      </c>
      <c r="H3790" s="127"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13" t="str">
        <f>VLOOKUP(B3790,辅助信息!E:I,3,FALSE)</f>
        <v>（商投建工达州中医药科技园-4工区-10号楼）达州市通川区达州中医药职业学院犀牛大道北段</v>
      </c>
      <c r="J3790" s="113" t="str">
        <f>VLOOKUP(B3790,辅助信息!E:I,4,FALSE)</f>
        <v>张扬</v>
      </c>
      <c r="K3790" s="113">
        <f>VLOOKUP(J3790,辅助信息!H:I,2,FALSE)</f>
        <v>18381904567</v>
      </c>
      <c r="L3790" s="115" t="str">
        <f>VLOOKUP(B3790,辅助信息!E:J,6,FALSE)</f>
        <v>控制炉批号！多了现场不收！,优先安排达钢,提前联系到场规格及数量</v>
      </c>
      <c r="M3790" s="84">
        <v>45925</v>
      </c>
      <c r="O3790" s="55">
        <f ca="1" t="shared" si="200"/>
        <v>0</v>
      </c>
      <c r="P3790" s="55">
        <f ca="1" t="shared" si="201"/>
        <v>32</v>
      </c>
      <c r="Q3790" s="22" t="str">
        <f>VLOOKUP(B3790,辅助信息!E:M,9,FALSE)</f>
        <v>ZTWM-CDGS-XS-2024-0134-商投建工达州中医药科技成果示范园项目</v>
      </c>
      <c r="R3790" s="22" t="str">
        <f>_xlfn._xlws.FILTER(辅助信息!D:D,辅助信息!E:E=B3790)</f>
        <v>商投建工达州中医药科技园</v>
      </c>
    </row>
    <row r="3791" hidden="1" spans="2:18">
      <c r="B3791" s="113" t="s">
        <v>112</v>
      </c>
      <c r="C3791" s="63">
        <v>45925</v>
      </c>
      <c r="D3791" s="113" t="str">
        <f>VLOOKUP(B3791,辅助信息!E:K,7,FALSE)</f>
        <v>JWDDCD2025052800131</v>
      </c>
      <c r="E3791" s="113" t="str">
        <f>VLOOKUP(F3791,辅助信息!A:B,2,FALSE)</f>
        <v>螺纹钢</v>
      </c>
      <c r="F3791" s="113" t="s">
        <v>21</v>
      </c>
      <c r="G3791" s="114">
        <v>12</v>
      </c>
      <c r="H3791" s="127"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13" t="str">
        <f>VLOOKUP(B3791,辅助信息!E:I,3,FALSE)</f>
        <v>（商投建工达州中医药科技园-4工区-10号楼）达州市通川区达州中医药职业学院犀牛大道北段</v>
      </c>
      <c r="J3791" s="113" t="str">
        <f>VLOOKUP(B3791,辅助信息!E:I,4,FALSE)</f>
        <v>张扬</v>
      </c>
      <c r="K3791" s="113">
        <f>VLOOKUP(J3791,辅助信息!H:I,2,FALSE)</f>
        <v>18381904567</v>
      </c>
      <c r="L3791" s="115" t="str">
        <f>VLOOKUP(B3791,辅助信息!E:J,6,FALSE)</f>
        <v>控制炉批号！多了现场不收！,优先安排达钢,提前联系到场规格及数量</v>
      </c>
      <c r="M3791" s="84">
        <v>45925</v>
      </c>
      <c r="O3791" s="55">
        <f ca="1" t="shared" si="200"/>
        <v>0</v>
      </c>
      <c r="P3791" s="55">
        <f ca="1" t="shared" si="201"/>
        <v>32</v>
      </c>
      <c r="Q3791" s="22" t="str">
        <f>VLOOKUP(B3791,辅助信息!E:M,9,FALSE)</f>
        <v>ZTWM-CDGS-XS-2024-0134-商投建工达州中医药科技成果示范园项目</v>
      </c>
      <c r="R3791" s="22" t="str">
        <f>_xlfn._xlws.FILTER(辅助信息!D:D,辅助信息!E:E=B3791)</f>
        <v>商投建工达州中医药科技园</v>
      </c>
    </row>
    <row r="3792" hidden="1" spans="2:18">
      <c r="B3792" s="113" t="s">
        <v>112</v>
      </c>
      <c r="C3792" s="63">
        <v>45925</v>
      </c>
      <c r="D3792" s="113" t="str">
        <f>VLOOKUP(B3792,辅助信息!E:K,7,FALSE)</f>
        <v>JWDDCD2025052800131</v>
      </c>
      <c r="E3792" s="113" t="str">
        <f>VLOOKUP(F3792,辅助信息!A:B,2,FALSE)</f>
        <v>螺纹钢</v>
      </c>
      <c r="F3792" s="113" t="s">
        <v>58</v>
      </c>
      <c r="G3792" s="114">
        <v>12</v>
      </c>
      <c r="H3792" s="127"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13" t="str">
        <f>VLOOKUP(B3792,辅助信息!E:I,3,FALSE)</f>
        <v>（商投建工达州中医药科技园-4工区-10号楼）达州市通川区达州中医药职业学院犀牛大道北段</v>
      </c>
      <c r="J3792" s="113" t="str">
        <f>VLOOKUP(B3792,辅助信息!E:I,4,FALSE)</f>
        <v>张扬</v>
      </c>
      <c r="K3792" s="113">
        <f>VLOOKUP(J3792,辅助信息!H:I,2,FALSE)</f>
        <v>18381904567</v>
      </c>
      <c r="L3792" s="115" t="str">
        <f>VLOOKUP(B3792,辅助信息!E:J,6,FALSE)</f>
        <v>控制炉批号！多了现场不收！,优先安排达钢,提前联系到场规格及数量</v>
      </c>
      <c r="M3792" s="84">
        <v>45925</v>
      </c>
      <c r="O3792" s="55">
        <f ca="1" t="shared" si="200"/>
        <v>0</v>
      </c>
      <c r="P3792" s="55">
        <f ca="1" t="shared" si="201"/>
        <v>32</v>
      </c>
      <c r="Q3792" s="22" t="str">
        <f>VLOOKUP(B3792,辅助信息!E:M,9,FALSE)</f>
        <v>ZTWM-CDGS-XS-2024-0134-商投建工达州中医药科技成果示范园项目</v>
      </c>
      <c r="R3792" s="22" t="str">
        <f>_xlfn._xlws.FILTER(辅助信息!D:D,辅助信息!E:E=B3792)</f>
        <v>商投建工达州中医药科技园</v>
      </c>
    </row>
    <row r="3793" hidden="1" spans="2:18">
      <c r="B3793" s="113" t="s">
        <v>112</v>
      </c>
      <c r="C3793" s="63">
        <v>45925</v>
      </c>
      <c r="D3793" s="113" t="str">
        <f>VLOOKUP(B3793,辅助信息!E:K,7,FALSE)</f>
        <v>JWDDCD2025052800131</v>
      </c>
      <c r="E3793" s="113" t="str">
        <f>VLOOKUP(F3793,辅助信息!A:B,2,FALSE)</f>
        <v>螺纹钢</v>
      </c>
      <c r="F3793" s="113" t="s">
        <v>22</v>
      </c>
      <c r="G3793" s="114">
        <v>6</v>
      </c>
      <c r="H3793" s="127"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13" t="str">
        <f>VLOOKUP(B3793,辅助信息!E:I,3,FALSE)</f>
        <v>（商投建工达州中医药科技园-4工区-10号楼）达州市通川区达州中医药职业学院犀牛大道北段</v>
      </c>
      <c r="J3793" s="113" t="str">
        <f>VLOOKUP(B3793,辅助信息!E:I,4,FALSE)</f>
        <v>张扬</v>
      </c>
      <c r="K3793" s="113">
        <f>VLOOKUP(J3793,辅助信息!H:I,2,FALSE)</f>
        <v>18381904567</v>
      </c>
      <c r="L3793" s="115" t="str">
        <f>VLOOKUP(B3793,辅助信息!E:J,6,FALSE)</f>
        <v>控制炉批号！多了现场不收！,优先安排达钢,提前联系到场规格及数量</v>
      </c>
      <c r="M3793" s="84">
        <v>45925</v>
      </c>
      <c r="O3793" s="55">
        <f ca="1" t="shared" si="200"/>
        <v>0</v>
      </c>
      <c r="P3793" s="55">
        <f ca="1" t="shared" si="201"/>
        <v>32</v>
      </c>
      <c r="Q3793" s="22" t="str">
        <f>VLOOKUP(B3793,辅助信息!E:M,9,FALSE)</f>
        <v>ZTWM-CDGS-XS-2024-0134-商投建工达州中医药科技成果示范园项目</v>
      </c>
      <c r="R3793" s="22" t="str">
        <f>_xlfn._xlws.FILTER(辅助信息!D:D,辅助信息!E:E=B3793)</f>
        <v>商投建工达州中医药科技园</v>
      </c>
    </row>
    <row r="3794" hidden="1" spans="1:18">
      <c r="A3794" s="122"/>
      <c r="B3794" s="113" t="s">
        <v>167</v>
      </c>
      <c r="C3794" s="63">
        <v>45925</v>
      </c>
      <c r="D3794" s="113" t="str">
        <f>VLOOKUP(B3794,辅助信息!E:K,7,FALSE)</f>
        <v>JWDDCD2025102100473</v>
      </c>
      <c r="E3794" s="113" t="str">
        <f>VLOOKUP(F3794,辅助信息!A:B,2,FALSE)</f>
        <v>螺纹钢</v>
      </c>
      <c r="F3794" s="113" t="s">
        <v>181</v>
      </c>
      <c r="G3794" s="114">
        <v>15</v>
      </c>
      <c r="H3794" s="127"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13" t="str">
        <f>VLOOKUP(B3794,辅助信息!E:I,3,FALSE)</f>
        <v>(五冶建设扩建艺体中学二期工程)四川省成都市双流区光荣路成都艺体中学南200米</v>
      </c>
      <c r="J3794" s="113" t="str">
        <f>VLOOKUP(B3794,辅助信息!E:I,4,FALSE)</f>
        <v>谢序强</v>
      </c>
      <c r="K3794" s="113">
        <f>VLOOKUP(J3794,辅助信息!H:I,2,FALSE)</f>
        <v>13458588232</v>
      </c>
      <c r="L3794" s="115"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55" t="str">
        <f ca="1" t="shared" si="200"/>
        <v/>
      </c>
      <c r="P3794" s="55" t="str">
        <f ca="1" t="shared" si="201"/>
        <v/>
      </c>
      <c r="Q3794" s="22" t="str">
        <f>VLOOKUP(B3794,辅助信息!E:M,9,FALSE)</f>
        <v>ZTWM-CDGS-XS-2025-0073-五冶天府-成都怡心湖片区及龙泉驿医院等项目</v>
      </c>
      <c r="R3794" s="22" t="str">
        <f>_xlfn._xlws.FILTER(辅助信息!D:D,辅助信息!E:E=B3794)</f>
        <v>五冶建设扩建艺体中学二期工程</v>
      </c>
    </row>
    <row r="3795" hidden="1" spans="1:18">
      <c r="A3795" s="122"/>
      <c r="B3795" s="113" t="s">
        <v>167</v>
      </c>
      <c r="C3795" s="63">
        <v>45925</v>
      </c>
      <c r="D3795" s="113" t="str">
        <f>VLOOKUP(B3795,辅助信息!E:K,7,FALSE)</f>
        <v>JWDDCD2025102100473</v>
      </c>
      <c r="E3795" s="113" t="str">
        <f>VLOOKUP(F3795,辅助信息!A:B,2,FALSE)</f>
        <v>螺纹钢</v>
      </c>
      <c r="F3795" s="113" t="s">
        <v>182</v>
      </c>
      <c r="G3795" s="114">
        <v>20</v>
      </c>
      <c r="H3795" s="127"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13" t="str">
        <f>VLOOKUP(B3795,辅助信息!E:I,3,FALSE)</f>
        <v>(五冶建设扩建艺体中学二期工程)四川省成都市双流区光荣路成都艺体中学南200米</v>
      </c>
      <c r="J3795" s="113" t="str">
        <f>VLOOKUP(B3795,辅助信息!E:I,4,FALSE)</f>
        <v>谢序强</v>
      </c>
      <c r="K3795" s="113">
        <f>VLOOKUP(J3795,辅助信息!H:I,2,FALSE)</f>
        <v>13458588232</v>
      </c>
      <c r="L3795" s="115"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55" t="str">
        <f ca="1" t="shared" si="200"/>
        <v/>
      </c>
      <c r="P3795" s="55" t="str">
        <f ca="1" t="shared" si="201"/>
        <v/>
      </c>
      <c r="Q3795" s="22" t="str">
        <f>VLOOKUP(B3795,辅助信息!E:M,9,FALSE)</f>
        <v>ZTWM-CDGS-XS-2025-0073-五冶天府-成都怡心湖片区及龙泉驿医院等项目</v>
      </c>
      <c r="R3795" s="22" t="str">
        <f>_xlfn._xlws.FILTER(辅助信息!D:D,辅助信息!E:E=B3795)</f>
        <v>五冶建设扩建艺体中学二期工程</v>
      </c>
    </row>
    <row r="3796" hidden="1" spans="2:18">
      <c r="B3796" s="113" t="s">
        <v>47</v>
      </c>
      <c r="C3796" s="63">
        <v>45925</v>
      </c>
      <c r="D3796" s="113" t="str">
        <f>VLOOKUP(B3796,辅助信息!E:K,7,FALSE)</f>
        <v>JWDDCD2025052800131</v>
      </c>
      <c r="E3796" s="113" t="str">
        <f>VLOOKUP(F3796,辅助信息!A:B,2,FALSE)</f>
        <v>盘螺</v>
      </c>
      <c r="F3796" s="113" t="s">
        <v>49</v>
      </c>
      <c r="G3796" s="114">
        <v>3</v>
      </c>
      <c r="H3796" s="127">
        <f>IF(SUMIFS('[1]2025年已发货'!$E:$E,'[1]2025年已发货'!$F:$F,C3796,'[1]2025年已发货'!$C:$C,F3796,'[1]2025年已发货'!$G:$G,I3796,'[1]2025年已发货'!$H:$H,J3796)=0,"未发货",SUMIFS('[1]2025年已发货'!$E:$E,'[1]2025年已发货'!$F:$F,C3796,'[1]2025年已发货'!$C:$C,F3796,'[1]2025年已发货'!$G:$G,I3796,'[1]2025年已发货'!$H:$H,J3796))</f>
        <v>3</v>
      </c>
      <c r="I3796" s="113" t="str">
        <f>VLOOKUP(B3796,辅助信息!E:I,3,FALSE)</f>
        <v>（商投建工达州中医药科技园-1工区）达州市通川区达州中医药职业学院犀牛大道北段</v>
      </c>
      <c r="J3796" s="113" t="str">
        <f>VLOOKUP(B3796,辅助信息!E:I,4,FALSE)</f>
        <v>程黄刚</v>
      </c>
      <c r="K3796" s="113">
        <f>VLOOKUP(J3796,辅助信息!H:I,2,FALSE)</f>
        <v>15108211617</v>
      </c>
      <c r="L3796" s="115" t="str">
        <f>VLOOKUP(B3796,辅助信息!E:J,6,FALSE)</f>
        <v>控制炉批号！多了现场不收！,优先安排达钢,提前联系到场规格及数量</v>
      </c>
      <c r="O3796" s="55" t="str">
        <f ca="1" t="shared" si="200"/>
        <v/>
      </c>
      <c r="P3796" s="55" t="str">
        <f ca="1" t="shared" si="201"/>
        <v/>
      </c>
      <c r="Q3796" s="22" t="str">
        <f>VLOOKUP(B3796,辅助信息!E:M,9,FALSE)</f>
        <v>ZTWM-CDGS-XS-2024-0134-商投建工达州中医药科技成果示范园项目</v>
      </c>
      <c r="R3796" s="22" t="str">
        <f>_xlfn._xlws.FILTER(辅助信息!D:D,辅助信息!E:E=B3796)</f>
        <v>商投建工达州中医药科技园</v>
      </c>
    </row>
    <row r="3797" hidden="1" spans="2:18">
      <c r="B3797" s="113" t="s">
        <v>47</v>
      </c>
      <c r="C3797" s="63">
        <v>45925</v>
      </c>
      <c r="D3797" s="113" t="str">
        <f>VLOOKUP(B3797,辅助信息!E:K,7,FALSE)</f>
        <v>JWDDCD2025052800131</v>
      </c>
      <c r="E3797" s="113" t="str">
        <f>VLOOKUP(F3797,辅助信息!A:B,2,FALSE)</f>
        <v>盘螺</v>
      </c>
      <c r="F3797" s="113" t="s">
        <v>40</v>
      </c>
      <c r="G3797" s="114">
        <v>15</v>
      </c>
      <c r="H3797" s="127">
        <f>IF(SUMIFS('[1]2025年已发货'!$E:$E,'[1]2025年已发货'!$F:$F,C3797,'[1]2025年已发货'!$C:$C,F3797,'[1]2025年已发货'!$G:$G,I3797,'[1]2025年已发货'!$H:$H,J3797)=0,"未发货",SUMIFS('[1]2025年已发货'!$E:$E,'[1]2025年已发货'!$F:$F,C3797,'[1]2025年已发货'!$C:$C,F3797,'[1]2025年已发货'!$G:$G,I3797,'[1]2025年已发货'!$H:$H,J3797))</f>
        <v>15</v>
      </c>
      <c r="I3797" s="113" t="str">
        <f>VLOOKUP(B3797,辅助信息!E:I,3,FALSE)</f>
        <v>（商投建工达州中医药科技园-1工区）达州市通川区达州中医药职业学院犀牛大道北段</v>
      </c>
      <c r="J3797" s="113" t="str">
        <f>VLOOKUP(B3797,辅助信息!E:I,4,FALSE)</f>
        <v>程黄刚</v>
      </c>
      <c r="K3797" s="113">
        <f>VLOOKUP(J3797,辅助信息!H:I,2,FALSE)</f>
        <v>15108211617</v>
      </c>
      <c r="L3797" s="115" t="str">
        <f>VLOOKUP(B3797,辅助信息!E:J,6,FALSE)</f>
        <v>控制炉批号！多了现场不收！,优先安排达钢,提前联系到场规格及数量</v>
      </c>
      <c r="O3797" s="55" t="str">
        <f ca="1" t="shared" si="200"/>
        <v/>
      </c>
      <c r="P3797" s="55" t="str">
        <f ca="1" t="shared" si="201"/>
        <v/>
      </c>
      <c r="Q3797" s="22" t="str">
        <f>VLOOKUP(B3797,辅助信息!E:M,9,FALSE)</f>
        <v>ZTWM-CDGS-XS-2024-0134-商投建工达州中医药科技成果示范园项目</v>
      </c>
      <c r="R3797" s="22" t="str">
        <f>_xlfn._xlws.FILTER(辅助信息!D:D,辅助信息!E:E=B3797)</f>
        <v>商投建工达州中医药科技园</v>
      </c>
    </row>
    <row r="3798" hidden="1" spans="2:18">
      <c r="B3798" s="113" t="s">
        <v>47</v>
      </c>
      <c r="C3798" s="63">
        <v>45925</v>
      </c>
      <c r="D3798" s="113" t="str">
        <f>VLOOKUP(B3798,辅助信息!E:K,7,FALSE)</f>
        <v>JWDDCD2025052800131</v>
      </c>
      <c r="E3798" s="113" t="str">
        <f>VLOOKUP(F3798,辅助信息!A:B,2,FALSE)</f>
        <v>盘螺</v>
      </c>
      <c r="F3798" s="113" t="s">
        <v>41</v>
      </c>
      <c r="G3798" s="114">
        <v>9</v>
      </c>
      <c r="H3798" s="127"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13" t="str">
        <f>VLOOKUP(B3798,辅助信息!E:I,3,FALSE)</f>
        <v>（商投建工达州中医药科技园-1工区）达州市通川区达州中医药职业学院犀牛大道北段</v>
      </c>
      <c r="J3798" s="113" t="str">
        <f>VLOOKUP(B3798,辅助信息!E:I,4,FALSE)</f>
        <v>程黄刚</v>
      </c>
      <c r="K3798" s="113">
        <f>VLOOKUP(J3798,辅助信息!H:I,2,FALSE)</f>
        <v>15108211617</v>
      </c>
      <c r="L3798" s="115" t="str">
        <f>VLOOKUP(B3798,辅助信息!E:J,6,FALSE)</f>
        <v>控制炉批号！多了现场不收！,优先安排达钢,提前联系到场规格及数量</v>
      </c>
      <c r="O3798" s="55" t="str">
        <f ca="1" t="shared" si="200"/>
        <v/>
      </c>
      <c r="P3798" s="55" t="str">
        <f ca="1" t="shared" si="201"/>
        <v/>
      </c>
      <c r="Q3798" s="22" t="str">
        <f>VLOOKUP(B3798,辅助信息!E:M,9,FALSE)</f>
        <v>ZTWM-CDGS-XS-2024-0134-商投建工达州中医药科技成果示范园项目</v>
      </c>
      <c r="R3798" s="22" t="str">
        <f>_xlfn._xlws.FILTER(辅助信息!D:D,辅助信息!E:E=B3798)</f>
        <v>商投建工达州中医药科技园</v>
      </c>
    </row>
    <row r="3799" hidden="1" spans="2:18">
      <c r="B3799" s="113" t="s">
        <v>47</v>
      </c>
      <c r="C3799" s="63">
        <v>45925</v>
      </c>
      <c r="D3799" s="113" t="str">
        <f>VLOOKUP(B3799,辅助信息!E:K,7,FALSE)</f>
        <v>JWDDCD2025052800131</v>
      </c>
      <c r="E3799" s="113" t="str">
        <f>VLOOKUP(F3799,辅助信息!A:B,2,FALSE)</f>
        <v>螺纹钢</v>
      </c>
      <c r="F3799" s="113" t="s">
        <v>27</v>
      </c>
      <c r="G3799" s="114">
        <v>9</v>
      </c>
      <c r="H3799" s="127">
        <f>IF(SUMIFS('[1]2025年已发货'!$E:$E,'[1]2025年已发货'!$F:$F,C3799,'[1]2025年已发货'!$C:$C,F3799,'[1]2025年已发货'!$G:$G,I3799,'[1]2025年已发货'!$H:$H,J3799)=0,"未发货",SUMIFS('[1]2025年已发货'!$E:$E,'[1]2025年已发货'!$F:$F,C3799,'[1]2025年已发货'!$C:$C,F3799,'[1]2025年已发货'!$G:$G,I3799,'[1]2025年已发货'!$H:$H,J3799))</f>
        <v>9</v>
      </c>
      <c r="I3799" s="113" t="str">
        <f>VLOOKUP(B3799,辅助信息!E:I,3,FALSE)</f>
        <v>（商投建工达州中医药科技园-1工区）达州市通川区达州中医药职业学院犀牛大道北段</v>
      </c>
      <c r="J3799" s="113" t="str">
        <f>VLOOKUP(B3799,辅助信息!E:I,4,FALSE)</f>
        <v>程黄刚</v>
      </c>
      <c r="K3799" s="113">
        <f>VLOOKUP(J3799,辅助信息!H:I,2,FALSE)</f>
        <v>15108211617</v>
      </c>
      <c r="L3799" s="115" t="str">
        <f>VLOOKUP(B3799,辅助信息!E:J,6,FALSE)</f>
        <v>控制炉批号！多了现场不收！,优先安排达钢,提前联系到场规格及数量</v>
      </c>
      <c r="O3799" s="55" t="str">
        <f ca="1" t="shared" si="200"/>
        <v/>
      </c>
      <c r="P3799" s="55" t="str">
        <f ca="1" t="shared" si="201"/>
        <v/>
      </c>
      <c r="Q3799" s="22" t="str">
        <f>VLOOKUP(B3799,辅助信息!E:M,9,FALSE)</f>
        <v>ZTWM-CDGS-XS-2024-0134-商投建工达州中医药科技成果示范园项目</v>
      </c>
      <c r="R3799" s="22" t="str">
        <f>_xlfn._xlws.FILTER(辅助信息!D:D,辅助信息!E:E=B3799)</f>
        <v>商投建工达州中医药科技园</v>
      </c>
    </row>
    <row r="3800" hidden="1" spans="2:18">
      <c r="B3800" s="113" t="s">
        <v>47</v>
      </c>
      <c r="C3800" s="63">
        <v>45925</v>
      </c>
      <c r="D3800" s="113" t="str">
        <f>VLOOKUP(B3800,辅助信息!E:K,7,FALSE)</f>
        <v>JWDDCD2025052800131</v>
      </c>
      <c r="E3800" s="113" t="str">
        <f>VLOOKUP(F3800,辅助信息!A:B,2,FALSE)</f>
        <v>螺纹钢</v>
      </c>
      <c r="F3800" s="113" t="s">
        <v>19</v>
      </c>
      <c r="G3800" s="114">
        <v>3</v>
      </c>
      <c r="H3800" s="127"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13" t="str">
        <f>VLOOKUP(B3800,辅助信息!E:I,3,FALSE)</f>
        <v>（商投建工达州中医药科技园-1工区）达州市通川区达州中医药职业学院犀牛大道北段</v>
      </c>
      <c r="J3800" s="113" t="str">
        <f>VLOOKUP(B3800,辅助信息!E:I,4,FALSE)</f>
        <v>程黄刚</v>
      </c>
      <c r="K3800" s="113">
        <f>VLOOKUP(J3800,辅助信息!H:I,2,FALSE)</f>
        <v>15108211617</v>
      </c>
      <c r="L3800" s="115" t="str">
        <f>VLOOKUP(B3800,辅助信息!E:J,6,FALSE)</f>
        <v>控制炉批号！多了现场不收！,优先安排达钢,提前联系到场规格及数量</v>
      </c>
      <c r="O3800" s="55" t="str">
        <f ca="1" t="shared" si="200"/>
        <v/>
      </c>
      <c r="P3800" s="55" t="str">
        <f ca="1" t="shared" si="201"/>
        <v/>
      </c>
      <c r="Q3800" s="22" t="str">
        <f>VLOOKUP(B3800,辅助信息!E:M,9,FALSE)</f>
        <v>ZTWM-CDGS-XS-2024-0134-商投建工达州中医药科技成果示范园项目</v>
      </c>
      <c r="R3800" s="22" t="str">
        <f>_xlfn._xlws.FILTER(辅助信息!D:D,辅助信息!E:E=B3800)</f>
        <v>商投建工达州中医药科技园</v>
      </c>
    </row>
    <row r="3801" hidden="1" spans="2:18">
      <c r="B3801" s="113" t="s">
        <v>47</v>
      </c>
      <c r="C3801" s="63">
        <v>45925</v>
      </c>
      <c r="D3801" s="113" t="str">
        <f>VLOOKUP(B3801,辅助信息!E:K,7,FALSE)</f>
        <v>JWDDCD2025052800131</v>
      </c>
      <c r="E3801" s="113" t="str">
        <f>VLOOKUP(F3801,辅助信息!A:B,2,FALSE)</f>
        <v>螺纹钢</v>
      </c>
      <c r="F3801" s="113" t="s">
        <v>32</v>
      </c>
      <c r="G3801" s="114">
        <v>9</v>
      </c>
      <c r="H3801" s="127">
        <f>IF(SUMIFS('[1]2025年已发货'!$E:$E,'[1]2025年已发货'!$F:$F,C3801,'[1]2025年已发货'!$C:$C,F3801,'[1]2025年已发货'!$G:$G,I3801,'[1]2025年已发货'!$H:$H,J3801)=0,"未发货",SUMIFS('[1]2025年已发货'!$E:$E,'[1]2025年已发货'!$F:$F,C3801,'[1]2025年已发货'!$C:$C,F3801,'[1]2025年已发货'!$G:$G,I3801,'[1]2025年已发货'!$H:$H,J3801))</f>
        <v>9</v>
      </c>
      <c r="I3801" s="113" t="str">
        <f>VLOOKUP(B3801,辅助信息!E:I,3,FALSE)</f>
        <v>（商投建工达州中医药科技园-1工区）达州市通川区达州中医药职业学院犀牛大道北段</v>
      </c>
      <c r="J3801" s="113" t="str">
        <f>VLOOKUP(B3801,辅助信息!E:I,4,FALSE)</f>
        <v>程黄刚</v>
      </c>
      <c r="K3801" s="113">
        <f>VLOOKUP(J3801,辅助信息!H:I,2,FALSE)</f>
        <v>15108211617</v>
      </c>
      <c r="L3801" s="115" t="str">
        <f>VLOOKUP(B3801,辅助信息!E:J,6,FALSE)</f>
        <v>控制炉批号！多了现场不收！,优先安排达钢,提前联系到场规格及数量</v>
      </c>
      <c r="O3801" s="55" t="str">
        <f ca="1" t="shared" si="200"/>
        <v/>
      </c>
      <c r="P3801" s="55" t="str">
        <f ca="1" t="shared" si="201"/>
        <v/>
      </c>
      <c r="Q3801" s="22" t="str">
        <f>VLOOKUP(B3801,辅助信息!E:M,9,FALSE)</f>
        <v>ZTWM-CDGS-XS-2024-0134-商投建工达州中医药科技成果示范园项目</v>
      </c>
      <c r="R3801" s="22" t="str">
        <f>_xlfn._xlws.FILTER(辅助信息!D:D,辅助信息!E:E=B3801)</f>
        <v>商投建工达州中医药科技园</v>
      </c>
    </row>
    <row r="3802" hidden="1" spans="2:18">
      <c r="B3802" s="113" t="s">
        <v>47</v>
      </c>
      <c r="C3802" s="63">
        <v>45925</v>
      </c>
      <c r="D3802" s="113" t="str">
        <f>VLOOKUP(B3802,辅助信息!E:K,7,FALSE)</f>
        <v>JWDDCD2025052800131</v>
      </c>
      <c r="E3802" s="113" t="str">
        <f>VLOOKUP(F3802,辅助信息!A:B,2,FALSE)</f>
        <v>螺纹钢</v>
      </c>
      <c r="F3802" s="113" t="s">
        <v>33</v>
      </c>
      <c r="G3802" s="114">
        <v>6</v>
      </c>
      <c r="H3802" s="127"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13" t="str">
        <f>VLOOKUP(B3802,辅助信息!E:I,3,FALSE)</f>
        <v>（商投建工达州中医药科技园-1工区）达州市通川区达州中医药职业学院犀牛大道北段</v>
      </c>
      <c r="J3802" s="113" t="str">
        <f>VLOOKUP(B3802,辅助信息!E:I,4,FALSE)</f>
        <v>程黄刚</v>
      </c>
      <c r="K3802" s="113">
        <f>VLOOKUP(J3802,辅助信息!H:I,2,FALSE)</f>
        <v>15108211617</v>
      </c>
      <c r="L3802" s="115" t="str">
        <f>VLOOKUP(B3802,辅助信息!E:J,6,FALSE)</f>
        <v>控制炉批号！多了现场不收！,优先安排达钢,提前联系到场规格及数量</v>
      </c>
      <c r="O3802" s="55" t="str">
        <f ca="1" t="shared" si="200"/>
        <v/>
      </c>
      <c r="P3802" s="55" t="str">
        <f ca="1" t="shared" si="201"/>
        <v/>
      </c>
      <c r="Q3802" s="22" t="str">
        <f>VLOOKUP(B3802,辅助信息!E:M,9,FALSE)</f>
        <v>ZTWM-CDGS-XS-2024-0134-商投建工达州中医药科技成果示范园项目</v>
      </c>
      <c r="R3802" s="22" t="str">
        <f>_xlfn._xlws.FILTER(辅助信息!D:D,辅助信息!E:E=B3802)</f>
        <v>商投建工达州中医药科技园</v>
      </c>
    </row>
    <row r="3803" hidden="1" spans="2:18">
      <c r="B3803" s="113" t="s">
        <v>47</v>
      </c>
      <c r="C3803" s="63">
        <v>45925</v>
      </c>
      <c r="D3803" s="113" t="str">
        <f>VLOOKUP(B3803,辅助信息!E:K,7,FALSE)</f>
        <v>JWDDCD2025052800131</v>
      </c>
      <c r="E3803" s="113" t="str">
        <f>VLOOKUP(F3803,辅助信息!A:B,2,FALSE)</f>
        <v>螺纹钢</v>
      </c>
      <c r="F3803" s="113" t="s">
        <v>28</v>
      </c>
      <c r="G3803" s="114">
        <v>27</v>
      </c>
      <c r="H3803" s="127">
        <f>IF(SUMIFS('[1]2025年已发货'!$E:$E,'[1]2025年已发货'!$F:$F,C3803,'[1]2025年已发货'!$C:$C,F3803,'[1]2025年已发货'!$G:$G,I3803,'[1]2025年已发货'!$H:$H,J3803)=0,"未发货",SUMIFS('[1]2025年已发货'!$E:$E,'[1]2025年已发货'!$F:$F,C3803,'[1]2025年已发货'!$C:$C,F3803,'[1]2025年已发货'!$G:$G,I3803,'[1]2025年已发货'!$H:$H,J3803))</f>
        <v>15</v>
      </c>
      <c r="I3803" s="113" t="str">
        <f>VLOOKUP(B3803,辅助信息!E:I,3,FALSE)</f>
        <v>（商投建工达州中医药科技园-1工区）达州市通川区达州中医药职业学院犀牛大道北段</v>
      </c>
      <c r="J3803" s="113" t="str">
        <f>VLOOKUP(B3803,辅助信息!E:I,4,FALSE)</f>
        <v>程黄刚</v>
      </c>
      <c r="K3803" s="113">
        <f>VLOOKUP(J3803,辅助信息!H:I,2,FALSE)</f>
        <v>15108211617</v>
      </c>
      <c r="L3803" s="115" t="str">
        <f>VLOOKUP(B3803,辅助信息!E:J,6,FALSE)</f>
        <v>控制炉批号！多了现场不收！,优先安排达钢,提前联系到场规格及数量</v>
      </c>
      <c r="O3803" s="55" t="str">
        <f ca="1" t="shared" si="200"/>
        <v/>
      </c>
      <c r="P3803" s="55" t="str">
        <f ca="1" t="shared" si="201"/>
        <v/>
      </c>
      <c r="Q3803" s="22" t="str">
        <f>VLOOKUP(B3803,辅助信息!E:M,9,FALSE)</f>
        <v>ZTWM-CDGS-XS-2024-0134-商投建工达州中医药科技成果示范园项目</v>
      </c>
      <c r="R3803" s="22" t="str">
        <f>_xlfn._xlws.FILTER(辅助信息!D:D,辅助信息!E:E=B3803)</f>
        <v>商投建工达州中医药科技园</v>
      </c>
    </row>
    <row r="3804" hidden="1" spans="2:18">
      <c r="B3804" s="113" t="s">
        <v>47</v>
      </c>
      <c r="C3804" s="63">
        <v>45925</v>
      </c>
      <c r="D3804" s="113" t="str">
        <f>VLOOKUP(B3804,辅助信息!E:K,7,FALSE)</f>
        <v>JWDDCD2025052800131</v>
      </c>
      <c r="E3804" s="113" t="str">
        <f>VLOOKUP(F3804,辅助信息!A:B,2,FALSE)</f>
        <v>螺纹钢</v>
      </c>
      <c r="F3804" s="113" t="s">
        <v>18</v>
      </c>
      <c r="G3804" s="114">
        <v>9</v>
      </c>
      <c r="H3804" s="127">
        <f>IF(SUMIFS('[1]2025年已发货'!$E:$E,'[1]2025年已发货'!$F:$F,C3804,'[1]2025年已发货'!$C:$C,F3804,'[1]2025年已发货'!$G:$G,I3804,'[1]2025年已发货'!$H:$H,J3804)=0,"未发货",SUMIFS('[1]2025年已发货'!$E:$E,'[1]2025年已发货'!$F:$F,C3804,'[1]2025年已发货'!$C:$C,F3804,'[1]2025年已发货'!$G:$G,I3804,'[1]2025年已发货'!$H:$H,J3804))</f>
        <v>9</v>
      </c>
      <c r="I3804" s="113" t="str">
        <f>VLOOKUP(B3804,辅助信息!E:I,3,FALSE)</f>
        <v>（商投建工达州中医药科技园-1工区）达州市通川区达州中医药职业学院犀牛大道北段</v>
      </c>
      <c r="J3804" s="113" t="str">
        <f>VLOOKUP(B3804,辅助信息!E:I,4,FALSE)</f>
        <v>程黄刚</v>
      </c>
      <c r="K3804" s="113">
        <f>VLOOKUP(J3804,辅助信息!H:I,2,FALSE)</f>
        <v>15108211617</v>
      </c>
      <c r="L3804" s="115" t="str">
        <f>VLOOKUP(B3804,辅助信息!E:J,6,FALSE)</f>
        <v>控制炉批号！多了现场不收！,优先安排达钢,提前联系到场规格及数量</v>
      </c>
      <c r="O3804" s="55" t="str">
        <f ca="1" t="shared" si="200"/>
        <v/>
      </c>
      <c r="P3804" s="55" t="str">
        <f ca="1" t="shared" si="201"/>
        <v/>
      </c>
      <c r="Q3804" s="22" t="str">
        <f>VLOOKUP(B3804,辅助信息!E:M,9,FALSE)</f>
        <v>ZTWM-CDGS-XS-2024-0134-商投建工达州中医药科技成果示范园项目</v>
      </c>
      <c r="R3804" s="22" t="str">
        <f>_xlfn._xlws.FILTER(辅助信息!D:D,辅助信息!E:E=B3804)</f>
        <v>商投建工达州中医药科技园</v>
      </c>
    </row>
    <row r="3805" hidden="1" spans="2:18">
      <c r="B3805" s="113" t="s">
        <v>150</v>
      </c>
      <c r="C3805" s="63">
        <v>45925</v>
      </c>
      <c r="D3805" s="113" t="str">
        <f>VLOOKUP(B3805,辅助信息!E:K,7,FALSE)</f>
        <v>JWDDCD2025050800101</v>
      </c>
      <c r="E3805" s="113" t="str">
        <f>VLOOKUP(F3805,辅助信息!A:B,2,FALSE)</f>
        <v>螺纹钢</v>
      </c>
      <c r="F3805" s="113" t="s">
        <v>32</v>
      </c>
      <c r="G3805" s="114">
        <v>9</v>
      </c>
      <c r="H3805" s="127"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13" t="str">
        <f>VLOOKUP(B3805,辅助信息!E:I,3,FALSE)</f>
        <v>(中铁科研院宜宾泥溪项目)中铁科研院集团有限公司宜宾市泥溪东互通式立交下穿成贵客专铁路工程项目钢筋加工厂</v>
      </c>
      <c r="J3805" s="113" t="str">
        <f>VLOOKUP(B3805,辅助信息!E:I,4,FALSE)</f>
        <v>蔡鹏</v>
      </c>
      <c r="K3805" s="113">
        <f>VLOOKUP(J3805,辅助信息!H:I,2,FALSE)</f>
        <v>19130850820</v>
      </c>
      <c r="L3805" s="115" t="str">
        <f>VLOOKUP(B3805,辅助信息!E:J,6,FALSE)</f>
        <v>装货前联系收货人核实到场规格，货物最下面用方木垫下方便卸货</v>
      </c>
      <c r="O3805" s="55" t="str">
        <f ca="1" t="shared" si="200"/>
        <v/>
      </c>
      <c r="P3805" s="55" t="str">
        <f ca="1" t="shared" si="201"/>
        <v/>
      </c>
      <c r="Q3805" s="22" t="str">
        <f>VLOOKUP(B3805,辅助信息!E:M,9,FALSE)</f>
        <v>ZTWM-CDGS-XS-2025-0050-中铁科研院-宜宾泥溪项目</v>
      </c>
      <c r="R3805" s="22" t="str">
        <f>_xlfn._xlws.FILTER(辅助信息!D:D,辅助信息!E:E=B3805)</f>
        <v>中铁科研院宜宾泥溪项目</v>
      </c>
    </row>
    <row r="3806" hidden="1" spans="2:18">
      <c r="B3806" s="113" t="s">
        <v>150</v>
      </c>
      <c r="C3806" s="63">
        <v>45925</v>
      </c>
      <c r="D3806" s="113" t="str">
        <f>VLOOKUP(B3806,辅助信息!E:K,7,FALSE)</f>
        <v>JWDDCD2025050800101</v>
      </c>
      <c r="E3806" s="113" t="str">
        <f>VLOOKUP(F3806,辅助信息!A:B,2,FALSE)</f>
        <v>螺纹钢</v>
      </c>
      <c r="F3806" s="113" t="s">
        <v>33</v>
      </c>
      <c r="G3806" s="114">
        <v>6</v>
      </c>
      <c r="H3806" s="127"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13" t="str">
        <f>VLOOKUP(B3806,辅助信息!E:I,3,FALSE)</f>
        <v>(中铁科研院宜宾泥溪项目)中铁科研院集团有限公司宜宾市泥溪东互通式立交下穿成贵客专铁路工程项目钢筋加工厂</v>
      </c>
      <c r="J3806" s="113" t="str">
        <f>VLOOKUP(B3806,辅助信息!E:I,4,FALSE)</f>
        <v>蔡鹏</v>
      </c>
      <c r="K3806" s="113">
        <f>VLOOKUP(J3806,辅助信息!H:I,2,FALSE)</f>
        <v>19130850820</v>
      </c>
      <c r="L3806" s="115" t="str">
        <f>VLOOKUP(B3806,辅助信息!E:J,6,FALSE)</f>
        <v>装货前联系收货人核实到场规格，货物最下面用方木垫下方便卸货</v>
      </c>
      <c r="O3806" s="55" t="str">
        <f ca="1" t="shared" si="200"/>
        <v/>
      </c>
      <c r="P3806" s="55" t="str">
        <f ca="1" t="shared" si="201"/>
        <v/>
      </c>
      <c r="Q3806" s="22" t="str">
        <f>VLOOKUP(B3806,辅助信息!E:M,9,FALSE)</f>
        <v>ZTWM-CDGS-XS-2025-0050-中铁科研院-宜宾泥溪项目</v>
      </c>
      <c r="R3806" s="22" t="str">
        <f>_xlfn._xlws.FILTER(辅助信息!D:D,辅助信息!E:E=B3806)</f>
        <v>中铁科研院宜宾泥溪项目</v>
      </c>
    </row>
    <row r="3807" hidden="1" spans="2:18">
      <c r="B3807" s="113" t="s">
        <v>150</v>
      </c>
      <c r="C3807" s="63">
        <v>45925</v>
      </c>
      <c r="D3807" s="113" t="str">
        <f>VLOOKUP(B3807,辅助信息!E:K,7,FALSE)</f>
        <v>JWDDCD2025050800101</v>
      </c>
      <c r="E3807" s="113" t="str">
        <f>VLOOKUP(F3807,辅助信息!A:B,2,FALSE)</f>
        <v>螺纹钢</v>
      </c>
      <c r="F3807" s="113" t="s">
        <v>65</v>
      </c>
      <c r="G3807" s="114">
        <v>15</v>
      </c>
      <c r="H3807" s="127"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13" t="str">
        <f>VLOOKUP(B3807,辅助信息!E:I,3,FALSE)</f>
        <v>(中铁科研院宜宾泥溪项目)中铁科研院集团有限公司宜宾市泥溪东互通式立交下穿成贵客专铁路工程项目钢筋加工厂</v>
      </c>
      <c r="J3807" s="113" t="str">
        <f>VLOOKUP(B3807,辅助信息!E:I,4,FALSE)</f>
        <v>蔡鹏</v>
      </c>
      <c r="K3807" s="113">
        <f>VLOOKUP(J3807,辅助信息!H:I,2,FALSE)</f>
        <v>19130850820</v>
      </c>
      <c r="L3807" s="115" t="str">
        <f>VLOOKUP(B3807,辅助信息!E:J,6,FALSE)</f>
        <v>装货前联系收货人核实到场规格，货物最下面用方木垫下方便卸货</v>
      </c>
      <c r="O3807" s="55" t="str">
        <f ca="1" t="shared" si="200"/>
        <v/>
      </c>
      <c r="P3807" s="55" t="str">
        <f ca="1" t="shared" si="201"/>
        <v/>
      </c>
      <c r="Q3807" s="22" t="str">
        <f>VLOOKUP(B3807,辅助信息!E:M,9,FALSE)</f>
        <v>ZTWM-CDGS-XS-2025-0050-中铁科研院-宜宾泥溪项目</v>
      </c>
      <c r="R3807" s="22" t="str">
        <f>_xlfn._xlws.FILTER(辅助信息!D:D,辅助信息!E:E=B3807)</f>
        <v>中铁科研院宜宾泥溪项目</v>
      </c>
    </row>
    <row r="3808" hidden="1" spans="2:18">
      <c r="B3808" s="113" t="s">
        <v>150</v>
      </c>
      <c r="C3808" s="63">
        <v>45925</v>
      </c>
      <c r="D3808" s="113" t="str">
        <f>VLOOKUP(B3808,辅助信息!E:K,7,FALSE)</f>
        <v>JWDDCD2025050800101</v>
      </c>
      <c r="E3808" s="113" t="str">
        <f>VLOOKUP(F3808,辅助信息!A:B,2,FALSE)</f>
        <v>盘螺</v>
      </c>
      <c r="F3808" s="113" t="s">
        <v>41</v>
      </c>
      <c r="G3808" s="114">
        <v>10</v>
      </c>
      <c r="H3808" s="127"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13" t="str">
        <f>VLOOKUP(B3808,辅助信息!E:I,3,FALSE)</f>
        <v>(中铁科研院宜宾泥溪项目)中铁科研院集团有限公司宜宾市泥溪东互通式立交下穿成贵客专铁路工程项目钢筋加工厂</v>
      </c>
      <c r="J3808" s="113" t="str">
        <f>VLOOKUP(B3808,辅助信息!E:I,4,FALSE)</f>
        <v>蔡鹏</v>
      </c>
      <c r="K3808" s="113">
        <f>VLOOKUP(J3808,辅助信息!H:I,2,FALSE)</f>
        <v>19130850820</v>
      </c>
      <c r="L3808" s="115" t="str">
        <f>VLOOKUP(B3808,辅助信息!E:J,6,FALSE)</f>
        <v>装货前联系收货人核实到场规格，货物最下面用方木垫下方便卸货</v>
      </c>
      <c r="O3808" s="55" t="str">
        <f ca="1" t="shared" ref="O3808:O3871" si="202">IF(OR(M3808="",N3808&lt;&gt;""),"",MAX(M3808-TODAY(),0))</f>
        <v/>
      </c>
      <c r="P3808" s="55" t="str">
        <f ca="1" t="shared" ref="P3808:P3871" si="203">IF(M3808="","",IF(N3808&lt;&gt;"",MAX(N3808-M3808,0),IF(TODAY()&gt;M3808,TODAY()-M3808,0)))</f>
        <v/>
      </c>
      <c r="Q3808" s="22" t="str">
        <f>VLOOKUP(B3808,辅助信息!E:M,9,FALSE)</f>
        <v>ZTWM-CDGS-XS-2025-0050-中铁科研院-宜宾泥溪项目</v>
      </c>
      <c r="R3808" s="22" t="str">
        <f>_xlfn._xlws.FILTER(辅助信息!D:D,辅助信息!E:E=B3808)</f>
        <v>中铁科研院宜宾泥溪项目</v>
      </c>
    </row>
    <row r="3809" hidden="1" spans="2:18">
      <c r="B3809" s="113" t="s">
        <v>150</v>
      </c>
      <c r="C3809" s="63">
        <v>45925</v>
      </c>
      <c r="D3809" s="113" t="str">
        <f>VLOOKUP(B3809,辅助信息!E:K,7,FALSE)</f>
        <v>JWDDCD2025050800101</v>
      </c>
      <c r="E3809" s="113" t="str">
        <f>VLOOKUP(F3809,辅助信息!A:B,2,FALSE)</f>
        <v>盘螺</v>
      </c>
      <c r="F3809" s="113" t="s">
        <v>26</v>
      </c>
      <c r="G3809" s="114">
        <v>30</v>
      </c>
      <c r="H3809" s="127"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13" t="str">
        <f>VLOOKUP(B3809,辅助信息!E:I,3,FALSE)</f>
        <v>(中铁科研院宜宾泥溪项目)中铁科研院集团有限公司宜宾市泥溪东互通式立交下穿成贵客专铁路工程项目钢筋加工厂</v>
      </c>
      <c r="J3809" s="113" t="str">
        <f>VLOOKUP(B3809,辅助信息!E:I,4,FALSE)</f>
        <v>蔡鹏</v>
      </c>
      <c r="K3809" s="113">
        <f>VLOOKUP(J3809,辅助信息!H:I,2,FALSE)</f>
        <v>19130850820</v>
      </c>
      <c r="L3809" s="115" t="str">
        <f>VLOOKUP(B3809,辅助信息!E:J,6,FALSE)</f>
        <v>装货前联系收货人核实到场规格，货物最下面用方木垫下方便卸货</v>
      </c>
      <c r="O3809" s="55" t="str">
        <f ca="1" t="shared" si="202"/>
        <v/>
      </c>
      <c r="P3809" s="55" t="str">
        <f ca="1" t="shared" si="203"/>
        <v/>
      </c>
      <c r="Q3809" s="22" t="str">
        <f>VLOOKUP(B3809,辅助信息!E:M,9,FALSE)</f>
        <v>ZTWM-CDGS-XS-2025-0050-中铁科研院-宜宾泥溪项目</v>
      </c>
      <c r="R3809" s="22" t="str">
        <f>_xlfn._xlws.FILTER(辅助信息!D:D,辅助信息!E:E=B3809)</f>
        <v>中铁科研院宜宾泥溪项目</v>
      </c>
    </row>
    <row r="3810" hidden="1" spans="2:18">
      <c r="B3810" s="33" t="s">
        <v>215</v>
      </c>
      <c r="C3810" s="63">
        <v>45925</v>
      </c>
      <c r="D3810" s="33" t="str">
        <f>VLOOKUP(B3810,辅助信息!E:K,7,FALSE)</f>
        <v>JWDDCD2025102100486</v>
      </c>
      <c r="E3810" s="33" t="str">
        <f>VLOOKUP(F3810,辅助信息!A:B,2,FALSE)</f>
        <v>盘螺</v>
      </c>
      <c r="F3810" s="33" t="s">
        <v>40</v>
      </c>
      <c r="G3810" s="29">
        <v>14</v>
      </c>
      <c r="H3810" s="127"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33" t="str">
        <f>VLOOKUP(B3810,辅助信息!E:I,3,FALSE)</f>
        <v>(五冶建设龙泉驿一医院配套建设工程)成都市龙泉驿区董朗路69号龙泉驿一医院5号门</v>
      </c>
      <c r="J3810" s="33" t="str">
        <f>VLOOKUP(B3810,辅助信息!E:I,4,FALSE)</f>
        <v>孙敏</v>
      </c>
      <c r="K3810" s="33">
        <f>VLOOKUP(J3810,辅助信息!H:I,2,FALSE)</f>
        <v>13617695006</v>
      </c>
      <c r="L3810" s="102" t="str">
        <f>VLOOKUP(B3810,辅助信息!E:J,6,FALSE)</f>
        <v>联系实际收货人（孙敏13617695006）五冶建设送货单,6份材质书,锈货不收，装货前联系收货人核实到场规格,没提前告知进场规格现场不给予接收</v>
      </c>
      <c r="O3810" s="55" t="str">
        <f ca="1" t="shared" si="202"/>
        <v/>
      </c>
      <c r="P3810" s="55" t="str">
        <f ca="1" t="shared" si="203"/>
        <v/>
      </c>
      <c r="Q3810" s="22" t="str">
        <f>VLOOKUP(B3810,辅助信息!E:M,9,FALSE)</f>
        <v>ZTWM-CDGS-XS-2025-0073-五冶天府-成都怡心湖片区及龙泉驿医院等项目</v>
      </c>
      <c r="R3810" s="22" t="str">
        <f>_xlfn._xlws.FILTER(辅助信息!D:D,辅助信息!E:E=B3810)</f>
        <v>五冶建设龙泉驿一医院配套建设工程</v>
      </c>
    </row>
    <row r="3811" hidden="1" spans="2:18">
      <c r="B3811" s="33" t="s">
        <v>215</v>
      </c>
      <c r="C3811" s="63">
        <v>45925</v>
      </c>
      <c r="D3811" s="33" t="str">
        <f>VLOOKUP(B3811,辅助信息!E:K,7,FALSE)</f>
        <v>JWDDCD2025102100486</v>
      </c>
      <c r="E3811" s="33" t="str">
        <f>VLOOKUP(F3811,辅助信息!A:B,2,FALSE)</f>
        <v>盘螺</v>
      </c>
      <c r="F3811" s="33" t="s">
        <v>41</v>
      </c>
      <c r="G3811" s="29">
        <v>4</v>
      </c>
      <c r="H3811" s="127"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33" t="str">
        <f>VLOOKUP(B3811,辅助信息!E:I,3,FALSE)</f>
        <v>(五冶建设龙泉驿一医院配套建设工程)成都市龙泉驿区董朗路69号龙泉驿一医院5号门</v>
      </c>
      <c r="J3811" s="33" t="str">
        <f>VLOOKUP(B3811,辅助信息!E:I,4,FALSE)</f>
        <v>孙敏</v>
      </c>
      <c r="K3811" s="33">
        <f>VLOOKUP(J3811,辅助信息!H:I,2,FALSE)</f>
        <v>13617695006</v>
      </c>
      <c r="L3811" s="102" t="str">
        <f>VLOOKUP(B3811,辅助信息!E:J,6,FALSE)</f>
        <v>联系实际收货人（孙敏13617695006）五冶建设送货单,6份材质书,锈货不收，装货前联系收货人核实到场规格,没提前告知进场规格现场不给予接收</v>
      </c>
      <c r="O3811" s="55" t="str">
        <f ca="1" t="shared" si="202"/>
        <v/>
      </c>
      <c r="P3811" s="55" t="str">
        <f ca="1" t="shared" si="203"/>
        <v/>
      </c>
      <c r="Q3811" s="22" t="str">
        <f>VLOOKUP(B3811,辅助信息!E:M,9,FALSE)</f>
        <v>ZTWM-CDGS-XS-2025-0073-五冶天府-成都怡心湖片区及龙泉驿医院等项目</v>
      </c>
      <c r="R3811" s="22" t="str">
        <f>_xlfn._xlws.FILTER(辅助信息!D:D,辅助信息!E:E=B3811)</f>
        <v>五冶建设龙泉驿一医院配套建设工程</v>
      </c>
    </row>
    <row r="3812" hidden="1" spans="2:18">
      <c r="B3812" s="33" t="s">
        <v>215</v>
      </c>
      <c r="C3812" s="63">
        <v>45925</v>
      </c>
      <c r="D3812" s="33" t="str">
        <f>VLOOKUP(B3812,辅助信息!E:K,7,FALSE)</f>
        <v>JWDDCD2025102100486</v>
      </c>
      <c r="E3812" s="33" t="str">
        <f>VLOOKUP(F3812,辅助信息!A:B,2,FALSE)</f>
        <v>盘螺</v>
      </c>
      <c r="F3812" s="33" t="s">
        <v>26</v>
      </c>
      <c r="G3812" s="29">
        <v>32</v>
      </c>
      <c r="H3812" s="127"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33" t="str">
        <f>VLOOKUP(B3812,辅助信息!E:I,3,FALSE)</f>
        <v>(五冶建设龙泉驿一医院配套建设工程)成都市龙泉驿区董朗路69号龙泉驿一医院5号门</v>
      </c>
      <c r="J3812" s="33" t="str">
        <f>VLOOKUP(B3812,辅助信息!E:I,4,FALSE)</f>
        <v>孙敏</v>
      </c>
      <c r="K3812" s="33">
        <f>VLOOKUP(J3812,辅助信息!H:I,2,FALSE)</f>
        <v>13617695006</v>
      </c>
      <c r="L3812" s="102" t="str">
        <f>VLOOKUP(B3812,辅助信息!E:J,6,FALSE)</f>
        <v>联系实际收货人（孙敏13617695006）五冶建设送货单,6份材质书,锈货不收，装货前联系收货人核实到场规格,没提前告知进场规格现场不给予接收</v>
      </c>
      <c r="O3812" s="55" t="str">
        <f ca="1" t="shared" si="202"/>
        <v/>
      </c>
      <c r="P3812" s="55" t="str">
        <f ca="1" t="shared" si="203"/>
        <v/>
      </c>
      <c r="Q3812" s="22" t="str">
        <f>VLOOKUP(B3812,辅助信息!E:M,9,FALSE)</f>
        <v>ZTWM-CDGS-XS-2025-0073-五冶天府-成都怡心湖片区及龙泉驿医院等项目</v>
      </c>
      <c r="R3812" s="22" t="str">
        <f>_xlfn._xlws.FILTER(辅助信息!D:D,辅助信息!E:E=B3812)</f>
        <v>五冶建设龙泉驿一医院配套建设工程</v>
      </c>
    </row>
    <row r="3813" hidden="1" spans="2:18">
      <c r="B3813" s="33" t="s">
        <v>215</v>
      </c>
      <c r="C3813" s="63">
        <v>45925</v>
      </c>
      <c r="D3813" s="33" t="str">
        <f>VLOOKUP(B3813,辅助信息!E:K,7,FALSE)</f>
        <v>JWDDCD2025102100486</v>
      </c>
      <c r="E3813" s="33" t="str">
        <f>VLOOKUP(F3813,辅助信息!A:B,2,FALSE)</f>
        <v>螺纹钢</v>
      </c>
      <c r="F3813" s="33" t="s">
        <v>19</v>
      </c>
      <c r="G3813" s="29">
        <v>20</v>
      </c>
      <c r="H3813" s="127">
        <f>IF(SUMIFS('[1]2025年已发货'!$E:$E,'[1]2025年已发货'!$F:$F,C3813,'[1]2025年已发货'!$C:$C,F3813,'[1]2025年已发货'!$G:$G,I3813,'[1]2025年已发货'!$H:$H,J3813)=0,"未发货",SUMIFS('[1]2025年已发货'!$E:$E,'[1]2025年已发货'!$F:$F,C3813,'[1]2025年已发货'!$C:$C,F3813,'[1]2025年已发货'!$G:$G,I3813,'[1]2025年已发货'!$H:$H,J3813))</f>
        <v>8</v>
      </c>
      <c r="I3813" s="33" t="str">
        <f>VLOOKUP(B3813,辅助信息!E:I,3,FALSE)</f>
        <v>(五冶建设龙泉驿一医院配套建设工程)成都市龙泉驿区董朗路69号龙泉驿一医院5号门</v>
      </c>
      <c r="J3813" s="33" t="str">
        <f>VLOOKUP(B3813,辅助信息!E:I,4,FALSE)</f>
        <v>孙敏</v>
      </c>
      <c r="K3813" s="33">
        <f>VLOOKUP(J3813,辅助信息!H:I,2,FALSE)</f>
        <v>13617695006</v>
      </c>
      <c r="L3813" s="102" t="str">
        <f>VLOOKUP(B3813,辅助信息!E:J,6,FALSE)</f>
        <v>联系实际收货人（孙敏13617695006）五冶建设送货单,6份材质书,锈货不收，装货前联系收货人核实到场规格,没提前告知进场规格现场不给予接收</v>
      </c>
      <c r="O3813" s="55" t="str">
        <f ca="1" t="shared" si="202"/>
        <v/>
      </c>
      <c r="P3813" s="55" t="str">
        <f ca="1" t="shared" si="203"/>
        <v/>
      </c>
      <c r="Q3813" s="22" t="str">
        <f>VLOOKUP(B3813,辅助信息!E:M,9,FALSE)</f>
        <v>ZTWM-CDGS-XS-2025-0073-五冶天府-成都怡心湖片区及龙泉驿医院等项目</v>
      </c>
      <c r="R3813" s="22" t="str">
        <f>_xlfn._xlws.FILTER(辅助信息!D:D,辅助信息!E:E=B3813)</f>
        <v>五冶建设龙泉驿一医院配套建设工程</v>
      </c>
    </row>
    <row r="3814" hidden="1" spans="2:18">
      <c r="B3814" s="33" t="s">
        <v>215</v>
      </c>
      <c r="C3814" s="63">
        <v>45925</v>
      </c>
      <c r="D3814" s="33" t="str">
        <f>VLOOKUP(B3814,辅助信息!E:K,7,FALSE)</f>
        <v>JWDDCD2025102100486</v>
      </c>
      <c r="E3814" s="33" t="str">
        <f>VLOOKUP(F3814,辅助信息!A:B,2,FALSE)</f>
        <v>螺纹钢</v>
      </c>
      <c r="F3814" s="33" t="s">
        <v>32</v>
      </c>
      <c r="G3814" s="29">
        <v>40</v>
      </c>
      <c r="H3814" s="127"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33" t="str">
        <f>VLOOKUP(B3814,辅助信息!E:I,3,FALSE)</f>
        <v>(五冶建设龙泉驿一医院配套建设工程)成都市龙泉驿区董朗路69号龙泉驿一医院5号门</v>
      </c>
      <c r="J3814" s="33" t="str">
        <f>VLOOKUP(B3814,辅助信息!E:I,4,FALSE)</f>
        <v>孙敏</v>
      </c>
      <c r="K3814" s="33">
        <f>VLOOKUP(J3814,辅助信息!H:I,2,FALSE)</f>
        <v>13617695006</v>
      </c>
      <c r="L3814" s="102" t="str">
        <f>VLOOKUP(B3814,辅助信息!E:J,6,FALSE)</f>
        <v>联系实际收货人（孙敏13617695006）五冶建设送货单,6份材质书,锈货不收，装货前联系收货人核实到场规格,没提前告知进场规格现场不给予接收</v>
      </c>
      <c r="O3814" s="55" t="str">
        <f ca="1" t="shared" si="202"/>
        <v/>
      </c>
      <c r="P3814" s="55" t="str">
        <f ca="1" t="shared" si="203"/>
        <v/>
      </c>
      <c r="Q3814" s="22" t="str">
        <f>VLOOKUP(B3814,辅助信息!E:M,9,FALSE)</f>
        <v>ZTWM-CDGS-XS-2025-0073-五冶天府-成都怡心湖片区及龙泉驿医院等项目</v>
      </c>
      <c r="R3814" s="22" t="str">
        <f>_xlfn._xlws.FILTER(辅助信息!D:D,辅助信息!E:E=B3814)</f>
        <v>五冶建设龙泉驿一医院配套建设工程</v>
      </c>
    </row>
    <row r="3815" hidden="1" spans="2:18">
      <c r="B3815" s="33" t="s">
        <v>215</v>
      </c>
      <c r="C3815" s="63">
        <v>45925</v>
      </c>
      <c r="D3815" s="33" t="str">
        <f>VLOOKUP(B3815,辅助信息!E:K,7,FALSE)</f>
        <v>JWDDCD2025102100486</v>
      </c>
      <c r="E3815" s="33" t="str">
        <f>VLOOKUP(F3815,辅助信息!A:B,2,FALSE)</f>
        <v>螺纹钢</v>
      </c>
      <c r="F3815" s="33" t="s">
        <v>30</v>
      </c>
      <c r="G3815" s="29">
        <v>6</v>
      </c>
      <c r="H3815" s="127">
        <f>IF(SUMIFS('[1]2025年已发货'!$E:$E,'[1]2025年已发货'!$F:$F,C3815,'[1]2025年已发货'!$C:$C,F3815,'[1]2025年已发货'!$G:$G,I3815,'[1]2025年已发货'!$H:$H,J3815)=0,"未发货",SUMIFS('[1]2025年已发货'!$E:$E,'[1]2025年已发货'!$F:$F,C3815,'[1]2025年已发货'!$C:$C,F3815,'[1]2025年已发货'!$G:$G,I3815,'[1]2025年已发货'!$H:$H,J3815))</f>
        <v>6</v>
      </c>
      <c r="I3815" s="33" t="str">
        <f>VLOOKUP(B3815,辅助信息!E:I,3,FALSE)</f>
        <v>(五冶建设龙泉驿一医院配套建设工程)成都市龙泉驿区董朗路69号龙泉驿一医院5号门</v>
      </c>
      <c r="J3815" s="33" t="str">
        <f>VLOOKUP(B3815,辅助信息!E:I,4,FALSE)</f>
        <v>孙敏</v>
      </c>
      <c r="K3815" s="33">
        <f>VLOOKUP(J3815,辅助信息!H:I,2,FALSE)</f>
        <v>13617695006</v>
      </c>
      <c r="L3815" s="102" t="str">
        <f>VLOOKUP(B3815,辅助信息!E:J,6,FALSE)</f>
        <v>联系实际收货人（孙敏13617695006）五冶建设送货单,6份材质书,锈货不收，装货前联系收货人核实到场规格,没提前告知进场规格现场不给予接收</v>
      </c>
      <c r="O3815" s="55" t="str">
        <f ca="1" t="shared" si="202"/>
        <v/>
      </c>
      <c r="P3815" s="55" t="str">
        <f ca="1" t="shared" si="203"/>
        <v/>
      </c>
      <c r="Q3815" s="22" t="str">
        <f>VLOOKUP(B3815,辅助信息!E:M,9,FALSE)</f>
        <v>ZTWM-CDGS-XS-2025-0073-五冶天府-成都怡心湖片区及龙泉驿医院等项目</v>
      </c>
      <c r="R3815" s="22" t="str">
        <f>_xlfn._xlws.FILTER(辅助信息!D:D,辅助信息!E:E=B3815)</f>
        <v>五冶建设龙泉驿一医院配套建设工程</v>
      </c>
    </row>
    <row r="3816" hidden="1" spans="2:18">
      <c r="B3816" s="33" t="s">
        <v>215</v>
      </c>
      <c r="C3816" s="63">
        <v>45925</v>
      </c>
      <c r="D3816" s="33" t="str">
        <f>VLOOKUP(B3816,辅助信息!E:K,7,FALSE)</f>
        <v>JWDDCD2025102100486</v>
      </c>
      <c r="E3816" s="33" t="str">
        <f>VLOOKUP(F3816,辅助信息!A:B,2,FALSE)</f>
        <v>螺纹钢</v>
      </c>
      <c r="F3816" s="33" t="s">
        <v>33</v>
      </c>
      <c r="G3816" s="29">
        <v>13</v>
      </c>
      <c r="H3816" s="127">
        <f>IF(SUMIFS('[1]2025年已发货'!$E:$E,'[1]2025年已发货'!$F:$F,C3816,'[1]2025年已发货'!$C:$C,F3816,'[1]2025年已发货'!$G:$G,I3816,'[1]2025年已发货'!$H:$H,J3816)=0,"未发货",SUMIFS('[1]2025年已发货'!$E:$E,'[1]2025年已发货'!$F:$F,C3816,'[1]2025年已发货'!$C:$C,F3816,'[1]2025年已发货'!$G:$G,I3816,'[1]2025年已发货'!$H:$H,J3816))</f>
        <v>13</v>
      </c>
      <c r="I3816" s="33" t="str">
        <f>VLOOKUP(B3816,辅助信息!E:I,3,FALSE)</f>
        <v>(五冶建设龙泉驿一医院配套建设工程)成都市龙泉驿区董朗路69号龙泉驿一医院5号门</v>
      </c>
      <c r="J3816" s="33" t="str">
        <f>VLOOKUP(B3816,辅助信息!E:I,4,FALSE)</f>
        <v>孙敏</v>
      </c>
      <c r="K3816" s="33">
        <f>VLOOKUP(J3816,辅助信息!H:I,2,FALSE)</f>
        <v>13617695006</v>
      </c>
      <c r="L3816" s="102" t="str">
        <f>VLOOKUP(B3816,辅助信息!E:J,6,FALSE)</f>
        <v>联系实际收货人（孙敏13617695006）五冶建设送货单,6份材质书,锈货不收，装货前联系收货人核实到场规格,没提前告知进场规格现场不给予接收</v>
      </c>
      <c r="O3816" s="55" t="str">
        <f ca="1" t="shared" si="202"/>
        <v/>
      </c>
      <c r="P3816" s="55" t="str">
        <f ca="1" t="shared" si="203"/>
        <v/>
      </c>
      <c r="Q3816" s="22" t="str">
        <f>VLOOKUP(B3816,辅助信息!E:M,9,FALSE)</f>
        <v>ZTWM-CDGS-XS-2025-0073-五冶天府-成都怡心湖片区及龙泉驿医院等项目</v>
      </c>
      <c r="R3816" s="22" t="str">
        <f>_xlfn._xlws.FILTER(辅助信息!D:D,辅助信息!E:E=B3816)</f>
        <v>五冶建设龙泉驿一医院配套建设工程</v>
      </c>
    </row>
    <row r="3817" hidden="1" spans="2:18">
      <c r="B3817" s="33" t="s">
        <v>215</v>
      </c>
      <c r="C3817" s="63">
        <v>45925</v>
      </c>
      <c r="D3817" s="33" t="str">
        <f>VLOOKUP(B3817,辅助信息!E:K,7,FALSE)</f>
        <v>JWDDCD2025102100486</v>
      </c>
      <c r="E3817" s="33" t="str">
        <f>VLOOKUP(F3817,辅助信息!A:B,2,FALSE)</f>
        <v>螺纹钢</v>
      </c>
      <c r="F3817" s="33" t="s">
        <v>28</v>
      </c>
      <c r="G3817" s="29">
        <v>35</v>
      </c>
      <c r="H3817" s="127"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33" t="str">
        <f>VLOOKUP(B3817,辅助信息!E:I,3,FALSE)</f>
        <v>(五冶建设龙泉驿一医院配套建设工程)成都市龙泉驿区董朗路69号龙泉驿一医院5号门</v>
      </c>
      <c r="J3817" s="33" t="str">
        <f>VLOOKUP(B3817,辅助信息!E:I,4,FALSE)</f>
        <v>孙敏</v>
      </c>
      <c r="K3817" s="33">
        <f>VLOOKUP(J3817,辅助信息!H:I,2,FALSE)</f>
        <v>13617695006</v>
      </c>
      <c r="L3817" s="102" t="str">
        <f>VLOOKUP(B3817,辅助信息!E:J,6,FALSE)</f>
        <v>联系实际收货人（孙敏13617695006）五冶建设送货单,6份材质书,锈货不收，装货前联系收货人核实到场规格,没提前告知进场规格现场不给予接收</v>
      </c>
      <c r="O3817" s="55" t="str">
        <f ca="1" t="shared" si="202"/>
        <v/>
      </c>
      <c r="P3817" s="55" t="str">
        <f ca="1" t="shared" si="203"/>
        <v/>
      </c>
      <c r="Q3817" s="22" t="str">
        <f>VLOOKUP(B3817,辅助信息!E:M,9,FALSE)</f>
        <v>ZTWM-CDGS-XS-2025-0073-五冶天府-成都怡心湖片区及龙泉驿医院等项目</v>
      </c>
      <c r="R3817" s="22" t="str">
        <f>_xlfn._xlws.FILTER(辅助信息!D:D,辅助信息!E:E=B3817)</f>
        <v>五冶建设龙泉驿一医院配套建设工程</v>
      </c>
    </row>
    <row r="3818" hidden="1" spans="2:18">
      <c r="B3818" s="33" t="s">
        <v>215</v>
      </c>
      <c r="C3818" s="63">
        <v>45925</v>
      </c>
      <c r="D3818" s="33" t="str">
        <f>VLOOKUP(B3818,辅助信息!E:K,7,FALSE)</f>
        <v>JWDDCD2025102100486</v>
      </c>
      <c r="E3818" s="33" t="str">
        <f>VLOOKUP(F3818,辅助信息!A:B,2,FALSE)</f>
        <v>螺纹钢</v>
      </c>
      <c r="F3818" s="33" t="s">
        <v>18</v>
      </c>
      <c r="G3818" s="29">
        <v>40</v>
      </c>
      <c r="H3818" s="127"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33" t="str">
        <f>VLOOKUP(B3818,辅助信息!E:I,3,FALSE)</f>
        <v>(五冶建设龙泉驿一医院配套建设工程)成都市龙泉驿区董朗路69号龙泉驿一医院5号门</v>
      </c>
      <c r="J3818" s="33" t="str">
        <f>VLOOKUP(B3818,辅助信息!E:I,4,FALSE)</f>
        <v>孙敏</v>
      </c>
      <c r="K3818" s="33">
        <f>VLOOKUP(J3818,辅助信息!H:I,2,FALSE)</f>
        <v>13617695006</v>
      </c>
      <c r="L3818" s="102" t="str">
        <f>VLOOKUP(B3818,辅助信息!E:J,6,FALSE)</f>
        <v>联系实际收货人（孙敏13617695006）五冶建设送货单,6份材质书,锈货不收，装货前联系收货人核实到场规格,没提前告知进场规格现场不给予接收</v>
      </c>
      <c r="O3818" s="55" t="str">
        <f ca="1" t="shared" si="202"/>
        <v/>
      </c>
      <c r="P3818" s="55" t="str">
        <f ca="1" t="shared" si="203"/>
        <v/>
      </c>
      <c r="Q3818" s="22" t="str">
        <f>VLOOKUP(B3818,辅助信息!E:M,9,FALSE)</f>
        <v>ZTWM-CDGS-XS-2025-0073-五冶天府-成都怡心湖片区及龙泉驿医院等项目</v>
      </c>
      <c r="R3818" s="22" t="str">
        <f>_xlfn._xlws.FILTER(辅助信息!D:D,辅助信息!E:E=B3818)</f>
        <v>五冶建设龙泉驿一医院配套建设工程</v>
      </c>
    </row>
    <row r="3819" hidden="1" spans="2:18">
      <c r="B3819" s="33" t="s">
        <v>215</v>
      </c>
      <c r="C3819" s="63">
        <v>45925</v>
      </c>
      <c r="D3819" s="33" t="str">
        <f>VLOOKUP(B3819,辅助信息!E:K,7,FALSE)</f>
        <v>JWDDCD2025102100486</v>
      </c>
      <c r="E3819" s="33" t="str">
        <f>VLOOKUP(F3819,辅助信息!A:B,2,FALSE)</f>
        <v>螺纹钢</v>
      </c>
      <c r="F3819" s="33" t="s">
        <v>52</v>
      </c>
      <c r="G3819" s="29">
        <v>8</v>
      </c>
      <c r="H3819" s="127">
        <f>IF(SUMIFS('[1]2025年已发货'!$E:$E,'[1]2025年已发货'!$F:$F,C3819,'[1]2025年已发货'!$C:$C,F3819,'[1]2025年已发货'!$G:$G,I3819,'[1]2025年已发货'!$H:$H,J3819)=0,"未发货",SUMIFS('[1]2025年已发货'!$E:$E,'[1]2025年已发货'!$F:$F,C3819,'[1]2025年已发货'!$C:$C,F3819,'[1]2025年已发货'!$G:$G,I3819,'[1]2025年已发货'!$H:$H,J3819))</f>
        <v>8</v>
      </c>
      <c r="I3819" s="33" t="str">
        <f>VLOOKUP(B3819,辅助信息!E:I,3,FALSE)</f>
        <v>(五冶建设龙泉驿一医院配套建设工程)成都市龙泉驿区董朗路69号龙泉驿一医院5号门</v>
      </c>
      <c r="J3819" s="33" t="str">
        <f>VLOOKUP(B3819,辅助信息!E:I,4,FALSE)</f>
        <v>孙敏</v>
      </c>
      <c r="K3819" s="33">
        <f>VLOOKUP(J3819,辅助信息!H:I,2,FALSE)</f>
        <v>13617695006</v>
      </c>
      <c r="L3819" s="102" t="str">
        <f>VLOOKUP(B3819,辅助信息!E:J,6,FALSE)</f>
        <v>联系实际收货人（孙敏13617695006）五冶建设送货单,6份材质书,锈货不收，装货前联系收货人核实到场规格,没提前告知进场规格现场不给予接收</v>
      </c>
      <c r="O3819" s="55" t="str">
        <f ca="1" t="shared" si="202"/>
        <v/>
      </c>
      <c r="P3819" s="55" t="str">
        <f ca="1" t="shared" si="203"/>
        <v/>
      </c>
      <c r="Q3819" s="22" t="str">
        <f>VLOOKUP(B3819,辅助信息!E:M,9,FALSE)</f>
        <v>ZTWM-CDGS-XS-2025-0073-五冶天府-成都怡心湖片区及龙泉驿医院等项目</v>
      </c>
      <c r="R3819" s="22" t="str">
        <f>_xlfn._xlws.FILTER(辅助信息!D:D,辅助信息!E:E=B3819)</f>
        <v>五冶建设龙泉驿一医院配套建设工程</v>
      </c>
    </row>
    <row r="3820" hidden="1" spans="2:18">
      <c r="B3820" s="33" t="s">
        <v>215</v>
      </c>
      <c r="C3820" s="63">
        <v>45925</v>
      </c>
      <c r="D3820" s="33" t="str">
        <f>VLOOKUP(B3820,辅助信息!E:K,7,FALSE)</f>
        <v>JWDDCD2025102100486</v>
      </c>
      <c r="E3820" s="33" t="str">
        <f>VLOOKUP(F3820,辅助信息!A:B,2,FALSE)</f>
        <v>螺纹钢</v>
      </c>
      <c r="F3820" s="33" t="s">
        <v>82</v>
      </c>
      <c r="G3820" s="29">
        <v>2</v>
      </c>
      <c r="H3820" s="127">
        <f>IF(SUMIFS('[1]2025年已发货'!$E:$E,'[1]2025年已发货'!$F:$F,C3820,'[1]2025年已发货'!$C:$C,F3820,'[1]2025年已发货'!$G:$G,I3820,'[1]2025年已发货'!$H:$H,J3820)=0,"未发货",SUMIFS('[1]2025年已发货'!$E:$E,'[1]2025年已发货'!$F:$F,C3820,'[1]2025年已发货'!$C:$C,F3820,'[1]2025年已发货'!$G:$G,I3820,'[1]2025年已发货'!$H:$H,J3820))</f>
        <v>2</v>
      </c>
      <c r="I3820" s="33" t="str">
        <f>VLOOKUP(B3820,辅助信息!E:I,3,FALSE)</f>
        <v>(五冶建设龙泉驿一医院配套建设工程)成都市龙泉驿区董朗路69号龙泉驿一医院5号门</v>
      </c>
      <c r="J3820" s="33" t="str">
        <f>VLOOKUP(B3820,辅助信息!E:I,4,FALSE)</f>
        <v>孙敏</v>
      </c>
      <c r="K3820" s="33">
        <f>VLOOKUP(J3820,辅助信息!H:I,2,FALSE)</f>
        <v>13617695006</v>
      </c>
      <c r="L3820" s="102" t="str">
        <f>VLOOKUP(B3820,辅助信息!E:J,6,FALSE)</f>
        <v>联系实际收货人（孙敏13617695006）五冶建设送货单,6份材质书,锈货不收，装货前联系收货人核实到场规格,没提前告知进场规格现场不给予接收</v>
      </c>
      <c r="O3820" s="55" t="str">
        <f ca="1" t="shared" si="202"/>
        <v/>
      </c>
      <c r="P3820" s="55" t="str">
        <f ca="1" t="shared" si="203"/>
        <v/>
      </c>
      <c r="Q3820" s="22" t="str">
        <f>VLOOKUP(B3820,辅助信息!E:M,9,FALSE)</f>
        <v>ZTWM-CDGS-XS-2025-0073-五冶天府-成都怡心湖片区及龙泉驿医院等项目</v>
      </c>
      <c r="R3820" s="22" t="str">
        <f>_xlfn._xlws.FILTER(辅助信息!D:D,辅助信息!E:E=B3820)</f>
        <v>五冶建设龙泉驿一医院配套建设工程</v>
      </c>
    </row>
    <row r="3821" hidden="1" spans="2:18">
      <c r="B3821" s="33" t="s">
        <v>215</v>
      </c>
      <c r="C3821" s="63">
        <v>45925</v>
      </c>
      <c r="D3821" s="33" t="str">
        <f>VLOOKUP(B3821,辅助信息!E:K,7,FALSE)</f>
        <v>JWDDCD2025102100486</v>
      </c>
      <c r="E3821" s="33" t="str">
        <f>VLOOKUP(F3821,辅助信息!A:B,2,FALSE)</f>
        <v>螺纹钢</v>
      </c>
      <c r="F3821" s="33" t="s">
        <v>45</v>
      </c>
      <c r="G3821" s="29">
        <v>2</v>
      </c>
      <c r="H3821" s="127">
        <f>IF(SUMIFS('[1]2025年已发货'!$E:$E,'[1]2025年已发货'!$F:$F,C3821,'[1]2025年已发货'!$C:$C,F3821,'[1]2025年已发货'!$G:$G,I3821,'[1]2025年已发货'!$H:$H,J3821)=0,"未发货",SUMIFS('[1]2025年已发货'!$E:$E,'[1]2025年已发货'!$F:$F,C3821,'[1]2025年已发货'!$C:$C,F3821,'[1]2025年已发货'!$G:$G,I3821,'[1]2025年已发货'!$H:$H,J3821))</f>
        <v>2</v>
      </c>
      <c r="I3821" s="33" t="str">
        <f>VLOOKUP(B3821,辅助信息!E:I,3,FALSE)</f>
        <v>(五冶建设龙泉驿一医院配套建设工程)成都市龙泉驿区董朗路69号龙泉驿一医院5号门</v>
      </c>
      <c r="J3821" s="33" t="str">
        <f>VLOOKUP(B3821,辅助信息!E:I,4,FALSE)</f>
        <v>孙敏</v>
      </c>
      <c r="K3821" s="33">
        <f>VLOOKUP(J3821,辅助信息!H:I,2,FALSE)</f>
        <v>13617695006</v>
      </c>
      <c r="L3821" s="102" t="str">
        <f>VLOOKUP(B3821,辅助信息!E:J,6,FALSE)</f>
        <v>联系实际收货人（孙敏13617695006）五冶建设送货单,6份材质书,锈货不收，装货前联系收货人核实到场规格,没提前告知进场规格现场不给予接收</v>
      </c>
      <c r="O3821" s="55" t="str">
        <f ca="1" t="shared" si="202"/>
        <v/>
      </c>
      <c r="P3821" s="55" t="str">
        <f ca="1" t="shared" si="203"/>
        <v/>
      </c>
      <c r="Q3821" s="22" t="str">
        <f>VLOOKUP(B3821,辅助信息!E:M,9,FALSE)</f>
        <v>ZTWM-CDGS-XS-2025-0073-五冶天府-成都怡心湖片区及龙泉驿医院等项目</v>
      </c>
      <c r="R3821" s="22" t="str">
        <f>_xlfn._xlws.FILTER(辅助信息!D:D,辅助信息!E:E=B3821)</f>
        <v>五冶建设龙泉驿一医院配套建设工程</v>
      </c>
    </row>
    <row r="3822" hidden="1" spans="2:18">
      <c r="B3822" s="33" t="s">
        <v>215</v>
      </c>
      <c r="C3822" s="63">
        <v>45925</v>
      </c>
      <c r="D3822" s="33" t="str">
        <f>VLOOKUP(B3822,辅助信息!E:K,7,FALSE)</f>
        <v>JWDDCD2025102100486</v>
      </c>
      <c r="E3822" s="33" t="str">
        <f>VLOOKUP(F3822,辅助信息!A:B,2,FALSE)</f>
        <v>螺纹钢</v>
      </c>
      <c r="F3822" s="33" t="s">
        <v>21</v>
      </c>
      <c r="G3822" s="29">
        <v>3</v>
      </c>
      <c r="H3822" s="127">
        <f>IF(SUMIFS('[1]2025年已发货'!$E:$E,'[1]2025年已发货'!$F:$F,C3822,'[1]2025年已发货'!$C:$C,F3822,'[1]2025年已发货'!$G:$G,I3822,'[1]2025年已发货'!$H:$H,J3822)=0,"未发货",SUMIFS('[1]2025年已发货'!$E:$E,'[1]2025年已发货'!$F:$F,C3822,'[1]2025年已发货'!$C:$C,F3822,'[1]2025年已发货'!$G:$G,I3822,'[1]2025年已发货'!$H:$H,J3822))</f>
        <v>3</v>
      </c>
      <c r="I3822" s="33" t="str">
        <f>VLOOKUP(B3822,辅助信息!E:I,3,FALSE)</f>
        <v>(五冶建设龙泉驿一医院配套建设工程)成都市龙泉驿区董朗路69号龙泉驿一医院5号门</v>
      </c>
      <c r="J3822" s="33" t="str">
        <f>VLOOKUP(B3822,辅助信息!E:I,4,FALSE)</f>
        <v>孙敏</v>
      </c>
      <c r="K3822" s="33">
        <f>VLOOKUP(J3822,辅助信息!H:I,2,FALSE)</f>
        <v>13617695006</v>
      </c>
      <c r="L3822" s="102" t="str">
        <f>VLOOKUP(B3822,辅助信息!E:J,6,FALSE)</f>
        <v>联系实际收货人（孙敏13617695006）五冶建设送货单,6份材质书,锈货不收，装货前联系收货人核实到场规格,没提前告知进场规格现场不给予接收</v>
      </c>
      <c r="O3822" s="55" t="str">
        <f ca="1" t="shared" si="202"/>
        <v/>
      </c>
      <c r="P3822" s="55" t="str">
        <f ca="1" t="shared" si="203"/>
        <v/>
      </c>
      <c r="Q3822" s="22" t="str">
        <f>VLOOKUP(B3822,辅助信息!E:M,9,FALSE)</f>
        <v>ZTWM-CDGS-XS-2025-0073-五冶天府-成都怡心湖片区及龙泉驿医院等项目</v>
      </c>
      <c r="R3822" s="22" t="str">
        <f>_xlfn._xlws.FILTER(辅助信息!D:D,辅助信息!E:E=B3822)</f>
        <v>五冶建设龙泉驿一医院配套建设工程</v>
      </c>
    </row>
    <row r="3823" hidden="1" spans="2:18">
      <c r="B3823" s="33" t="s">
        <v>215</v>
      </c>
      <c r="C3823" s="63">
        <v>45925</v>
      </c>
      <c r="D3823" s="33" t="str">
        <f>VLOOKUP(B3823,辅助信息!E:K,7,FALSE)</f>
        <v>JWDDCD2025102100486</v>
      </c>
      <c r="E3823" s="33" t="str">
        <f>VLOOKUP(F3823,辅助信息!A:B,2,FALSE)</f>
        <v>螺纹钢</v>
      </c>
      <c r="F3823" s="33" t="s">
        <v>58</v>
      </c>
      <c r="G3823" s="29">
        <v>3</v>
      </c>
      <c r="H3823" s="127">
        <f>IF(SUMIFS('[1]2025年已发货'!$E:$E,'[1]2025年已发货'!$F:$F,C3823,'[1]2025年已发货'!$C:$C,F3823,'[1]2025年已发货'!$G:$G,I3823,'[1]2025年已发货'!$H:$H,J3823)=0,"未发货",SUMIFS('[1]2025年已发货'!$E:$E,'[1]2025年已发货'!$F:$F,C3823,'[1]2025年已发货'!$C:$C,F3823,'[1]2025年已发货'!$G:$G,I3823,'[1]2025年已发货'!$H:$H,J3823))</f>
        <v>3</v>
      </c>
      <c r="I3823" s="33" t="str">
        <f>VLOOKUP(B3823,辅助信息!E:I,3,FALSE)</f>
        <v>(五冶建设龙泉驿一医院配套建设工程)成都市龙泉驿区董朗路69号龙泉驿一医院5号门</v>
      </c>
      <c r="J3823" s="33" t="str">
        <f>VLOOKUP(B3823,辅助信息!E:I,4,FALSE)</f>
        <v>孙敏</v>
      </c>
      <c r="K3823" s="33">
        <f>VLOOKUP(J3823,辅助信息!H:I,2,FALSE)</f>
        <v>13617695006</v>
      </c>
      <c r="L3823" s="102" t="str">
        <f>VLOOKUP(B3823,辅助信息!E:J,6,FALSE)</f>
        <v>联系实际收货人（孙敏13617695006）五冶建设送货单,6份材质书,锈货不收，装货前联系收货人核实到场规格,没提前告知进场规格现场不给予接收</v>
      </c>
      <c r="O3823" s="55" t="str">
        <f ca="1" t="shared" si="202"/>
        <v/>
      </c>
      <c r="P3823" s="55" t="str">
        <f ca="1" t="shared" si="203"/>
        <v/>
      </c>
      <c r="Q3823" s="22" t="str">
        <f>VLOOKUP(B3823,辅助信息!E:M,9,FALSE)</f>
        <v>ZTWM-CDGS-XS-2025-0073-五冶天府-成都怡心湖片区及龙泉驿医院等项目</v>
      </c>
      <c r="R3823" s="22" t="str">
        <f>_xlfn._xlws.FILTER(辅助信息!D:D,辅助信息!E:E=B3823)</f>
        <v>五冶建设龙泉驿一医院配套建设工程</v>
      </c>
    </row>
    <row r="3824" hidden="1" spans="2:18">
      <c r="B3824" s="33" t="s">
        <v>215</v>
      </c>
      <c r="C3824" s="63">
        <v>45925</v>
      </c>
      <c r="D3824" s="33" t="str">
        <f>VLOOKUP(B3824,辅助信息!E:K,7,FALSE)</f>
        <v>JWDDCD2025102100486</v>
      </c>
      <c r="E3824" s="33" t="str">
        <f>VLOOKUP(F3824,辅助信息!A:B,2,FALSE)</f>
        <v>螺纹钢</v>
      </c>
      <c r="F3824" s="33" t="s">
        <v>46</v>
      </c>
      <c r="G3824" s="29">
        <v>3</v>
      </c>
      <c r="H3824" s="127">
        <f>IF(SUMIFS('[1]2025年已发货'!$E:$E,'[1]2025年已发货'!$F:$F,C3824,'[1]2025年已发货'!$C:$C,F3824,'[1]2025年已发货'!$G:$G,I3824,'[1]2025年已发货'!$H:$H,J3824)=0,"未发货",SUMIFS('[1]2025年已发货'!$E:$E,'[1]2025年已发货'!$F:$F,C3824,'[1]2025年已发货'!$C:$C,F3824,'[1]2025年已发货'!$G:$G,I3824,'[1]2025年已发货'!$H:$H,J3824))</f>
        <v>3</v>
      </c>
      <c r="I3824" s="33" t="str">
        <f>VLOOKUP(B3824,辅助信息!E:I,3,FALSE)</f>
        <v>(五冶建设龙泉驿一医院配套建设工程)成都市龙泉驿区董朗路69号龙泉驿一医院5号门</v>
      </c>
      <c r="J3824" s="33" t="str">
        <f>VLOOKUP(B3824,辅助信息!E:I,4,FALSE)</f>
        <v>孙敏</v>
      </c>
      <c r="K3824" s="33">
        <f>VLOOKUP(J3824,辅助信息!H:I,2,FALSE)</f>
        <v>13617695006</v>
      </c>
      <c r="L3824" s="102" t="str">
        <f>VLOOKUP(B3824,辅助信息!E:J,6,FALSE)</f>
        <v>联系实际收货人（孙敏13617695006）五冶建设送货单,6份材质书,锈货不收，装货前联系收货人核实到场规格,没提前告知进场规格现场不给予接收</v>
      </c>
      <c r="O3824" s="55" t="str">
        <f ca="1" t="shared" si="202"/>
        <v/>
      </c>
      <c r="P3824" s="55" t="str">
        <f ca="1" t="shared" si="203"/>
        <v/>
      </c>
      <c r="Q3824" s="22" t="str">
        <f>VLOOKUP(B3824,辅助信息!E:M,9,FALSE)</f>
        <v>ZTWM-CDGS-XS-2025-0073-五冶天府-成都怡心湖片区及龙泉驿医院等项目</v>
      </c>
      <c r="R3824" s="22" t="str">
        <f>_xlfn._xlws.FILTER(辅助信息!D:D,辅助信息!E:E=B3824)</f>
        <v>五冶建设龙泉驿一医院配套建设工程</v>
      </c>
    </row>
    <row r="3825" hidden="1" spans="2:18">
      <c r="B3825" s="33" t="s">
        <v>215</v>
      </c>
      <c r="C3825" s="63">
        <v>45925</v>
      </c>
      <c r="D3825" s="33" t="str">
        <f>VLOOKUP(B3825,辅助信息!E:K,7,FALSE)</f>
        <v>JWDDCD2025102100486</v>
      </c>
      <c r="E3825" s="33" t="str">
        <f>VLOOKUP(F3825,辅助信息!A:B,2,FALSE)</f>
        <v>螺纹钢</v>
      </c>
      <c r="F3825" s="33" t="s">
        <v>22</v>
      </c>
      <c r="G3825" s="29">
        <v>20</v>
      </c>
      <c r="H3825" s="127">
        <f>IF(SUMIFS('[1]2025年已发货'!$E:$E,'[1]2025年已发货'!$F:$F,C3825,'[1]2025年已发货'!$C:$C,F3825,'[1]2025年已发货'!$G:$G,I3825,'[1]2025年已发货'!$H:$H,J3825)=0,"未发货",SUMIFS('[1]2025年已发货'!$E:$E,'[1]2025年已发货'!$F:$F,C3825,'[1]2025年已发货'!$C:$C,F3825,'[1]2025年已发货'!$G:$G,I3825,'[1]2025年已发货'!$H:$H,J3825))</f>
        <v>20</v>
      </c>
      <c r="I3825" s="33" t="str">
        <f>VLOOKUP(B3825,辅助信息!E:I,3,FALSE)</f>
        <v>(五冶建设龙泉驿一医院配套建设工程)成都市龙泉驿区董朗路69号龙泉驿一医院5号门</v>
      </c>
      <c r="J3825" s="33" t="str">
        <f>VLOOKUP(B3825,辅助信息!E:I,4,FALSE)</f>
        <v>孙敏</v>
      </c>
      <c r="K3825" s="33">
        <f>VLOOKUP(J3825,辅助信息!H:I,2,FALSE)</f>
        <v>13617695006</v>
      </c>
      <c r="L3825" s="102" t="str">
        <f>VLOOKUP(B3825,辅助信息!E:J,6,FALSE)</f>
        <v>联系实际收货人（孙敏13617695006）五冶建设送货单,6份材质书,锈货不收，装货前联系收货人核实到场规格,没提前告知进场规格现场不给予接收</v>
      </c>
      <c r="O3825" s="55" t="str">
        <f ca="1" t="shared" si="202"/>
        <v/>
      </c>
      <c r="P3825" s="55" t="str">
        <f ca="1" t="shared" si="203"/>
        <v/>
      </c>
      <c r="Q3825" s="22" t="str">
        <f>VLOOKUP(B3825,辅助信息!E:M,9,FALSE)</f>
        <v>ZTWM-CDGS-XS-2025-0073-五冶天府-成都怡心湖片区及龙泉驿医院等项目</v>
      </c>
      <c r="R3825" s="22" t="str">
        <f>_xlfn._xlws.FILTER(辅助信息!D:D,辅助信息!E:E=B3825)</f>
        <v>五冶建设龙泉驿一医院配套建设工程</v>
      </c>
    </row>
    <row r="3826" hidden="1" spans="2:18">
      <c r="B3826" s="33" t="s">
        <v>208</v>
      </c>
      <c r="C3826" s="63">
        <v>45925</v>
      </c>
      <c r="D3826" s="33" t="str">
        <f>VLOOKUP(B3826,辅助信息!E:K,7,FALSE)</f>
        <v>JWDDCD2025102100480</v>
      </c>
      <c r="E3826" s="33" t="str">
        <f>VLOOKUP(F3826,辅助信息!A:B,2,FALSE)</f>
        <v>高线</v>
      </c>
      <c r="F3826" s="33" t="s">
        <v>53</v>
      </c>
      <c r="G3826" s="29">
        <v>2</v>
      </c>
      <c r="H3826" s="127"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33" t="str">
        <f>VLOOKUP(B3826,辅助信息!E:I,3,FALSE)</f>
        <v>(五冶建设锦江区林家坝片区20号地块商业项目)锦江区泰昌路锦江28亩项目部</v>
      </c>
      <c r="J3826" s="33" t="str">
        <f>VLOOKUP(B3826,辅助信息!E:I,4,FALSE)</f>
        <v>陶杰</v>
      </c>
      <c r="K3826" s="33">
        <f>VLOOKUP(J3826,辅助信息!H:I,2,FALSE)</f>
        <v>13980247952</v>
      </c>
      <c r="L3826" s="102" t="str">
        <f>VLOOKUP(B3826,辅助信息!E:J,6,FALSE)</f>
        <v>联系实际收货人（陶杰13980247952）五冶建设送货单,6份材质书,锈货不收，装货前联系收货人核实到场规格,没提前告知进场规格现场不给予接收</v>
      </c>
      <c r="O3826" s="55" t="str">
        <f ca="1" t="shared" si="202"/>
        <v/>
      </c>
      <c r="P3826" s="55" t="str">
        <f ca="1" t="shared" si="203"/>
        <v/>
      </c>
      <c r="Q3826" s="22" t="str">
        <f>VLOOKUP(B3826,辅助信息!E:M,9,FALSE)</f>
        <v>ZTWM-CDGS-XS-2025-0073-五冶天府-成都怡心湖片区及龙泉驿医院等项目</v>
      </c>
      <c r="R3826" s="22" t="str">
        <f>_xlfn._xlws.FILTER(辅助信息!D:D,辅助信息!E:E=B3826)</f>
        <v>五冶建设锦江区林家坝片区20号地块商业项目</v>
      </c>
    </row>
    <row r="3827" hidden="1" spans="2:18">
      <c r="B3827" s="33" t="s">
        <v>208</v>
      </c>
      <c r="C3827" s="63">
        <v>45925</v>
      </c>
      <c r="D3827" s="33" t="str">
        <f>VLOOKUP(B3827,辅助信息!E:K,7,FALSE)</f>
        <v>JWDDCD2025102100480</v>
      </c>
      <c r="E3827" s="33" t="str">
        <f>VLOOKUP(F3827,辅助信息!A:B,2,FALSE)</f>
        <v>螺纹钢</v>
      </c>
      <c r="F3827" s="33" t="s">
        <v>32</v>
      </c>
      <c r="G3827" s="29">
        <v>5.4</v>
      </c>
      <c r="H3827" s="127"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33" t="str">
        <f>VLOOKUP(B3827,辅助信息!E:I,3,FALSE)</f>
        <v>(五冶建设锦江区林家坝片区20号地块商业项目)锦江区泰昌路锦江28亩项目部</v>
      </c>
      <c r="J3827" s="33" t="str">
        <f>VLOOKUP(B3827,辅助信息!E:I,4,FALSE)</f>
        <v>陶杰</v>
      </c>
      <c r="K3827" s="33">
        <f>VLOOKUP(J3827,辅助信息!H:I,2,FALSE)</f>
        <v>13980247952</v>
      </c>
      <c r="L3827" s="102" t="str">
        <f>VLOOKUP(B3827,辅助信息!E:J,6,FALSE)</f>
        <v>联系实际收货人（陶杰13980247952）五冶建设送货单,6份材质书,锈货不收，装货前联系收货人核实到场规格,没提前告知进场规格现场不给予接收</v>
      </c>
      <c r="O3827" s="55" t="str">
        <f ca="1" t="shared" si="202"/>
        <v/>
      </c>
      <c r="P3827" s="55" t="str">
        <f ca="1" t="shared" si="203"/>
        <v/>
      </c>
      <c r="Q3827" s="22" t="str">
        <f>VLOOKUP(B3827,辅助信息!E:M,9,FALSE)</f>
        <v>ZTWM-CDGS-XS-2025-0073-五冶天府-成都怡心湖片区及龙泉驿医院等项目</v>
      </c>
      <c r="R3827" s="22" t="str">
        <f>_xlfn._xlws.FILTER(辅助信息!D:D,辅助信息!E:E=B3827)</f>
        <v>五冶建设锦江区林家坝片区20号地块商业项目</v>
      </c>
    </row>
    <row r="3828" hidden="1" spans="2:18">
      <c r="B3828" s="33" t="s">
        <v>208</v>
      </c>
      <c r="C3828" s="63">
        <v>45925</v>
      </c>
      <c r="D3828" s="33" t="str">
        <f>VLOOKUP(B3828,辅助信息!E:K,7,FALSE)</f>
        <v>JWDDCD2025102100480</v>
      </c>
      <c r="E3828" s="33" t="str">
        <f>VLOOKUP(F3828,辅助信息!A:B,2,FALSE)</f>
        <v>螺纹钢</v>
      </c>
      <c r="F3828" s="33" t="s">
        <v>30</v>
      </c>
      <c r="G3828" s="29">
        <v>2.7</v>
      </c>
      <c r="H3828" s="127"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33" t="str">
        <f>VLOOKUP(B3828,辅助信息!E:I,3,FALSE)</f>
        <v>(五冶建设锦江区林家坝片区20号地块商业项目)锦江区泰昌路锦江28亩项目部</v>
      </c>
      <c r="J3828" s="33" t="str">
        <f>VLOOKUP(B3828,辅助信息!E:I,4,FALSE)</f>
        <v>陶杰</v>
      </c>
      <c r="K3828" s="33">
        <f>VLOOKUP(J3828,辅助信息!H:I,2,FALSE)</f>
        <v>13980247952</v>
      </c>
      <c r="L3828" s="102" t="str">
        <f>VLOOKUP(B3828,辅助信息!E:J,6,FALSE)</f>
        <v>联系实际收货人（陶杰13980247952）五冶建设送货单,6份材质书,锈货不收，装货前联系收货人核实到场规格,没提前告知进场规格现场不给予接收</v>
      </c>
      <c r="O3828" s="55" t="str">
        <f ca="1" t="shared" si="202"/>
        <v/>
      </c>
      <c r="P3828" s="55" t="str">
        <f ca="1" t="shared" si="203"/>
        <v/>
      </c>
      <c r="Q3828" s="22" t="str">
        <f>VLOOKUP(B3828,辅助信息!E:M,9,FALSE)</f>
        <v>ZTWM-CDGS-XS-2025-0073-五冶天府-成都怡心湖片区及龙泉驿医院等项目</v>
      </c>
      <c r="R3828" s="22" t="str">
        <f>_xlfn._xlws.FILTER(辅助信息!D:D,辅助信息!E:E=B3828)</f>
        <v>五冶建设锦江区林家坝片区20号地块商业项目</v>
      </c>
    </row>
    <row r="3829" hidden="1" spans="2:18">
      <c r="B3829" s="33" t="s">
        <v>208</v>
      </c>
      <c r="C3829" s="63">
        <v>45925</v>
      </c>
      <c r="D3829" s="33" t="str">
        <f>VLOOKUP(B3829,辅助信息!E:K,7,FALSE)</f>
        <v>JWDDCD2025102100480</v>
      </c>
      <c r="E3829" s="33" t="str">
        <f>VLOOKUP(F3829,辅助信息!A:B,2,FALSE)</f>
        <v>螺纹钢</v>
      </c>
      <c r="F3829" s="33" t="s">
        <v>18</v>
      </c>
      <c r="G3829" s="29">
        <v>24.3</v>
      </c>
      <c r="H3829" s="127"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33" t="str">
        <f>VLOOKUP(B3829,辅助信息!E:I,3,FALSE)</f>
        <v>(五冶建设锦江区林家坝片区20号地块商业项目)锦江区泰昌路锦江28亩项目部</v>
      </c>
      <c r="J3829" s="33" t="str">
        <f>VLOOKUP(B3829,辅助信息!E:I,4,FALSE)</f>
        <v>陶杰</v>
      </c>
      <c r="K3829" s="33">
        <f>VLOOKUP(J3829,辅助信息!H:I,2,FALSE)</f>
        <v>13980247952</v>
      </c>
      <c r="L3829" s="102" t="str">
        <f>VLOOKUP(B3829,辅助信息!E:J,6,FALSE)</f>
        <v>联系实际收货人（陶杰13980247952）五冶建设送货单,6份材质书,锈货不收，装货前联系收货人核实到场规格,没提前告知进场规格现场不给予接收</v>
      </c>
      <c r="O3829" s="55" t="str">
        <f ca="1" t="shared" si="202"/>
        <v/>
      </c>
      <c r="P3829" s="55" t="str">
        <f ca="1" t="shared" si="203"/>
        <v/>
      </c>
      <c r="Q3829" s="22" t="str">
        <f>VLOOKUP(B3829,辅助信息!E:M,9,FALSE)</f>
        <v>ZTWM-CDGS-XS-2025-0073-五冶天府-成都怡心湖片区及龙泉驿医院等项目</v>
      </c>
      <c r="R3829" s="22" t="str">
        <f>_xlfn._xlws.FILTER(辅助信息!D:D,辅助信息!E:E=B3829)</f>
        <v>五冶建设锦江区林家坝片区20号地块商业项目</v>
      </c>
    </row>
    <row r="3830" hidden="1" spans="2:18">
      <c r="B3830" s="33" t="s">
        <v>187</v>
      </c>
      <c r="C3830" s="63">
        <v>45925</v>
      </c>
      <c r="D3830" s="33" t="str">
        <f>VLOOKUP(B3830,辅助信息!E:K,7,FALSE)</f>
        <v>JWDDCD2025072900121</v>
      </c>
      <c r="E3830" s="33" t="str">
        <f>VLOOKUP(F3830,辅助信息!A:B,2,FALSE)</f>
        <v>盘螺</v>
      </c>
      <c r="F3830" s="33" t="s">
        <v>49</v>
      </c>
      <c r="G3830" s="29">
        <v>10</v>
      </c>
      <c r="H3830" s="127"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33" t="str">
        <f>VLOOKUP(B3830,辅助信息!E:I,3,FALSE)</f>
        <v>(乐山市校地共建产教融合基地建设项目一标段)四川省乐山市市中区苏稽镇周山嘴</v>
      </c>
      <c r="J3830" s="33" t="str">
        <f>VLOOKUP(B3830,辅助信息!E:I,4,FALSE)</f>
        <v>范增云</v>
      </c>
      <c r="K3830" s="33">
        <f>VLOOKUP(J3830,辅助信息!H:I,2,FALSE)</f>
        <v>13668153241</v>
      </c>
      <c r="L3830" s="102" t="str">
        <f>VLOOKUP(B3830,辅助信息!E:J,6,FALSE)</f>
        <v>联系实际收货人（范增云13668153241）现场要求炉批号控制2个以下，超2个不给予签收。提前联系到场规格及数量</v>
      </c>
      <c r="O3830" s="55" t="str">
        <f ca="1" t="shared" si="202"/>
        <v/>
      </c>
      <c r="P3830" s="55" t="str">
        <f ca="1" t="shared" si="203"/>
        <v/>
      </c>
      <c r="Q3830" s="22" t="str">
        <f>VLOOKUP(B3830,辅助信息!E:M,9,FALSE)</f>
        <v>ZTWM-CDGS-XS-2025-0125-四川机司-乐山市校地共建产教融合基地配套设施项目施工一标段钢筋采购合同</v>
      </c>
      <c r="R3830" s="22" t="str">
        <f>_xlfn._xlws.FILTER(辅助信息!D:D,辅助信息!E:E=B3830)</f>
        <v>乐山市校地共建产教融合基地建设项目一标段</v>
      </c>
    </row>
    <row r="3831" hidden="1" spans="2:18">
      <c r="B3831" s="33" t="s">
        <v>187</v>
      </c>
      <c r="C3831" s="63">
        <v>45925</v>
      </c>
      <c r="D3831" s="33" t="str">
        <f>VLOOKUP(B3831,辅助信息!E:K,7,FALSE)</f>
        <v>JWDDCD2025072900121</v>
      </c>
      <c r="E3831" s="33" t="str">
        <f>VLOOKUP(F3831,辅助信息!A:B,2,FALSE)</f>
        <v>盘螺</v>
      </c>
      <c r="F3831" s="33" t="s">
        <v>40</v>
      </c>
      <c r="G3831" s="29">
        <v>25</v>
      </c>
      <c r="H3831" s="127"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33" t="str">
        <f>VLOOKUP(B3831,辅助信息!E:I,3,FALSE)</f>
        <v>(乐山市校地共建产教融合基地建设项目一标段)四川省乐山市市中区苏稽镇周山嘴</v>
      </c>
      <c r="J3831" s="33" t="str">
        <f>VLOOKUP(B3831,辅助信息!E:I,4,FALSE)</f>
        <v>范增云</v>
      </c>
      <c r="K3831" s="33">
        <f>VLOOKUP(J3831,辅助信息!H:I,2,FALSE)</f>
        <v>13668153241</v>
      </c>
      <c r="L3831" s="102" t="str">
        <f>VLOOKUP(B3831,辅助信息!E:J,6,FALSE)</f>
        <v>联系实际收货人（范增云13668153241）现场要求炉批号控制2个以下，超2个不给予签收。提前联系到场规格及数量</v>
      </c>
      <c r="O3831" s="55" t="str">
        <f ca="1" t="shared" si="202"/>
        <v/>
      </c>
      <c r="P3831" s="55" t="str">
        <f ca="1" t="shared" si="203"/>
        <v/>
      </c>
      <c r="Q3831" s="22" t="str">
        <f>VLOOKUP(B3831,辅助信息!E:M,9,FALSE)</f>
        <v>ZTWM-CDGS-XS-2025-0125-四川机司-乐山市校地共建产教融合基地配套设施项目施工一标段钢筋采购合同</v>
      </c>
      <c r="R3831" s="22" t="str">
        <f>_xlfn._xlws.FILTER(辅助信息!D:D,辅助信息!E:E=B3831)</f>
        <v>乐山市校地共建产教融合基地建设项目一标段</v>
      </c>
    </row>
    <row r="3832" hidden="1" spans="2:18">
      <c r="B3832" s="33" t="s">
        <v>187</v>
      </c>
      <c r="C3832" s="63">
        <v>45925</v>
      </c>
      <c r="D3832" s="33" t="str">
        <f>VLOOKUP(B3832,辅助信息!E:K,7,FALSE)</f>
        <v>JWDDCD2025072900121</v>
      </c>
      <c r="E3832" s="33" t="str">
        <f>VLOOKUP(F3832,辅助信息!A:B,2,FALSE)</f>
        <v>盘螺</v>
      </c>
      <c r="F3832" s="33" t="s">
        <v>41</v>
      </c>
      <c r="G3832" s="29">
        <v>20</v>
      </c>
      <c r="H3832" s="127"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33" t="str">
        <f>VLOOKUP(B3832,辅助信息!E:I,3,FALSE)</f>
        <v>(乐山市校地共建产教融合基地建设项目一标段)四川省乐山市市中区苏稽镇周山嘴</v>
      </c>
      <c r="J3832" s="33" t="str">
        <f>VLOOKUP(B3832,辅助信息!E:I,4,FALSE)</f>
        <v>范增云</v>
      </c>
      <c r="K3832" s="33">
        <f>VLOOKUP(J3832,辅助信息!H:I,2,FALSE)</f>
        <v>13668153241</v>
      </c>
      <c r="L3832" s="102" t="str">
        <f>VLOOKUP(B3832,辅助信息!E:J,6,FALSE)</f>
        <v>联系实际收货人（范增云13668153241）现场要求炉批号控制2个以下，超2个不给予签收。提前联系到场规格及数量</v>
      </c>
      <c r="O3832" s="55" t="str">
        <f ca="1" t="shared" si="202"/>
        <v/>
      </c>
      <c r="P3832" s="55" t="str">
        <f ca="1" t="shared" si="203"/>
        <v/>
      </c>
      <c r="Q3832" s="22" t="str">
        <f>VLOOKUP(B3832,辅助信息!E:M,9,FALSE)</f>
        <v>ZTWM-CDGS-XS-2025-0125-四川机司-乐山市校地共建产教融合基地配套设施项目施工一标段钢筋采购合同</v>
      </c>
      <c r="R3832" s="22" t="str">
        <f>_xlfn._xlws.FILTER(辅助信息!D:D,辅助信息!E:E=B3832)</f>
        <v>乐山市校地共建产教融合基地建设项目一标段</v>
      </c>
    </row>
    <row r="3833" hidden="1" spans="2:18">
      <c r="B3833" s="33" t="s">
        <v>187</v>
      </c>
      <c r="C3833" s="63">
        <v>45925</v>
      </c>
      <c r="D3833" s="33" t="str">
        <f>VLOOKUP(B3833,辅助信息!E:K,7,FALSE)</f>
        <v>JWDDCD2025072900121</v>
      </c>
      <c r="E3833" s="33" t="str">
        <f>VLOOKUP(F3833,辅助信息!A:B,2,FALSE)</f>
        <v>盘螺</v>
      </c>
      <c r="F3833" s="33" t="s">
        <v>26</v>
      </c>
      <c r="G3833" s="29">
        <v>20</v>
      </c>
      <c r="H3833" s="127"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33" t="str">
        <f>VLOOKUP(B3833,辅助信息!E:I,3,FALSE)</f>
        <v>(乐山市校地共建产教融合基地建设项目一标段)四川省乐山市市中区苏稽镇周山嘴</v>
      </c>
      <c r="J3833" s="33" t="str">
        <f>VLOOKUP(B3833,辅助信息!E:I,4,FALSE)</f>
        <v>范增云</v>
      </c>
      <c r="K3833" s="33">
        <f>VLOOKUP(J3833,辅助信息!H:I,2,FALSE)</f>
        <v>13668153241</v>
      </c>
      <c r="L3833" s="102" t="str">
        <f>VLOOKUP(B3833,辅助信息!E:J,6,FALSE)</f>
        <v>联系实际收货人（范增云13668153241）现场要求炉批号控制2个以下，超2个不给予签收。提前联系到场规格及数量</v>
      </c>
      <c r="O3833" s="55" t="str">
        <f ca="1" t="shared" si="202"/>
        <v/>
      </c>
      <c r="P3833" s="55" t="str">
        <f ca="1" t="shared" si="203"/>
        <v/>
      </c>
      <c r="Q3833" s="22" t="str">
        <f>VLOOKUP(B3833,辅助信息!E:M,9,FALSE)</f>
        <v>ZTWM-CDGS-XS-2025-0125-四川机司-乐山市校地共建产教融合基地配套设施项目施工一标段钢筋采购合同</v>
      </c>
      <c r="R3833" s="22" t="str">
        <f>_xlfn._xlws.FILTER(辅助信息!D:D,辅助信息!E:E=B3833)</f>
        <v>乐山市校地共建产教融合基地建设项目一标段</v>
      </c>
    </row>
    <row r="3834" hidden="1" spans="2:18">
      <c r="B3834" s="33" t="s">
        <v>187</v>
      </c>
      <c r="C3834" s="63">
        <v>45925</v>
      </c>
      <c r="D3834" s="33" t="str">
        <f>VLOOKUP(B3834,辅助信息!E:K,7,FALSE)</f>
        <v>JWDDCD2025072900121</v>
      </c>
      <c r="E3834" s="33" t="str">
        <f>VLOOKUP(F3834,辅助信息!A:B,2,FALSE)</f>
        <v>螺纹钢</v>
      </c>
      <c r="F3834" s="33" t="s">
        <v>22</v>
      </c>
      <c r="G3834" s="29">
        <v>25</v>
      </c>
      <c r="H3834" s="127">
        <f>IF(SUMIFS('[1]2025年已发货'!$E:$E,'[1]2025年已发货'!$F:$F,C3834,'[1]2025年已发货'!$C:$C,F3834,'[1]2025年已发货'!$G:$G,I3834,'[1]2025年已发货'!$H:$H,J3834)=0,"未发货",SUMIFS('[1]2025年已发货'!$E:$E,'[1]2025年已发货'!$F:$F,C3834,'[1]2025年已发货'!$C:$C,F3834,'[1]2025年已发货'!$G:$G,I3834,'[1]2025年已发货'!$H:$H,J3834))</f>
        <v>18</v>
      </c>
      <c r="I3834" s="33" t="str">
        <f>VLOOKUP(B3834,辅助信息!E:I,3,FALSE)</f>
        <v>(乐山市校地共建产教融合基地建设项目一标段)四川省乐山市市中区苏稽镇周山嘴</v>
      </c>
      <c r="J3834" s="33" t="str">
        <f>VLOOKUP(B3834,辅助信息!E:I,4,FALSE)</f>
        <v>范增云</v>
      </c>
      <c r="K3834" s="33">
        <f>VLOOKUP(J3834,辅助信息!H:I,2,FALSE)</f>
        <v>13668153241</v>
      </c>
      <c r="L3834" s="102" t="str">
        <f>VLOOKUP(B3834,辅助信息!E:J,6,FALSE)</f>
        <v>联系实际收货人（范增云13668153241）现场要求炉批号控制2个以下，超2个不给予签收。提前联系到场规格及数量</v>
      </c>
      <c r="O3834" s="55" t="str">
        <f ca="1" t="shared" si="202"/>
        <v/>
      </c>
      <c r="P3834" s="55" t="str">
        <f ca="1" t="shared" si="203"/>
        <v/>
      </c>
      <c r="Q3834" s="22" t="str">
        <f>VLOOKUP(B3834,辅助信息!E:M,9,FALSE)</f>
        <v>ZTWM-CDGS-XS-2025-0125-四川机司-乐山市校地共建产教融合基地配套设施项目施工一标段钢筋采购合同</v>
      </c>
      <c r="R3834" s="22" t="str">
        <f>_xlfn._xlws.FILTER(辅助信息!D:D,辅助信息!E:E=B3834)</f>
        <v>乐山市校地共建产教融合基地建设项目一标段</v>
      </c>
    </row>
    <row r="3835" hidden="1" spans="2:18">
      <c r="B3835" s="33" t="s">
        <v>187</v>
      </c>
      <c r="C3835" s="63">
        <v>45925</v>
      </c>
      <c r="D3835" s="33" t="str">
        <f>VLOOKUP(B3835,辅助信息!E:K,7,FALSE)</f>
        <v>JWDDCD2025072900121</v>
      </c>
      <c r="E3835" s="33" t="str">
        <f>VLOOKUP(F3835,辅助信息!A:B,2,FALSE)</f>
        <v>螺纹钢</v>
      </c>
      <c r="F3835" s="33" t="s">
        <v>181</v>
      </c>
      <c r="G3835" s="29">
        <v>15</v>
      </c>
      <c r="H3835" s="127">
        <f>IF(SUMIFS('[1]2025年已发货'!$E:$E,'[1]2025年已发货'!$F:$F,C3835,'[1]2025年已发货'!$C:$C,F3835,'[1]2025年已发货'!$G:$G,I3835,'[1]2025年已发货'!$H:$H,J3835)=0,"未发货",SUMIFS('[1]2025年已发货'!$E:$E,'[1]2025年已发货'!$F:$F,C3835,'[1]2025年已发货'!$C:$C,F3835,'[1]2025年已发货'!$G:$G,I3835,'[1]2025年已发货'!$H:$H,J3835))</f>
        <v>15</v>
      </c>
      <c r="I3835" s="33" t="str">
        <f>VLOOKUP(B3835,辅助信息!E:I,3,FALSE)</f>
        <v>(乐山市校地共建产教融合基地建设项目一标段)四川省乐山市市中区苏稽镇周山嘴</v>
      </c>
      <c r="J3835" s="33" t="str">
        <f>VLOOKUP(B3835,辅助信息!E:I,4,FALSE)</f>
        <v>范增云</v>
      </c>
      <c r="K3835" s="33">
        <f>VLOOKUP(J3835,辅助信息!H:I,2,FALSE)</f>
        <v>13668153241</v>
      </c>
      <c r="L3835" s="102" t="str">
        <f>VLOOKUP(B3835,辅助信息!E:J,6,FALSE)</f>
        <v>联系实际收货人（范增云13668153241）现场要求炉批号控制2个以下，超2个不给予签收。提前联系到场规格及数量</v>
      </c>
      <c r="O3835" s="55" t="str">
        <f ca="1" t="shared" si="202"/>
        <v/>
      </c>
      <c r="P3835" s="55" t="str">
        <f ca="1" t="shared" si="203"/>
        <v/>
      </c>
      <c r="Q3835" s="22" t="str">
        <f>VLOOKUP(B3835,辅助信息!E:M,9,FALSE)</f>
        <v>ZTWM-CDGS-XS-2025-0125-四川机司-乐山市校地共建产教融合基地配套设施项目施工一标段钢筋采购合同</v>
      </c>
      <c r="R3835" s="22" t="str">
        <f>_xlfn._xlws.FILTER(辅助信息!D:D,辅助信息!E:E=B3835)</f>
        <v>乐山市校地共建产教融合基地建设项目一标段</v>
      </c>
    </row>
    <row r="3836" hidden="1" spans="2:18">
      <c r="B3836" s="33" t="s">
        <v>187</v>
      </c>
      <c r="C3836" s="63">
        <v>45925</v>
      </c>
      <c r="D3836" s="33" t="str">
        <f>VLOOKUP(B3836,辅助信息!E:K,7,FALSE)</f>
        <v>JWDDCD2025072900121</v>
      </c>
      <c r="E3836" s="33" t="str">
        <f>VLOOKUP(F3836,辅助信息!A:B,2,FALSE)</f>
        <v>螺纹钢</v>
      </c>
      <c r="F3836" s="33" t="s">
        <v>182</v>
      </c>
      <c r="G3836" s="29">
        <v>10</v>
      </c>
      <c r="H3836" s="127">
        <f>IF(SUMIFS('[1]2025年已发货'!$E:$E,'[1]2025年已发货'!$F:$F,C3836,'[1]2025年已发货'!$C:$C,F3836,'[1]2025年已发货'!$G:$G,I3836,'[1]2025年已发货'!$H:$H,J3836)=0,"未发货",SUMIFS('[1]2025年已发货'!$E:$E,'[1]2025年已发货'!$F:$F,C3836,'[1]2025年已发货'!$C:$C,F3836,'[1]2025年已发货'!$G:$G,I3836,'[1]2025年已发货'!$H:$H,J3836))</f>
        <v>10</v>
      </c>
      <c r="I3836" s="33" t="str">
        <f>VLOOKUP(B3836,辅助信息!E:I,3,FALSE)</f>
        <v>(乐山市校地共建产教融合基地建设项目一标段)四川省乐山市市中区苏稽镇周山嘴</v>
      </c>
      <c r="J3836" s="33" t="str">
        <f>VLOOKUP(B3836,辅助信息!E:I,4,FALSE)</f>
        <v>范增云</v>
      </c>
      <c r="K3836" s="33">
        <f>VLOOKUP(J3836,辅助信息!H:I,2,FALSE)</f>
        <v>13668153241</v>
      </c>
      <c r="L3836" s="102" t="str">
        <f>VLOOKUP(B3836,辅助信息!E:J,6,FALSE)</f>
        <v>联系实际收货人（范增云13668153241）现场要求炉批号控制2个以下，超2个不给予签收。提前联系到场规格及数量</v>
      </c>
      <c r="O3836" s="55" t="str">
        <f ca="1" t="shared" si="202"/>
        <v/>
      </c>
      <c r="P3836" s="55" t="str">
        <f ca="1" t="shared" si="203"/>
        <v/>
      </c>
      <c r="Q3836" s="22" t="str">
        <f>VLOOKUP(B3836,辅助信息!E:M,9,FALSE)</f>
        <v>ZTWM-CDGS-XS-2025-0125-四川机司-乐山市校地共建产教融合基地配套设施项目施工一标段钢筋采购合同</v>
      </c>
      <c r="R3836" s="22" t="str">
        <f>_xlfn._xlws.FILTER(辅助信息!D:D,辅助信息!E:E=B3836)</f>
        <v>乐山市校地共建产教融合基地建设项目一标段</v>
      </c>
    </row>
    <row r="3837" hidden="1" spans="2:18">
      <c r="B3837" s="33" t="s">
        <v>187</v>
      </c>
      <c r="C3837" s="63">
        <v>45925</v>
      </c>
      <c r="D3837" s="33" t="str">
        <f>VLOOKUP(B3837,辅助信息!E:K,7,FALSE)</f>
        <v>JWDDCD2025072900121</v>
      </c>
      <c r="E3837" s="33" t="str">
        <f>VLOOKUP(F3837,辅助信息!A:B,2,FALSE)</f>
        <v>螺纹钢</v>
      </c>
      <c r="F3837" s="33" t="s">
        <v>142</v>
      </c>
      <c r="G3837" s="29">
        <v>10</v>
      </c>
      <c r="H3837" s="127">
        <f>IF(SUMIFS('[1]2025年已发货'!$E:$E,'[1]2025年已发货'!$F:$F,C3837,'[1]2025年已发货'!$C:$C,F3837,'[1]2025年已发货'!$G:$G,I3837,'[1]2025年已发货'!$H:$H,J3837)=0,"未发货",SUMIFS('[1]2025年已发货'!$E:$E,'[1]2025年已发货'!$F:$F,C3837,'[1]2025年已发货'!$C:$C,F3837,'[1]2025年已发货'!$G:$G,I3837,'[1]2025年已发货'!$H:$H,J3837))</f>
        <v>10</v>
      </c>
      <c r="I3837" s="33" t="str">
        <f>VLOOKUP(B3837,辅助信息!E:I,3,FALSE)</f>
        <v>(乐山市校地共建产教融合基地建设项目一标段)四川省乐山市市中区苏稽镇周山嘴</v>
      </c>
      <c r="J3837" s="33" t="str">
        <f>VLOOKUP(B3837,辅助信息!E:I,4,FALSE)</f>
        <v>范增云</v>
      </c>
      <c r="K3837" s="33">
        <f>VLOOKUP(J3837,辅助信息!H:I,2,FALSE)</f>
        <v>13668153241</v>
      </c>
      <c r="L3837" s="102" t="str">
        <f>VLOOKUP(B3837,辅助信息!E:J,6,FALSE)</f>
        <v>联系实际收货人（范增云13668153241）现场要求炉批号控制2个以下，超2个不给予签收。提前联系到场规格及数量</v>
      </c>
      <c r="O3837" s="55" t="str">
        <f ca="1" t="shared" si="202"/>
        <v/>
      </c>
      <c r="P3837" s="55" t="str">
        <f ca="1" t="shared" si="203"/>
        <v/>
      </c>
      <c r="Q3837" s="22" t="str">
        <f>VLOOKUP(B3837,辅助信息!E:M,9,FALSE)</f>
        <v>ZTWM-CDGS-XS-2025-0125-四川机司-乐山市校地共建产教融合基地配套设施项目施工一标段钢筋采购合同</v>
      </c>
      <c r="R3837" s="22" t="str">
        <f>_xlfn._xlws.FILTER(辅助信息!D:D,辅助信息!E:E=B3837)</f>
        <v>乐山市校地共建产教融合基地建设项目一标段</v>
      </c>
    </row>
    <row r="3838" hidden="1" spans="2:18">
      <c r="B3838" s="33" t="s">
        <v>187</v>
      </c>
      <c r="C3838" s="63">
        <v>45925</v>
      </c>
      <c r="D3838" s="33" t="str">
        <f>VLOOKUP(B3838,辅助信息!E:K,7,FALSE)</f>
        <v>JWDDCD2025072900121</v>
      </c>
      <c r="E3838" s="33" t="str">
        <f>VLOOKUP(F3838,辅助信息!A:B,2,FALSE)</f>
        <v>螺纹钢</v>
      </c>
      <c r="F3838" s="33" t="s">
        <v>200</v>
      </c>
      <c r="G3838" s="29">
        <v>18</v>
      </c>
      <c r="H3838" s="127">
        <f>IF(SUMIFS('[1]2025年已发货'!$E:$E,'[1]2025年已发货'!$F:$F,C3838,'[1]2025年已发货'!$C:$C,F3838,'[1]2025年已发货'!$G:$G,I3838,'[1]2025年已发货'!$H:$H,J3838)=0,"未发货",SUMIFS('[1]2025年已发货'!$E:$E,'[1]2025年已发货'!$F:$F,C3838,'[1]2025年已发货'!$C:$C,F3838,'[1]2025年已发货'!$G:$G,I3838,'[1]2025年已发货'!$H:$H,J3838))</f>
        <v>18</v>
      </c>
      <c r="I3838" s="33" t="str">
        <f>VLOOKUP(B3838,辅助信息!E:I,3,FALSE)</f>
        <v>(乐山市校地共建产教融合基地建设项目一标段)四川省乐山市市中区苏稽镇周山嘴</v>
      </c>
      <c r="J3838" s="33" t="str">
        <f>VLOOKUP(B3838,辅助信息!E:I,4,FALSE)</f>
        <v>范增云</v>
      </c>
      <c r="K3838" s="33">
        <f>VLOOKUP(J3838,辅助信息!H:I,2,FALSE)</f>
        <v>13668153241</v>
      </c>
      <c r="L3838" s="102" t="str">
        <f>VLOOKUP(B3838,辅助信息!E:J,6,FALSE)</f>
        <v>联系实际收货人（范增云13668153241）现场要求炉批号控制2个以下，超2个不给予签收。提前联系到场规格及数量</v>
      </c>
      <c r="O3838" s="55" t="str">
        <f ca="1" t="shared" si="202"/>
        <v/>
      </c>
      <c r="P3838" s="55" t="str">
        <f ca="1" t="shared" si="203"/>
        <v/>
      </c>
      <c r="Q3838" s="22" t="str">
        <f>VLOOKUP(B3838,辅助信息!E:M,9,FALSE)</f>
        <v>ZTWM-CDGS-XS-2025-0125-四川机司-乐山市校地共建产教融合基地配套设施项目施工一标段钢筋采购合同</v>
      </c>
      <c r="R3838" s="22" t="str">
        <f>_xlfn._xlws.FILTER(辅助信息!D:D,辅助信息!E:E=B3838)</f>
        <v>乐山市校地共建产教融合基地建设项目一标段</v>
      </c>
    </row>
    <row r="3839" hidden="1" spans="2:18">
      <c r="B3839" s="33" t="s">
        <v>194</v>
      </c>
      <c r="C3839" s="63">
        <v>45925</v>
      </c>
      <c r="D3839" s="33" t="str">
        <f>VLOOKUP(B3839,辅助信息!E:K,7,FALSE)</f>
        <v>JWDD2025071500089</v>
      </c>
      <c r="E3839" s="33" t="str">
        <f>VLOOKUP(F3839,辅助信息!A:B,2,FALSE)</f>
        <v>盘螺</v>
      </c>
      <c r="F3839" s="33" t="s">
        <v>49</v>
      </c>
      <c r="G3839" s="29">
        <v>5</v>
      </c>
      <c r="H3839" s="127"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33" t="str">
        <f>VLOOKUP(B3839,辅助信息!E:I,3,FALSE)</f>
        <v>(宜宾兴港三江新区长江工业园保障性租赁住房建设项目-土建)四川省宜宾市翠屏区永善路南段宜宾市三江新区长江工业园区</v>
      </c>
      <c r="J3839" s="33" t="str">
        <f>VLOOKUP(B3839,辅助信息!E:I,4,FALSE)</f>
        <v>赵元虎</v>
      </c>
      <c r="K3839" s="33">
        <f>VLOOKUP(J3839,辅助信息!H:I,2,FALSE)</f>
        <v>13684167136</v>
      </c>
      <c r="L3839" s="102" t="str">
        <f>VLOOKUP(B3839,辅助信息!E:J,6,FALSE)</f>
        <v>现场要求调度统一联系指定收货人，不单独发司机位置。锈货不收，装货前联系收货人核实到场规格,没提前告知进场规格现场不给予接收</v>
      </c>
      <c r="O3839" s="55" t="str">
        <f ca="1" t="shared" si="202"/>
        <v/>
      </c>
      <c r="P3839" s="55" t="str">
        <f ca="1" t="shared" si="203"/>
        <v/>
      </c>
      <c r="Q3839" s="22" t="str">
        <f>VLOOKUP(B3839,辅助信息!E:M,9,FALSE)</f>
        <v>ZTWM-CDYXGS-XS-2025-0014-宜宾兴港建材-三江新区长江工业园片区保障性租赁住房建设项目</v>
      </c>
      <c r="R3839" s="22" t="str">
        <f>_xlfn._xlws.FILTER(辅助信息!D:D,辅助信息!E:E=B3839)</f>
        <v>宜宾兴港三江新区长江工业园建设项目</v>
      </c>
    </row>
    <row r="3840" hidden="1" spans="2:18">
      <c r="B3840" s="33" t="s">
        <v>194</v>
      </c>
      <c r="C3840" s="63">
        <v>45925</v>
      </c>
      <c r="D3840" s="33" t="str">
        <f>VLOOKUP(B3840,辅助信息!E:K,7,FALSE)</f>
        <v>JWDD2025071500089</v>
      </c>
      <c r="E3840" s="33" t="str">
        <f>VLOOKUP(F3840,辅助信息!A:B,2,FALSE)</f>
        <v>盘螺</v>
      </c>
      <c r="F3840" s="33" t="s">
        <v>40</v>
      </c>
      <c r="G3840" s="29">
        <v>55</v>
      </c>
      <c r="H3840" s="127"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33" t="str">
        <f>VLOOKUP(B3840,辅助信息!E:I,3,FALSE)</f>
        <v>(宜宾兴港三江新区长江工业园保障性租赁住房建设项目-土建)四川省宜宾市翠屏区永善路南段宜宾市三江新区长江工业园区</v>
      </c>
      <c r="J3840" s="33" t="str">
        <f>VLOOKUP(B3840,辅助信息!E:I,4,FALSE)</f>
        <v>赵元虎</v>
      </c>
      <c r="K3840" s="33">
        <f>VLOOKUP(J3840,辅助信息!H:I,2,FALSE)</f>
        <v>13684167136</v>
      </c>
      <c r="L3840" s="102" t="str">
        <f>VLOOKUP(B3840,辅助信息!E:J,6,FALSE)</f>
        <v>现场要求调度统一联系指定收货人，不单独发司机位置。锈货不收，装货前联系收货人核实到场规格,没提前告知进场规格现场不给予接收</v>
      </c>
      <c r="O3840" s="55" t="str">
        <f ca="1" t="shared" si="202"/>
        <v/>
      </c>
      <c r="P3840" s="55" t="str">
        <f ca="1" t="shared" si="203"/>
        <v/>
      </c>
      <c r="Q3840" s="22" t="str">
        <f>VLOOKUP(B3840,辅助信息!E:M,9,FALSE)</f>
        <v>ZTWM-CDYXGS-XS-2025-0014-宜宾兴港建材-三江新区长江工业园片区保障性租赁住房建设项目</v>
      </c>
      <c r="R3840" s="22" t="str">
        <f>_xlfn._xlws.FILTER(辅助信息!D:D,辅助信息!E:E=B3840)</f>
        <v>宜宾兴港三江新区长江工业园建设项目</v>
      </c>
    </row>
    <row r="3841" hidden="1" spans="2:18">
      <c r="B3841" s="33" t="s">
        <v>194</v>
      </c>
      <c r="C3841" s="63">
        <v>45925</v>
      </c>
      <c r="D3841" s="33" t="str">
        <f>VLOOKUP(B3841,辅助信息!E:K,7,FALSE)</f>
        <v>JWDD2025071500089</v>
      </c>
      <c r="E3841" s="33" t="str">
        <f>VLOOKUP(F3841,辅助信息!A:B,2,FALSE)</f>
        <v>盘螺</v>
      </c>
      <c r="F3841" s="33" t="s">
        <v>41</v>
      </c>
      <c r="G3841" s="29">
        <v>10</v>
      </c>
      <c r="H3841" s="127"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33" t="str">
        <f>VLOOKUP(B3841,辅助信息!E:I,3,FALSE)</f>
        <v>(宜宾兴港三江新区长江工业园保障性租赁住房建设项目-土建)四川省宜宾市翠屏区永善路南段宜宾市三江新区长江工业园区</v>
      </c>
      <c r="J3841" s="33" t="str">
        <f>VLOOKUP(B3841,辅助信息!E:I,4,FALSE)</f>
        <v>赵元虎</v>
      </c>
      <c r="K3841" s="33">
        <f>VLOOKUP(J3841,辅助信息!H:I,2,FALSE)</f>
        <v>13684167136</v>
      </c>
      <c r="L3841" s="102" t="str">
        <f>VLOOKUP(B3841,辅助信息!E:J,6,FALSE)</f>
        <v>现场要求调度统一联系指定收货人，不单独发司机位置。锈货不收，装货前联系收货人核实到场规格,没提前告知进场规格现场不给予接收</v>
      </c>
      <c r="O3841" s="55" t="str">
        <f ca="1" t="shared" si="202"/>
        <v/>
      </c>
      <c r="P3841" s="55" t="str">
        <f ca="1" t="shared" si="203"/>
        <v/>
      </c>
      <c r="Q3841" s="22" t="str">
        <f>VLOOKUP(B3841,辅助信息!E:M,9,FALSE)</f>
        <v>ZTWM-CDYXGS-XS-2025-0014-宜宾兴港建材-三江新区长江工业园片区保障性租赁住房建设项目</v>
      </c>
      <c r="R3841" s="22" t="str">
        <f>_xlfn._xlws.FILTER(辅助信息!D:D,辅助信息!E:E=B3841)</f>
        <v>宜宾兴港三江新区长江工业园建设项目</v>
      </c>
    </row>
    <row r="3842" hidden="1" spans="2:18">
      <c r="B3842" s="33" t="s">
        <v>194</v>
      </c>
      <c r="C3842" s="63">
        <v>45925</v>
      </c>
      <c r="D3842" s="33" t="str">
        <f>VLOOKUP(B3842,辅助信息!E:K,7,FALSE)</f>
        <v>JWDD2025071500089</v>
      </c>
      <c r="E3842" s="33" t="str">
        <f>VLOOKUP(F3842,辅助信息!A:B,2,FALSE)</f>
        <v>螺纹钢</v>
      </c>
      <c r="F3842" s="33" t="s">
        <v>27</v>
      </c>
      <c r="G3842" s="29">
        <v>10</v>
      </c>
      <c r="H3842" s="127">
        <f>IF(SUMIFS('[1]2025年已发货'!$E:$E,'[1]2025年已发货'!$F:$F,C3842,'[1]2025年已发货'!$C:$C,F3842,'[1]2025年已发货'!$G:$G,I3842,'[1]2025年已发货'!$H:$H,J3842)=0,"未发货",SUMIFS('[1]2025年已发货'!$E:$E,'[1]2025年已发货'!$F:$F,C3842,'[1]2025年已发货'!$C:$C,F3842,'[1]2025年已发货'!$G:$G,I3842,'[1]2025年已发货'!$H:$H,J3842))</f>
        <v>10</v>
      </c>
      <c r="I3842" s="33" t="str">
        <f>VLOOKUP(B3842,辅助信息!E:I,3,FALSE)</f>
        <v>(宜宾兴港三江新区长江工业园保障性租赁住房建设项目-土建)四川省宜宾市翠屏区永善路南段宜宾市三江新区长江工业园区</v>
      </c>
      <c r="J3842" s="33" t="str">
        <f>VLOOKUP(B3842,辅助信息!E:I,4,FALSE)</f>
        <v>赵元虎</v>
      </c>
      <c r="K3842" s="33">
        <f>VLOOKUP(J3842,辅助信息!H:I,2,FALSE)</f>
        <v>13684167136</v>
      </c>
      <c r="L3842" s="102" t="str">
        <f>VLOOKUP(B3842,辅助信息!E:J,6,FALSE)</f>
        <v>现场要求调度统一联系指定收货人，不单独发司机位置。锈货不收，装货前联系收货人核实到场规格,没提前告知进场规格现场不给予接收</v>
      </c>
      <c r="O3842" s="55" t="str">
        <f ca="1" t="shared" si="202"/>
        <v/>
      </c>
      <c r="P3842" s="55" t="str">
        <f ca="1" t="shared" si="203"/>
        <v/>
      </c>
      <c r="Q3842" s="22" t="str">
        <f>VLOOKUP(B3842,辅助信息!E:M,9,FALSE)</f>
        <v>ZTWM-CDYXGS-XS-2025-0014-宜宾兴港建材-三江新区长江工业园片区保障性租赁住房建设项目</v>
      </c>
      <c r="R3842" s="22" t="str">
        <f>_xlfn._xlws.FILTER(辅助信息!D:D,辅助信息!E:E=B3842)</f>
        <v>宜宾兴港三江新区长江工业园建设项目</v>
      </c>
    </row>
    <row r="3843" hidden="1" spans="2:18">
      <c r="B3843" s="33" t="s">
        <v>194</v>
      </c>
      <c r="C3843" s="63">
        <v>45925</v>
      </c>
      <c r="D3843" s="33" t="str">
        <f>VLOOKUP(B3843,辅助信息!E:K,7,FALSE)</f>
        <v>JWDD2025071500089</v>
      </c>
      <c r="E3843" s="33" t="str">
        <f>VLOOKUP(F3843,辅助信息!A:B,2,FALSE)</f>
        <v>螺纹钢</v>
      </c>
      <c r="F3843" s="33" t="s">
        <v>19</v>
      </c>
      <c r="G3843" s="29">
        <v>10</v>
      </c>
      <c r="H3843" s="127">
        <f>IF(SUMIFS('[1]2025年已发货'!$E:$E,'[1]2025年已发货'!$F:$F,C3843,'[1]2025年已发货'!$C:$C,F3843,'[1]2025年已发货'!$G:$G,I3843,'[1]2025年已发货'!$H:$H,J3843)=0,"未发货",SUMIFS('[1]2025年已发货'!$E:$E,'[1]2025年已发货'!$F:$F,C3843,'[1]2025年已发货'!$C:$C,F3843,'[1]2025年已发货'!$G:$G,I3843,'[1]2025年已发货'!$H:$H,J3843))</f>
        <v>10</v>
      </c>
      <c r="I3843" s="33" t="str">
        <f>VLOOKUP(B3843,辅助信息!E:I,3,FALSE)</f>
        <v>(宜宾兴港三江新区长江工业园保障性租赁住房建设项目-土建)四川省宜宾市翠屏区永善路南段宜宾市三江新区长江工业园区</v>
      </c>
      <c r="J3843" s="33" t="str">
        <f>VLOOKUP(B3843,辅助信息!E:I,4,FALSE)</f>
        <v>赵元虎</v>
      </c>
      <c r="K3843" s="33">
        <f>VLOOKUP(J3843,辅助信息!H:I,2,FALSE)</f>
        <v>13684167136</v>
      </c>
      <c r="L3843" s="102" t="str">
        <f>VLOOKUP(B3843,辅助信息!E:J,6,FALSE)</f>
        <v>现场要求调度统一联系指定收货人，不单独发司机位置。锈货不收，装货前联系收货人核实到场规格,没提前告知进场规格现场不给予接收</v>
      </c>
      <c r="O3843" s="55" t="str">
        <f ca="1" t="shared" si="202"/>
        <v/>
      </c>
      <c r="P3843" s="55" t="str">
        <f ca="1" t="shared" si="203"/>
        <v/>
      </c>
      <c r="Q3843" s="22" t="str">
        <f>VLOOKUP(B3843,辅助信息!E:M,9,FALSE)</f>
        <v>ZTWM-CDYXGS-XS-2025-0014-宜宾兴港建材-三江新区长江工业园片区保障性租赁住房建设项目</v>
      </c>
      <c r="R3843" s="22" t="str">
        <f>_xlfn._xlws.FILTER(辅助信息!D:D,辅助信息!E:E=B3843)</f>
        <v>宜宾兴港三江新区长江工业园建设项目</v>
      </c>
    </row>
    <row r="3844" hidden="1" spans="2:18">
      <c r="B3844" s="33" t="s">
        <v>194</v>
      </c>
      <c r="C3844" s="63">
        <v>45925</v>
      </c>
      <c r="D3844" s="33" t="str">
        <f>VLOOKUP(B3844,辅助信息!E:K,7,FALSE)</f>
        <v>JWDD2025071500089</v>
      </c>
      <c r="E3844" s="33" t="str">
        <f>VLOOKUP(F3844,辅助信息!A:B,2,FALSE)</f>
        <v>螺纹钢</v>
      </c>
      <c r="F3844" s="33" t="s">
        <v>32</v>
      </c>
      <c r="G3844" s="29">
        <v>10</v>
      </c>
      <c r="H3844" s="127">
        <f>IF(SUMIFS('[1]2025年已发货'!$E:$E,'[1]2025年已发货'!$F:$F,C3844,'[1]2025年已发货'!$C:$C,F3844,'[1]2025年已发货'!$G:$G,I3844,'[1]2025年已发货'!$H:$H,J3844)=0,"未发货",SUMIFS('[1]2025年已发货'!$E:$E,'[1]2025年已发货'!$F:$F,C3844,'[1]2025年已发货'!$C:$C,F3844,'[1]2025年已发货'!$G:$G,I3844,'[1]2025年已发货'!$H:$H,J3844))</f>
        <v>10</v>
      </c>
      <c r="I3844" s="33" t="str">
        <f>VLOOKUP(B3844,辅助信息!E:I,3,FALSE)</f>
        <v>(宜宾兴港三江新区长江工业园保障性租赁住房建设项目-土建)四川省宜宾市翠屏区永善路南段宜宾市三江新区长江工业园区</v>
      </c>
      <c r="J3844" s="33" t="str">
        <f>VLOOKUP(B3844,辅助信息!E:I,4,FALSE)</f>
        <v>赵元虎</v>
      </c>
      <c r="K3844" s="33">
        <f>VLOOKUP(J3844,辅助信息!H:I,2,FALSE)</f>
        <v>13684167136</v>
      </c>
      <c r="L3844" s="102" t="str">
        <f>VLOOKUP(B3844,辅助信息!E:J,6,FALSE)</f>
        <v>现场要求调度统一联系指定收货人，不单独发司机位置。锈货不收，装货前联系收货人核实到场规格,没提前告知进场规格现场不给予接收</v>
      </c>
      <c r="O3844" s="55" t="str">
        <f ca="1" t="shared" si="202"/>
        <v/>
      </c>
      <c r="P3844" s="55" t="str">
        <f ca="1" t="shared" si="203"/>
        <v/>
      </c>
      <c r="Q3844" s="22" t="str">
        <f>VLOOKUP(B3844,辅助信息!E:M,9,FALSE)</f>
        <v>ZTWM-CDYXGS-XS-2025-0014-宜宾兴港建材-三江新区长江工业园片区保障性租赁住房建设项目</v>
      </c>
      <c r="R3844" s="22" t="str">
        <f>_xlfn._xlws.FILTER(辅助信息!D:D,辅助信息!E:E=B3844)</f>
        <v>宜宾兴港三江新区长江工业园建设项目</v>
      </c>
    </row>
    <row r="3845" hidden="1" spans="2:18">
      <c r="B3845" s="33" t="s">
        <v>194</v>
      </c>
      <c r="C3845" s="63">
        <v>45925</v>
      </c>
      <c r="D3845" s="33" t="str">
        <f>VLOOKUP(B3845,辅助信息!E:K,7,FALSE)</f>
        <v>JWDD2025071500089</v>
      </c>
      <c r="E3845" s="33" t="str">
        <f>VLOOKUP(F3845,辅助信息!A:B,2,FALSE)</f>
        <v>螺纹钢</v>
      </c>
      <c r="F3845" s="33" t="s">
        <v>30</v>
      </c>
      <c r="G3845" s="29">
        <v>10</v>
      </c>
      <c r="H3845" s="127">
        <f>IF(SUMIFS('[1]2025年已发货'!$E:$E,'[1]2025年已发货'!$F:$F,C3845,'[1]2025年已发货'!$C:$C,F3845,'[1]2025年已发货'!$G:$G,I3845,'[1]2025年已发货'!$H:$H,J3845)=0,"未发货",SUMIFS('[1]2025年已发货'!$E:$E,'[1]2025年已发货'!$F:$F,C3845,'[1]2025年已发货'!$C:$C,F3845,'[1]2025年已发货'!$G:$G,I3845,'[1]2025年已发货'!$H:$H,J3845))</f>
        <v>10</v>
      </c>
      <c r="I3845" s="33" t="str">
        <f>VLOOKUP(B3845,辅助信息!E:I,3,FALSE)</f>
        <v>(宜宾兴港三江新区长江工业园保障性租赁住房建设项目-土建)四川省宜宾市翠屏区永善路南段宜宾市三江新区长江工业园区</v>
      </c>
      <c r="J3845" s="33" t="str">
        <f>VLOOKUP(B3845,辅助信息!E:I,4,FALSE)</f>
        <v>赵元虎</v>
      </c>
      <c r="K3845" s="33">
        <f>VLOOKUP(J3845,辅助信息!H:I,2,FALSE)</f>
        <v>13684167136</v>
      </c>
      <c r="L3845" s="102" t="str">
        <f>VLOOKUP(B3845,辅助信息!E:J,6,FALSE)</f>
        <v>现场要求调度统一联系指定收货人，不单独发司机位置。锈货不收，装货前联系收货人核实到场规格,没提前告知进场规格现场不给予接收</v>
      </c>
      <c r="O3845" s="55" t="str">
        <f ca="1" t="shared" si="202"/>
        <v/>
      </c>
      <c r="P3845" s="55" t="str">
        <f ca="1" t="shared" si="203"/>
        <v/>
      </c>
      <c r="Q3845" s="22" t="str">
        <f>VLOOKUP(B3845,辅助信息!E:M,9,FALSE)</f>
        <v>ZTWM-CDYXGS-XS-2025-0014-宜宾兴港建材-三江新区长江工业园片区保障性租赁住房建设项目</v>
      </c>
      <c r="R3845" s="22" t="str">
        <f>_xlfn._xlws.FILTER(辅助信息!D:D,辅助信息!E:E=B3845)</f>
        <v>宜宾兴港三江新区长江工业园建设项目</v>
      </c>
    </row>
    <row r="3846" hidden="1" spans="2:18">
      <c r="B3846" s="33" t="s">
        <v>194</v>
      </c>
      <c r="C3846" s="63">
        <v>45925</v>
      </c>
      <c r="D3846" s="33" t="str">
        <f>VLOOKUP(B3846,辅助信息!E:K,7,FALSE)</f>
        <v>JWDD2025071500089</v>
      </c>
      <c r="E3846" s="33" t="str">
        <f>VLOOKUP(F3846,辅助信息!A:B,2,FALSE)</f>
        <v>螺纹钢</v>
      </c>
      <c r="F3846" s="33" t="s">
        <v>33</v>
      </c>
      <c r="G3846" s="29">
        <v>10</v>
      </c>
      <c r="H3846" s="127">
        <f>IF(SUMIFS('[1]2025年已发货'!$E:$E,'[1]2025年已发货'!$F:$F,C3846,'[1]2025年已发货'!$C:$C,F3846,'[1]2025年已发货'!$G:$G,I3846,'[1]2025年已发货'!$H:$H,J3846)=0,"未发货",SUMIFS('[1]2025年已发货'!$E:$E,'[1]2025年已发货'!$F:$F,C3846,'[1]2025年已发货'!$C:$C,F3846,'[1]2025年已发货'!$G:$G,I3846,'[1]2025年已发货'!$H:$H,J3846))</f>
        <v>10</v>
      </c>
      <c r="I3846" s="33" t="str">
        <f>VLOOKUP(B3846,辅助信息!E:I,3,FALSE)</f>
        <v>(宜宾兴港三江新区长江工业园保障性租赁住房建设项目-土建)四川省宜宾市翠屏区永善路南段宜宾市三江新区长江工业园区</v>
      </c>
      <c r="J3846" s="33" t="str">
        <f>VLOOKUP(B3846,辅助信息!E:I,4,FALSE)</f>
        <v>赵元虎</v>
      </c>
      <c r="K3846" s="33">
        <f>VLOOKUP(J3846,辅助信息!H:I,2,FALSE)</f>
        <v>13684167136</v>
      </c>
      <c r="L3846" s="102" t="str">
        <f>VLOOKUP(B3846,辅助信息!E:J,6,FALSE)</f>
        <v>现场要求调度统一联系指定收货人，不单独发司机位置。锈货不收，装货前联系收货人核实到场规格,没提前告知进场规格现场不给予接收</v>
      </c>
      <c r="O3846" s="55" t="str">
        <f ca="1" t="shared" si="202"/>
        <v/>
      </c>
      <c r="P3846" s="55" t="str">
        <f ca="1" t="shared" si="203"/>
        <v/>
      </c>
      <c r="Q3846" s="22" t="str">
        <f>VLOOKUP(B3846,辅助信息!E:M,9,FALSE)</f>
        <v>ZTWM-CDYXGS-XS-2025-0014-宜宾兴港建材-三江新区长江工业园片区保障性租赁住房建设项目</v>
      </c>
      <c r="R3846" s="22" t="str">
        <f>_xlfn._xlws.FILTER(辅助信息!D:D,辅助信息!E:E=B3846)</f>
        <v>宜宾兴港三江新区长江工业园建设项目</v>
      </c>
    </row>
    <row r="3847" hidden="1" spans="2:18">
      <c r="B3847" s="33" t="s">
        <v>194</v>
      </c>
      <c r="C3847" s="63">
        <v>45925</v>
      </c>
      <c r="D3847" s="33" t="str">
        <f>VLOOKUP(B3847,辅助信息!E:K,7,FALSE)</f>
        <v>JWDD2025071500089</v>
      </c>
      <c r="E3847" s="33" t="str">
        <f>VLOOKUP(F3847,辅助信息!A:B,2,FALSE)</f>
        <v>螺纹钢</v>
      </c>
      <c r="F3847" s="33" t="s">
        <v>28</v>
      </c>
      <c r="G3847" s="29">
        <v>10</v>
      </c>
      <c r="H3847" s="127">
        <f>IF(SUMIFS('[1]2025年已发货'!$E:$E,'[1]2025年已发货'!$F:$F,C3847,'[1]2025年已发货'!$C:$C,F3847,'[1]2025年已发货'!$G:$G,I3847,'[1]2025年已发货'!$H:$H,J3847)=0,"未发货",SUMIFS('[1]2025年已发货'!$E:$E,'[1]2025年已发货'!$F:$F,C3847,'[1]2025年已发货'!$C:$C,F3847,'[1]2025年已发货'!$G:$G,I3847,'[1]2025年已发货'!$H:$H,J3847))</f>
        <v>10</v>
      </c>
      <c r="I3847" s="33" t="str">
        <f>VLOOKUP(B3847,辅助信息!E:I,3,FALSE)</f>
        <v>(宜宾兴港三江新区长江工业园保障性租赁住房建设项目-土建)四川省宜宾市翠屏区永善路南段宜宾市三江新区长江工业园区</v>
      </c>
      <c r="J3847" s="33" t="str">
        <f>VLOOKUP(B3847,辅助信息!E:I,4,FALSE)</f>
        <v>赵元虎</v>
      </c>
      <c r="K3847" s="33">
        <f>VLOOKUP(J3847,辅助信息!H:I,2,FALSE)</f>
        <v>13684167136</v>
      </c>
      <c r="L3847" s="102" t="str">
        <f>VLOOKUP(B3847,辅助信息!E:J,6,FALSE)</f>
        <v>现场要求调度统一联系指定收货人，不单独发司机位置。锈货不收，装货前联系收货人核实到场规格,没提前告知进场规格现场不给予接收</v>
      </c>
      <c r="O3847" s="55" t="str">
        <f ca="1" t="shared" si="202"/>
        <v/>
      </c>
      <c r="P3847" s="55" t="str">
        <f ca="1" t="shared" si="203"/>
        <v/>
      </c>
      <c r="Q3847" s="22" t="str">
        <f>VLOOKUP(B3847,辅助信息!E:M,9,FALSE)</f>
        <v>ZTWM-CDYXGS-XS-2025-0014-宜宾兴港建材-三江新区长江工业园片区保障性租赁住房建设项目</v>
      </c>
      <c r="R3847" s="22" t="str">
        <f>_xlfn._xlws.FILTER(辅助信息!D:D,辅助信息!E:E=B3847)</f>
        <v>宜宾兴港三江新区长江工业园建设项目</v>
      </c>
    </row>
    <row r="3848" hidden="1" spans="2:18">
      <c r="B3848" s="33" t="s">
        <v>194</v>
      </c>
      <c r="C3848" s="63">
        <v>45925</v>
      </c>
      <c r="D3848" s="33" t="str">
        <f>VLOOKUP(B3848,辅助信息!E:K,7,FALSE)</f>
        <v>JWDD2025071500089</v>
      </c>
      <c r="E3848" s="33" t="str">
        <f>VLOOKUP(F3848,辅助信息!A:B,2,FALSE)</f>
        <v>螺纹钢</v>
      </c>
      <c r="F3848" s="33" t="s">
        <v>18</v>
      </c>
      <c r="G3848" s="29">
        <v>10</v>
      </c>
      <c r="H3848" s="127">
        <f>IF(SUMIFS('[1]2025年已发货'!$E:$E,'[1]2025年已发货'!$F:$F,C3848,'[1]2025年已发货'!$C:$C,F3848,'[1]2025年已发货'!$G:$G,I3848,'[1]2025年已发货'!$H:$H,J3848)=0,"未发货",SUMIFS('[1]2025年已发货'!$E:$E,'[1]2025年已发货'!$F:$F,C3848,'[1]2025年已发货'!$C:$C,F3848,'[1]2025年已发货'!$G:$G,I3848,'[1]2025年已发货'!$H:$H,J3848))</f>
        <v>10</v>
      </c>
      <c r="I3848" s="33" t="str">
        <f>VLOOKUP(B3848,辅助信息!E:I,3,FALSE)</f>
        <v>(宜宾兴港三江新区长江工业园保障性租赁住房建设项目-土建)四川省宜宾市翠屏区永善路南段宜宾市三江新区长江工业园区</v>
      </c>
      <c r="J3848" s="33" t="str">
        <f>VLOOKUP(B3848,辅助信息!E:I,4,FALSE)</f>
        <v>赵元虎</v>
      </c>
      <c r="K3848" s="33">
        <f>VLOOKUP(J3848,辅助信息!H:I,2,FALSE)</f>
        <v>13684167136</v>
      </c>
      <c r="L3848" s="102" t="str">
        <f>VLOOKUP(B3848,辅助信息!E:J,6,FALSE)</f>
        <v>现场要求调度统一联系指定收货人，不单独发司机位置。锈货不收，装货前联系收货人核实到场规格,没提前告知进场规格现场不给予接收</v>
      </c>
      <c r="O3848" s="55" t="str">
        <f ca="1" t="shared" si="202"/>
        <v/>
      </c>
      <c r="P3848" s="55" t="str">
        <f ca="1" t="shared" si="203"/>
        <v/>
      </c>
      <c r="Q3848" s="22" t="str">
        <f>VLOOKUP(B3848,辅助信息!E:M,9,FALSE)</f>
        <v>ZTWM-CDYXGS-XS-2025-0014-宜宾兴港建材-三江新区长江工业园片区保障性租赁住房建设项目</v>
      </c>
      <c r="R3848" s="22" t="str">
        <f>_xlfn._xlws.FILTER(辅助信息!D:D,辅助信息!E:E=B3848)</f>
        <v>宜宾兴港三江新区长江工业园建设项目</v>
      </c>
    </row>
    <row r="3849" hidden="1" spans="2:18">
      <c r="B3849" s="124" t="s">
        <v>163</v>
      </c>
      <c r="C3849" s="63">
        <v>45927</v>
      </c>
      <c r="D3849" s="113" t="str">
        <f>VLOOKUP(B3849,辅助信息!E:K,7,FALSE)</f>
        <v>JWDDCD2025052800131</v>
      </c>
      <c r="E3849" s="113" t="str">
        <f>VLOOKUP(F3849,辅助信息!A:B,2,FALSE)</f>
        <v>螺纹钢</v>
      </c>
      <c r="F3849" s="113" t="s">
        <v>58</v>
      </c>
      <c r="G3849" s="114">
        <v>15</v>
      </c>
      <c r="H3849" s="127">
        <f>IF(SUMIFS('[1]2025年已发货'!$E:$E,'[1]2025年已发货'!$F:$F,C3849,'[1]2025年已发货'!$C:$C,F3849,'[1]2025年已发货'!$G:$G,I3849,'[1]2025年已发货'!$H:$H,J3849)=0,"未发货",SUMIFS('[1]2025年已发货'!$E:$E,'[1]2025年已发货'!$F:$F,C3849,'[1]2025年已发货'!$C:$C,F3849,'[1]2025年已发货'!$G:$G,I3849,'[1]2025年已发货'!$H:$H,J3849))</f>
        <v>13</v>
      </c>
      <c r="I3849" s="113" t="str">
        <f>VLOOKUP(B3849,辅助信息!E:I,3,FALSE)</f>
        <v>（商投建工达州中医药科技园-4工区-9号楼）达州市通川区达州中医药职业学院犀牛大道北段</v>
      </c>
      <c r="J3849" s="113" t="str">
        <f>VLOOKUP(B3849,辅助信息!E:I,4,FALSE)</f>
        <v>张扬</v>
      </c>
      <c r="K3849" s="113">
        <f>VLOOKUP(J3849,辅助信息!H:I,2,FALSE)</f>
        <v>18381904567</v>
      </c>
      <c r="L3849" s="115" t="str">
        <f>VLOOKUP(B3849,辅助信息!E:J,6,FALSE)</f>
        <v>控制炉批号！多了现场不收！,优先安排达钢,提前联系到场规格及数量</v>
      </c>
      <c r="M3849" s="84">
        <v>45925</v>
      </c>
      <c r="O3849" s="55">
        <f ca="1" t="shared" si="202"/>
        <v>0</v>
      </c>
      <c r="P3849" s="55">
        <f ca="1" t="shared" si="203"/>
        <v>32</v>
      </c>
      <c r="Q3849" s="22" t="str">
        <f>VLOOKUP(B3849,辅助信息!E:M,9,FALSE)</f>
        <v>ZTWM-CDGS-XS-2024-0134-商投建工达州中医药科技成果示范园项目</v>
      </c>
      <c r="R3849" s="22" t="str">
        <f>_xlfn._xlws.FILTER(辅助信息!D:D,辅助信息!E:E=B3849)</f>
        <v>商投建工达州中医药科技园</v>
      </c>
    </row>
    <row r="3850" hidden="1" spans="2:18">
      <c r="B3850" s="124" t="s">
        <v>163</v>
      </c>
      <c r="C3850" s="63">
        <v>45927</v>
      </c>
      <c r="D3850" s="113" t="str">
        <f>VLOOKUP(B3850,辅助信息!E:K,7,FALSE)</f>
        <v>JWDDCD2025052800131</v>
      </c>
      <c r="E3850" s="113" t="str">
        <f>VLOOKUP(F3850,辅助信息!A:B,2,FALSE)</f>
        <v>螺纹钢</v>
      </c>
      <c r="F3850" s="113" t="s">
        <v>46</v>
      </c>
      <c r="G3850" s="114">
        <v>9</v>
      </c>
      <c r="H3850" s="127">
        <f>IF(SUMIFS('[1]2025年已发货'!$E:$E,'[1]2025年已发货'!$F:$F,C3850,'[1]2025年已发货'!$C:$C,F3850,'[1]2025年已发货'!$G:$G,I3850,'[1]2025年已发货'!$H:$H,J3850)=0,"未发货",SUMIFS('[1]2025年已发货'!$E:$E,'[1]2025年已发货'!$F:$F,C3850,'[1]2025年已发货'!$C:$C,F3850,'[1]2025年已发货'!$G:$G,I3850,'[1]2025年已发货'!$H:$H,J3850))</f>
        <v>8</v>
      </c>
      <c r="I3850" s="113" t="str">
        <f>VLOOKUP(B3850,辅助信息!E:I,3,FALSE)</f>
        <v>（商投建工达州中医药科技园-4工区-9号楼）达州市通川区达州中医药职业学院犀牛大道北段</v>
      </c>
      <c r="J3850" s="113" t="str">
        <f>VLOOKUP(B3850,辅助信息!E:I,4,FALSE)</f>
        <v>张扬</v>
      </c>
      <c r="K3850" s="113">
        <f>VLOOKUP(J3850,辅助信息!H:I,2,FALSE)</f>
        <v>18381904567</v>
      </c>
      <c r="L3850" s="115" t="str">
        <f>VLOOKUP(B3850,辅助信息!E:J,6,FALSE)</f>
        <v>控制炉批号！多了现场不收！,优先安排达钢,提前联系到场规格及数量</v>
      </c>
      <c r="M3850" s="84">
        <v>45925</v>
      </c>
      <c r="O3850" s="55">
        <f ca="1" t="shared" si="202"/>
        <v>0</v>
      </c>
      <c r="P3850" s="55">
        <f ca="1" t="shared" si="203"/>
        <v>32</v>
      </c>
      <c r="Q3850" s="22" t="str">
        <f>VLOOKUP(B3850,辅助信息!E:M,9,FALSE)</f>
        <v>ZTWM-CDGS-XS-2024-0134-商投建工达州中医药科技成果示范园项目</v>
      </c>
      <c r="R3850" s="22" t="str">
        <f>_xlfn._xlws.FILTER(辅助信息!D:D,辅助信息!E:E=B3850)</f>
        <v>商投建工达州中医药科技园</v>
      </c>
    </row>
    <row r="3851" hidden="1" spans="2:18">
      <c r="B3851" s="124" t="s">
        <v>163</v>
      </c>
      <c r="C3851" s="63">
        <v>45927</v>
      </c>
      <c r="D3851" s="113" t="str">
        <f>VLOOKUP(B3851,辅助信息!E:K,7,FALSE)</f>
        <v>JWDDCD2025052800131</v>
      </c>
      <c r="E3851" s="113" t="str">
        <f>VLOOKUP(F3851,辅助信息!A:B,2,FALSE)</f>
        <v>螺纹钢</v>
      </c>
      <c r="F3851" s="113" t="s">
        <v>22</v>
      </c>
      <c r="G3851" s="114">
        <v>15</v>
      </c>
      <c r="H3851" s="127">
        <f>IF(SUMIFS('[1]2025年已发货'!$E:$E,'[1]2025年已发货'!$F:$F,C3851,'[1]2025年已发货'!$C:$C,F3851,'[1]2025年已发货'!$G:$G,I3851,'[1]2025年已发货'!$H:$H,J3851)=0,"未发货",SUMIFS('[1]2025年已发货'!$E:$E,'[1]2025年已发货'!$F:$F,C3851,'[1]2025年已发货'!$C:$C,F3851,'[1]2025年已发货'!$G:$G,I3851,'[1]2025年已发货'!$H:$H,J3851))</f>
        <v>13</v>
      </c>
      <c r="I3851" s="113" t="str">
        <f>VLOOKUP(B3851,辅助信息!E:I,3,FALSE)</f>
        <v>（商投建工达州中医药科技园-4工区-9号楼）达州市通川区达州中医药职业学院犀牛大道北段</v>
      </c>
      <c r="J3851" s="113" t="str">
        <f>VLOOKUP(B3851,辅助信息!E:I,4,FALSE)</f>
        <v>张扬</v>
      </c>
      <c r="K3851" s="113">
        <f>VLOOKUP(J3851,辅助信息!H:I,2,FALSE)</f>
        <v>18381904567</v>
      </c>
      <c r="L3851" s="115" t="str">
        <f>VLOOKUP(B3851,辅助信息!E:J,6,FALSE)</f>
        <v>控制炉批号！多了现场不收！,优先安排达钢,提前联系到场规格及数量</v>
      </c>
      <c r="M3851" s="84">
        <v>45925</v>
      </c>
      <c r="O3851" s="55">
        <f ca="1" t="shared" si="202"/>
        <v>0</v>
      </c>
      <c r="P3851" s="55">
        <f ca="1" t="shared" si="203"/>
        <v>32</v>
      </c>
      <c r="Q3851" s="22" t="str">
        <f>VLOOKUP(B3851,辅助信息!E:M,9,FALSE)</f>
        <v>ZTWM-CDGS-XS-2024-0134-商投建工达州中医药科技成果示范园项目</v>
      </c>
      <c r="R3851" s="22" t="str">
        <f>_xlfn._xlws.FILTER(辅助信息!D:D,辅助信息!E:E=B3851)</f>
        <v>商投建工达州中医药科技园</v>
      </c>
    </row>
    <row r="3852" hidden="1" spans="2:18">
      <c r="B3852" s="124" t="s">
        <v>112</v>
      </c>
      <c r="C3852" s="63">
        <v>45927</v>
      </c>
      <c r="D3852" s="113" t="str">
        <f>VLOOKUP(B3852,辅助信息!E:K,7,FALSE)</f>
        <v>JWDDCD2025052800131</v>
      </c>
      <c r="E3852" s="113" t="str">
        <f>VLOOKUP(F3852,辅助信息!A:B,2,FALSE)</f>
        <v>盘螺</v>
      </c>
      <c r="F3852" s="113" t="s">
        <v>40</v>
      </c>
      <c r="G3852" s="114">
        <v>15</v>
      </c>
      <c r="H3852" s="127">
        <f>IF(SUMIFS('[1]2025年已发货'!$E:$E,'[1]2025年已发货'!$F:$F,C3852,'[1]2025年已发货'!$C:$C,F3852,'[1]2025年已发货'!$G:$G,I3852,'[1]2025年已发货'!$H:$H,J3852)=0,"未发货",SUMIFS('[1]2025年已发货'!$E:$E,'[1]2025年已发货'!$F:$F,C3852,'[1]2025年已发货'!$C:$C,F3852,'[1]2025年已发货'!$G:$G,I3852,'[1]2025年已发货'!$H:$H,J3852))</f>
        <v>28</v>
      </c>
      <c r="I3852" s="113" t="str">
        <f>VLOOKUP(B3852,辅助信息!E:I,3,FALSE)</f>
        <v>（商投建工达州中医药科技园-4工区-10号楼）达州市通川区达州中医药职业学院犀牛大道北段</v>
      </c>
      <c r="J3852" s="113" t="str">
        <f>VLOOKUP(B3852,辅助信息!E:I,4,FALSE)</f>
        <v>张扬</v>
      </c>
      <c r="K3852" s="113">
        <f>VLOOKUP(J3852,辅助信息!H:I,2,FALSE)</f>
        <v>18381904567</v>
      </c>
      <c r="L3852" s="115" t="str">
        <f>VLOOKUP(B3852,辅助信息!E:J,6,FALSE)</f>
        <v>控制炉批号！多了现场不收！,优先安排达钢,提前联系到场规格及数量</v>
      </c>
      <c r="M3852" s="84">
        <v>45925</v>
      </c>
      <c r="O3852" s="55">
        <f ca="1" t="shared" si="202"/>
        <v>0</v>
      </c>
      <c r="P3852" s="55">
        <f ca="1" t="shared" si="203"/>
        <v>32</v>
      </c>
      <c r="Q3852" s="22" t="str">
        <f>VLOOKUP(B3852,辅助信息!E:M,9,FALSE)</f>
        <v>ZTWM-CDGS-XS-2024-0134-商投建工达州中医药科技成果示范园项目</v>
      </c>
      <c r="R3852" s="22" t="str">
        <f>_xlfn._xlws.FILTER(辅助信息!D:D,辅助信息!E:E=B3852)</f>
        <v>商投建工达州中医药科技园</v>
      </c>
    </row>
    <row r="3853" hidden="1" spans="2:18">
      <c r="B3853" s="124" t="s">
        <v>112</v>
      </c>
      <c r="C3853" s="63">
        <v>45927</v>
      </c>
      <c r="D3853" s="113" t="str">
        <f>VLOOKUP(B3853,辅助信息!E:K,7,FALSE)</f>
        <v>JWDDCD2025052800131</v>
      </c>
      <c r="E3853" s="113" t="str">
        <f>VLOOKUP(F3853,辅助信息!A:B,2,FALSE)</f>
        <v>螺纹钢</v>
      </c>
      <c r="F3853" s="113" t="s">
        <v>32</v>
      </c>
      <c r="G3853" s="114">
        <v>3</v>
      </c>
      <c r="H3853" s="127">
        <f>IF(SUMIFS('[1]2025年已发货'!$E:$E,'[1]2025年已发货'!$F:$F,C3853,'[1]2025年已发货'!$C:$C,F3853,'[1]2025年已发货'!$G:$G,I3853,'[1]2025年已发货'!$H:$H,J3853)=0,"未发货",SUMIFS('[1]2025年已发货'!$E:$E,'[1]2025年已发货'!$F:$F,C3853,'[1]2025年已发货'!$C:$C,F3853,'[1]2025年已发货'!$G:$G,I3853,'[1]2025年已发货'!$H:$H,J3853))</f>
        <v>3</v>
      </c>
      <c r="I3853" s="113" t="str">
        <f>VLOOKUP(B3853,辅助信息!E:I,3,FALSE)</f>
        <v>（商投建工达州中医药科技园-4工区-10号楼）达州市通川区达州中医药职业学院犀牛大道北段</v>
      </c>
      <c r="J3853" s="113" t="str">
        <f>VLOOKUP(B3853,辅助信息!E:I,4,FALSE)</f>
        <v>张扬</v>
      </c>
      <c r="K3853" s="113">
        <f>VLOOKUP(J3853,辅助信息!H:I,2,FALSE)</f>
        <v>18381904567</v>
      </c>
      <c r="L3853" s="115" t="str">
        <f>VLOOKUP(B3853,辅助信息!E:J,6,FALSE)</f>
        <v>控制炉批号！多了现场不收！,优先安排达钢,提前联系到场规格及数量</v>
      </c>
      <c r="M3853" s="84"/>
      <c r="O3853" s="55" t="str">
        <f ca="1" t="shared" si="202"/>
        <v/>
      </c>
      <c r="P3853" s="55" t="str">
        <f ca="1" t="shared" si="203"/>
        <v/>
      </c>
      <c r="Q3853" s="22" t="str">
        <f>VLOOKUP(B3853,辅助信息!E:M,9,FALSE)</f>
        <v>ZTWM-CDGS-XS-2024-0134-商投建工达州中医药科技成果示范园项目</v>
      </c>
      <c r="R3853" s="22" t="str">
        <f>_xlfn._xlws.FILTER(辅助信息!D:D,辅助信息!E:E=B3853)</f>
        <v>商投建工达州中医药科技园</v>
      </c>
    </row>
    <row r="3854" hidden="1" spans="2:18">
      <c r="B3854" s="124" t="s">
        <v>112</v>
      </c>
      <c r="C3854" s="63">
        <v>45927</v>
      </c>
      <c r="D3854" s="113" t="str">
        <f>VLOOKUP(B3854,辅助信息!E:K,7,FALSE)</f>
        <v>JWDDCD2025052800131</v>
      </c>
      <c r="E3854" s="113" t="str">
        <f>VLOOKUP(F3854,辅助信息!A:B,2,FALSE)</f>
        <v>螺纹钢</v>
      </c>
      <c r="F3854" s="113" t="s">
        <v>28</v>
      </c>
      <c r="G3854" s="114">
        <v>6</v>
      </c>
      <c r="H3854" s="127">
        <f>IF(SUMIFS('[1]2025年已发货'!$E:$E,'[1]2025年已发货'!$F:$F,C3854,'[1]2025年已发货'!$C:$C,F3854,'[1]2025年已发货'!$G:$G,I3854,'[1]2025年已发货'!$H:$H,J3854)=0,"未发货",SUMIFS('[1]2025年已发货'!$E:$E,'[1]2025年已发货'!$F:$F,C3854,'[1]2025年已发货'!$C:$C,F3854,'[1]2025年已发货'!$G:$G,I3854,'[1]2025年已发货'!$H:$H,J3854))</f>
        <v>6</v>
      </c>
      <c r="I3854" s="113" t="str">
        <f>VLOOKUP(B3854,辅助信息!E:I,3,FALSE)</f>
        <v>（商投建工达州中医药科技园-4工区-10号楼）达州市通川区达州中医药职业学院犀牛大道北段</v>
      </c>
      <c r="J3854" s="113" t="str">
        <f>VLOOKUP(B3854,辅助信息!E:I,4,FALSE)</f>
        <v>张扬</v>
      </c>
      <c r="K3854" s="113">
        <f>VLOOKUP(J3854,辅助信息!H:I,2,FALSE)</f>
        <v>18381904567</v>
      </c>
      <c r="L3854" s="115" t="str">
        <f>VLOOKUP(B3854,辅助信息!E:J,6,FALSE)</f>
        <v>控制炉批号！多了现场不收！,优先安排达钢,提前联系到场规格及数量</v>
      </c>
      <c r="M3854" s="84">
        <v>45925</v>
      </c>
      <c r="O3854" s="55">
        <f ca="1" t="shared" si="202"/>
        <v>0</v>
      </c>
      <c r="P3854" s="55">
        <f ca="1" t="shared" si="203"/>
        <v>32</v>
      </c>
      <c r="Q3854" s="22" t="str">
        <f>VLOOKUP(B3854,辅助信息!E:M,9,FALSE)</f>
        <v>ZTWM-CDGS-XS-2024-0134-商投建工达州中医药科技成果示范园项目</v>
      </c>
      <c r="R3854" s="22" t="str">
        <f>_xlfn._xlws.FILTER(辅助信息!D:D,辅助信息!E:E=B3854)</f>
        <v>商投建工达州中医药科技园</v>
      </c>
    </row>
    <row r="3855" hidden="1" spans="2:18">
      <c r="B3855" s="124" t="s">
        <v>112</v>
      </c>
      <c r="C3855" s="63">
        <v>45927</v>
      </c>
      <c r="D3855" s="113" t="str">
        <f>VLOOKUP(B3855,辅助信息!E:K,7,FALSE)</f>
        <v>JWDDCD2025052800131</v>
      </c>
      <c r="E3855" s="113" t="str">
        <f>VLOOKUP(F3855,辅助信息!A:B,2,FALSE)</f>
        <v>螺纹钢</v>
      </c>
      <c r="F3855" s="113" t="s">
        <v>45</v>
      </c>
      <c r="G3855" s="114">
        <v>6</v>
      </c>
      <c r="H3855" s="127">
        <f>IF(SUMIFS('[1]2025年已发货'!$E:$E,'[1]2025年已发货'!$F:$F,C3855,'[1]2025年已发货'!$C:$C,F3855,'[1]2025年已发货'!$G:$G,I3855,'[1]2025年已发货'!$H:$H,J3855)=0,"未发货",SUMIFS('[1]2025年已发货'!$E:$E,'[1]2025年已发货'!$F:$F,C3855,'[1]2025年已发货'!$C:$C,F3855,'[1]2025年已发货'!$G:$G,I3855,'[1]2025年已发货'!$H:$H,J3855))</f>
        <v>5</v>
      </c>
      <c r="I3855" s="113" t="str">
        <f>VLOOKUP(B3855,辅助信息!E:I,3,FALSE)</f>
        <v>（商投建工达州中医药科技园-4工区-10号楼）达州市通川区达州中医药职业学院犀牛大道北段</v>
      </c>
      <c r="J3855" s="113" t="str">
        <f>VLOOKUP(B3855,辅助信息!E:I,4,FALSE)</f>
        <v>张扬</v>
      </c>
      <c r="K3855" s="113">
        <f>VLOOKUP(J3855,辅助信息!H:I,2,FALSE)</f>
        <v>18381904567</v>
      </c>
      <c r="L3855" s="115" t="str">
        <f>VLOOKUP(B3855,辅助信息!E:J,6,FALSE)</f>
        <v>控制炉批号！多了现场不收！,优先安排达钢,提前联系到场规格及数量</v>
      </c>
      <c r="M3855" s="84">
        <v>45925</v>
      </c>
      <c r="O3855" s="55">
        <f ca="1" t="shared" si="202"/>
        <v>0</v>
      </c>
      <c r="P3855" s="55">
        <f ca="1" t="shared" si="203"/>
        <v>32</v>
      </c>
      <c r="Q3855" s="22" t="str">
        <f>VLOOKUP(B3855,辅助信息!E:M,9,FALSE)</f>
        <v>ZTWM-CDGS-XS-2024-0134-商投建工达州中医药科技成果示范园项目</v>
      </c>
      <c r="R3855" s="22" t="str">
        <f>_xlfn._xlws.FILTER(辅助信息!D:D,辅助信息!E:E=B3855)</f>
        <v>商投建工达州中医药科技园</v>
      </c>
    </row>
    <row r="3856" hidden="1" spans="2:18">
      <c r="B3856" s="124" t="s">
        <v>112</v>
      </c>
      <c r="C3856" s="63">
        <v>45927</v>
      </c>
      <c r="D3856" s="113" t="str">
        <f>VLOOKUP(B3856,辅助信息!E:K,7,FALSE)</f>
        <v>JWDDCD2025052800131</v>
      </c>
      <c r="E3856" s="113" t="str">
        <f>VLOOKUP(F3856,辅助信息!A:B,2,FALSE)</f>
        <v>螺纹钢</v>
      </c>
      <c r="F3856" s="113" t="s">
        <v>21</v>
      </c>
      <c r="G3856" s="114">
        <v>12</v>
      </c>
      <c r="H3856" s="127">
        <f>IF(SUMIFS('[1]2025年已发货'!$E:$E,'[1]2025年已发货'!$F:$F,C3856,'[1]2025年已发货'!$C:$C,F3856,'[1]2025年已发货'!$G:$G,I3856,'[1]2025年已发货'!$H:$H,J3856)=0,"未发货",SUMIFS('[1]2025年已发货'!$E:$E,'[1]2025年已发货'!$F:$F,C3856,'[1]2025年已发货'!$C:$C,F3856,'[1]2025年已发货'!$G:$G,I3856,'[1]2025年已发货'!$H:$H,J3856))</f>
        <v>10</v>
      </c>
      <c r="I3856" s="113" t="str">
        <f>VLOOKUP(B3856,辅助信息!E:I,3,FALSE)</f>
        <v>（商投建工达州中医药科技园-4工区-10号楼）达州市通川区达州中医药职业学院犀牛大道北段</v>
      </c>
      <c r="J3856" s="113" t="str">
        <f>VLOOKUP(B3856,辅助信息!E:I,4,FALSE)</f>
        <v>张扬</v>
      </c>
      <c r="K3856" s="113">
        <f>VLOOKUP(J3856,辅助信息!H:I,2,FALSE)</f>
        <v>18381904567</v>
      </c>
      <c r="L3856" s="115" t="str">
        <f>VLOOKUP(B3856,辅助信息!E:J,6,FALSE)</f>
        <v>控制炉批号！多了现场不收！,优先安排达钢,提前联系到场规格及数量</v>
      </c>
      <c r="M3856" s="84">
        <v>45925</v>
      </c>
      <c r="O3856" s="55">
        <f ca="1" t="shared" si="202"/>
        <v>0</v>
      </c>
      <c r="P3856" s="55">
        <f ca="1" t="shared" si="203"/>
        <v>32</v>
      </c>
      <c r="Q3856" s="22" t="str">
        <f>VLOOKUP(B3856,辅助信息!E:M,9,FALSE)</f>
        <v>ZTWM-CDGS-XS-2024-0134-商投建工达州中医药科技成果示范园项目</v>
      </c>
      <c r="R3856" s="22" t="str">
        <f>_xlfn._xlws.FILTER(辅助信息!D:D,辅助信息!E:E=B3856)</f>
        <v>商投建工达州中医药科技园</v>
      </c>
    </row>
    <row r="3857" hidden="1" spans="2:18">
      <c r="B3857" s="124" t="s">
        <v>112</v>
      </c>
      <c r="C3857" s="63">
        <v>45927</v>
      </c>
      <c r="D3857" s="113" t="str">
        <f>VLOOKUP(B3857,辅助信息!E:K,7,FALSE)</f>
        <v>JWDDCD2025052800131</v>
      </c>
      <c r="E3857" s="113" t="str">
        <f>VLOOKUP(F3857,辅助信息!A:B,2,FALSE)</f>
        <v>螺纹钢</v>
      </c>
      <c r="F3857" s="113" t="s">
        <v>58</v>
      </c>
      <c r="G3857" s="114">
        <v>12</v>
      </c>
      <c r="H3857" s="127">
        <f>IF(SUMIFS('[1]2025年已发货'!$E:$E,'[1]2025年已发货'!$F:$F,C3857,'[1]2025年已发货'!$C:$C,F3857,'[1]2025年已发货'!$G:$G,I3857,'[1]2025年已发货'!$H:$H,J3857)=0,"未发货",SUMIFS('[1]2025年已发货'!$E:$E,'[1]2025年已发货'!$F:$F,C3857,'[1]2025年已发货'!$C:$C,F3857,'[1]2025年已发货'!$G:$G,I3857,'[1]2025年已发货'!$H:$H,J3857))</f>
        <v>13</v>
      </c>
      <c r="I3857" s="113" t="str">
        <f>VLOOKUP(B3857,辅助信息!E:I,3,FALSE)</f>
        <v>（商投建工达州中医药科技园-4工区-10号楼）达州市通川区达州中医药职业学院犀牛大道北段</v>
      </c>
      <c r="J3857" s="113" t="str">
        <f>VLOOKUP(B3857,辅助信息!E:I,4,FALSE)</f>
        <v>张扬</v>
      </c>
      <c r="K3857" s="113">
        <f>VLOOKUP(J3857,辅助信息!H:I,2,FALSE)</f>
        <v>18381904567</v>
      </c>
      <c r="L3857" s="115" t="str">
        <f>VLOOKUP(B3857,辅助信息!E:J,6,FALSE)</f>
        <v>控制炉批号！多了现场不收！,优先安排达钢,提前联系到场规格及数量</v>
      </c>
      <c r="M3857" s="84">
        <v>45925</v>
      </c>
      <c r="O3857" s="55">
        <f ca="1" t="shared" si="202"/>
        <v>0</v>
      </c>
      <c r="P3857" s="55">
        <f ca="1" t="shared" si="203"/>
        <v>32</v>
      </c>
      <c r="Q3857" s="22" t="str">
        <f>VLOOKUP(B3857,辅助信息!E:M,9,FALSE)</f>
        <v>ZTWM-CDGS-XS-2024-0134-商投建工达州中医药科技成果示范园项目</v>
      </c>
      <c r="R3857" s="22" t="str">
        <f>_xlfn._xlws.FILTER(辅助信息!D:D,辅助信息!E:E=B3857)</f>
        <v>商投建工达州中医药科技园</v>
      </c>
    </row>
    <row r="3858" hidden="1" spans="2:18">
      <c r="B3858" s="124" t="s">
        <v>112</v>
      </c>
      <c r="C3858" s="63">
        <v>45927</v>
      </c>
      <c r="D3858" s="113" t="str">
        <f>VLOOKUP(B3858,辅助信息!E:K,7,FALSE)</f>
        <v>JWDDCD2025052800131</v>
      </c>
      <c r="E3858" s="113" t="str">
        <f>VLOOKUP(F3858,辅助信息!A:B,2,FALSE)</f>
        <v>螺纹钢</v>
      </c>
      <c r="F3858" s="113" t="s">
        <v>22</v>
      </c>
      <c r="G3858" s="114">
        <v>6</v>
      </c>
      <c r="H3858" s="127">
        <f>IF(SUMIFS('[1]2025年已发货'!$E:$E,'[1]2025年已发货'!$F:$F,C3858,'[1]2025年已发货'!$C:$C,F3858,'[1]2025年已发货'!$G:$G,I3858,'[1]2025年已发货'!$H:$H,J3858)=0,"未发货",SUMIFS('[1]2025年已发货'!$E:$E,'[1]2025年已发货'!$F:$F,C3858,'[1]2025年已发货'!$C:$C,F3858,'[1]2025年已发货'!$G:$G,I3858,'[1]2025年已发货'!$H:$H,J3858))</f>
        <v>5</v>
      </c>
      <c r="I3858" s="113" t="str">
        <f>VLOOKUP(B3858,辅助信息!E:I,3,FALSE)</f>
        <v>（商投建工达州中医药科技园-4工区-10号楼）达州市通川区达州中医药职业学院犀牛大道北段</v>
      </c>
      <c r="J3858" s="113" t="str">
        <f>VLOOKUP(B3858,辅助信息!E:I,4,FALSE)</f>
        <v>张扬</v>
      </c>
      <c r="K3858" s="113">
        <f>VLOOKUP(J3858,辅助信息!H:I,2,FALSE)</f>
        <v>18381904567</v>
      </c>
      <c r="L3858" s="115" t="str">
        <f>VLOOKUP(B3858,辅助信息!E:J,6,FALSE)</f>
        <v>控制炉批号！多了现场不收！,优先安排达钢,提前联系到场规格及数量</v>
      </c>
      <c r="M3858" s="84">
        <v>45925</v>
      </c>
      <c r="O3858" s="55">
        <f ca="1" t="shared" si="202"/>
        <v>0</v>
      </c>
      <c r="P3858" s="55">
        <f ca="1" t="shared" si="203"/>
        <v>32</v>
      </c>
      <c r="Q3858" s="22" t="str">
        <f>VLOOKUP(B3858,辅助信息!E:M,9,FALSE)</f>
        <v>ZTWM-CDGS-XS-2024-0134-商投建工达州中医药科技成果示范园项目</v>
      </c>
      <c r="R3858" s="22" t="str">
        <f>_xlfn._xlws.FILTER(辅助信息!D:D,辅助信息!E:E=B3858)</f>
        <v>商投建工达州中医药科技园</v>
      </c>
    </row>
    <row r="3859" hidden="1" spans="1:18">
      <c r="A3859" s="147" t="s">
        <v>227</v>
      </c>
      <c r="B3859" s="129" t="s">
        <v>81</v>
      </c>
      <c r="C3859" s="63">
        <v>45927</v>
      </c>
      <c r="D3859" s="113" t="str">
        <f>VLOOKUP(B3859,辅助信息!E:K,7,FALSE)</f>
        <v>JWDDCD2025060900080</v>
      </c>
      <c r="E3859" s="113" t="str">
        <f>VLOOKUP(F3859,辅助信息!A:B,2,FALSE)</f>
        <v>螺纹钢</v>
      </c>
      <c r="F3859" s="113" t="s">
        <v>19</v>
      </c>
      <c r="G3859" s="114">
        <v>30</v>
      </c>
      <c r="H3859" s="127"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13" t="str">
        <f>VLOOKUP(B3859,辅助信息!E:I,3,FALSE)</f>
        <v>（华西简阳西城嘉苑）四川省成都市简阳市简城街道高屋村</v>
      </c>
      <c r="J3859" s="113" t="str">
        <f>VLOOKUP(B3859,辅助信息!E:I,4,FALSE)</f>
        <v>张瀚镭</v>
      </c>
      <c r="K3859" s="113">
        <f>VLOOKUP(J3859,辅助信息!H:I,2,FALSE)</f>
        <v>15884666220</v>
      </c>
      <c r="L3859" s="115" t="str">
        <f>VLOOKUP(B3859,辅助信息!E:J,6,FALSE)</f>
        <v>现场禁止使用氢能源挂车！优先威钢发货,我方卸车,新老国标钢厂不加价可直发，因陕钢多次出现磅差，项目拒绝使用</v>
      </c>
      <c r="O3859" s="55" t="str">
        <f ca="1" t="shared" si="202"/>
        <v/>
      </c>
      <c r="P3859" s="55" t="str">
        <f ca="1" t="shared" si="203"/>
        <v/>
      </c>
      <c r="Q3859" s="22" t="str">
        <f>VLOOKUP(B3859,辅助信息!E:M,9,FALSE)</f>
        <v>ZTWM-CDGS-XS-2024-0030-华西集采-简州大道</v>
      </c>
      <c r="R3859" s="22" t="str">
        <f>_xlfn._xlws.FILTER(辅助信息!D:D,辅助信息!E:E=B3859)</f>
        <v>华西简阳西城嘉苑</v>
      </c>
    </row>
    <row r="3860" hidden="1" spans="1:18">
      <c r="A3860" s="147"/>
      <c r="B3860" s="129" t="s">
        <v>81</v>
      </c>
      <c r="C3860" s="63">
        <v>45927</v>
      </c>
      <c r="D3860" s="113" t="str">
        <f>VLOOKUP(B3860,辅助信息!E:K,7,FALSE)</f>
        <v>JWDDCD2025060900080</v>
      </c>
      <c r="E3860" s="113" t="str">
        <f>VLOOKUP(F3860,辅助信息!A:B,2,FALSE)</f>
        <v>螺纹钢</v>
      </c>
      <c r="F3860" s="113" t="s">
        <v>32</v>
      </c>
      <c r="G3860" s="114">
        <v>50</v>
      </c>
      <c r="H3860" s="127"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13" t="str">
        <f>VLOOKUP(B3860,辅助信息!E:I,3,FALSE)</f>
        <v>（华西简阳西城嘉苑）四川省成都市简阳市简城街道高屋村</v>
      </c>
      <c r="J3860" s="113" t="str">
        <f>VLOOKUP(B3860,辅助信息!E:I,4,FALSE)</f>
        <v>张瀚镭</v>
      </c>
      <c r="K3860" s="113">
        <f>VLOOKUP(J3860,辅助信息!H:I,2,FALSE)</f>
        <v>15884666220</v>
      </c>
      <c r="L3860" s="115" t="str">
        <f>VLOOKUP(B3860,辅助信息!E:J,6,FALSE)</f>
        <v>现场禁止使用氢能源挂车！优先威钢发货,我方卸车,新老国标钢厂不加价可直发，因陕钢多次出现磅差，项目拒绝使用</v>
      </c>
      <c r="O3860" s="55" t="str">
        <f ca="1" t="shared" si="202"/>
        <v/>
      </c>
      <c r="P3860" s="55" t="str">
        <f ca="1" t="shared" si="203"/>
        <v/>
      </c>
      <c r="Q3860" s="22" t="str">
        <f>VLOOKUP(B3860,辅助信息!E:M,9,FALSE)</f>
        <v>ZTWM-CDGS-XS-2024-0030-华西集采-简州大道</v>
      </c>
      <c r="R3860" s="22" t="str">
        <f>_xlfn._xlws.FILTER(辅助信息!D:D,辅助信息!E:E=B3860)</f>
        <v>华西简阳西城嘉苑</v>
      </c>
    </row>
    <row r="3861" hidden="1" spans="2:18">
      <c r="B3861" s="124" t="s">
        <v>81</v>
      </c>
      <c r="C3861" s="63">
        <v>45927</v>
      </c>
      <c r="D3861" s="113" t="str">
        <f>VLOOKUP(B3861,辅助信息!E:K,7,FALSE)</f>
        <v>JWDDCD2025060900080</v>
      </c>
      <c r="E3861" s="113" t="str">
        <f>VLOOKUP(F3861,辅助信息!A:B,2,FALSE)</f>
        <v>螺纹钢</v>
      </c>
      <c r="F3861" s="113" t="s">
        <v>30</v>
      </c>
      <c r="G3861" s="114">
        <v>18</v>
      </c>
      <c r="H3861" s="127"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13" t="str">
        <f>VLOOKUP(B3861,辅助信息!E:I,3,FALSE)</f>
        <v>（华西简阳西城嘉苑）四川省成都市简阳市简城街道高屋村</v>
      </c>
      <c r="J3861" s="113" t="str">
        <f>VLOOKUP(B3861,辅助信息!E:I,4,FALSE)</f>
        <v>张瀚镭</v>
      </c>
      <c r="K3861" s="113">
        <f>VLOOKUP(J3861,辅助信息!H:I,2,FALSE)</f>
        <v>15884666220</v>
      </c>
      <c r="L3861" s="115" t="str">
        <f>VLOOKUP(B3861,辅助信息!E:J,6,FALSE)</f>
        <v>现场禁止使用氢能源挂车！优先威钢发货,我方卸车,新老国标钢厂不加价可直发，因陕钢多次出现磅差，项目拒绝使用</v>
      </c>
      <c r="M3861" s="141">
        <v>45929</v>
      </c>
      <c r="O3861" s="55">
        <f ca="1" t="shared" si="202"/>
        <v>0</v>
      </c>
      <c r="P3861" s="55">
        <f ca="1" t="shared" si="203"/>
        <v>28</v>
      </c>
      <c r="Q3861" s="22" t="str">
        <f>VLOOKUP(B3861,辅助信息!E:M,9,FALSE)</f>
        <v>ZTWM-CDGS-XS-2024-0030-华西集采-简州大道</v>
      </c>
      <c r="R3861" s="22" t="str">
        <f>_xlfn._xlws.FILTER(辅助信息!D:D,辅助信息!E:E=B3861)</f>
        <v>华西简阳西城嘉苑</v>
      </c>
    </row>
    <row r="3862" hidden="1" spans="2:18">
      <c r="B3862" s="124" t="s">
        <v>81</v>
      </c>
      <c r="C3862" s="63">
        <v>45927</v>
      </c>
      <c r="D3862" s="113" t="str">
        <f>VLOOKUP(B3862,辅助信息!E:K,7,FALSE)</f>
        <v>JWDDCD2025060900080</v>
      </c>
      <c r="E3862" s="113" t="str">
        <f>VLOOKUP(F3862,辅助信息!A:B,2,FALSE)</f>
        <v>螺纹钢</v>
      </c>
      <c r="F3862" s="113" t="s">
        <v>33</v>
      </c>
      <c r="G3862" s="114">
        <v>18</v>
      </c>
      <c r="H3862" s="127"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13" t="str">
        <f>VLOOKUP(B3862,辅助信息!E:I,3,FALSE)</f>
        <v>（华西简阳西城嘉苑）四川省成都市简阳市简城街道高屋村</v>
      </c>
      <c r="J3862" s="113" t="str">
        <f>VLOOKUP(B3862,辅助信息!E:I,4,FALSE)</f>
        <v>张瀚镭</v>
      </c>
      <c r="K3862" s="113">
        <f>VLOOKUP(J3862,辅助信息!H:I,2,FALSE)</f>
        <v>15884666220</v>
      </c>
      <c r="L3862" s="115" t="str">
        <f>VLOOKUP(B3862,辅助信息!E:J,6,FALSE)</f>
        <v>现场禁止使用氢能源挂车！优先威钢发货,我方卸车,新老国标钢厂不加价可直发，因陕钢多次出现磅差，项目拒绝使用</v>
      </c>
      <c r="M3862" s="141">
        <v>45929</v>
      </c>
      <c r="O3862" s="55">
        <f ca="1" t="shared" si="202"/>
        <v>0</v>
      </c>
      <c r="P3862" s="55">
        <f ca="1" t="shared" si="203"/>
        <v>28</v>
      </c>
      <c r="Q3862" s="22" t="str">
        <f>VLOOKUP(B3862,辅助信息!E:M,9,FALSE)</f>
        <v>ZTWM-CDGS-XS-2024-0030-华西集采-简州大道</v>
      </c>
      <c r="R3862" s="22" t="str">
        <f>_xlfn._xlws.FILTER(辅助信息!D:D,辅助信息!E:E=B3862)</f>
        <v>华西简阳西城嘉苑</v>
      </c>
    </row>
    <row r="3863" hidden="1" spans="2:18">
      <c r="B3863" s="124" t="s">
        <v>81</v>
      </c>
      <c r="C3863" s="63">
        <v>45927</v>
      </c>
      <c r="D3863" s="113" t="str">
        <f>VLOOKUP(B3863,辅助信息!E:K,7,FALSE)</f>
        <v>JWDDCD2025060900080</v>
      </c>
      <c r="E3863" s="113" t="str">
        <f>VLOOKUP(F3863,辅助信息!A:B,2,FALSE)</f>
        <v>螺纹钢</v>
      </c>
      <c r="F3863" s="113" t="s">
        <v>28</v>
      </c>
      <c r="G3863" s="114">
        <v>2.5</v>
      </c>
      <c r="H3863" s="127"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13" t="str">
        <f>VLOOKUP(B3863,辅助信息!E:I,3,FALSE)</f>
        <v>（华西简阳西城嘉苑）四川省成都市简阳市简城街道高屋村</v>
      </c>
      <c r="J3863" s="113" t="str">
        <f>VLOOKUP(B3863,辅助信息!E:I,4,FALSE)</f>
        <v>张瀚镭</v>
      </c>
      <c r="K3863" s="113">
        <f>VLOOKUP(J3863,辅助信息!H:I,2,FALSE)</f>
        <v>15884666220</v>
      </c>
      <c r="L3863" s="115" t="str">
        <f>VLOOKUP(B3863,辅助信息!E:J,6,FALSE)</f>
        <v>现场禁止使用氢能源挂车！优先威钢发货,我方卸车,新老国标钢厂不加价可直发，因陕钢多次出现磅差，项目拒绝使用</v>
      </c>
      <c r="M3863" s="141">
        <v>45929</v>
      </c>
      <c r="O3863" s="55">
        <f ca="1" t="shared" si="202"/>
        <v>0</v>
      </c>
      <c r="P3863" s="55">
        <f ca="1" t="shared" si="203"/>
        <v>28</v>
      </c>
      <c r="Q3863" s="22" t="str">
        <f>VLOOKUP(B3863,辅助信息!E:M,9,FALSE)</f>
        <v>ZTWM-CDGS-XS-2024-0030-华西集采-简州大道</v>
      </c>
      <c r="R3863" s="22" t="str">
        <f>_xlfn._xlws.FILTER(辅助信息!D:D,辅助信息!E:E=B3863)</f>
        <v>华西简阳西城嘉苑</v>
      </c>
    </row>
    <row r="3864" hidden="1" spans="2:18">
      <c r="B3864" s="124" t="s">
        <v>81</v>
      </c>
      <c r="C3864" s="63">
        <v>45927</v>
      </c>
      <c r="D3864" s="113" t="str">
        <f>VLOOKUP(B3864,辅助信息!E:K,7,FALSE)</f>
        <v>JWDDCD2025060900080</v>
      </c>
      <c r="E3864" s="113" t="str">
        <f>VLOOKUP(F3864,辅助信息!A:B,2,FALSE)</f>
        <v>螺纹钢</v>
      </c>
      <c r="F3864" s="113" t="s">
        <v>58</v>
      </c>
      <c r="G3864" s="114">
        <v>21</v>
      </c>
      <c r="H3864" s="127"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13" t="str">
        <f>VLOOKUP(B3864,辅助信息!E:I,3,FALSE)</f>
        <v>（华西简阳西城嘉苑）四川省成都市简阳市简城街道高屋村</v>
      </c>
      <c r="J3864" s="113" t="str">
        <f>VLOOKUP(B3864,辅助信息!E:I,4,FALSE)</f>
        <v>张瀚镭</v>
      </c>
      <c r="K3864" s="113">
        <f>VLOOKUP(J3864,辅助信息!H:I,2,FALSE)</f>
        <v>15884666220</v>
      </c>
      <c r="L3864" s="115" t="str">
        <f>VLOOKUP(B3864,辅助信息!E:J,6,FALSE)</f>
        <v>现场禁止使用氢能源挂车！优先威钢发货,我方卸车,新老国标钢厂不加价可直发，因陕钢多次出现磅差，项目拒绝使用</v>
      </c>
      <c r="M3864" s="141">
        <v>45929</v>
      </c>
      <c r="O3864" s="55">
        <f ca="1" t="shared" si="202"/>
        <v>0</v>
      </c>
      <c r="P3864" s="55">
        <f ca="1" t="shared" si="203"/>
        <v>28</v>
      </c>
      <c r="Q3864" s="22" t="str">
        <f>VLOOKUP(B3864,辅助信息!E:M,9,FALSE)</f>
        <v>ZTWM-CDGS-XS-2024-0030-华西集采-简州大道</v>
      </c>
      <c r="R3864" s="22" t="str">
        <f>_xlfn._xlws.FILTER(辅助信息!D:D,辅助信息!E:E=B3864)</f>
        <v>华西简阳西城嘉苑</v>
      </c>
    </row>
    <row r="3865" hidden="1" spans="2:18">
      <c r="B3865" s="113" t="s">
        <v>81</v>
      </c>
      <c r="C3865" s="63">
        <v>45926</v>
      </c>
      <c r="D3865" s="113" t="str">
        <f>VLOOKUP(B3865,辅助信息!E:K,7,FALSE)</f>
        <v>JWDDCD2025060900080</v>
      </c>
      <c r="E3865" s="113" t="str">
        <f>VLOOKUP(F3865,辅助信息!A:B,2,FALSE)</f>
        <v>螺纹钢</v>
      </c>
      <c r="F3865" s="113" t="s">
        <v>46</v>
      </c>
      <c r="G3865" s="114">
        <v>8</v>
      </c>
      <c r="H3865" s="127"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13" t="str">
        <f>VLOOKUP(B3865,辅助信息!E:I,3,FALSE)</f>
        <v>（华西简阳西城嘉苑）四川省成都市简阳市简城街道高屋村</v>
      </c>
      <c r="J3865" s="113" t="str">
        <f>VLOOKUP(B3865,辅助信息!E:I,4,FALSE)</f>
        <v>张瀚镭</v>
      </c>
      <c r="K3865" s="113">
        <f>VLOOKUP(J3865,辅助信息!H:I,2,FALSE)</f>
        <v>15884666220</v>
      </c>
      <c r="L3865" s="115" t="str">
        <f>VLOOKUP(B3865,辅助信息!E:J,6,FALSE)</f>
        <v>现场禁止使用氢能源挂车！优先威钢发货,我方卸车,新老国标钢厂不加价可直发，因陕钢多次出现磅差，项目拒绝使用</v>
      </c>
      <c r="O3865" s="55" t="str">
        <f ca="1" t="shared" si="202"/>
        <v/>
      </c>
      <c r="P3865" s="55" t="str">
        <f ca="1" t="shared" si="203"/>
        <v/>
      </c>
      <c r="Q3865" s="22" t="str">
        <f>VLOOKUP(B3865,辅助信息!E:M,9,FALSE)</f>
        <v>ZTWM-CDGS-XS-2024-0030-华西集采-简州大道</v>
      </c>
      <c r="R3865" s="22" t="str">
        <f>_xlfn._xlws.FILTER(辅助信息!D:D,辅助信息!E:E=B3865)</f>
        <v>华西简阳西城嘉苑</v>
      </c>
    </row>
    <row r="3866" hidden="1" spans="2:18">
      <c r="B3866" s="113" t="s">
        <v>81</v>
      </c>
      <c r="C3866" s="63">
        <v>45926</v>
      </c>
      <c r="D3866" s="113" t="str">
        <f>VLOOKUP(B3866,辅助信息!E:K,7,FALSE)</f>
        <v>JWDDCD2025060900080</v>
      </c>
      <c r="E3866" s="113" t="str">
        <f>VLOOKUP(F3866,辅助信息!A:B,2,FALSE)</f>
        <v>螺纹钢</v>
      </c>
      <c r="F3866" s="113" t="s">
        <v>22</v>
      </c>
      <c r="G3866" s="114">
        <v>30</v>
      </c>
      <c r="H3866" s="127"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13" t="str">
        <f>VLOOKUP(B3866,辅助信息!E:I,3,FALSE)</f>
        <v>（华西简阳西城嘉苑）四川省成都市简阳市简城街道高屋村</v>
      </c>
      <c r="J3866" s="113" t="str">
        <f>VLOOKUP(B3866,辅助信息!E:I,4,FALSE)</f>
        <v>张瀚镭</v>
      </c>
      <c r="K3866" s="113">
        <f>VLOOKUP(J3866,辅助信息!H:I,2,FALSE)</f>
        <v>15884666220</v>
      </c>
      <c r="L3866" s="115" t="str">
        <f>VLOOKUP(B3866,辅助信息!E:J,6,FALSE)</f>
        <v>现场禁止使用氢能源挂车！优先威钢发货,我方卸车,新老国标钢厂不加价可直发，因陕钢多次出现磅差，项目拒绝使用</v>
      </c>
      <c r="O3866" s="55" t="str">
        <f ca="1" t="shared" si="202"/>
        <v/>
      </c>
      <c r="P3866" s="55" t="str">
        <f ca="1" t="shared" si="203"/>
        <v/>
      </c>
      <c r="Q3866" s="22" t="str">
        <f>VLOOKUP(B3866,辅助信息!E:M,9,FALSE)</f>
        <v>ZTWM-CDGS-XS-2024-0030-华西集采-简州大道</v>
      </c>
      <c r="R3866" s="22" t="str">
        <f>_xlfn._xlws.FILTER(辅助信息!D:D,辅助信息!E:E=B3866)</f>
        <v>华西简阳西城嘉苑</v>
      </c>
    </row>
    <row r="3867" hidden="1" spans="2:18">
      <c r="B3867" s="113" t="s">
        <v>81</v>
      </c>
      <c r="C3867" s="63">
        <v>45926</v>
      </c>
      <c r="D3867" s="113" t="str">
        <f>VLOOKUP(B3867,辅助信息!E:K,7,FALSE)</f>
        <v>JWDDCD2025060900080</v>
      </c>
      <c r="E3867" s="113" t="str">
        <f>VLOOKUP(F3867,辅助信息!A:B,2,FALSE)</f>
        <v>盘螺</v>
      </c>
      <c r="F3867" s="113" t="s">
        <v>41</v>
      </c>
      <c r="G3867" s="114">
        <v>125</v>
      </c>
      <c r="H3867" s="127"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13" t="str">
        <f>VLOOKUP(B3867,辅助信息!E:I,3,FALSE)</f>
        <v>（华西简阳西城嘉苑）四川省成都市简阳市简城街道高屋村</v>
      </c>
      <c r="J3867" s="113" t="str">
        <f>VLOOKUP(B3867,辅助信息!E:I,4,FALSE)</f>
        <v>张瀚镭</v>
      </c>
      <c r="K3867" s="113">
        <f>VLOOKUP(J3867,辅助信息!H:I,2,FALSE)</f>
        <v>15884666220</v>
      </c>
      <c r="L3867" s="115" t="str">
        <f>VLOOKUP(B3867,辅助信息!E:J,6,FALSE)</f>
        <v>现场禁止使用氢能源挂车！优先威钢发货,我方卸车,新老国标钢厂不加价可直发，因陕钢多次出现磅差，项目拒绝使用</v>
      </c>
      <c r="O3867" s="55" t="str">
        <f ca="1" t="shared" si="202"/>
        <v/>
      </c>
      <c r="P3867" s="55" t="str">
        <f ca="1" t="shared" si="203"/>
        <v/>
      </c>
      <c r="Q3867" s="22" t="str">
        <f>VLOOKUP(B3867,辅助信息!E:M,9,FALSE)</f>
        <v>ZTWM-CDGS-XS-2024-0030-华西集采-简州大道</v>
      </c>
      <c r="R3867" s="22" t="str">
        <f>_xlfn._xlws.FILTER(辅助信息!D:D,辅助信息!E:E=B3867)</f>
        <v>华西简阳西城嘉苑</v>
      </c>
    </row>
    <row r="3868" hidden="1" spans="2:18">
      <c r="B3868" s="113" t="s">
        <v>81</v>
      </c>
      <c r="C3868" s="63">
        <v>45926</v>
      </c>
      <c r="D3868" s="113" t="str">
        <f>VLOOKUP(B3868,辅助信息!E:K,7,FALSE)</f>
        <v>JWDDCD2025060900080</v>
      </c>
      <c r="E3868" s="113" t="str">
        <f>VLOOKUP(F3868,辅助信息!A:B,2,FALSE)</f>
        <v>盘螺</v>
      </c>
      <c r="F3868" s="113" t="s">
        <v>26</v>
      </c>
      <c r="G3868" s="114">
        <v>45</v>
      </c>
      <c r="H3868" s="127"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13" t="str">
        <f>VLOOKUP(B3868,辅助信息!E:I,3,FALSE)</f>
        <v>（华西简阳西城嘉苑）四川省成都市简阳市简城街道高屋村</v>
      </c>
      <c r="J3868" s="113" t="str">
        <f>VLOOKUP(B3868,辅助信息!E:I,4,FALSE)</f>
        <v>张瀚镭</v>
      </c>
      <c r="K3868" s="113">
        <f>VLOOKUP(J3868,辅助信息!H:I,2,FALSE)</f>
        <v>15884666220</v>
      </c>
      <c r="L3868" s="115" t="str">
        <f>VLOOKUP(B3868,辅助信息!E:J,6,FALSE)</f>
        <v>现场禁止使用氢能源挂车！优先威钢发货,我方卸车,新老国标钢厂不加价可直发，因陕钢多次出现磅差，项目拒绝使用</v>
      </c>
      <c r="O3868" s="55" t="str">
        <f ca="1" t="shared" si="202"/>
        <v/>
      </c>
      <c r="P3868" s="55" t="str">
        <f ca="1" t="shared" si="203"/>
        <v/>
      </c>
      <c r="Q3868" s="22" t="str">
        <f>VLOOKUP(B3868,辅助信息!E:M,9,FALSE)</f>
        <v>ZTWM-CDGS-XS-2024-0030-华西集采-简州大道</v>
      </c>
      <c r="R3868" s="22" t="str">
        <f>_xlfn._xlws.FILTER(辅助信息!D:D,辅助信息!E:E=B3868)</f>
        <v>华西简阳西城嘉苑</v>
      </c>
    </row>
    <row r="3869" hidden="1" spans="2:18">
      <c r="B3869" s="113" t="s">
        <v>81</v>
      </c>
      <c r="C3869" s="63">
        <v>45926</v>
      </c>
      <c r="D3869" s="113" t="str">
        <f>VLOOKUP(B3869,辅助信息!E:K,7,FALSE)</f>
        <v>JWDDCD2025060900080</v>
      </c>
      <c r="E3869" s="113" t="str">
        <f>VLOOKUP(F3869,辅助信息!A:B,2,FALSE)</f>
        <v>盘螺</v>
      </c>
      <c r="F3869" s="113" t="s">
        <v>49</v>
      </c>
      <c r="G3869" s="114">
        <v>25</v>
      </c>
      <c r="H3869" s="127"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13" t="str">
        <f>VLOOKUP(B3869,辅助信息!E:I,3,FALSE)</f>
        <v>（华西简阳西城嘉苑）四川省成都市简阳市简城街道高屋村</v>
      </c>
      <c r="J3869" s="113" t="str">
        <f>VLOOKUP(B3869,辅助信息!E:I,4,FALSE)</f>
        <v>张瀚镭</v>
      </c>
      <c r="K3869" s="113">
        <f>VLOOKUP(J3869,辅助信息!H:I,2,FALSE)</f>
        <v>15884666220</v>
      </c>
      <c r="L3869" s="115" t="str">
        <f>VLOOKUP(B3869,辅助信息!E:J,6,FALSE)</f>
        <v>现场禁止使用氢能源挂车！优先威钢发货,我方卸车,新老国标钢厂不加价可直发，因陕钢多次出现磅差，项目拒绝使用</v>
      </c>
      <c r="O3869" s="55" t="str">
        <f ca="1" t="shared" si="202"/>
        <v/>
      </c>
      <c r="P3869" s="55" t="str">
        <f ca="1" t="shared" si="203"/>
        <v/>
      </c>
      <c r="Q3869" s="22" t="str">
        <f>VLOOKUP(B3869,辅助信息!E:M,9,FALSE)</f>
        <v>ZTWM-CDGS-XS-2024-0030-华西集采-简州大道</v>
      </c>
      <c r="R3869" s="22" t="str">
        <f>_xlfn._xlws.FILTER(辅助信息!D:D,辅助信息!E:E=B3869)</f>
        <v>华西简阳西城嘉苑</v>
      </c>
    </row>
    <row r="3870" hidden="1" spans="2:18">
      <c r="B3870" s="113" t="s">
        <v>81</v>
      </c>
      <c r="C3870" s="63">
        <v>45926</v>
      </c>
      <c r="D3870" s="113" t="str">
        <f>VLOOKUP(B3870,辅助信息!E:K,7,FALSE)</f>
        <v>JWDDCD2025060900080</v>
      </c>
      <c r="E3870" s="113" t="str">
        <f>VLOOKUP(F3870,辅助信息!A:B,2,FALSE)</f>
        <v>盘螺</v>
      </c>
      <c r="F3870" s="113" t="s">
        <v>40</v>
      </c>
      <c r="G3870" s="114">
        <v>80</v>
      </c>
      <c r="H3870" s="127"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13" t="str">
        <f>VLOOKUP(B3870,辅助信息!E:I,3,FALSE)</f>
        <v>（华西简阳西城嘉苑）四川省成都市简阳市简城街道高屋村</v>
      </c>
      <c r="J3870" s="113" t="str">
        <f>VLOOKUP(B3870,辅助信息!E:I,4,FALSE)</f>
        <v>张瀚镭</v>
      </c>
      <c r="K3870" s="113">
        <f>VLOOKUP(J3870,辅助信息!H:I,2,FALSE)</f>
        <v>15884666220</v>
      </c>
      <c r="L3870" s="115" t="str">
        <f>VLOOKUP(B3870,辅助信息!E:J,6,FALSE)</f>
        <v>现场禁止使用氢能源挂车！优先威钢发货,我方卸车,新老国标钢厂不加价可直发，因陕钢多次出现磅差，项目拒绝使用</v>
      </c>
      <c r="O3870" s="55" t="str">
        <f ca="1" t="shared" si="202"/>
        <v/>
      </c>
      <c r="P3870" s="55" t="str">
        <f ca="1" t="shared" si="203"/>
        <v/>
      </c>
      <c r="Q3870" s="22" t="str">
        <f>VLOOKUP(B3870,辅助信息!E:M,9,FALSE)</f>
        <v>ZTWM-CDGS-XS-2024-0030-华西集采-简州大道</v>
      </c>
      <c r="R3870" s="22" t="str">
        <f>_xlfn._xlws.FILTER(辅助信息!D:D,辅助信息!E:E=B3870)</f>
        <v>华西简阳西城嘉苑</v>
      </c>
    </row>
    <row r="3871" hidden="1" spans="2:18">
      <c r="B3871" s="113" t="s">
        <v>186</v>
      </c>
      <c r="C3871" s="63">
        <v>45926</v>
      </c>
      <c r="D3871" s="113" t="str">
        <f>VLOOKUP(B3871,辅助信息!E:K,7,FALSE)</f>
        <v>JWDDCD2025072900123</v>
      </c>
      <c r="E3871" s="113" t="str">
        <f>VLOOKUP(F3871,辅助信息!A:B,2,FALSE)</f>
        <v>螺纹钢</v>
      </c>
      <c r="F3871" s="113" t="s">
        <v>111</v>
      </c>
      <c r="G3871" s="114">
        <v>35</v>
      </c>
      <c r="H3871" s="127"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13" t="str">
        <f>VLOOKUP(B3871,辅助信息!E:I,3,FALSE)</f>
        <v>(乐山市校地共建产教融合基地建设项目二标段)四川省乐山市市中区苏稽镇</v>
      </c>
      <c r="J3871" s="113" t="str">
        <f>VLOOKUP(B3871,辅助信息!E:I,4,FALSE)</f>
        <v>彭江涛</v>
      </c>
      <c r="K3871" s="113">
        <f>VLOOKUP(J3871,辅助信息!H:I,2,FALSE)</f>
        <v>13990276572</v>
      </c>
      <c r="L3871" s="115" t="str">
        <f>VLOOKUP(B3871,辅助信息!E:J,6,FALSE)</f>
        <v>联系实际收货人（彭江涛13990276572）现场要求炉批号控制2个以下，超2个不给予签收。提前联系到场规格及数量</v>
      </c>
      <c r="O3871" s="55" t="str">
        <f ca="1" t="shared" si="202"/>
        <v/>
      </c>
      <c r="P3871" s="55" t="str">
        <f ca="1" t="shared" si="203"/>
        <v/>
      </c>
      <c r="Q3871" s="22" t="str">
        <f>VLOOKUP(B3871,辅助信息!E:M,9,FALSE)</f>
        <v>ZTWM-CDGS-XS-2025-0126-四川机司-乐山市校地共建产教融合基地配套设施项目施工二标段钢筋采购合同</v>
      </c>
      <c r="R3871" s="22" t="str">
        <f>_xlfn._xlws.FILTER(辅助信息!D:D,辅助信息!E:E=B3871)</f>
        <v>乐山市校地共建产教融合基地建设项目二标段</v>
      </c>
    </row>
    <row r="3872" hidden="1" spans="2:18">
      <c r="B3872" s="113" t="s">
        <v>186</v>
      </c>
      <c r="C3872" s="63">
        <v>45926</v>
      </c>
      <c r="D3872" s="113" t="str">
        <f>VLOOKUP(B3872,辅助信息!E:K,7,FALSE)</f>
        <v>JWDDCD2025072900123</v>
      </c>
      <c r="E3872" s="113" t="str">
        <f>VLOOKUP(F3872,辅助信息!A:B,2,FALSE)</f>
        <v>螺纹钢</v>
      </c>
      <c r="F3872" s="113" t="s">
        <v>76</v>
      </c>
      <c r="G3872" s="114">
        <v>35</v>
      </c>
      <c r="H3872" s="127"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13" t="str">
        <f>VLOOKUP(B3872,辅助信息!E:I,3,FALSE)</f>
        <v>(乐山市校地共建产教融合基地建设项目二标段)四川省乐山市市中区苏稽镇</v>
      </c>
      <c r="J3872" s="113" t="str">
        <f>VLOOKUP(B3872,辅助信息!E:I,4,FALSE)</f>
        <v>彭江涛</v>
      </c>
      <c r="K3872" s="113">
        <f>VLOOKUP(J3872,辅助信息!H:I,2,FALSE)</f>
        <v>13990276572</v>
      </c>
      <c r="L3872" s="115" t="str">
        <f>VLOOKUP(B3872,辅助信息!E:J,6,FALSE)</f>
        <v>联系实际收货人（彭江涛13990276572）现场要求炉批号控制2个以下，超2个不给予签收。提前联系到场规格及数量</v>
      </c>
      <c r="O3872" s="55" t="str">
        <f ca="1" t="shared" ref="O3872:O3935" si="204">IF(OR(M3872="",N3872&lt;&gt;""),"",MAX(M3872-TODAY(),0))</f>
        <v/>
      </c>
      <c r="P3872" s="55" t="str">
        <f ca="1" t="shared" ref="P3872:P3935" si="205">IF(M3872="","",IF(N3872&lt;&gt;"",MAX(N3872-M3872,0),IF(TODAY()&gt;M3872,TODAY()-M3872,0)))</f>
        <v/>
      </c>
      <c r="Q3872" s="22" t="str">
        <f>VLOOKUP(B3872,辅助信息!E:M,9,FALSE)</f>
        <v>ZTWM-CDGS-XS-2025-0126-四川机司-乐山市校地共建产教融合基地配套设施项目施工二标段钢筋采购合同</v>
      </c>
      <c r="R3872" s="22" t="str">
        <f>_xlfn._xlws.FILTER(辅助信息!D:D,辅助信息!E:E=B3872)</f>
        <v>乐山市校地共建产教融合基地建设项目二标段</v>
      </c>
    </row>
    <row r="3873" hidden="1" spans="2:18">
      <c r="B3873" s="113" t="s">
        <v>186</v>
      </c>
      <c r="C3873" s="63">
        <v>45926</v>
      </c>
      <c r="D3873" s="113" t="str">
        <f>VLOOKUP(B3873,辅助信息!E:K,7,FALSE)</f>
        <v>JWDDCD2025072900123</v>
      </c>
      <c r="E3873" s="113" t="str">
        <f>VLOOKUP(F3873,辅助信息!A:B,2,FALSE)</f>
        <v>螺纹钢</v>
      </c>
      <c r="F3873" s="113" t="s">
        <v>197</v>
      </c>
      <c r="G3873" s="114">
        <v>18</v>
      </c>
      <c r="H3873" s="127"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13" t="str">
        <f>VLOOKUP(B3873,辅助信息!E:I,3,FALSE)</f>
        <v>(乐山市校地共建产教融合基地建设项目二标段)四川省乐山市市中区苏稽镇</v>
      </c>
      <c r="J3873" s="113" t="str">
        <f>VLOOKUP(B3873,辅助信息!E:I,4,FALSE)</f>
        <v>彭江涛</v>
      </c>
      <c r="K3873" s="113">
        <f>VLOOKUP(J3873,辅助信息!H:I,2,FALSE)</f>
        <v>13990276572</v>
      </c>
      <c r="L3873" s="115" t="str">
        <f>VLOOKUP(B3873,辅助信息!E:J,6,FALSE)</f>
        <v>联系实际收货人（彭江涛13990276572）现场要求炉批号控制2个以下，超2个不给予签收。提前联系到场规格及数量</v>
      </c>
      <c r="O3873" s="55" t="str">
        <f ca="1" t="shared" si="204"/>
        <v/>
      </c>
      <c r="P3873" s="55" t="str">
        <f ca="1" t="shared" si="205"/>
        <v/>
      </c>
      <c r="Q3873" s="22" t="str">
        <f>VLOOKUP(B3873,辅助信息!E:M,9,FALSE)</f>
        <v>ZTWM-CDGS-XS-2025-0126-四川机司-乐山市校地共建产教融合基地配套设施项目施工二标段钢筋采购合同</v>
      </c>
      <c r="R3873" s="22" t="str">
        <f>_xlfn._xlws.FILTER(辅助信息!D:D,辅助信息!E:E=B3873)</f>
        <v>乐山市校地共建产教融合基地建设项目二标段</v>
      </c>
    </row>
    <row r="3874" hidden="1" spans="2:18">
      <c r="B3874" s="113" t="s">
        <v>186</v>
      </c>
      <c r="C3874" s="63">
        <v>45926</v>
      </c>
      <c r="D3874" s="113" t="str">
        <f>VLOOKUP(B3874,辅助信息!E:K,7,FALSE)</f>
        <v>JWDDCD2025072900123</v>
      </c>
      <c r="E3874" s="113" t="str">
        <f>VLOOKUP(F3874,辅助信息!A:B,2,FALSE)</f>
        <v>螺纹钢</v>
      </c>
      <c r="F3874" s="113" t="s">
        <v>198</v>
      </c>
      <c r="G3874" s="114">
        <v>18</v>
      </c>
      <c r="H3874" s="127"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13" t="str">
        <f>VLOOKUP(B3874,辅助信息!E:I,3,FALSE)</f>
        <v>(乐山市校地共建产教融合基地建设项目二标段)四川省乐山市市中区苏稽镇</v>
      </c>
      <c r="J3874" s="113" t="str">
        <f>VLOOKUP(B3874,辅助信息!E:I,4,FALSE)</f>
        <v>彭江涛</v>
      </c>
      <c r="K3874" s="113">
        <f>VLOOKUP(J3874,辅助信息!H:I,2,FALSE)</f>
        <v>13990276572</v>
      </c>
      <c r="L3874" s="115" t="str">
        <f>VLOOKUP(B3874,辅助信息!E:J,6,FALSE)</f>
        <v>联系实际收货人（彭江涛13990276572）现场要求炉批号控制2个以下，超2个不给予签收。提前联系到场规格及数量</v>
      </c>
      <c r="O3874" s="55" t="str">
        <f ca="1" t="shared" si="204"/>
        <v/>
      </c>
      <c r="P3874" s="55" t="str">
        <f ca="1" t="shared" si="205"/>
        <v/>
      </c>
      <c r="Q3874" s="22" t="str">
        <f>VLOOKUP(B3874,辅助信息!E:M,9,FALSE)</f>
        <v>ZTWM-CDGS-XS-2025-0126-四川机司-乐山市校地共建产教融合基地配套设施项目施工二标段钢筋采购合同</v>
      </c>
      <c r="R3874" s="22" t="str">
        <f>_xlfn._xlws.FILTER(辅助信息!D:D,辅助信息!E:E=B3874)</f>
        <v>乐山市校地共建产教融合基地建设项目二标段</v>
      </c>
    </row>
    <row r="3875" hidden="1" spans="2:18">
      <c r="B3875" s="113" t="s">
        <v>186</v>
      </c>
      <c r="C3875" s="63">
        <v>45926</v>
      </c>
      <c r="D3875" s="113" t="str">
        <f>VLOOKUP(B3875,辅助信息!E:K,7,FALSE)</f>
        <v>JWDDCD2025072900123</v>
      </c>
      <c r="E3875" s="113" t="str">
        <f>VLOOKUP(F3875,辅助信息!A:B,2,FALSE)</f>
        <v>螺纹钢</v>
      </c>
      <c r="F3875" s="113" t="s">
        <v>199</v>
      </c>
      <c r="G3875" s="114">
        <v>18</v>
      </c>
      <c r="H3875" s="127"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13" t="str">
        <f>VLOOKUP(B3875,辅助信息!E:I,3,FALSE)</f>
        <v>(乐山市校地共建产教融合基地建设项目二标段)四川省乐山市市中区苏稽镇</v>
      </c>
      <c r="J3875" s="113" t="str">
        <f>VLOOKUP(B3875,辅助信息!E:I,4,FALSE)</f>
        <v>彭江涛</v>
      </c>
      <c r="K3875" s="113">
        <f>VLOOKUP(J3875,辅助信息!H:I,2,FALSE)</f>
        <v>13990276572</v>
      </c>
      <c r="L3875" s="115" t="str">
        <f>VLOOKUP(B3875,辅助信息!E:J,6,FALSE)</f>
        <v>联系实际收货人（彭江涛13990276572）现场要求炉批号控制2个以下，超2个不给予签收。提前联系到场规格及数量</v>
      </c>
      <c r="O3875" s="55" t="str">
        <f ca="1" t="shared" si="204"/>
        <v/>
      </c>
      <c r="P3875" s="55" t="str">
        <f ca="1" t="shared" si="205"/>
        <v/>
      </c>
      <c r="Q3875" s="22" t="str">
        <f>VLOOKUP(B3875,辅助信息!E:M,9,FALSE)</f>
        <v>ZTWM-CDGS-XS-2025-0126-四川机司-乐山市校地共建产教融合基地配套设施项目施工二标段钢筋采购合同</v>
      </c>
      <c r="R3875" s="22" t="str">
        <f>_xlfn._xlws.FILTER(辅助信息!D:D,辅助信息!E:E=B3875)</f>
        <v>乐山市校地共建产教融合基地建设项目二标段</v>
      </c>
    </row>
    <row r="3876" hidden="1" spans="2:18">
      <c r="B3876" s="113" t="s">
        <v>186</v>
      </c>
      <c r="C3876" s="63">
        <v>45926</v>
      </c>
      <c r="D3876" s="113" t="str">
        <f>VLOOKUP(B3876,辅助信息!E:K,7,FALSE)</f>
        <v>JWDDCD2025072900123</v>
      </c>
      <c r="E3876" s="113" t="str">
        <f>VLOOKUP(F3876,辅助信息!A:B,2,FALSE)</f>
        <v>螺纹钢</v>
      </c>
      <c r="F3876" s="113" t="s">
        <v>141</v>
      </c>
      <c r="G3876" s="114">
        <v>8</v>
      </c>
      <c r="H3876" s="127"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13" t="str">
        <f>VLOOKUP(B3876,辅助信息!E:I,3,FALSE)</f>
        <v>(乐山市校地共建产教融合基地建设项目二标段)四川省乐山市市中区苏稽镇</v>
      </c>
      <c r="J3876" s="113" t="str">
        <f>VLOOKUP(B3876,辅助信息!E:I,4,FALSE)</f>
        <v>彭江涛</v>
      </c>
      <c r="K3876" s="113">
        <f>VLOOKUP(J3876,辅助信息!H:I,2,FALSE)</f>
        <v>13990276572</v>
      </c>
      <c r="L3876" s="115" t="str">
        <f>VLOOKUP(B3876,辅助信息!E:J,6,FALSE)</f>
        <v>联系实际收货人（彭江涛13990276572）现场要求炉批号控制2个以下，超2个不给予签收。提前联系到场规格及数量</v>
      </c>
      <c r="O3876" s="55" t="str">
        <f ca="1" t="shared" si="204"/>
        <v/>
      </c>
      <c r="P3876" s="55" t="str">
        <f ca="1" t="shared" si="205"/>
        <v/>
      </c>
      <c r="Q3876" s="22" t="str">
        <f>VLOOKUP(B3876,辅助信息!E:M,9,FALSE)</f>
        <v>ZTWM-CDGS-XS-2025-0126-四川机司-乐山市校地共建产教融合基地配套设施项目施工二标段钢筋采购合同</v>
      </c>
      <c r="R3876" s="22" t="str">
        <f>_xlfn._xlws.FILTER(辅助信息!D:D,辅助信息!E:E=B3876)</f>
        <v>乐山市校地共建产教融合基地建设项目二标段</v>
      </c>
    </row>
    <row r="3877" hidden="1" spans="2:18">
      <c r="B3877" s="124" t="s">
        <v>186</v>
      </c>
      <c r="C3877" s="63">
        <v>45927</v>
      </c>
      <c r="D3877" s="113" t="str">
        <f>VLOOKUP(B3877,辅助信息!E:K,7,FALSE)</f>
        <v>JWDDCD2025072900123</v>
      </c>
      <c r="E3877" s="113" t="str">
        <f>VLOOKUP(F3877,辅助信息!A:B,2,FALSE)</f>
        <v>螺纹钢</v>
      </c>
      <c r="F3877" s="113" t="s">
        <v>22</v>
      </c>
      <c r="G3877" s="114">
        <v>35</v>
      </c>
      <c r="H3877" s="127"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13" t="str">
        <f>VLOOKUP(B3877,辅助信息!E:I,3,FALSE)</f>
        <v>(乐山市校地共建产教融合基地建设项目二标段)四川省乐山市市中区苏稽镇</v>
      </c>
      <c r="J3877" s="113" t="str">
        <f>VLOOKUP(B3877,辅助信息!E:I,4,FALSE)</f>
        <v>彭江涛</v>
      </c>
      <c r="K3877" s="113">
        <f>VLOOKUP(J3877,辅助信息!H:I,2,FALSE)</f>
        <v>13990276572</v>
      </c>
      <c r="L3877" s="115" t="str">
        <f>VLOOKUP(B3877,辅助信息!E:J,6,FALSE)</f>
        <v>联系实际收货人（彭江涛13990276572）现场要求炉批号控制2个以下，超2个不给予签收。提前联系到场规格及数量</v>
      </c>
      <c r="O3877" s="55" t="str">
        <f ca="1" t="shared" si="204"/>
        <v/>
      </c>
      <c r="P3877" s="55" t="str">
        <f ca="1" t="shared" si="205"/>
        <v/>
      </c>
      <c r="Q3877" s="22" t="str">
        <f>VLOOKUP(B3877,辅助信息!E:M,9,FALSE)</f>
        <v>ZTWM-CDGS-XS-2025-0126-四川机司-乐山市校地共建产教融合基地配套设施项目施工二标段钢筋采购合同</v>
      </c>
      <c r="R3877" s="22" t="str">
        <f>_xlfn._xlws.FILTER(辅助信息!D:D,辅助信息!E:E=B3877)</f>
        <v>乐山市校地共建产教融合基地建设项目二标段</v>
      </c>
    </row>
    <row r="3878" hidden="1" spans="2:18">
      <c r="B3878" s="124" t="s">
        <v>186</v>
      </c>
      <c r="C3878" s="63">
        <v>45927</v>
      </c>
      <c r="D3878" s="113" t="str">
        <f>VLOOKUP(B3878,辅助信息!E:K,7,FALSE)</f>
        <v>JWDDCD2025072900123</v>
      </c>
      <c r="E3878" s="113" t="str">
        <f>VLOOKUP(F3878,辅助信息!A:B,2,FALSE)</f>
        <v>螺纹钢</v>
      </c>
      <c r="F3878" s="113" t="s">
        <v>142</v>
      </c>
      <c r="G3878" s="114">
        <v>35</v>
      </c>
      <c r="H3878" s="127"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13" t="str">
        <f>VLOOKUP(B3878,辅助信息!E:I,3,FALSE)</f>
        <v>(乐山市校地共建产教融合基地建设项目二标段)四川省乐山市市中区苏稽镇</v>
      </c>
      <c r="J3878" s="113" t="str">
        <f>VLOOKUP(B3878,辅助信息!E:I,4,FALSE)</f>
        <v>彭江涛</v>
      </c>
      <c r="K3878" s="113">
        <f>VLOOKUP(J3878,辅助信息!H:I,2,FALSE)</f>
        <v>13990276572</v>
      </c>
      <c r="L3878" s="115" t="str">
        <f>VLOOKUP(B3878,辅助信息!E:J,6,FALSE)</f>
        <v>联系实际收货人（彭江涛13990276572）现场要求炉批号控制2个以下，超2个不给予签收。提前联系到场规格及数量</v>
      </c>
      <c r="M3878" s="141">
        <v>45929</v>
      </c>
      <c r="O3878" s="55">
        <f ca="1" t="shared" si="204"/>
        <v>0</v>
      </c>
      <c r="P3878" s="55">
        <f ca="1" t="shared" si="205"/>
        <v>28</v>
      </c>
      <c r="Q3878" s="22" t="str">
        <f>VLOOKUP(B3878,辅助信息!E:M,9,FALSE)</f>
        <v>ZTWM-CDGS-XS-2025-0126-四川机司-乐山市校地共建产教融合基地配套设施项目施工二标段钢筋采购合同</v>
      </c>
      <c r="R3878" s="22" t="str">
        <f>_xlfn._xlws.FILTER(辅助信息!D:D,辅助信息!E:E=B3878)</f>
        <v>乐山市校地共建产教融合基地建设项目二标段</v>
      </c>
    </row>
    <row r="3879" hidden="1" spans="2:18">
      <c r="B3879" s="124" t="s">
        <v>186</v>
      </c>
      <c r="C3879" s="63">
        <v>45927</v>
      </c>
      <c r="D3879" s="113" t="str">
        <f>VLOOKUP(B3879,辅助信息!E:K,7,FALSE)</f>
        <v>JWDDCD2025072900123</v>
      </c>
      <c r="E3879" s="113" t="str">
        <f>VLOOKUP(F3879,辅助信息!A:B,2,FALSE)</f>
        <v>螺纹钢</v>
      </c>
      <c r="F3879" s="113" t="s">
        <v>181</v>
      </c>
      <c r="G3879" s="114">
        <v>5</v>
      </c>
      <c r="H3879" s="127"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13" t="str">
        <f>VLOOKUP(B3879,辅助信息!E:I,3,FALSE)</f>
        <v>(乐山市校地共建产教融合基地建设项目二标段)四川省乐山市市中区苏稽镇</v>
      </c>
      <c r="J3879" s="113" t="str">
        <f>VLOOKUP(B3879,辅助信息!E:I,4,FALSE)</f>
        <v>彭江涛</v>
      </c>
      <c r="K3879" s="113">
        <f>VLOOKUP(J3879,辅助信息!H:I,2,FALSE)</f>
        <v>13990276572</v>
      </c>
      <c r="L3879" s="115" t="str">
        <f>VLOOKUP(B3879,辅助信息!E:J,6,FALSE)</f>
        <v>联系实际收货人（彭江涛13990276572）现场要求炉批号控制2个以下，超2个不给予签收。提前联系到场规格及数量</v>
      </c>
      <c r="M3879" s="141">
        <v>45929</v>
      </c>
      <c r="O3879" s="55">
        <f ca="1" t="shared" si="204"/>
        <v>0</v>
      </c>
      <c r="P3879" s="55">
        <f ca="1" t="shared" si="205"/>
        <v>28</v>
      </c>
      <c r="Q3879" s="22" t="str">
        <f>VLOOKUP(B3879,辅助信息!E:M,9,FALSE)</f>
        <v>ZTWM-CDGS-XS-2025-0126-四川机司-乐山市校地共建产教融合基地配套设施项目施工二标段钢筋采购合同</v>
      </c>
      <c r="R3879" s="22" t="str">
        <f>_xlfn._xlws.FILTER(辅助信息!D:D,辅助信息!E:E=B3879)</f>
        <v>乐山市校地共建产教融合基地建设项目二标段</v>
      </c>
    </row>
    <row r="3880" hidden="1" spans="2:18">
      <c r="B3880" s="124" t="s">
        <v>186</v>
      </c>
      <c r="C3880" s="63">
        <v>45927</v>
      </c>
      <c r="D3880" s="113" t="str">
        <f>VLOOKUP(B3880,辅助信息!E:K,7,FALSE)</f>
        <v>JWDDCD2025072900123</v>
      </c>
      <c r="E3880" s="113" t="str">
        <f>VLOOKUP(F3880,辅助信息!A:B,2,FALSE)</f>
        <v>螺纹钢</v>
      </c>
      <c r="F3880" s="113" t="s">
        <v>200</v>
      </c>
      <c r="G3880" s="114">
        <v>10</v>
      </c>
      <c r="H3880" s="127"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13" t="str">
        <f>VLOOKUP(B3880,辅助信息!E:I,3,FALSE)</f>
        <v>(乐山市校地共建产教融合基地建设项目二标段)四川省乐山市市中区苏稽镇</v>
      </c>
      <c r="J3880" s="113" t="str">
        <f>VLOOKUP(B3880,辅助信息!E:I,4,FALSE)</f>
        <v>彭江涛</v>
      </c>
      <c r="K3880" s="113">
        <f>VLOOKUP(J3880,辅助信息!H:I,2,FALSE)</f>
        <v>13990276572</v>
      </c>
      <c r="L3880" s="115" t="str">
        <f>VLOOKUP(B3880,辅助信息!E:J,6,FALSE)</f>
        <v>联系实际收货人（彭江涛13990276572）现场要求炉批号控制2个以下，超2个不给予签收。提前联系到场规格及数量</v>
      </c>
      <c r="M3880" s="141">
        <v>45929</v>
      </c>
      <c r="O3880" s="55">
        <f ca="1" t="shared" si="204"/>
        <v>0</v>
      </c>
      <c r="P3880" s="55">
        <f ca="1" t="shared" si="205"/>
        <v>28</v>
      </c>
      <c r="Q3880" s="22" t="str">
        <f>VLOOKUP(B3880,辅助信息!E:M,9,FALSE)</f>
        <v>ZTWM-CDGS-XS-2025-0126-四川机司-乐山市校地共建产教融合基地配套设施项目施工二标段钢筋采购合同</v>
      </c>
      <c r="R3880" s="22" t="str">
        <f>_xlfn._xlws.FILTER(辅助信息!D:D,辅助信息!E:E=B3880)</f>
        <v>乐山市校地共建产教融合基地建设项目二标段</v>
      </c>
    </row>
    <row r="3881" hidden="1" spans="2:18">
      <c r="B3881" s="129" t="s">
        <v>81</v>
      </c>
      <c r="C3881" s="63">
        <v>45928</v>
      </c>
      <c r="D3881" s="113" t="str">
        <f>VLOOKUP(B3881,辅助信息!E:K,7,FALSE)</f>
        <v>JWDDCD2025060900080</v>
      </c>
      <c r="E3881" s="113" t="str">
        <f>VLOOKUP(F3881,辅助信息!A:B,2,FALSE)</f>
        <v>螺纹钢</v>
      </c>
      <c r="F3881" s="113" t="s">
        <v>19</v>
      </c>
      <c r="G3881" s="114">
        <v>30</v>
      </c>
      <c r="H3881" s="127"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13" t="str">
        <f>VLOOKUP(B3881,辅助信息!E:I,3,FALSE)</f>
        <v>（华西简阳西城嘉苑）四川省成都市简阳市简城街道高屋村</v>
      </c>
      <c r="J3881" s="113" t="str">
        <f>VLOOKUP(B3881,辅助信息!E:I,4,FALSE)</f>
        <v>张瀚镭</v>
      </c>
      <c r="K3881" s="113">
        <f>VLOOKUP(J3881,辅助信息!H:I,2,FALSE)</f>
        <v>15884666220</v>
      </c>
      <c r="L3881" s="115" t="str">
        <f>VLOOKUP(B3881,辅助信息!E:J,6,FALSE)</f>
        <v>现场禁止使用氢能源挂车！优先威钢发货,我方卸车,新老国标钢厂不加价可直发，因陕钢多次出现磅差，项目拒绝使用</v>
      </c>
      <c r="M3881" s="141">
        <v>45929</v>
      </c>
      <c r="O3881" s="55">
        <f ca="1" t="shared" si="204"/>
        <v>0</v>
      </c>
      <c r="P3881" s="55">
        <f ca="1" t="shared" si="205"/>
        <v>28</v>
      </c>
      <c r="Q3881" s="22" t="str">
        <f>VLOOKUP(B3881,辅助信息!E:M,9,FALSE)</f>
        <v>ZTWM-CDGS-XS-2024-0030-华西集采-简州大道</v>
      </c>
      <c r="R3881" s="22" t="str">
        <f>_xlfn._xlws.FILTER(辅助信息!D:D,辅助信息!E:E=B3881)</f>
        <v>华西简阳西城嘉苑</v>
      </c>
    </row>
    <row r="3882" hidden="1" spans="2:18">
      <c r="B3882" s="129" t="s">
        <v>81</v>
      </c>
      <c r="C3882" s="63">
        <v>45928</v>
      </c>
      <c r="D3882" s="113" t="str">
        <f>VLOOKUP(B3882,辅助信息!E:K,7,FALSE)</f>
        <v>JWDDCD2025060900080</v>
      </c>
      <c r="E3882" s="113" t="str">
        <f>VLOOKUP(F3882,辅助信息!A:B,2,FALSE)</f>
        <v>螺纹钢</v>
      </c>
      <c r="F3882" s="113" t="s">
        <v>32</v>
      </c>
      <c r="G3882" s="114">
        <v>50</v>
      </c>
      <c r="H3882" s="127"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13" t="str">
        <f>VLOOKUP(B3882,辅助信息!E:I,3,FALSE)</f>
        <v>（华西简阳西城嘉苑）四川省成都市简阳市简城街道高屋村</v>
      </c>
      <c r="J3882" s="113" t="str">
        <f>VLOOKUP(B3882,辅助信息!E:I,4,FALSE)</f>
        <v>张瀚镭</v>
      </c>
      <c r="K3882" s="113">
        <f>VLOOKUP(J3882,辅助信息!H:I,2,FALSE)</f>
        <v>15884666220</v>
      </c>
      <c r="L3882" s="115" t="str">
        <f>VLOOKUP(B3882,辅助信息!E:J,6,FALSE)</f>
        <v>现场禁止使用氢能源挂车！优先威钢发货,我方卸车,新老国标钢厂不加价可直发，因陕钢多次出现磅差，项目拒绝使用</v>
      </c>
      <c r="M3882" s="141">
        <v>45929</v>
      </c>
      <c r="O3882" s="55">
        <f ca="1" t="shared" si="204"/>
        <v>0</v>
      </c>
      <c r="P3882" s="55">
        <f ca="1" t="shared" si="205"/>
        <v>28</v>
      </c>
      <c r="Q3882" s="22" t="str">
        <f>VLOOKUP(B3882,辅助信息!E:M,9,FALSE)</f>
        <v>ZTWM-CDGS-XS-2024-0030-华西集采-简州大道</v>
      </c>
      <c r="R3882" s="22" t="str">
        <f>_xlfn._xlws.FILTER(辅助信息!D:D,辅助信息!E:E=B3882)</f>
        <v>华西简阳西城嘉苑</v>
      </c>
    </row>
    <row r="3883" hidden="1" spans="2:18">
      <c r="B3883" s="129" t="s">
        <v>81</v>
      </c>
      <c r="C3883" s="63">
        <v>45928</v>
      </c>
      <c r="D3883" s="113" t="str">
        <f>VLOOKUP(B3883,辅助信息!E:K,7,FALSE)</f>
        <v>JWDDCD2025060900080</v>
      </c>
      <c r="E3883" s="113" t="str">
        <f>VLOOKUP(F3883,辅助信息!A:B,2,FALSE)</f>
        <v>螺纹钢</v>
      </c>
      <c r="F3883" s="113" t="s">
        <v>30</v>
      </c>
      <c r="G3883" s="114">
        <v>18</v>
      </c>
      <c r="H3883" s="127"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13" t="str">
        <f>VLOOKUP(B3883,辅助信息!E:I,3,FALSE)</f>
        <v>（华西简阳西城嘉苑）四川省成都市简阳市简城街道高屋村</v>
      </c>
      <c r="J3883" s="113" t="str">
        <f>VLOOKUP(B3883,辅助信息!E:I,4,FALSE)</f>
        <v>张瀚镭</v>
      </c>
      <c r="K3883" s="113">
        <f>VLOOKUP(J3883,辅助信息!H:I,2,FALSE)</f>
        <v>15884666220</v>
      </c>
      <c r="L3883" s="115" t="str">
        <f>VLOOKUP(B3883,辅助信息!E:J,6,FALSE)</f>
        <v>现场禁止使用氢能源挂车！优先威钢发货,我方卸车,新老国标钢厂不加价可直发，因陕钢多次出现磅差，项目拒绝使用</v>
      </c>
      <c r="M3883" s="141">
        <v>45929</v>
      </c>
      <c r="O3883" s="55">
        <f ca="1" t="shared" si="204"/>
        <v>0</v>
      </c>
      <c r="P3883" s="55">
        <f ca="1" t="shared" si="205"/>
        <v>28</v>
      </c>
      <c r="Q3883" s="22" t="str">
        <f>VLOOKUP(B3883,辅助信息!E:M,9,FALSE)</f>
        <v>ZTWM-CDGS-XS-2024-0030-华西集采-简州大道</v>
      </c>
      <c r="R3883" s="22" t="str">
        <f>_xlfn._xlws.FILTER(辅助信息!D:D,辅助信息!E:E=B3883)</f>
        <v>华西简阳西城嘉苑</v>
      </c>
    </row>
    <row r="3884" hidden="1" spans="2:18">
      <c r="B3884" s="129" t="s">
        <v>81</v>
      </c>
      <c r="C3884" s="63">
        <v>45928</v>
      </c>
      <c r="D3884" s="113" t="str">
        <f>VLOOKUP(B3884,辅助信息!E:K,7,FALSE)</f>
        <v>JWDDCD2025060900080</v>
      </c>
      <c r="E3884" s="113" t="str">
        <f>VLOOKUP(F3884,辅助信息!A:B,2,FALSE)</f>
        <v>螺纹钢</v>
      </c>
      <c r="F3884" s="113" t="s">
        <v>33</v>
      </c>
      <c r="G3884" s="114">
        <v>18</v>
      </c>
      <c r="H3884" s="127"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13" t="str">
        <f>VLOOKUP(B3884,辅助信息!E:I,3,FALSE)</f>
        <v>（华西简阳西城嘉苑）四川省成都市简阳市简城街道高屋村</v>
      </c>
      <c r="J3884" s="113" t="str">
        <f>VLOOKUP(B3884,辅助信息!E:I,4,FALSE)</f>
        <v>张瀚镭</v>
      </c>
      <c r="K3884" s="113">
        <f>VLOOKUP(J3884,辅助信息!H:I,2,FALSE)</f>
        <v>15884666220</v>
      </c>
      <c r="L3884" s="115" t="str">
        <f>VLOOKUP(B3884,辅助信息!E:J,6,FALSE)</f>
        <v>现场禁止使用氢能源挂车！优先威钢发货,我方卸车,新老国标钢厂不加价可直发，因陕钢多次出现磅差，项目拒绝使用</v>
      </c>
      <c r="M3884" s="141">
        <v>45929</v>
      </c>
      <c r="O3884" s="55">
        <f ca="1" t="shared" si="204"/>
        <v>0</v>
      </c>
      <c r="P3884" s="55">
        <f ca="1" t="shared" si="205"/>
        <v>28</v>
      </c>
      <c r="Q3884" s="22" t="str">
        <f>VLOOKUP(B3884,辅助信息!E:M,9,FALSE)</f>
        <v>ZTWM-CDGS-XS-2024-0030-华西集采-简州大道</v>
      </c>
      <c r="R3884" s="22" t="str">
        <f>_xlfn._xlws.FILTER(辅助信息!D:D,辅助信息!E:E=B3884)</f>
        <v>华西简阳西城嘉苑</v>
      </c>
    </row>
    <row r="3885" hidden="1" spans="2:18">
      <c r="B3885" s="129" t="s">
        <v>81</v>
      </c>
      <c r="C3885" s="63">
        <v>45928</v>
      </c>
      <c r="D3885" s="113" t="str">
        <f>VLOOKUP(B3885,辅助信息!E:K,7,FALSE)</f>
        <v>JWDDCD2025060900080</v>
      </c>
      <c r="E3885" s="113" t="str">
        <f>VLOOKUP(F3885,辅助信息!A:B,2,FALSE)</f>
        <v>螺纹钢</v>
      </c>
      <c r="F3885" s="113" t="s">
        <v>28</v>
      </c>
      <c r="G3885" s="114">
        <v>2.5</v>
      </c>
      <c r="H3885" s="127"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13" t="str">
        <f>VLOOKUP(B3885,辅助信息!E:I,3,FALSE)</f>
        <v>（华西简阳西城嘉苑）四川省成都市简阳市简城街道高屋村</v>
      </c>
      <c r="J3885" s="113" t="str">
        <f>VLOOKUP(B3885,辅助信息!E:I,4,FALSE)</f>
        <v>张瀚镭</v>
      </c>
      <c r="K3885" s="113">
        <f>VLOOKUP(J3885,辅助信息!H:I,2,FALSE)</f>
        <v>15884666220</v>
      </c>
      <c r="L3885" s="115" t="str">
        <f>VLOOKUP(B3885,辅助信息!E:J,6,FALSE)</f>
        <v>现场禁止使用氢能源挂车！优先威钢发货,我方卸车,新老国标钢厂不加价可直发，因陕钢多次出现磅差，项目拒绝使用</v>
      </c>
      <c r="M3885" s="141">
        <v>45929</v>
      </c>
      <c r="O3885" s="55">
        <f ca="1" t="shared" si="204"/>
        <v>0</v>
      </c>
      <c r="P3885" s="55">
        <f ca="1" t="shared" si="205"/>
        <v>28</v>
      </c>
      <c r="Q3885" s="22" t="str">
        <f>VLOOKUP(B3885,辅助信息!E:M,9,FALSE)</f>
        <v>ZTWM-CDGS-XS-2024-0030-华西集采-简州大道</v>
      </c>
      <c r="R3885" s="22" t="str">
        <f>_xlfn._xlws.FILTER(辅助信息!D:D,辅助信息!E:E=B3885)</f>
        <v>华西简阳西城嘉苑</v>
      </c>
    </row>
    <row r="3886" hidden="1" spans="2:18">
      <c r="B3886" s="113" t="s">
        <v>81</v>
      </c>
      <c r="C3886" s="63">
        <v>45928</v>
      </c>
      <c r="D3886" s="113" t="str">
        <f>VLOOKUP(B3886,辅助信息!E:K,7,FALSE)</f>
        <v>JWDDCD2025060900080</v>
      </c>
      <c r="E3886" s="113" t="str">
        <f>VLOOKUP(F3886,辅助信息!A:B,2,FALSE)</f>
        <v>螺纹钢</v>
      </c>
      <c r="F3886" s="113" t="s">
        <v>58</v>
      </c>
      <c r="G3886" s="114">
        <v>21</v>
      </c>
      <c r="H3886" s="127"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13" t="str">
        <f>VLOOKUP(B3886,辅助信息!E:I,3,FALSE)</f>
        <v>（华西简阳西城嘉苑）四川省成都市简阳市简城街道高屋村</v>
      </c>
      <c r="J3886" s="113" t="str">
        <f>VLOOKUP(B3886,辅助信息!E:I,4,FALSE)</f>
        <v>张瀚镭</v>
      </c>
      <c r="K3886" s="113">
        <f>VLOOKUP(J3886,辅助信息!H:I,2,FALSE)</f>
        <v>15884666220</v>
      </c>
      <c r="L3886" s="115" t="str">
        <f>VLOOKUP(B3886,辅助信息!E:J,6,FALSE)</f>
        <v>现场禁止使用氢能源挂车！优先威钢发货,我方卸车,新老国标钢厂不加价可直发，因陕钢多次出现磅差，项目拒绝使用</v>
      </c>
      <c r="O3886" s="55" t="str">
        <f ca="1" t="shared" si="204"/>
        <v/>
      </c>
      <c r="P3886" s="55" t="str">
        <f ca="1" t="shared" si="205"/>
        <v/>
      </c>
      <c r="Q3886" s="22" t="str">
        <f>VLOOKUP(B3886,辅助信息!E:M,9,FALSE)</f>
        <v>ZTWM-CDGS-XS-2024-0030-华西集采-简州大道</v>
      </c>
      <c r="R3886" s="22" t="str">
        <f>_xlfn._xlws.FILTER(辅助信息!D:D,辅助信息!E:E=B3886)</f>
        <v>华西简阳西城嘉苑</v>
      </c>
    </row>
    <row r="3887" hidden="1" spans="2:18">
      <c r="B3887" s="113" t="s">
        <v>81</v>
      </c>
      <c r="C3887" s="63">
        <v>45928</v>
      </c>
      <c r="D3887" s="113" t="str">
        <f>VLOOKUP(B3887,辅助信息!E:K,7,FALSE)</f>
        <v>JWDDCD2025060900080</v>
      </c>
      <c r="E3887" s="113" t="str">
        <f>VLOOKUP(F3887,辅助信息!A:B,2,FALSE)</f>
        <v>螺纹钢</v>
      </c>
      <c r="F3887" s="113" t="s">
        <v>46</v>
      </c>
      <c r="G3887" s="114">
        <v>8</v>
      </c>
      <c r="H3887" s="127"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13" t="str">
        <f>VLOOKUP(B3887,辅助信息!E:I,3,FALSE)</f>
        <v>（华西简阳西城嘉苑）四川省成都市简阳市简城街道高屋村</v>
      </c>
      <c r="J3887" s="113" t="str">
        <f>VLOOKUP(B3887,辅助信息!E:I,4,FALSE)</f>
        <v>张瀚镭</v>
      </c>
      <c r="K3887" s="113">
        <f>VLOOKUP(J3887,辅助信息!H:I,2,FALSE)</f>
        <v>15884666220</v>
      </c>
      <c r="L3887" s="115" t="str">
        <f>VLOOKUP(B3887,辅助信息!E:J,6,FALSE)</f>
        <v>现场禁止使用氢能源挂车！优先威钢发货,我方卸车,新老国标钢厂不加价可直发，因陕钢多次出现磅差，项目拒绝使用</v>
      </c>
      <c r="O3887" s="55" t="str">
        <f ca="1" t="shared" si="204"/>
        <v/>
      </c>
      <c r="P3887" s="55" t="str">
        <f ca="1" t="shared" si="205"/>
        <v/>
      </c>
      <c r="Q3887" s="22" t="str">
        <f>VLOOKUP(B3887,辅助信息!E:M,9,FALSE)</f>
        <v>ZTWM-CDGS-XS-2024-0030-华西集采-简州大道</v>
      </c>
      <c r="R3887" s="22" t="str">
        <f>_xlfn._xlws.FILTER(辅助信息!D:D,辅助信息!E:E=B3887)</f>
        <v>华西简阳西城嘉苑</v>
      </c>
    </row>
    <row r="3888" hidden="1" spans="2:18">
      <c r="B3888" s="113" t="s">
        <v>81</v>
      </c>
      <c r="C3888" s="63">
        <v>45928</v>
      </c>
      <c r="D3888" s="113" t="str">
        <f>VLOOKUP(B3888,辅助信息!E:K,7,FALSE)</f>
        <v>JWDDCD2025060900080</v>
      </c>
      <c r="E3888" s="113" t="str">
        <f>VLOOKUP(F3888,辅助信息!A:B,2,FALSE)</f>
        <v>螺纹钢</v>
      </c>
      <c r="F3888" s="113" t="s">
        <v>22</v>
      </c>
      <c r="G3888" s="114">
        <v>30</v>
      </c>
      <c r="H3888" s="127"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13" t="str">
        <f>VLOOKUP(B3888,辅助信息!E:I,3,FALSE)</f>
        <v>（华西简阳西城嘉苑）四川省成都市简阳市简城街道高屋村</v>
      </c>
      <c r="J3888" s="113" t="str">
        <f>VLOOKUP(B3888,辅助信息!E:I,4,FALSE)</f>
        <v>张瀚镭</v>
      </c>
      <c r="K3888" s="113">
        <f>VLOOKUP(J3888,辅助信息!H:I,2,FALSE)</f>
        <v>15884666220</v>
      </c>
      <c r="L3888" s="115" t="str">
        <f>VLOOKUP(B3888,辅助信息!E:J,6,FALSE)</f>
        <v>现场禁止使用氢能源挂车！优先威钢发货,我方卸车,新老国标钢厂不加价可直发，因陕钢多次出现磅差，项目拒绝使用</v>
      </c>
      <c r="O3888" s="55" t="str">
        <f ca="1" t="shared" si="204"/>
        <v/>
      </c>
      <c r="P3888" s="55" t="str">
        <f ca="1" t="shared" si="205"/>
        <v/>
      </c>
      <c r="Q3888" s="22" t="str">
        <f>VLOOKUP(B3888,辅助信息!E:M,9,FALSE)</f>
        <v>ZTWM-CDGS-XS-2024-0030-华西集采-简州大道</v>
      </c>
      <c r="R3888" s="22" t="str">
        <f>_xlfn._xlws.FILTER(辅助信息!D:D,辅助信息!E:E=B3888)</f>
        <v>华西简阳西城嘉苑</v>
      </c>
    </row>
    <row r="3889" hidden="1" spans="2:18">
      <c r="B3889" s="33" t="s">
        <v>81</v>
      </c>
      <c r="C3889" s="63">
        <v>45928</v>
      </c>
      <c r="D3889" s="33" t="str">
        <f>VLOOKUP(B3889,辅助信息!E:K,7,FALSE)</f>
        <v>JWDDCD2025060900080</v>
      </c>
      <c r="E3889" s="33" t="str">
        <f>VLOOKUP(F3889,辅助信息!A:B,2,FALSE)</f>
        <v>盘螺</v>
      </c>
      <c r="F3889" s="33" t="s">
        <v>41</v>
      </c>
      <c r="G3889" s="29">
        <v>125</v>
      </c>
      <c r="H3889" s="127">
        <f>IF(SUMIFS('[1]2025年已发货'!$E:$E,'[1]2025年已发货'!$F:$F,C3889,'[1]2025年已发货'!$C:$C,F3889,'[1]2025年已发货'!$G:$G,I3889,'[1]2025年已发货'!$H:$H,J3889)=0,"未发货",SUMIFS('[1]2025年已发货'!$E:$E,'[1]2025年已发货'!$F:$F,C3889,'[1]2025年已发货'!$C:$C,F3889,'[1]2025年已发货'!$G:$G,I3889,'[1]2025年已发货'!$H:$H,J3889))</f>
        <v>70</v>
      </c>
      <c r="I3889" s="33" t="str">
        <f>VLOOKUP(B3889,辅助信息!E:I,3,FALSE)</f>
        <v>（华西简阳西城嘉苑）四川省成都市简阳市简城街道高屋村</v>
      </c>
      <c r="J3889" s="33" t="str">
        <f>VLOOKUP(B3889,辅助信息!E:I,4,FALSE)</f>
        <v>张瀚镭</v>
      </c>
      <c r="K3889" s="33">
        <f>VLOOKUP(J3889,辅助信息!H:I,2,FALSE)</f>
        <v>15884666220</v>
      </c>
      <c r="L3889" s="102" t="str">
        <f>VLOOKUP(B3889,辅助信息!E:J,6,FALSE)</f>
        <v>现场禁止使用氢能源挂车！优先威钢发货,我方卸车,新老国标钢厂不加价可直发，因陕钢多次出现磅差，项目拒绝使用</v>
      </c>
      <c r="O3889" s="55" t="str">
        <f ca="1" t="shared" si="204"/>
        <v/>
      </c>
      <c r="P3889" s="55" t="str">
        <f ca="1" t="shared" si="205"/>
        <v/>
      </c>
      <c r="Q3889" s="22" t="str">
        <f>VLOOKUP(B3889,辅助信息!E:M,9,FALSE)</f>
        <v>ZTWM-CDGS-XS-2024-0030-华西集采-简州大道</v>
      </c>
      <c r="R3889" s="22" t="str">
        <f>_xlfn._xlws.FILTER(辅助信息!D:D,辅助信息!E:E=B3889)</f>
        <v>华西简阳西城嘉苑</v>
      </c>
    </row>
    <row r="3890" hidden="1" spans="2:18">
      <c r="B3890" s="33" t="s">
        <v>81</v>
      </c>
      <c r="C3890" s="63">
        <v>45928</v>
      </c>
      <c r="D3890" s="33" t="str">
        <f>VLOOKUP(B3890,辅助信息!E:K,7,FALSE)</f>
        <v>JWDDCD2025060900080</v>
      </c>
      <c r="E3890" s="33" t="str">
        <f>VLOOKUP(F3890,辅助信息!A:B,2,FALSE)</f>
        <v>盘螺</v>
      </c>
      <c r="F3890" s="33" t="s">
        <v>26</v>
      </c>
      <c r="G3890" s="29">
        <v>45</v>
      </c>
      <c r="H3890" s="127">
        <f>IF(SUMIFS('[1]2025年已发货'!$E:$E,'[1]2025年已发货'!$F:$F,C3890,'[1]2025年已发货'!$C:$C,F3890,'[1]2025年已发货'!$G:$G,I3890,'[1]2025年已发货'!$H:$H,J3890)=0,"未发货",SUMIFS('[1]2025年已发货'!$E:$E,'[1]2025年已发货'!$F:$F,C3890,'[1]2025年已发货'!$C:$C,F3890,'[1]2025年已发货'!$G:$G,I3890,'[1]2025年已发货'!$H:$H,J3890))</f>
        <v>35</v>
      </c>
      <c r="I3890" s="33" t="str">
        <f>VLOOKUP(B3890,辅助信息!E:I,3,FALSE)</f>
        <v>（华西简阳西城嘉苑）四川省成都市简阳市简城街道高屋村</v>
      </c>
      <c r="J3890" s="33" t="str">
        <f>VLOOKUP(B3890,辅助信息!E:I,4,FALSE)</f>
        <v>张瀚镭</v>
      </c>
      <c r="K3890" s="33">
        <f>VLOOKUP(J3890,辅助信息!H:I,2,FALSE)</f>
        <v>15884666220</v>
      </c>
      <c r="L3890" s="102" t="str">
        <f>VLOOKUP(B3890,辅助信息!E:J,6,FALSE)</f>
        <v>现场禁止使用氢能源挂车！优先威钢发货,我方卸车,新老国标钢厂不加价可直发，因陕钢多次出现磅差，项目拒绝使用</v>
      </c>
      <c r="O3890" s="55" t="str">
        <f ca="1" t="shared" si="204"/>
        <v/>
      </c>
      <c r="P3890" s="55" t="str">
        <f ca="1" t="shared" si="205"/>
        <v/>
      </c>
      <c r="Q3890" s="22" t="str">
        <f>VLOOKUP(B3890,辅助信息!E:M,9,FALSE)</f>
        <v>ZTWM-CDGS-XS-2024-0030-华西集采-简州大道</v>
      </c>
      <c r="R3890" s="22" t="str">
        <f>_xlfn._xlws.FILTER(辅助信息!D:D,辅助信息!E:E=B3890)</f>
        <v>华西简阳西城嘉苑</v>
      </c>
    </row>
    <row r="3891" hidden="1" spans="2:18">
      <c r="B3891" s="33" t="s">
        <v>81</v>
      </c>
      <c r="C3891" s="63">
        <v>45928</v>
      </c>
      <c r="D3891" s="33" t="str">
        <f>VLOOKUP(B3891,辅助信息!E:K,7,FALSE)</f>
        <v>JWDDCD2025060900080</v>
      </c>
      <c r="E3891" s="33" t="str">
        <f>VLOOKUP(F3891,辅助信息!A:B,2,FALSE)</f>
        <v>盘螺</v>
      </c>
      <c r="F3891" s="33" t="s">
        <v>49</v>
      </c>
      <c r="G3891" s="29">
        <v>25</v>
      </c>
      <c r="H3891" s="127"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33" t="str">
        <f>VLOOKUP(B3891,辅助信息!E:I,3,FALSE)</f>
        <v>（华西简阳西城嘉苑）四川省成都市简阳市简城街道高屋村</v>
      </c>
      <c r="J3891" s="33" t="str">
        <f>VLOOKUP(B3891,辅助信息!E:I,4,FALSE)</f>
        <v>张瀚镭</v>
      </c>
      <c r="K3891" s="33">
        <f>VLOOKUP(J3891,辅助信息!H:I,2,FALSE)</f>
        <v>15884666220</v>
      </c>
      <c r="L3891" s="102" t="str">
        <f>VLOOKUP(B3891,辅助信息!E:J,6,FALSE)</f>
        <v>现场禁止使用氢能源挂车！优先威钢发货,我方卸车,新老国标钢厂不加价可直发，因陕钢多次出现磅差，项目拒绝使用</v>
      </c>
      <c r="O3891" s="55" t="str">
        <f ca="1" t="shared" si="204"/>
        <v/>
      </c>
      <c r="P3891" s="55" t="str">
        <f ca="1" t="shared" si="205"/>
        <v/>
      </c>
      <c r="Q3891" s="22" t="str">
        <f>VLOOKUP(B3891,辅助信息!E:M,9,FALSE)</f>
        <v>ZTWM-CDGS-XS-2024-0030-华西集采-简州大道</v>
      </c>
      <c r="R3891" s="22" t="str">
        <f>_xlfn._xlws.FILTER(辅助信息!D:D,辅助信息!E:E=B3891)</f>
        <v>华西简阳西城嘉苑</v>
      </c>
    </row>
    <row r="3892" hidden="1" spans="2:18">
      <c r="B3892" s="128" t="s">
        <v>81</v>
      </c>
      <c r="C3892" s="63">
        <v>45928</v>
      </c>
      <c r="D3892" s="33" t="str">
        <f>VLOOKUP(B3892,辅助信息!E:K,7,FALSE)</f>
        <v>JWDDCD2025060900080</v>
      </c>
      <c r="E3892" s="33" t="str">
        <f>VLOOKUP(F3892,辅助信息!A:B,2,FALSE)</f>
        <v>盘螺</v>
      </c>
      <c r="F3892" s="33" t="s">
        <v>40</v>
      </c>
      <c r="G3892" s="29">
        <v>80</v>
      </c>
      <c r="H3892" s="127">
        <f>IF(SUMIFS('[1]2025年已发货'!$E:$E,'[1]2025年已发货'!$F:$F,C3892,'[1]2025年已发货'!$C:$C,F3892,'[1]2025年已发货'!$G:$G,I3892,'[1]2025年已发货'!$H:$H,J3892)=0,"未发货",SUMIFS('[1]2025年已发货'!$E:$E,'[1]2025年已发货'!$F:$F,C3892,'[1]2025年已发货'!$C:$C,F3892,'[1]2025年已发货'!$G:$G,I3892,'[1]2025年已发货'!$H:$H,J3892))</f>
        <v>70</v>
      </c>
      <c r="I3892" s="33" t="str">
        <f>VLOOKUP(B3892,辅助信息!E:I,3,FALSE)</f>
        <v>（华西简阳西城嘉苑）四川省成都市简阳市简城街道高屋村</v>
      </c>
      <c r="J3892" s="33" t="str">
        <f>VLOOKUP(B3892,辅助信息!E:I,4,FALSE)</f>
        <v>张瀚镭</v>
      </c>
      <c r="K3892" s="33">
        <f>VLOOKUP(J3892,辅助信息!H:I,2,FALSE)</f>
        <v>15884666220</v>
      </c>
      <c r="L3892" s="102" t="str">
        <f>VLOOKUP(B3892,辅助信息!E:J,6,FALSE)</f>
        <v>现场禁止使用氢能源挂车！优先威钢发货,我方卸车,新老国标钢厂不加价可直发，因陕钢多次出现磅差，项目拒绝使用</v>
      </c>
      <c r="M3892" s="141">
        <v>45929</v>
      </c>
      <c r="O3892" s="55">
        <f ca="1" t="shared" si="204"/>
        <v>0</v>
      </c>
      <c r="P3892" s="55">
        <f ca="1" t="shared" si="205"/>
        <v>28</v>
      </c>
      <c r="Q3892" s="22" t="str">
        <f>VLOOKUP(B3892,辅助信息!E:M,9,FALSE)</f>
        <v>ZTWM-CDGS-XS-2024-0030-华西集采-简州大道</v>
      </c>
      <c r="R3892" s="22" t="str">
        <f>_xlfn._xlws.FILTER(辅助信息!D:D,辅助信息!E:E=B3892)</f>
        <v>华西简阳西城嘉苑</v>
      </c>
    </row>
    <row r="3893" hidden="1" spans="2:18">
      <c r="B3893" s="128" t="s">
        <v>186</v>
      </c>
      <c r="C3893" s="63">
        <v>45928</v>
      </c>
      <c r="D3893" s="33" t="str">
        <f>VLOOKUP(B3893,辅助信息!E:K,7,FALSE)</f>
        <v>JWDDCD2025072900123</v>
      </c>
      <c r="E3893" s="33" t="str">
        <f>VLOOKUP(F3893,辅助信息!A:B,2,FALSE)</f>
        <v>螺纹钢</v>
      </c>
      <c r="F3893" s="33" t="s">
        <v>111</v>
      </c>
      <c r="G3893" s="29">
        <v>35</v>
      </c>
      <c r="H3893" s="127"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33" t="str">
        <f>VLOOKUP(B3893,辅助信息!E:I,3,FALSE)</f>
        <v>(乐山市校地共建产教融合基地建设项目二标段)四川省乐山市市中区苏稽镇</v>
      </c>
      <c r="J3893" s="33" t="str">
        <f>VLOOKUP(B3893,辅助信息!E:I,4,FALSE)</f>
        <v>彭江涛</v>
      </c>
      <c r="K3893" s="33">
        <f>VLOOKUP(J3893,辅助信息!H:I,2,FALSE)</f>
        <v>13990276572</v>
      </c>
      <c r="L3893" s="102" t="str">
        <f>VLOOKUP(B3893,辅助信息!E:J,6,FALSE)</f>
        <v>联系实际收货人（彭江涛13990276572）现场要求炉批号控制2个以下，超2个不给予签收。提前联系到场规格及数量</v>
      </c>
      <c r="M3893" s="141">
        <v>45929</v>
      </c>
      <c r="O3893" s="55">
        <f ca="1" t="shared" si="204"/>
        <v>0</v>
      </c>
      <c r="P3893" s="55">
        <f ca="1" t="shared" si="205"/>
        <v>28</v>
      </c>
      <c r="Q3893" s="22" t="str">
        <f>VLOOKUP(B3893,辅助信息!E:M,9,FALSE)</f>
        <v>ZTWM-CDGS-XS-2025-0126-四川机司-乐山市校地共建产教融合基地配套设施项目施工二标段钢筋采购合同</v>
      </c>
      <c r="R3893" s="22" t="str">
        <f>_xlfn._xlws.FILTER(辅助信息!D:D,辅助信息!E:E=B3893)</f>
        <v>乐山市校地共建产教融合基地建设项目二标段</v>
      </c>
    </row>
    <row r="3894" hidden="1" spans="2:18">
      <c r="B3894" s="128" t="s">
        <v>186</v>
      </c>
      <c r="C3894" s="63">
        <v>45928</v>
      </c>
      <c r="D3894" s="33" t="str">
        <f>VLOOKUP(B3894,辅助信息!E:K,7,FALSE)</f>
        <v>JWDDCD2025072900123</v>
      </c>
      <c r="E3894" s="33" t="str">
        <f>VLOOKUP(F3894,辅助信息!A:B,2,FALSE)</f>
        <v>螺纹钢</v>
      </c>
      <c r="F3894" s="33" t="s">
        <v>76</v>
      </c>
      <c r="G3894" s="29">
        <v>35</v>
      </c>
      <c r="H3894" s="127"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33" t="str">
        <f>VLOOKUP(B3894,辅助信息!E:I,3,FALSE)</f>
        <v>(乐山市校地共建产教融合基地建设项目二标段)四川省乐山市市中区苏稽镇</v>
      </c>
      <c r="J3894" s="33" t="str">
        <f>VLOOKUP(B3894,辅助信息!E:I,4,FALSE)</f>
        <v>彭江涛</v>
      </c>
      <c r="K3894" s="33">
        <f>VLOOKUP(J3894,辅助信息!H:I,2,FALSE)</f>
        <v>13990276572</v>
      </c>
      <c r="L3894" s="102" t="str">
        <f>VLOOKUP(B3894,辅助信息!E:J,6,FALSE)</f>
        <v>联系实际收货人（彭江涛13990276572）现场要求炉批号控制2个以下，超2个不给予签收。提前联系到场规格及数量</v>
      </c>
      <c r="M3894" s="141">
        <v>45929</v>
      </c>
      <c r="O3894" s="55">
        <f ca="1" t="shared" si="204"/>
        <v>0</v>
      </c>
      <c r="P3894" s="55">
        <f ca="1" t="shared" si="205"/>
        <v>28</v>
      </c>
      <c r="Q3894" s="22" t="str">
        <f>VLOOKUP(B3894,辅助信息!E:M,9,FALSE)</f>
        <v>ZTWM-CDGS-XS-2025-0126-四川机司-乐山市校地共建产教融合基地配套设施项目施工二标段钢筋采购合同</v>
      </c>
      <c r="R3894" s="22" t="str">
        <f>_xlfn._xlws.FILTER(辅助信息!D:D,辅助信息!E:E=B3894)</f>
        <v>乐山市校地共建产教融合基地建设项目二标段</v>
      </c>
    </row>
    <row r="3895" hidden="1" spans="2:18">
      <c r="B3895" s="128" t="s">
        <v>186</v>
      </c>
      <c r="C3895" s="63">
        <v>45928</v>
      </c>
      <c r="D3895" s="33" t="str">
        <f>VLOOKUP(B3895,辅助信息!E:K,7,FALSE)</f>
        <v>JWDDCD2025072900123</v>
      </c>
      <c r="E3895" s="33" t="str">
        <f>VLOOKUP(F3895,辅助信息!A:B,2,FALSE)</f>
        <v>螺纹钢</v>
      </c>
      <c r="F3895" s="33" t="s">
        <v>197</v>
      </c>
      <c r="G3895" s="29">
        <v>18</v>
      </c>
      <c r="H3895" s="127"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33" t="str">
        <f>VLOOKUP(B3895,辅助信息!E:I,3,FALSE)</f>
        <v>(乐山市校地共建产教融合基地建设项目二标段)四川省乐山市市中区苏稽镇</v>
      </c>
      <c r="J3895" s="33" t="str">
        <f>VLOOKUP(B3895,辅助信息!E:I,4,FALSE)</f>
        <v>彭江涛</v>
      </c>
      <c r="K3895" s="33">
        <f>VLOOKUP(J3895,辅助信息!H:I,2,FALSE)</f>
        <v>13990276572</v>
      </c>
      <c r="L3895" s="102" t="str">
        <f>VLOOKUP(B3895,辅助信息!E:J,6,FALSE)</f>
        <v>联系实际收货人（彭江涛13990276572）现场要求炉批号控制2个以下，超2个不给予签收。提前联系到场规格及数量</v>
      </c>
      <c r="M3895" s="141">
        <v>45929</v>
      </c>
      <c r="O3895" s="55">
        <f ca="1" t="shared" si="204"/>
        <v>0</v>
      </c>
      <c r="P3895" s="55">
        <f ca="1" t="shared" si="205"/>
        <v>28</v>
      </c>
      <c r="Q3895" s="22" t="str">
        <f>VLOOKUP(B3895,辅助信息!E:M,9,FALSE)</f>
        <v>ZTWM-CDGS-XS-2025-0126-四川机司-乐山市校地共建产教融合基地配套设施项目施工二标段钢筋采购合同</v>
      </c>
      <c r="R3895" s="22" t="str">
        <f>_xlfn._xlws.FILTER(辅助信息!D:D,辅助信息!E:E=B3895)</f>
        <v>乐山市校地共建产教融合基地建设项目二标段</v>
      </c>
    </row>
    <row r="3896" hidden="1" spans="2:18">
      <c r="B3896" s="128" t="s">
        <v>186</v>
      </c>
      <c r="C3896" s="63">
        <v>45928</v>
      </c>
      <c r="D3896" s="33" t="str">
        <f>VLOOKUP(B3896,辅助信息!E:K,7,FALSE)</f>
        <v>JWDDCD2025072900123</v>
      </c>
      <c r="E3896" s="33" t="str">
        <f>VLOOKUP(F3896,辅助信息!A:B,2,FALSE)</f>
        <v>螺纹钢</v>
      </c>
      <c r="F3896" s="33" t="s">
        <v>198</v>
      </c>
      <c r="G3896" s="29">
        <v>18</v>
      </c>
      <c r="H3896" s="127"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33" t="str">
        <f>VLOOKUP(B3896,辅助信息!E:I,3,FALSE)</f>
        <v>(乐山市校地共建产教融合基地建设项目二标段)四川省乐山市市中区苏稽镇</v>
      </c>
      <c r="J3896" s="33" t="str">
        <f>VLOOKUP(B3896,辅助信息!E:I,4,FALSE)</f>
        <v>彭江涛</v>
      </c>
      <c r="K3896" s="33">
        <f>VLOOKUP(J3896,辅助信息!H:I,2,FALSE)</f>
        <v>13990276572</v>
      </c>
      <c r="L3896" s="102" t="str">
        <f>VLOOKUP(B3896,辅助信息!E:J,6,FALSE)</f>
        <v>联系实际收货人（彭江涛13990276572）现场要求炉批号控制2个以下，超2个不给予签收。提前联系到场规格及数量</v>
      </c>
      <c r="M3896" s="141"/>
      <c r="O3896" s="55" t="str">
        <f ca="1" t="shared" si="204"/>
        <v/>
      </c>
      <c r="P3896" s="55" t="str">
        <f ca="1" t="shared" si="205"/>
        <v/>
      </c>
      <c r="Q3896" s="22" t="str">
        <f>VLOOKUP(B3896,辅助信息!E:M,9,FALSE)</f>
        <v>ZTWM-CDGS-XS-2025-0126-四川机司-乐山市校地共建产教融合基地配套设施项目施工二标段钢筋采购合同</v>
      </c>
      <c r="R3896" s="22" t="str">
        <f>_xlfn._xlws.FILTER(辅助信息!D:D,辅助信息!E:E=B3896)</f>
        <v>乐山市校地共建产教融合基地建设项目二标段</v>
      </c>
    </row>
    <row r="3897" hidden="1" spans="2:18">
      <c r="B3897" s="128" t="s">
        <v>186</v>
      </c>
      <c r="C3897" s="63">
        <v>45928</v>
      </c>
      <c r="D3897" s="33" t="str">
        <f>VLOOKUP(B3897,辅助信息!E:K,7,FALSE)</f>
        <v>JWDDCD2025072900123</v>
      </c>
      <c r="E3897" s="33" t="str">
        <f>VLOOKUP(F3897,辅助信息!A:B,2,FALSE)</f>
        <v>螺纹钢</v>
      </c>
      <c r="F3897" s="33" t="s">
        <v>199</v>
      </c>
      <c r="G3897" s="29">
        <v>18</v>
      </c>
      <c r="H3897" s="127"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33" t="str">
        <f>VLOOKUP(B3897,辅助信息!E:I,3,FALSE)</f>
        <v>(乐山市校地共建产教融合基地建设项目二标段)四川省乐山市市中区苏稽镇</v>
      </c>
      <c r="J3897" s="33" t="str">
        <f>VLOOKUP(B3897,辅助信息!E:I,4,FALSE)</f>
        <v>彭江涛</v>
      </c>
      <c r="K3897" s="33">
        <f>VLOOKUP(J3897,辅助信息!H:I,2,FALSE)</f>
        <v>13990276572</v>
      </c>
      <c r="L3897" s="102" t="str">
        <f>VLOOKUP(B3897,辅助信息!E:J,6,FALSE)</f>
        <v>联系实际收货人（彭江涛13990276572）现场要求炉批号控制2个以下，超2个不给予签收。提前联系到场规格及数量</v>
      </c>
      <c r="M3897" s="141">
        <v>45929</v>
      </c>
      <c r="O3897" s="55">
        <f ca="1" t="shared" si="204"/>
        <v>0</v>
      </c>
      <c r="P3897" s="55">
        <f ca="1" t="shared" si="205"/>
        <v>28</v>
      </c>
      <c r="Q3897" s="22" t="str">
        <f>VLOOKUP(B3897,辅助信息!E:M,9,FALSE)</f>
        <v>ZTWM-CDGS-XS-2025-0126-四川机司-乐山市校地共建产教融合基地配套设施项目施工二标段钢筋采购合同</v>
      </c>
      <c r="R3897" s="22" t="str">
        <f>_xlfn._xlws.FILTER(辅助信息!D:D,辅助信息!E:E=B3897)</f>
        <v>乐山市校地共建产教融合基地建设项目二标段</v>
      </c>
    </row>
    <row r="3898" hidden="1" spans="2:18">
      <c r="B3898" s="128" t="s">
        <v>186</v>
      </c>
      <c r="C3898" s="63">
        <v>45928</v>
      </c>
      <c r="D3898" s="33" t="str">
        <f>VLOOKUP(B3898,辅助信息!E:K,7,FALSE)</f>
        <v>JWDDCD2025072900123</v>
      </c>
      <c r="E3898" s="33" t="str">
        <f>VLOOKUP(F3898,辅助信息!A:B,2,FALSE)</f>
        <v>螺纹钢</v>
      </c>
      <c r="F3898" s="33" t="s">
        <v>141</v>
      </c>
      <c r="G3898" s="29">
        <v>8</v>
      </c>
      <c r="H3898" s="127"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33" t="str">
        <f>VLOOKUP(B3898,辅助信息!E:I,3,FALSE)</f>
        <v>(乐山市校地共建产教融合基地建设项目二标段)四川省乐山市市中区苏稽镇</v>
      </c>
      <c r="J3898" s="33" t="str">
        <f>VLOOKUP(B3898,辅助信息!E:I,4,FALSE)</f>
        <v>彭江涛</v>
      </c>
      <c r="K3898" s="33">
        <f>VLOOKUP(J3898,辅助信息!H:I,2,FALSE)</f>
        <v>13990276572</v>
      </c>
      <c r="L3898" s="102" t="str">
        <f>VLOOKUP(B3898,辅助信息!E:J,6,FALSE)</f>
        <v>联系实际收货人（彭江涛13990276572）现场要求炉批号控制2个以下，超2个不给予签收。提前联系到场规格及数量</v>
      </c>
      <c r="M3898" s="141">
        <v>45929</v>
      </c>
      <c r="O3898" s="55">
        <f ca="1" t="shared" si="204"/>
        <v>0</v>
      </c>
      <c r="P3898" s="55">
        <f ca="1" t="shared" si="205"/>
        <v>28</v>
      </c>
      <c r="Q3898" s="22" t="str">
        <f>VLOOKUP(B3898,辅助信息!E:M,9,FALSE)</f>
        <v>ZTWM-CDGS-XS-2025-0126-四川机司-乐山市校地共建产教融合基地配套设施项目施工二标段钢筋采购合同</v>
      </c>
      <c r="R3898" s="22" t="str">
        <f>_xlfn._xlws.FILTER(辅助信息!D:D,辅助信息!E:E=B3898)</f>
        <v>乐山市校地共建产教融合基地建设项目二标段</v>
      </c>
    </row>
    <row r="3899" hidden="1" spans="2:18">
      <c r="B3899" s="128" t="s">
        <v>186</v>
      </c>
      <c r="C3899" s="63">
        <v>45928</v>
      </c>
      <c r="D3899" s="33" t="str">
        <f>VLOOKUP(B3899,辅助信息!E:K,7,FALSE)</f>
        <v>JWDDCD2025072900123</v>
      </c>
      <c r="E3899" s="33" t="str">
        <f>VLOOKUP(F3899,辅助信息!A:B,2,FALSE)</f>
        <v>螺纹钢</v>
      </c>
      <c r="F3899" s="33" t="s">
        <v>22</v>
      </c>
      <c r="G3899" s="29">
        <v>35</v>
      </c>
      <c r="H3899" s="127"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33" t="str">
        <f>VLOOKUP(B3899,辅助信息!E:I,3,FALSE)</f>
        <v>(乐山市校地共建产教融合基地建设项目二标段)四川省乐山市市中区苏稽镇</v>
      </c>
      <c r="J3899" s="33" t="str">
        <f>VLOOKUP(B3899,辅助信息!E:I,4,FALSE)</f>
        <v>彭江涛</v>
      </c>
      <c r="K3899" s="33">
        <f>VLOOKUP(J3899,辅助信息!H:I,2,FALSE)</f>
        <v>13990276572</v>
      </c>
      <c r="L3899" s="102" t="str">
        <f>VLOOKUP(B3899,辅助信息!E:J,6,FALSE)</f>
        <v>联系实际收货人（彭江涛13990276572）现场要求炉批号控制2个以下，超2个不给予签收。提前联系到场规格及数量</v>
      </c>
      <c r="M3899" s="141">
        <v>45929</v>
      </c>
      <c r="O3899" s="55">
        <f ca="1" t="shared" si="204"/>
        <v>0</v>
      </c>
      <c r="P3899" s="55">
        <f ca="1" t="shared" si="205"/>
        <v>28</v>
      </c>
      <c r="Q3899" s="22" t="str">
        <f>VLOOKUP(B3899,辅助信息!E:M,9,FALSE)</f>
        <v>ZTWM-CDGS-XS-2025-0126-四川机司-乐山市校地共建产教融合基地配套设施项目施工二标段钢筋采购合同</v>
      </c>
      <c r="R3899" s="22" t="str">
        <f>_xlfn._xlws.FILTER(辅助信息!D:D,辅助信息!E:E=B3899)</f>
        <v>乐山市校地共建产教融合基地建设项目二标段</v>
      </c>
    </row>
    <row r="3900" hidden="1" spans="2:18">
      <c r="B3900" s="128" t="s">
        <v>186</v>
      </c>
      <c r="C3900" s="63">
        <v>45928</v>
      </c>
      <c r="D3900" s="33" t="str">
        <f>VLOOKUP(B3900,辅助信息!E:K,7,FALSE)</f>
        <v>JWDDCD2025072900123</v>
      </c>
      <c r="E3900" s="33" t="str">
        <f>VLOOKUP(F3900,辅助信息!A:B,2,FALSE)</f>
        <v>螺纹钢</v>
      </c>
      <c r="F3900" s="33" t="s">
        <v>142</v>
      </c>
      <c r="G3900" s="29">
        <v>35</v>
      </c>
      <c r="H3900" s="127"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33" t="str">
        <f>VLOOKUP(B3900,辅助信息!E:I,3,FALSE)</f>
        <v>(乐山市校地共建产教融合基地建设项目二标段)四川省乐山市市中区苏稽镇</v>
      </c>
      <c r="J3900" s="33" t="str">
        <f>VLOOKUP(B3900,辅助信息!E:I,4,FALSE)</f>
        <v>彭江涛</v>
      </c>
      <c r="K3900" s="33">
        <f>VLOOKUP(J3900,辅助信息!H:I,2,FALSE)</f>
        <v>13990276572</v>
      </c>
      <c r="L3900" s="102" t="str">
        <f>VLOOKUP(B3900,辅助信息!E:J,6,FALSE)</f>
        <v>联系实际收货人（彭江涛13990276572）现场要求炉批号控制2个以下，超2个不给予签收。提前联系到场规格及数量</v>
      </c>
      <c r="M3900" s="141">
        <v>45929</v>
      </c>
      <c r="O3900" s="55">
        <f ca="1" t="shared" si="204"/>
        <v>0</v>
      </c>
      <c r="P3900" s="55">
        <f ca="1" t="shared" si="205"/>
        <v>28</v>
      </c>
      <c r="Q3900" s="22" t="str">
        <f>VLOOKUP(B3900,辅助信息!E:M,9,FALSE)</f>
        <v>ZTWM-CDGS-XS-2025-0126-四川机司-乐山市校地共建产教融合基地配套设施项目施工二标段钢筋采购合同</v>
      </c>
      <c r="R3900" s="22" t="str">
        <f>_xlfn._xlws.FILTER(辅助信息!D:D,辅助信息!E:E=B3900)</f>
        <v>乐山市校地共建产教融合基地建设项目二标段</v>
      </c>
    </row>
    <row r="3901" hidden="1" spans="2:18">
      <c r="B3901" s="128" t="s">
        <v>186</v>
      </c>
      <c r="C3901" s="63">
        <v>45928</v>
      </c>
      <c r="D3901" s="33" t="str">
        <f>VLOOKUP(B3901,辅助信息!E:K,7,FALSE)</f>
        <v>JWDDCD2025072900123</v>
      </c>
      <c r="E3901" s="33" t="str">
        <f>VLOOKUP(F3901,辅助信息!A:B,2,FALSE)</f>
        <v>螺纹钢</v>
      </c>
      <c r="F3901" s="33" t="s">
        <v>181</v>
      </c>
      <c r="G3901" s="29">
        <v>5</v>
      </c>
      <c r="H3901" s="127"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33" t="str">
        <f>VLOOKUP(B3901,辅助信息!E:I,3,FALSE)</f>
        <v>(乐山市校地共建产教融合基地建设项目二标段)四川省乐山市市中区苏稽镇</v>
      </c>
      <c r="J3901" s="33" t="str">
        <f>VLOOKUP(B3901,辅助信息!E:I,4,FALSE)</f>
        <v>彭江涛</v>
      </c>
      <c r="K3901" s="33">
        <f>VLOOKUP(J3901,辅助信息!H:I,2,FALSE)</f>
        <v>13990276572</v>
      </c>
      <c r="L3901" s="102" t="str">
        <f>VLOOKUP(B3901,辅助信息!E:J,6,FALSE)</f>
        <v>联系实际收货人（彭江涛13990276572）现场要求炉批号控制2个以下，超2个不给予签收。提前联系到场规格及数量</v>
      </c>
      <c r="M3901" s="141">
        <v>45929</v>
      </c>
      <c r="O3901" s="55">
        <f ca="1" t="shared" si="204"/>
        <v>0</v>
      </c>
      <c r="P3901" s="55">
        <f ca="1" t="shared" si="205"/>
        <v>28</v>
      </c>
      <c r="Q3901" s="22" t="str">
        <f>VLOOKUP(B3901,辅助信息!E:M,9,FALSE)</f>
        <v>ZTWM-CDGS-XS-2025-0126-四川机司-乐山市校地共建产教融合基地配套设施项目施工二标段钢筋采购合同</v>
      </c>
      <c r="R3901" s="22" t="str">
        <f>_xlfn._xlws.FILTER(辅助信息!D:D,辅助信息!E:E=B3901)</f>
        <v>乐山市校地共建产教融合基地建设项目二标段</v>
      </c>
    </row>
    <row r="3902" hidden="1" spans="2:18">
      <c r="B3902" s="128" t="s">
        <v>186</v>
      </c>
      <c r="C3902" s="63">
        <v>45928</v>
      </c>
      <c r="D3902" s="33" t="str">
        <f>VLOOKUP(B3902,辅助信息!E:K,7,FALSE)</f>
        <v>JWDDCD2025072900123</v>
      </c>
      <c r="E3902" s="33" t="str">
        <f>VLOOKUP(F3902,辅助信息!A:B,2,FALSE)</f>
        <v>螺纹钢</v>
      </c>
      <c r="F3902" s="33" t="s">
        <v>200</v>
      </c>
      <c r="G3902" s="29">
        <v>10</v>
      </c>
      <c r="H3902" s="127"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33" t="str">
        <f>VLOOKUP(B3902,辅助信息!E:I,3,FALSE)</f>
        <v>(乐山市校地共建产教融合基地建设项目二标段)四川省乐山市市中区苏稽镇</v>
      </c>
      <c r="J3902" s="33" t="str">
        <f>VLOOKUP(B3902,辅助信息!E:I,4,FALSE)</f>
        <v>彭江涛</v>
      </c>
      <c r="K3902" s="33">
        <f>VLOOKUP(J3902,辅助信息!H:I,2,FALSE)</f>
        <v>13990276572</v>
      </c>
      <c r="L3902" s="102" t="str">
        <f>VLOOKUP(B3902,辅助信息!E:J,6,FALSE)</f>
        <v>联系实际收货人（彭江涛13990276572）现场要求炉批号控制2个以下，超2个不给予签收。提前联系到场规格及数量</v>
      </c>
      <c r="M3902" s="141">
        <v>45929</v>
      </c>
      <c r="O3902" s="55">
        <f ca="1" t="shared" si="204"/>
        <v>0</v>
      </c>
      <c r="P3902" s="55">
        <f ca="1" t="shared" si="205"/>
        <v>28</v>
      </c>
      <c r="Q3902" s="22" t="str">
        <f>VLOOKUP(B3902,辅助信息!E:M,9,FALSE)</f>
        <v>ZTWM-CDGS-XS-2025-0126-四川机司-乐山市校地共建产教融合基地配套设施项目施工二标段钢筋采购合同</v>
      </c>
      <c r="R3902" s="22" t="str">
        <f>_xlfn._xlws.FILTER(辅助信息!D:D,辅助信息!E:E=B3902)</f>
        <v>乐山市校地共建产教融合基地建设项目二标段</v>
      </c>
    </row>
    <row r="3903" hidden="1" spans="2:18">
      <c r="B3903" s="128" t="s">
        <v>186</v>
      </c>
      <c r="C3903" s="63">
        <v>45928</v>
      </c>
      <c r="D3903" s="33" t="str">
        <f>VLOOKUP(B3903,辅助信息!E:K,7,FALSE)</f>
        <v>JWDDCD2025072900123</v>
      </c>
      <c r="E3903" s="33" t="str">
        <f>VLOOKUP(F3903,辅助信息!A:B,2,FALSE)</f>
        <v>盘螺</v>
      </c>
      <c r="F3903" s="33" t="s">
        <v>41</v>
      </c>
      <c r="G3903" s="29">
        <v>35</v>
      </c>
      <c r="H3903" s="127"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33" t="str">
        <f>VLOOKUP(B3903,辅助信息!E:I,3,FALSE)</f>
        <v>(乐山市校地共建产教融合基地建设项目二标段)四川省乐山市市中区苏稽镇</v>
      </c>
      <c r="J3903" s="33" t="str">
        <f>VLOOKUP(B3903,辅助信息!E:I,4,FALSE)</f>
        <v>彭江涛</v>
      </c>
      <c r="K3903" s="33">
        <f>VLOOKUP(J3903,辅助信息!H:I,2,FALSE)</f>
        <v>13990276572</v>
      </c>
      <c r="L3903" s="102" t="str">
        <f>VLOOKUP(B3903,辅助信息!E:J,6,FALSE)</f>
        <v>联系实际收货人（彭江涛13990276572）现场要求炉批号控制2个以下，超2个不给予签收。提前联系到场规格及数量</v>
      </c>
      <c r="M3903" s="141">
        <v>45929</v>
      </c>
      <c r="O3903" s="55">
        <f ca="1" t="shared" si="204"/>
        <v>0</v>
      </c>
      <c r="P3903" s="55">
        <f ca="1" t="shared" si="205"/>
        <v>28</v>
      </c>
      <c r="Q3903" s="22" t="str">
        <f>VLOOKUP(B3903,辅助信息!E:M,9,FALSE)</f>
        <v>ZTWM-CDGS-XS-2025-0126-四川机司-乐山市校地共建产教融合基地配套设施项目施工二标段钢筋采购合同</v>
      </c>
      <c r="R3903" s="22" t="str">
        <f>_xlfn._xlws.FILTER(辅助信息!D:D,辅助信息!E:E=B3903)</f>
        <v>乐山市校地共建产教融合基地建设项目二标段</v>
      </c>
    </row>
    <row r="3904" hidden="1" spans="2:18">
      <c r="B3904" s="128" t="s">
        <v>186</v>
      </c>
      <c r="C3904" s="63">
        <v>45928</v>
      </c>
      <c r="D3904" s="33" t="str">
        <f>VLOOKUP(B3904,辅助信息!E:K,7,FALSE)</f>
        <v>JWDDCD2025072900123</v>
      </c>
      <c r="E3904" s="33" t="str">
        <f>VLOOKUP(F3904,辅助信息!A:B,2,FALSE)</f>
        <v>盘螺</v>
      </c>
      <c r="F3904" s="33" t="s">
        <v>26</v>
      </c>
      <c r="G3904" s="29">
        <v>20</v>
      </c>
      <c r="H3904" s="127"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33" t="str">
        <f>VLOOKUP(B3904,辅助信息!E:I,3,FALSE)</f>
        <v>(乐山市校地共建产教融合基地建设项目二标段)四川省乐山市市中区苏稽镇</v>
      </c>
      <c r="J3904" s="33" t="str">
        <f>VLOOKUP(B3904,辅助信息!E:I,4,FALSE)</f>
        <v>彭江涛</v>
      </c>
      <c r="K3904" s="33">
        <f>VLOOKUP(J3904,辅助信息!H:I,2,FALSE)</f>
        <v>13990276572</v>
      </c>
      <c r="L3904" s="102" t="str">
        <f>VLOOKUP(B3904,辅助信息!E:J,6,FALSE)</f>
        <v>联系实际收货人（彭江涛13990276572）现场要求炉批号控制2个以下，超2个不给予签收。提前联系到场规格及数量</v>
      </c>
      <c r="M3904" s="141">
        <v>45929</v>
      </c>
      <c r="O3904" s="55">
        <f ca="1" t="shared" si="204"/>
        <v>0</v>
      </c>
      <c r="P3904" s="55">
        <f ca="1" t="shared" si="205"/>
        <v>28</v>
      </c>
      <c r="Q3904" s="22" t="str">
        <f>VLOOKUP(B3904,辅助信息!E:M,9,FALSE)</f>
        <v>ZTWM-CDGS-XS-2025-0126-四川机司-乐山市校地共建产教融合基地配套设施项目施工二标段钢筋采购合同</v>
      </c>
      <c r="R3904" s="22" t="str">
        <f>_xlfn._xlws.FILTER(辅助信息!D:D,辅助信息!E:E=B3904)</f>
        <v>乐山市校地共建产教融合基地建设项目二标段</v>
      </c>
    </row>
    <row r="3905" hidden="1" spans="2:18">
      <c r="B3905" s="128" t="s">
        <v>186</v>
      </c>
      <c r="C3905" s="63">
        <v>45928</v>
      </c>
      <c r="D3905" s="33" t="str">
        <f>VLOOKUP(B3905,辅助信息!E:K,7,FALSE)</f>
        <v>JWDDCD2025072900123</v>
      </c>
      <c r="E3905" s="33" t="str">
        <f>VLOOKUP(F3905,辅助信息!A:B,2,FALSE)</f>
        <v>盘螺</v>
      </c>
      <c r="F3905" s="33" t="s">
        <v>40</v>
      </c>
      <c r="G3905" s="29">
        <v>35</v>
      </c>
      <c r="H3905" s="127"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33" t="str">
        <f>VLOOKUP(B3905,辅助信息!E:I,3,FALSE)</f>
        <v>(乐山市校地共建产教融合基地建设项目二标段)四川省乐山市市中区苏稽镇</v>
      </c>
      <c r="J3905" s="33" t="str">
        <f>VLOOKUP(B3905,辅助信息!E:I,4,FALSE)</f>
        <v>彭江涛</v>
      </c>
      <c r="K3905" s="33">
        <f>VLOOKUP(J3905,辅助信息!H:I,2,FALSE)</f>
        <v>13990276572</v>
      </c>
      <c r="L3905" s="102" t="str">
        <f>VLOOKUP(B3905,辅助信息!E:J,6,FALSE)</f>
        <v>联系实际收货人（彭江涛13990276572）现场要求炉批号控制2个以下，超2个不给予签收。提前联系到场规格及数量</v>
      </c>
      <c r="M3905" s="141">
        <v>45929</v>
      </c>
      <c r="O3905" s="55">
        <f ca="1" t="shared" si="204"/>
        <v>0</v>
      </c>
      <c r="P3905" s="55">
        <f ca="1" t="shared" si="205"/>
        <v>28</v>
      </c>
      <c r="Q3905" s="22" t="str">
        <f>VLOOKUP(B3905,辅助信息!E:M,9,FALSE)</f>
        <v>ZTWM-CDGS-XS-2025-0126-四川机司-乐山市校地共建产教融合基地配套设施项目施工二标段钢筋采购合同</v>
      </c>
      <c r="R3905" s="22" t="str">
        <f>_xlfn._xlws.FILTER(辅助信息!D:D,辅助信息!E:E=B3905)</f>
        <v>乐山市校地共建产教融合基地建设项目二标段</v>
      </c>
    </row>
    <row r="3906" hidden="1" spans="2:18">
      <c r="B3906" s="128" t="s">
        <v>187</v>
      </c>
      <c r="C3906" s="63">
        <v>45928</v>
      </c>
      <c r="D3906" s="33" t="str">
        <f>VLOOKUP(B3906,辅助信息!E:K,7,FALSE)</f>
        <v>JWDDCD2025072900121</v>
      </c>
      <c r="E3906" s="33" t="str">
        <f>VLOOKUP(F3906,辅助信息!A:B,2,FALSE)</f>
        <v>螺纹钢</v>
      </c>
      <c r="F3906" s="33" t="s">
        <v>22</v>
      </c>
      <c r="G3906" s="29">
        <v>7</v>
      </c>
      <c r="H3906" s="127"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33" t="str">
        <f>VLOOKUP(B3906,辅助信息!E:I,3,FALSE)</f>
        <v>(乐山市校地共建产教融合基地建设项目一标段)四川省乐山市市中区苏稽镇周山嘴</v>
      </c>
      <c r="J3906" s="33" t="str">
        <f>VLOOKUP(B3906,辅助信息!E:I,4,FALSE)</f>
        <v>范增云</v>
      </c>
      <c r="K3906" s="33">
        <f>VLOOKUP(J3906,辅助信息!H:I,2,FALSE)</f>
        <v>13668153241</v>
      </c>
      <c r="L3906" s="102" t="str">
        <f>VLOOKUP(B3906,辅助信息!E:J,6,FALSE)</f>
        <v>联系实际收货人（范增云13668153241）现场要求炉批号控制2个以下，超2个不给予签收。提前联系到场规格及数量</v>
      </c>
      <c r="M3906" s="141">
        <v>45929</v>
      </c>
      <c r="O3906" s="55">
        <f ca="1" t="shared" si="204"/>
        <v>0</v>
      </c>
      <c r="P3906" s="55">
        <f ca="1" t="shared" si="205"/>
        <v>28</v>
      </c>
      <c r="Q3906" s="22" t="str">
        <f>VLOOKUP(B3906,辅助信息!E:M,9,FALSE)</f>
        <v>ZTWM-CDGS-XS-2025-0125-四川机司-乐山市校地共建产教融合基地配套设施项目施工一标段钢筋采购合同</v>
      </c>
      <c r="R3906" s="22" t="str">
        <f>_xlfn._xlws.FILTER(辅助信息!D:D,辅助信息!E:E=B3906)</f>
        <v>乐山市校地共建产教融合基地建设项目一标段</v>
      </c>
    </row>
    <row r="3907" hidden="1" spans="2:18">
      <c r="B3907" s="128" t="s">
        <v>187</v>
      </c>
      <c r="C3907" s="63">
        <v>45928</v>
      </c>
      <c r="D3907" s="33" t="str">
        <f>VLOOKUP(B3907,辅助信息!E:K,7,FALSE)</f>
        <v>JWDDCD2025072900121</v>
      </c>
      <c r="E3907" s="33" t="str">
        <f>VLOOKUP(F3907,辅助信息!A:B,2,FALSE)</f>
        <v>盘螺</v>
      </c>
      <c r="F3907" s="33" t="s">
        <v>41</v>
      </c>
      <c r="G3907" s="29">
        <v>20</v>
      </c>
      <c r="H3907" s="127"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33" t="str">
        <f>VLOOKUP(B3907,辅助信息!E:I,3,FALSE)</f>
        <v>(乐山市校地共建产教融合基地建设项目一标段)四川省乐山市市中区苏稽镇周山嘴</v>
      </c>
      <c r="J3907" s="33" t="str">
        <f>VLOOKUP(B3907,辅助信息!E:I,4,FALSE)</f>
        <v>范增云</v>
      </c>
      <c r="K3907" s="33">
        <f>VLOOKUP(J3907,辅助信息!H:I,2,FALSE)</f>
        <v>13668153241</v>
      </c>
      <c r="L3907" s="102" t="str">
        <f>VLOOKUP(B3907,辅助信息!E:J,6,FALSE)</f>
        <v>联系实际收货人（范增云13668153241）现场要求炉批号控制2个以下，超2个不给予签收。提前联系到场规格及数量</v>
      </c>
      <c r="M3907" s="141">
        <v>45929</v>
      </c>
      <c r="O3907" s="55">
        <f ca="1" t="shared" si="204"/>
        <v>0</v>
      </c>
      <c r="P3907" s="55">
        <f ca="1" t="shared" si="205"/>
        <v>28</v>
      </c>
      <c r="Q3907" s="22" t="str">
        <f>VLOOKUP(B3907,辅助信息!E:M,9,FALSE)</f>
        <v>ZTWM-CDGS-XS-2025-0125-四川机司-乐山市校地共建产教融合基地配套设施项目施工一标段钢筋采购合同</v>
      </c>
      <c r="R3907" s="22" t="str">
        <f>_xlfn._xlws.FILTER(辅助信息!D:D,辅助信息!E:E=B3907)</f>
        <v>乐山市校地共建产教融合基地建设项目一标段</v>
      </c>
    </row>
    <row r="3908" hidden="1" spans="2:18">
      <c r="B3908" s="128" t="s">
        <v>187</v>
      </c>
      <c r="C3908" s="63">
        <v>45928</v>
      </c>
      <c r="D3908" s="33" t="str">
        <f>VLOOKUP(B3908,辅助信息!E:K,7,FALSE)</f>
        <v>JWDDCD2025072900121</v>
      </c>
      <c r="E3908" s="33" t="str">
        <f>VLOOKUP(F3908,辅助信息!A:B,2,FALSE)</f>
        <v>盘螺</v>
      </c>
      <c r="F3908" s="33" t="s">
        <v>26</v>
      </c>
      <c r="G3908" s="29">
        <v>20</v>
      </c>
      <c r="H3908" s="127"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33" t="str">
        <f>VLOOKUP(B3908,辅助信息!E:I,3,FALSE)</f>
        <v>(乐山市校地共建产教融合基地建设项目一标段)四川省乐山市市中区苏稽镇周山嘴</v>
      </c>
      <c r="J3908" s="33" t="str">
        <f>VLOOKUP(B3908,辅助信息!E:I,4,FALSE)</f>
        <v>范增云</v>
      </c>
      <c r="K3908" s="33">
        <f>VLOOKUP(J3908,辅助信息!H:I,2,FALSE)</f>
        <v>13668153241</v>
      </c>
      <c r="L3908" s="102" t="str">
        <f>VLOOKUP(B3908,辅助信息!E:J,6,FALSE)</f>
        <v>联系实际收货人（范增云13668153241）现场要求炉批号控制2个以下，超2个不给予签收。提前联系到场规格及数量</v>
      </c>
      <c r="M3908" s="141">
        <v>45929</v>
      </c>
      <c r="O3908" s="55">
        <f ca="1" t="shared" si="204"/>
        <v>0</v>
      </c>
      <c r="P3908" s="55">
        <f ca="1" t="shared" si="205"/>
        <v>28</v>
      </c>
      <c r="Q3908" s="22" t="str">
        <f>VLOOKUP(B3908,辅助信息!E:M,9,FALSE)</f>
        <v>ZTWM-CDGS-XS-2025-0125-四川机司-乐山市校地共建产教融合基地配套设施项目施工一标段钢筋采购合同</v>
      </c>
      <c r="R3908" s="22" t="str">
        <f>_xlfn._xlws.FILTER(辅助信息!D:D,辅助信息!E:E=B3908)</f>
        <v>乐山市校地共建产教融合基地建设项目一标段</v>
      </c>
    </row>
    <row r="3909" hidden="1" spans="2:18">
      <c r="B3909" s="128" t="s">
        <v>187</v>
      </c>
      <c r="C3909" s="63">
        <v>45928</v>
      </c>
      <c r="D3909" s="33" t="str">
        <f>VLOOKUP(B3909,辅助信息!E:K,7,FALSE)</f>
        <v>JWDDCD2025072900121</v>
      </c>
      <c r="E3909" s="33" t="str">
        <f>VLOOKUP(F3909,辅助信息!A:B,2,FALSE)</f>
        <v>盘螺</v>
      </c>
      <c r="F3909" s="33" t="s">
        <v>49</v>
      </c>
      <c r="G3909" s="29">
        <v>10</v>
      </c>
      <c r="H3909" s="127"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33" t="str">
        <f>VLOOKUP(B3909,辅助信息!E:I,3,FALSE)</f>
        <v>(乐山市校地共建产教融合基地建设项目一标段)四川省乐山市市中区苏稽镇周山嘴</v>
      </c>
      <c r="J3909" s="33" t="str">
        <f>VLOOKUP(B3909,辅助信息!E:I,4,FALSE)</f>
        <v>范增云</v>
      </c>
      <c r="K3909" s="33">
        <f>VLOOKUP(J3909,辅助信息!H:I,2,FALSE)</f>
        <v>13668153241</v>
      </c>
      <c r="L3909" s="102" t="str">
        <f>VLOOKUP(B3909,辅助信息!E:J,6,FALSE)</f>
        <v>联系实际收货人（范增云13668153241）现场要求炉批号控制2个以下，超2个不给予签收。提前联系到场规格及数量</v>
      </c>
      <c r="M3909" s="141">
        <v>45929</v>
      </c>
      <c r="O3909" s="55">
        <f ca="1" t="shared" si="204"/>
        <v>0</v>
      </c>
      <c r="P3909" s="55">
        <f ca="1" t="shared" si="205"/>
        <v>28</v>
      </c>
      <c r="Q3909" s="22" t="str">
        <f>VLOOKUP(B3909,辅助信息!E:M,9,FALSE)</f>
        <v>ZTWM-CDGS-XS-2025-0125-四川机司-乐山市校地共建产教融合基地配套设施项目施工一标段钢筋采购合同</v>
      </c>
      <c r="R3909" s="22" t="str">
        <f>_xlfn._xlws.FILTER(辅助信息!D:D,辅助信息!E:E=B3909)</f>
        <v>乐山市校地共建产教融合基地建设项目一标段</v>
      </c>
    </row>
    <row r="3910" hidden="1" spans="2:18">
      <c r="B3910" s="128" t="s">
        <v>187</v>
      </c>
      <c r="C3910" s="63">
        <v>45928</v>
      </c>
      <c r="D3910" s="33" t="str">
        <f>VLOOKUP(B3910,辅助信息!E:K,7,FALSE)</f>
        <v>JWDDCD2025072900121</v>
      </c>
      <c r="E3910" s="33" t="str">
        <f>VLOOKUP(F3910,辅助信息!A:B,2,FALSE)</f>
        <v>盘螺</v>
      </c>
      <c r="F3910" s="33" t="s">
        <v>40</v>
      </c>
      <c r="G3910" s="29">
        <v>25</v>
      </c>
      <c r="H3910" s="127"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33" t="str">
        <f>VLOOKUP(B3910,辅助信息!E:I,3,FALSE)</f>
        <v>(乐山市校地共建产教融合基地建设项目一标段)四川省乐山市市中区苏稽镇周山嘴</v>
      </c>
      <c r="J3910" s="33" t="str">
        <f>VLOOKUP(B3910,辅助信息!E:I,4,FALSE)</f>
        <v>范增云</v>
      </c>
      <c r="K3910" s="33">
        <f>VLOOKUP(J3910,辅助信息!H:I,2,FALSE)</f>
        <v>13668153241</v>
      </c>
      <c r="L3910" s="102" t="str">
        <f>VLOOKUP(B3910,辅助信息!E:J,6,FALSE)</f>
        <v>联系实际收货人（范增云13668153241）现场要求炉批号控制2个以下，超2个不给予签收。提前联系到场规格及数量</v>
      </c>
      <c r="M3910" s="141">
        <v>45929</v>
      </c>
      <c r="O3910" s="55">
        <f ca="1" t="shared" si="204"/>
        <v>0</v>
      </c>
      <c r="P3910" s="55">
        <f ca="1" t="shared" si="205"/>
        <v>28</v>
      </c>
      <c r="Q3910" s="22" t="str">
        <f>VLOOKUP(B3910,辅助信息!E:M,9,FALSE)</f>
        <v>ZTWM-CDGS-XS-2025-0125-四川机司-乐山市校地共建产教融合基地配套设施项目施工一标段钢筋采购合同</v>
      </c>
      <c r="R3910" s="22" t="str">
        <f>_xlfn._xlws.FILTER(辅助信息!D:D,辅助信息!E:E=B3910)</f>
        <v>乐山市校地共建产教融合基地建设项目一标段</v>
      </c>
    </row>
    <row r="3911" hidden="1" spans="2:18">
      <c r="B3911" s="128" t="s">
        <v>179</v>
      </c>
      <c r="C3911" s="63">
        <v>45928</v>
      </c>
      <c r="D3911" s="33" t="str">
        <f>VLOOKUP(B3911,辅助信息!E:K,7,FALSE)</f>
        <v>JWDDCD2025052800131</v>
      </c>
      <c r="E3911" s="33" t="str">
        <f>VLOOKUP(F3911,辅助信息!A:B,2,FALSE)</f>
        <v>螺纹钢</v>
      </c>
      <c r="F3911" s="33" t="s">
        <v>66</v>
      </c>
      <c r="G3911" s="29">
        <v>6</v>
      </c>
      <c r="H3911" s="127"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33" t="str">
        <f>VLOOKUP(B3911,辅助信息!E:I,3,FALSE)</f>
        <v>（商投建工达州中医药科技园-4工区-3号楼）达州市通川区达州中医药职业学院犀牛大道北段</v>
      </c>
      <c r="J3911" s="33" t="str">
        <f>VLOOKUP(B3911,辅助信息!E:I,4,FALSE)</f>
        <v>张扬</v>
      </c>
      <c r="K3911" s="33">
        <f>VLOOKUP(J3911,辅助信息!H:I,2,FALSE)</f>
        <v>18381904567</v>
      </c>
      <c r="L3911" s="102" t="str">
        <f>VLOOKUP(B3911,辅助信息!E:J,6,FALSE)</f>
        <v>控制炉批号！多了现场不收！,优先安排达钢,提前联系到场规格及数量</v>
      </c>
      <c r="M3911" s="141">
        <v>45929</v>
      </c>
      <c r="O3911" s="55">
        <f ca="1" t="shared" si="204"/>
        <v>0</v>
      </c>
      <c r="P3911" s="55">
        <f ca="1" t="shared" si="205"/>
        <v>28</v>
      </c>
      <c r="Q3911" s="22" t="str">
        <f>VLOOKUP(B3911,辅助信息!E:M,9,FALSE)</f>
        <v>ZTWM-CDGS-XS-2024-0134-商投建工达州中医药科技成果示范园项目</v>
      </c>
      <c r="R3911" s="22" t="str">
        <f>_xlfn._xlws.FILTER(辅助信息!D:D,辅助信息!E:E=B3911)</f>
        <v>商投建工达州中医药科技园</v>
      </c>
    </row>
    <row r="3912" hidden="1" spans="2:18">
      <c r="B3912" s="128" t="s">
        <v>179</v>
      </c>
      <c r="C3912" s="63">
        <v>45928</v>
      </c>
      <c r="D3912" s="33" t="str">
        <f>VLOOKUP(B3912,辅助信息!E:K,7,FALSE)</f>
        <v>JWDDCD2025052800131</v>
      </c>
      <c r="E3912" s="33" t="str">
        <f>VLOOKUP(F3912,辅助信息!A:B,2,FALSE)</f>
        <v>螺纹钢</v>
      </c>
      <c r="F3912" s="33" t="s">
        <v>21</v>
      </c>
      <c r="G3912" s="29">
        <v>6</v>
      </c>
      <c r="H3912" s="127"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33" t="str">
        <f>VLOOKUP(B3912,辅助信息!E:I,3,FALSE)</f>
        <v>（商投建工达州中医药科技园-4工区-3号楼）达州市通川区达州中医药职业学院犀牛大道北段</v>
      </c>
      <c r="J3912" s="33" t="str">
        <f>VLOOKUP(B3912,辅助信息!E:I,4,FALSE)</f>
        <v>张扬</v>
      </c>
      <c r="K3912" s="33">
        <f>VLOOKUP(J3912,辅助信息!H:I,2,FALSE)</f>
        <v>18381904567</v>
      </c>
      <c r="L3912" s="102" t="str">
        <f>VLOOKUP(B3912,辅助信息!E:J,6,FALSE)</f>
        <v>控制炉批号！多了现场不收！,优先安排达钢,提前联系到场规格及数量</v>
      </c>
      <c r="M3912" s="141">
        <v>45929</v>
      </c>
      <c r="O3912" s="55">
        <f ca="1" t="shared" si="204"/>
        <v>0</v>
      </c>
      <c r="P3912" s="55">
        <f ca="1" t="shared" si="205"/>
        <v>28</v>
      </c>
      <c r="Q3912" s="22" t="str">
        <f>VLOOKUP(B3912,辅助信息!E:M,9,FALSE)</f>
        <v>ZTWM-CDGS-XS-2024-0134-商投建工达州中医药科技成果示范园项目</v>
      </c>
      <c r="R3912" s="22" t="str">
        <f>_xlfn._xlws.FILTER(辅助信息!D:D,辅助信息!E:E=B3912)</f>
        <v>商投建工达州中医药科技园</v>
      </c>
    </row>
    <row r="3913" hidden="1" spans="2:18">
      <c r="B3913" s="128" t="s">
        <v>179</v>
      </c>
      <c r="C3913" s="63">
        <v>45928</v>
      </c>
      <c r="D3913" s="33" t="str">
        <f>VLOOKUP(B3913,辅助信息!E:K,7,FALSE)</f>
        <v>JWDDCD2025052800131</v>
      </c>
      <c r="E3913" s="33" t="str">
        <f>VLOOKUP(F3913,辅助信息!A:B,2,FALSE)</f>
        <v>螺纹钢</v>
      </c>
      <c r="F3913" s="33" t="s">
        <v>58</v>
      </c>
      <c r="G3913" s="29">
        <v>15</v>
      </c>
      <c r="H3913" s="127"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33" t="str">
        <f>VLOOKUP(B3913,辅助信息!E:I,3,FALSE)</f>
        <v>（商投建工达州中医药科技园-4工区-3号楼）达州市通川区达州中医药职业学院犀牛大道北段</v>
      </c>
      <c r="J3913" s="33" t="str">
        <f>VLOOKUP(B3913,辅助信息!E:I,4,FALSE)</f>
        <v>张扬</v>
      </c>
      <c r="K3913" s="33">
        <f>VLOOKUP(J3913,辅助信息!H:I,2,FALSE)</f>
        <v>18381904567</v>
      </c>
      <c r="L3913" s="102" t="str">
        <f>VLOOKUP(B3913,辅助信息!E:J,6,FALSE)</f>
        <v>控制炉批号！多了现场不收！,优先安排达钢,提前联系到场规格及数量</v>
      </c>
      <c r="M3913" s="141">
        <v>45929</v>
      </c>
      <c r="O3913" s="55">
        <f ca="1" t="shared" si="204"/>
        <v>0</v>
      </c>
      <c r="P3913" s="55">
        <f ca="1" t="shared" si="205"/>
        <v>28</v>
      </c>
      <c r="Q3913" s="22" t="str">
        <f>VLOOKUP(B3913,辅助信息!E:M,9,FALSE)</f>
        <v>ZTWM-CDGS-XS-2024-0134-商投建工达州中医药科技成果示范园项目</v>
      </c>
      <c r="R3913" s="22" t="str">
        <f>_xlfn._xlws.FILTER(辅助信息!D:D,辅助信息!E:E=B3913)</f>
        <v>商投建工达州中医药科技园</v>
      </c>
    </row>
    <row r="3914" hidden="1" spans="2:18">
      <c r="B3914" s="129" t="s">
        <v>179</v>
      </c>
      <c r="C3914" s="63">
        <v>45928</v>
      </c>
      <c r="D3914" s="113" t="str">
        <f>VLOOKUP(B3914,辅助信息!E:K,7,FALSE)</f>
        <v>JWDDCD2025052800131</v>
      </c>
      <c r="E3914" s="113" t="str">
        <f>VLOOKUP(F3914,辅助信息!A:B,2,FALSE)</f>
        <v>螺纹钢</v>
      </c>
      <c r="F3914" s="113" t="s">
        <v>46</v>
      </c>
      <c r="G3914" s="114">
        <v>10</v>
      </c>
      <c r="H3914" s="127"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13" t="str">
        <f>VLOOKUP(B3914,辅助信息!E:I,3,FALSE)</f>
        <v>（商投建工达州中医药科技园-4工区-3号楼）达州市通川区达州中医药职业学院犀牛大道北段</v>
      </c>
      <c r="J3914" s="113" t="str">
        <f>VLOOKUP(B3914,辅助信息!E:I,4,FALSE)</f>
        <v>张扬</v>
      </c>
      <c r="K3914" s="113">
        <f>VLOOKUP(J3914,辅助信息!H:I,2,FALSE)</f>
        <v>18381904567</v>
      </c>
      <c r="L3914" s="115" t="str">
        <f>VLOOKUP(B3914,辅助信息!E:J,6,FALSE)</f>
        <v>控制炉批号！多了现场不收！,优先安排达钢,提前联系到场规格及数量</v>
      </c>
      <c r="M3914" s="141">
        <v>45928</v>
      </c>
      <c r="O3914" s="55">
        <f ca="1" t="shared" si="204"/>
        <v>0</v>
      </c>
      <c r="P3914" s="55">
        <f ca="1" t="shared" si="205"/>
        <v>29</v>
      </c>
      <c r="Q3914" s="22" t="str">
        <f>VLOOKUP(B3914,辅助信息!E:M,9,FALSE)</f>
        <v>ZTWM-CDGS-XS-2024-0134-商投建工达州中医药科技成果示范园项目</v>
      </c>
      <c r="R3914" s="22" t="str">
        <f>_xlfn._xlws.FILTER(辅助信息!D:D,辅助信息!E:E=B3914)</f>
        <v>商投建工达州中医药科技园</v>
      </c>
    </row>
    <row r="3915" hidden="1" spans="2:18">
      <c r="B3915" s="129" t="s">
        <v>179</v>
      </c>
      <c r="C3915" s="63">
        <v>45928</v>
      </c>
      <c r="D3915" s="113" t="str">
        <f>VLOOKUP(B3915,辅助信息!E:K,7,FALSE)</f>
        <v>JWDDCD2025052800131</v>
      </c>
      <c r="E3915" s="113" t="str">
        <f>VLOOKUP(F3915,辅助信息!A:B,2,FALSE)</f>
        <v>盘螺</v>
      </c>
      <c r="F3915" s="113" t="s">
        <v>41</v>
      </c>
      <c r="G3915" s="114">
        <v>9</v>
      </c>
      <c r="H3915" s="127"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13" t="str">
        <f>VLOOKUP(B3915,辅助信息!E:I,3,FALSE)</f>
        <v>（商投建工达州中医药科技园-4工区-3号楼）达州市通川区达州中医药职业学院犀牛大道北段</v>
      </c>
      <c r="J3915" s="113" t="str">
        <f>VLOOKUP(B3915,辅助信息!E:I,4,FALSE)</f>
        <v>张扬</v>
      </c>
      <c r="K3915" s="113">
        <f>VLOOKUP(J3915,辅助信息!H:I,2,FALSE)</f>
        <v>18381904567</v>
      </c>
      <c r="L3915" s="115" t="str">
        <f>VLOOKUP(B3915,辅助信息!E:J,6,FALSE)</f>
        <v>控制炉批号！多了现场不收！,优先安排达钢,提前联系到场规格及数量</v>
      </c>
      <c r="M3915" s="141">
        <v>45928</v>
      </c>
      <c r="O3915" s="55">
        <f ca="1" t="shared" si="204"/>
        <v>0</v>
      </c>
      <c r="P3915" s="55">
        <f ca="1" t="shared" si="205"/>
        <v>29</v>
      </c>
      <c r="Q3915" s="22" t="str">
        <f>VLOOKUP(B3915,辅助信息!E:M,9,FALSE)</f>
        <v>ZTWM-CDGS-XS-2024-0134-商投建工达州中医药科技成果示范园项目</v>
      </c>
      <c r="R3915" s="22" t="str">
        <f>_xlfn._xlws.FILTER(辅助信息!D:D,辅助信息!E:E=B3915)</f>
        <v>商投建工达州中医药科技园</v>
      </c>
    </row>
    <row r="3916" hidden="1" spans="2:18">
      <c r="B3916" s="128" t="s">
        <v>179</v>
      </c>
      <c r="C3916" s="63">
        <v>45928</v>
      </c>
      <c r="D3916" s="33" t="str">
        <f>VLOOKUP(B3916,辅助信息!E:K,7,FALSE)</f>
        <v>JWDDCD2025052800131</v>
      </c>
      <c r="E3916" s="33" t="str">
        <f>VLOOKUP(F3916,辅助信息!A:B,2,FALSE)</f>
        <v>盘螺</v>
      </c>
      <c r="F3916" s="33" t="s">
        <v>49</v>
      </c>
      <c r="G3916" s="29">
        <v>6</v>
      </c>
      <c r="H3916" s="127"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33" t="str">
        <f>VLOOKUP(B3916,辅助信息!E:I,3,FALSE)</f>
        <v>（商投建工达州中医药科技园-4工区-3号楼）达州市通川区达州中医药职业学院犀牛大道北段</v>
      </c>
      <c r="J3916" s="33" t="str">
        <f>VLOOKUP(B3916,辅助信息!E:I,4,FALSE)</f>
        <v>张扬</v>
      </c>
      <c r="K3916" s="33">
        <f>VLOOKUP(J3916,辅助信息!H:I,2,FALSE)</f>
        <v>18381904567</v>
      </c>
      <c r="L3916" s="102" t="str">
        <f>VLOOKUP(B3916,辅助信息!E:J,6,FALSE)</f>
        <v>控制炉批号！多了现场不收！,优先安排达钢,提前联系到场规格及数量</v>
      </c>
      <c r="M3916" s="141">
        <v>45929</v>
      </c>
      <c r="O3916" s="55">
        <f ca="1" t="shared" si="204"/>
        <v>0</v>
      </c>
      <c r="P3916" s="55">
        <f ca="1" t="shared" si="205"/>
        <v>28</v>
      </c>
      <c r="Q3916" s="22" t="str">
        <f>VLOOKUP(B3916,辅助信息!E:M,9,FALSE)</f>
        <v>ZTWM-CDGS-XS-2024-0134-商投建工达州中医药科技成果示范园项目</v>
      </c>
      <c r="R3916" s="22" t="str">
        <f>_xlfn._xlws.FILTER(辅助信息!D:D,辅助信息!E:E=B3916)</f>
        <v>商投建工达州中医药科技园</v>
      </c>
    </row>
    <row r="3917" hidden="1" spans="2:18">
      <c r="B3917" s="128" t="s">
        <v>179</v>
      </c>
      <c r="C3917" s="63">
        <v>45928</v>
      </c>
      <c r="D3917" s="33" t="str">
        <f>VLOOKUP(B3917,辅助信息!E:K,7,FALSE)</f>
        <v>JWDDCD2025052800131</v>
      </c>
      <c r="E3917" s="33" t="str">
        <f>VLOOKUP(F3917,辅助信息!A:B,2,FALSE)</f>
        <v>盘螺</v>
      </c>
      <c r="F3917" s="33" t="s">
        <v>40</v>
      </c>
      <c r="G3917" s="29">
        <v>21</v>
      </c>
      <c r="H3917" s="127"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33" t="str">
        <f>VLOOKUP(B3917,辅助信息!E:I,3,FALSE)</f>
        <v>（商投建工达州中医药科技园-4工区-3号楼）达州市通川区达州中医药职业学院犀牛大道北段</v>
      </c>
      <c r="J3917" s="33" t="str">
        <f>VLOOKUP(B3917,辅助信息!E:I,4,FALSE)</f>
        <v>张扬</v>
      </c>
      <c r="K3917" s="33">
        <f>VLOOKUP(J3917,辅助信息!H:I,2,FALSE)</f>
        <v>18381904567</v>
      </c>
      <c r="L3917" s="102" t="str">
        <f>VLOOKUP(B3917,辅助信息!E:J,6,FALSE)</f>
        <v>控制炉批号！多了现场不收！,优先安排达钢,提前联系到场规格及数量</v>
      </c>
      <c r="M3917" s="141">
        <v>45929</v>
      </c>
      <c r="O3917" s="55">
        <f ca="1" t="shared" si="204"/>
        <v>0</v>
      </c>
      <c r="P3917" s="55">
        <f ca="1" t="shared" si="205"/>
        <v>28</v>
      </c>
      <c r="Q3917" s="22" t="str">
        <f>VLOOKUP(B3917,辅助信息!E:M,9,FALSE)</f>
        <v>ZTWM-CDGS-XS-2024-0134-商投建工达州中医药科技成果示范园项目</v>
      </c>
      <c r="R3917" s="22" t="str">
        <f>_xlfn._xlws.FILTER(辅助信息!D:D,辅助信息!E:E=B3917)</f>
        <v>商投建工达州中医药科技园</v>
      </c>
    </row>
    <row r="3918" hidden="1" spans="2:18">
      <c r="B3918" s="128" t="s">
        <v>228</v>
      </c>
      <c r="C3918" s="63">
        <v>45928</v>
      </c>
      <c r="D3918" s="33" t="str">
        <f>VLOOKUP(B3918,辅助信息!E:K,7,FALSE)</f>
        <v>JWDDCD2025092400190</v>
      </c>
      <c r="E3918" s="33" t="str">
        <f>VLOOKUP(F3918,辅助信息!A:B,2,FALSE)</f>
        <v>螺纹钢</v>
      </c>
      <c r="F3918" s="33" t="s">
        <v>27</v>
      </c>
      <c r="G3918" s="29">
        <v>32</v>
      </c>
      <c r="H3918" s="127">
        <f>IF(SUMIFS('[1]2025年已发货'!$E:$E,'[1]2025年已发货'!$F:$F,C3918,'[1]2025年已发货'!$C:$C,F3918,'[1]2025年已发货'!$G:$G,I3918,'[1]2025年已发货'!$H:$H,J3918)=0,"未发货",SUMIFS('[1]2025年已发货'!$E:$E,'[1]2025年已发货'!$F:$F,C3918,'[1]2025年已发货'!$C:$C,F3918,'[1]2025年已发货'!$G:$G,I3918,'[1]2025年已发货'!$H:$H,J3918))</f>
        <v>32</v>
      </c>
      <c r="I3918" s="33" t="str">
        <f>VLOOKUP(B3918,辅助信息!E:I,3,FALSE)</f>
        <v>(五冶钢构龙泉东洪片区70亩住宅、商业及配套工程项目二标段)成都市龙泉驿外东洪路地铁2号线惠王陵地铁C口</v>
      </c>
      <c r="J3918" s="33" t="str">
        <f>VLOOKUP(B3918,辅助信息!E:I,4,FALSE)</f>
        <v>蒋嗣伟</v>
      </c>
      <c r="K3918" s="33">
        <f>VLOOKUP(J3918,辅助信息!H:I,2,FALSE)</f>
        <v>15014331252</v>
      </c>
      <c r="L3918" s="102">
        <f>VLOOKUP(B3918,辅助信息!E:J,6,FALSE)</f>
        <v>0</v>
      </c>
      <c r="M3918" s="141">
        <v>45929</v>
      </c>
      <c r="O3918" s="55">
        <f ca="1" t="shared" si="204"/>
        <v>0</v>
      </c>
      <c r="P3918" s="55">
        <f ca="1" t="shared" si="205"/>
        <v>28</v>
      </c>
      <c r="Q3918" s="22" t="str">
        <f>VLOOKUP(B3918,辅助信息!E:M,9,FALSE)</f>
        <v>ZTWM-CDGS-XS-2025-0156-五冶钢构-2025年九月第一批次钢筋采购合同(三圣乡项目)-中铁物贸成都公司</v>
      </c>
      <c r="R3918" s="22" t="str">
        <f>_xlfn._xlws.FILTER(辅助信息!D:D,辅助信息!E:E=B3918)</f>
        <v>五冶钢构龙泉东洪片区70亩住宅、商业及配套工程项目二标段</v>
      </c>
    </row>
    <row r="3919" hidden="1" spans="2:18">
      <c r="B3919" s="128" t="s">
        <v>228</v>
      </c>
      <c r="C3919" s="63">
        <v>45928</v>
      </c>
      <c r="D3919" s="33" t="str">
        <f>VLOOKUP(B3919,辅助信息!E:K,7,FALSE)</f>
        <v>JWDDCD2025092400190</v>
      </c>
      <c r="E3919" s="33" t="str">
        <f>VLOOKUP(F3919,辅助信息!A:B,2,FALSE)</f>
        <v>螺纹钢</v>
      </c>
      <c r="F3919" s="33" t="s">
        <v>30</v>
      </c>
      <c r="G3919" s="29">
        <v>15</v>
      </c>
      <c r="H3919" s="127">
        <f>IF(SUMIFS('[1]2025年已发货'!$E:$E,'[1]2025年已发货'!$F:$F,C3919,'[1]2025年已发货'!$C:$C,F3919,'[1]2025年已发货'!$G:$G,I3919,'[1]2025年已发货'!$H:$H,J3919)=0,"未发货",SUMIFS('[1]2025年已发货'!$E:$E,'[1]2025年已发货'!$F:$F,C3919,'[1]2025年已发货'!$C:$C,F3919,'[1]2025年已发货'!$G:$G,I3919,'[1]2025年已发货'!$H:$H,J3919))</f>
        <v>15</v>
      </c>
      <c r="I3919" s="33" t="str">
        <f>VLOOKUP(B3919,辅助信息!E:I,3,FALSE)</f>
        <v>(五冶钢构龙泉东洪片区70亩住宅、商业及配套工程项目二标段)成都市龙泉驿外东洪路地铁2号线惠王陵地铁C口</v>
      </c>
      <c r="J3919" s="33" t="str">
        <f>VLOOKUP(B3919,辅助信息!E:I,4,FALSE)</f>
        <v>蒋嗣伟</v>
      </c>
      <c r="K3919" s="33">
        <f>VLOOKUP(J3919,辅助信息!H:I,2,FALSE)</f>
        <v>15014331252</v>
      </c>
      <c r="L3919" s="102">
        <f>VLOOKUP(B3919,辅助信息!E:J,6,FALSE)</f>
        <v>0</v>
      </c>
      <c r="M3919" s="141">
        <v>45929</v>
      </c>
      <c r="O3919" s="55">
        <f ca="1" t="shared" si="204"/>
        <v>0</v>
      </c>
      <c r="P3919" s="55">
        <f ca="1" t="shared" si="205"/>
        <v>28</v>
      </c>
      <c r="Q3919" s="22" t="str">
        <f>VLOOKUP(B3919,辅助信息!E:M,9,FALSE)</f>
        <v>ZTWM-CDGS-XS-2025-0156-五冶钢构-2025年九月第一批次钢筋采购合同(三圣乡项目)-中铁物贸成都公司</v>
      </c>
      <c r="R3919" s="22" t="str">
        <f>_xlfn._xlws.FILTER(辅助信息!D:D,辅助信息!E:E=B3919)</f>
        <v>五冶钢构龙泉东洪片区70亩住宅、商业及配套工程项目二标段</v>
      </c>
    </row>
    <row r="3920" hidden="1" spans="2:18">
      <c r="B3920" s="128" t="s">
        <v>228</v>
      </c>
      <c r="C3920" s="63">
        <v>45928</v>
      </c>
      <c r="D3920" s="33" t="str">
        <f>VLOOKUP(B3920,辅助信息!E:K,7,FALSE)</f>
        <v>JWDDCD2025092400190</v>
      </c>
      <c r="E3920" s="33" t="str">
        <f>VLOOKUP(F3920,辅助信息!A:B,2,FALSE)</f>
        <v>螺纹钢</v>
      </c>
      <c r="F3920" s="33" t="s">
        <v>33</v>
      </c>
      <c r="G3920" s="29">
        <v>18</v>
      </c>
      <c r="H3920" s="127">
        <f>IF(SUMIFS('[1]2025年已发货'!$E:$E,'[1]2025年已发货'!$F:$F,C3920,'[1]2025年已发货'!$C:$C,F3920,'[1]2025年已发货'!$G:$G,I3920,'[1]2025年已发货'!$H:$H,J3920)=0,"未发货",SUMIFS('[1]2025年已发货'!$E:$E,'[1]2025年已发货'!$F:$F,C3920,'[1]2025年已发货'!$C:$C,F3920,'[1]2025年已发货'!$G:$G,I3920,'[1]2025年已发货'!$H:$H,J3920))</f>
        <v>18</v>
      </c>
      <c r="I3920" s="33" t="str">
        <f>VLOOKUP(B3920,辅助信息!E:I,3,FALSE)</f>
        <v>(五冶钢构龙泉东洪片区70亩住宅、商业及配套工程项目二标段)成都市龙泉驿外东洪路地铁2号线惠王陵地铁C口</v>
      </c>
      <c r="J3920" s="33" t="str">
        <f>VLOOKUP(B3920,辅助信息!E:I,4,FALSE)</f>
        <v>蒋嗣伟</v>
      </c>
      <c r="K3920" s="33">
        <f>VLOOKUP(J3920,辅助信息!H:I,2,FALSE)</f>
        <v>15014331252</v>
      </c>
      <c r="L3920" s="102">
        <f>VLOOKUP(B3920,辅助信息!E:J,6,FALSE)</f>
        <v>0</v>
      </c>
      <c r="M3920" s="141">
        <v>45929</v>
      </c>
      <c r="O3920" s="55">
        <f ca="1" t="shared" si="204"/>
        <v>0</v>
      </c>
      <c r="P3920" s="55">
        <f ca="1" t="shared" si="205"/>
        <v>28</v>
      </c>
      <c r="Q3920" s="22" t="str">
        <f>VLOOKUP(B3920,辅助信息!E:M,9,FALSE)</f>
        <v>ZTWM-CDGS-XS-2025-0156-五冶钢构-2025年九月第一批次钢筋采购合同(三圣乡项目)-中铁物贸成都公司</v>
      </c>
      <c r="R3920" s="22" t="str">
        <f>_xlfn._xlws.FILTER(辅助信息!D:D,辅助信息!E:E=B3920)</f>
        <v>五冶钢构龙泉东洪片区70亩住宅、商业及配套工程项目二标段</v>
      </c>
    </row>
    <row r="3921" hidden="1" spans="2:18">
      <c r="B3921" s="128" t="s">
        <v>228</v>
      </c>
      <c r="C3921" s="63">
        <v>45928</v>
      </c>
      <c r="D3921" s="33" t="str">
        <f>VLOOKUP(B3921,辅助信息!E:K,7,FALSE)</f>
        <v>JWDDCD2025092400190</v>
      </c>
      <c r="E3921" s="33" t="str">
        <f>VLOOKUP(F3921,辅助信息!A:B,2,FALSE)</f>
        <v>螺纹钢</v>
      </c>
      <c r="F3921" s="33" t="s">
        <v>28</v>
      </c>
      <c r="G3921" s="29">
        <v>8</v>
      </c>
      <c r="H3921" s="127">
        <f>IF(SUMIFS('[1]2025年已发货'!$E:$E,'[1]2025年已发货'!$F:$F,C3921,'[1]2025年已发货'!$C:$C,F3921,'[1]2025年已发货'!$G:$G,I3921,'[1]2025年已发货'!$H:$H,J3921)=0,"未发货",SUMIFS('[1]2025年已发货'!$E:$E,'[1]2025年已发货'!$F:$F,C3921,'[1]2025年已发货'!$C:$C,F3921,'[1]2025年已发货'!$G:$G,I3921,'[1]2025年已发货'!$H:$H,J3921))</f>
        <v>8</v>
      </c>
      <c r="I3921" s="33" t="str">
        <f>VLOOKUP(B3921,辅助信息!E:I,3,FALSE)</f>
        <v>(五冶钢构龙泉东洪片区70亩住宅、商业及配套工程项目二标段)成都市龙泉驿外东洪路地铁2号线惠王陵地铁C口</v>
      </c>
      <c r="J3921" s="33" t="str">
        <f>VLOOKUP(B3921,辅助信息!E:I,4,FALSE)</f>
        <v>蒋嗣伟</v>
      </c>
      <c r="K3921" s="33">
        <f>VLOOKUP(J3921,辅助信息!H:I,2,FALSE)</f>
        <v>15014331252</v>
      </c>
      <c r="L3921" s="102">
        <f>VLOOKUP(B3921,辅助信息!E:J,6,FALSE)</f>
        <v>0</v>
      </c>
      <c r="M3921" s="141">
        <v>45929</v>
      </c>
      <c r="O3921" s="55">
        <f ca="1" t="shared" si="204"/>
        <v>0</v>
      </c>
      <c r="P3921" s="55">
        <f ca="1" t="shared" si="205"/>
        <v>28</v>
      </c>
      <c r="Q3921" s="22" t="str">
        <f>VLOOKUP(B3921,辅助信息!E:M,9,FALSE)</f>
        <v>ZTWM-CDGS-XS-2025-0156-五冶钢构-2025年九月第一批次钢筋采购合同(三圣乡项目)-中铁物贸成都公司</v>
      </c>
      <c r="R3921" s="22" t="str">
        <f>_xlfn._xlws.FILTER(辅助信息!D:D,辅助信息!E:E=B3921)</f>
        <v>五冶钢构龙泉东洪片区70亩住宅、商业及配套工程项目二标段</v>
      </c>
    </row>
    <row r="3922" hidden="1" spans="2:18">
      <c r="B3922" s="128" t="s">
        <v>228</v>
      </c>
      <c r="C3922" s="63">
        <v>45928</v>
      </c>
      <c r="D3922" s="33" t="str">
        <f>VLOOKUP(B3922,辅助信息!E:K,7,FALSE)</f>
        <v>JWDDCD2025092400190</v>
      </c>
      <c r="E3922" s="33" t="str">
        <f>VLOOKUP(F3922,辅助信息!A:B,2,FALSE)</f>
        <v>螺纹钢</v>
      </c>
      <c r="F3922" s="33" t="s">
        <v>18</v>
      </c>
      <c r="G3922" s="29">
        <v>8</v>
      </c>
      <c r="H3922" s="127">
        <f>IF(SUMIFS('[1]2025年已发货'!$E:$E,'[1]2025年已发货'!$F:$F,C3922,'[1]2025年已发货'!$C:$C,F3922,'[1]2025年已发货'!$G:$G,I3922,'[1]2025年已发货'!$H:$H,J3922)=0,"未发货",SUMIFS('[1]2025年已发货'!$E:$E,'[1]2025年已发货'!$F:$F,C3922,'[1]2025年已发货'!$C:$C,F3922,'[1]2025年已发货'!$G:$G,I3922,'[1]2025年已发货'!$H:$H,J3922))</f>
        <v>8</v>
      </c>
      <c r="I3922" s="33" t="str">
        <f>VLOOKUP(B3922,辅助信息!E:I,3,FALSE)</f>
        <v>(五冶钢构龙泉东洪片区70亩住宅、商业及配套工程项目二标段)成都市龙泉驿外东洪路地铁2号线惠王陵地铁C口</v>
      </c>
      <c r="J3922" s="33" t="str">
        <f>VLOOKUP(B3922,辅助信息!E:I,4,FALSE)</f>
        <v>蒋嗣伟</v>
      </c>
      <c r="K3922" s="33">
        <f>VLOOKUP(J3922,辅助信息!H:I,2,FALSE)</f>
        <v>15014331252</v>
      </c>
      <c r="L3922" s="102">
        <f>VLOOKUP(B3922,辅助信息!E:J,6,FALSE)</f>
        <v>0</v>
      </c>
      <c r="M3922" s="141">
        <v>45929</v>
      </c>
      <c r="O3922" s="55">
        <f ca="1" t="shared" si="204"/>
        <v>0</v>
      </c>
      <c r="P3922" s="55">
        <f ca="1" t="shared" si="205"/>
        <v>28</v>
      </c>
      <c r="Q3922" s="22" t="str">
        <f>VLOOKUP(B3922,辅助信息!E:M,9,FALSE)</f>
        <v>ZTWM-CDGS-XS-2025-0156-五冶钢构-2025年九月第一批次钢筋采购合同(三圣乡项目)-中铁物贸成都公司</v>
      </c>
      <c r="R3922" s="22" t="str">
        <f>_xlfn._xlws.FILTER(辅助信息!D:D,辅助信息!E:E=B3922)</f>
        <v>五冶钢构龙泉东洪片区70亩住宅、商业及配套工程项目二标段</v>
      </c>
    </row>
    <row r="3923" hidden="1" spans="2:18">
      <c r="B3923" s="128" t="s">
        <v>228</v>
      </c>
      <c r="C3923" s="63">
        <v>45928</v>
      </c>
      <c r="D3923" s="33" t="str">
        <f>VLOOKUP(B3923,辅助信息!E:K,7,FALSE)</f>
        <v>JWDDCD2025092400190</v>
      </c>
      <c r="E3923" s="33" t="str">
        <f>VLOOKUP(F3923,辅助信息!A:B,2,FALSE)</f>
        <v>盘螺</v>
      </c>
      <c r="F3923" s="33" t="s">
        <v>41</v>
      </c>
      <c r="G3923" s="29">
        <v>30</v>
      </c>
      <c r="H3923" s="127">
        <f>IF(SUMIFS('[1]2025年已发货'!$E:$E,'[1]2025年已发货'!$F:$F,C3923,'[1]2025年已发货'!$C:$C,F3923,'[1]2025年已发货'!$G:$G,I3923,'[1]2025年已发货'!$H:$H,J3923)=0,"未发货",SUMIFS('[1]2025年已发货'!$E:$E,'[1]2025年已发货'!$F:$F,C3923,'[1]2025年已发货'!$C:$C,F3923,'[1]2025年已发货'!$G:$G,I3923,'[1]2025年已发货'!$H:$H,J3923))</f>
        <v>30</v>
      </c>
      <c r="I3923" s="33" t="str">
        <f>VLOOKUP(B3923,辅助信息!E:I,3,FALSE)</f>
        <v>(五冶钢构龙泉东洪片区70亩住宅、商业及配套工程项目二标段)成都市龙泉驿外东洪路地铁2号线惠王陵地铁C口</v>
      </c>
      <c r="J3923" s="33" t="str">
        <f>VLOOKUP(B3923,辅助信息!E:I,4,FALSE)</f>
        <v>蒋嗣伟</v>
      </c>
      <c r="K3923" s="33">
        <f>VLOOKUP(J3923,辅助信息!H:I,2,FALSE)</f>
        <v>15014331252</v>
      </c>
      <c r="L3923" s="102">
        <f>VLOOKUP(B3923,辅助信息!E:J,6,FALSE)</f>
        <v>0</v>
      </c>
      <c r="M3923" s="141">
        <v>45929</v>
      </c>
      <c r="O3923" s="55">
        <f ca="1" t="shared" si="204"/>
        <v>0</v>
      </c>
      <c r="P3923" s="55">
        <f ca="1" t="shared" si="205"/>
        <v>28</v>
      </c>
      <c r="Q3923" s="22" t="str">
        <f>VLOOKUP(B3923,辅助信息!E:M,9,FALSE)</f>
        <v>ZTWM-CDGS-XS-2025-0156-五冶钢构-2025年九月第一批次钢筋采购合同(三圣乡项目)-中铁物贸成都公司</v>
      </c>
      <c r="R3923" s="22" t="str">
        <f>_xlfn._xlws.FILTER(辅助信息!D:D,辅助信息!E:E=B3923)</f>
        <v>五冶钢构龙泉东洪片区70亩住宅、商业及配套工程项目二标段</v>
      </c>
    </row>
    <row r="3924" hidden="1" spans="2:18">
      <c r="B3924" s="128" t="s">
        <v>228</v>
      </c>
      <c r="C3924" s="63">
        <v>45928</v>
      </c>
      <c r="D3924" s="33" t="str">
        <f>VLOOKUP(B3924,辅助信息!E:K,7,FALSE)</f>
        <v>JWDDCD2025092400190</v>
      </c>
      <c r="E3924" s="33" t="str">
        <f>VLOOKUP(F3924,辅助信息!A:B,2,FALSE)</f>
        <v>盘螺</v>
      </c>
      <c r="F3924" s="33" t="s">
        <v>40</v>
      </c>
      <c r="G3924" s="29">
        <v>30</v>
      </c>
      <c r="H3924" s="127">
        <f>IF(SUMIFS('[1]2025年已发货'!$E:$E,'[1]2025年已发货'!$F:$F,C3924,'[1]2025年已发货'!$C:$C,F3924,'[1]2025年已发货'!$G:$G,I3924,'[1]2025年已发货'!$H:$H,J3924)=0,"未发货",SUMIFS('[1]2025年已发货'!$E:$E,'[1]2025年已发货'!$F:$F,C3924,'[1]2025年已发货'!$C:$C,F3924,'[1]2025年已发货'!$G:$G,I3924,'[1]2025年已发货'!$H:$H,J3924))</f>
        <v>30</v>
      </c>
      <c r="I3924" s="33" t="str">
        <f>VLOOKUP(B3924,辅助信息!E:I,3,FALSE)</f>
        <v>(五冶钢构龙泉东洪片区70亩住宅、商业及配套工程项目二标段)成都市龙泉驿外东洪路地铁2号线惠王陵地铁C口</v>
      </c>
      <c r="J3924" s="33" t="str">
        <f>VLOOKUP(B3924,辅助信息!E:I,4,FALSE)</f>
        <v>蒋嗣伟</v>
      </c>
      <c r="K3924" s="33">
        <f>VLOOKUP(J3924,辅助信息!H:I,2,FALSE)</f>
        <v>15014331252</v>
      </c>
      <c r="L3924" s="102">
        <f>VLOOKUP(B3924,辅助信息!E:J,6,FALSE)</f>
        <v>0</v>
      </c>
      <c r="M3924" s="141">
        <v>45929</v>
      </c>
      <c r="O3924" s="55">
        <f ca="1" t="shared" si="204"/>
        <v>0</v>
      </c>
      <c r="P3924" s="55">
        <f ca="1" t="shared" si="205"/>
        <v>28</v>
      </c>
      <c r="Q3924" s="22" t="str">
        <f>VLOOKUP(B3924,辅助信息!E:M,9,FALSE)</f>
        <v>ZTWM-CDGS-XS-2025-0156-五冶钢构-2025年九月第一批次钢筋采购合同(三圣乡项目)-中铁物贸成都公司</v>
      </c>
      <c r="R3924" s="22" t="str">
        <f>_xlfn._xlws.FILTER(辅助信息!D:D,辅助信息!E:E=B3924)</f>
        <v>五冶钢构龙泉东洪片区70亩住宅、商业及配套工程项目二标段</v>
      </c>
    </row>
    <row r="3925" hidden="1" spans="2:18">
      <c r="B3925" s="128" t="s">
        <v>224</v>
      </c>
      <c r="C3925" s="63">
        <v>45928</v>
      </c>
      <c r="D3925" s="33" t="str">
        <f>VLOOKUP(B3925,辅助信息!E:K,7,FALSE)</f>
        <v>JWDDCD2025092400188</v>
      </c>
      <c r="E3925" s="33" t="str">
        <f>VLOOKUP(F3925,辅助信息!A:B,2,FALSE)</f>
        <v>螺纹钢</v>
      </c>
      <c r="F3925" s="33" t="s">
        <v>27</v>
      </c>
      <c r="G3925" s="29">
        <v>5</v>
      </c>
      <c r="H3925" s="127"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33" t="str">
        <f>VLOOKUP(B3925,辅助信息!E:I,3,FALSE)</f>
        <v>(五冶钢构龙泉东洪片区70亩住宅、商业及配套工程项目一标段)成都市龙泉驿外东洪路地铁2号线惠王陵地铁C口</v>
      </c>
      <c r="J3925" s="33" t="str">
        <f>VLOOKUP(B3925,辅助信息!E:I,4,FALSE)</f>
        <v>邹爱国</v>
      </c>
      <c r="K3925" s="33">
        <f>VLOOKUP(J3925,辅助信息!H:I,2,FALSE)</f>
        <v>13540231225</v>
      </c>
      <c r="L3925" s="102">
        <f>VLOOKUP(B3925,辅助信息!E:J,6,FALSE)</f>
        <v>0</v>
      </c>
      <c r="M3925" s="141">
        <v>45929</v>
      </c>
      <c r="O3925" s="55">
        <f ca="1" t="shared" si="204"/>
        <v>0</v>
      </c>
      <c r="P3925" s="55">
        <f ca="1" t="shared" si="205"/>
        <v>28</v>
      </c>
      <c r="Q3925" s="22" t="str">
        <f>VLOOKUP(B3925,辅助信息!E:M,9,FALSE)</f>
        <v>ZTWM-CDGS-XS-2025-0156-五冶钢构-2025年九月第一批次钢筋采购合同(三圣乡项目)-中铁物贸成都公司</v>
      </c>
      <c r="R3925" s="22" t="str">
        <f>_xlfn._xlws.FILTER(辅助信息!D:D,辅助信息!E:E=B3925)</f>
        <v>五冶钢构龙泉东洪片区70亩住宅、商业及配套工程项目一标段</v>
      </c>
    </row>
    <row r="3926" hidden="1" spans="2:18">
      <c r="B3926" s="128" t="s">
        <v>224</v>
      </c>
      <c r="C3926" s="63">
        <v>45928</v>
      </c>
      <c r="D3926" s="33" t="str">
        <f>VLOOKUP(B3926,辅助信息!E:K,7,FALSE)</f>
        <v>JWDDCD2025092400188</v>
      </c>
      <c r="E3926" s="33" t="str">
        <f>VLOOKUP(F3926,辅助信息!A:B,2,FALSE)</f>
        <v>螺纹钢</v>
      </c>
      <c r="F3926" s="33" t="s">
        <v>19</v>
      </c>
      <c r="G3926" s="29">
        <v>10</v>
      </c>
      <c r="H3926" s="127"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33" t="str">
        <f>VLOOKUP(B3926,辅助信息!E:I,3,FALSE)</f>
        <v>(五冶钢构龙泉东洪片区70亩住宅、商业及配套工程项目一标段)成都市龙泉驿外东洪路地铁2号线惠王陵地铁C口</v>
      </c>
      <c r="J3926" s="33" t="str">
        <f>VLOOKUP(B3926,辅助信息!E:I,4,FALSE)</f>
        <v>邹爱国</v>
      </c>
      <c r="K3926" s="33">
        <f>VLOOKUP(J3926,辅助信息!H:I,2,FALSE)</f>
        <v>13540231225</v>
      </c>
      <c r="L3926" s="102">
        <f>VLOOKUP(B3926,辅助信息!E:J,6,FALSE)</f>
        <v>0</v>
      </c>
      <c r="M3926" s="141">
        <v>45929</v>
      </c>
      <c r="O3926" s="55">
        <f ca="1" t="shared" si="204"/>
        <v>0</v>
      </c>
      <c r="P3926" s="55">
        <f ca="1" t="shared" si="205"/>
        <v>28</v>
      </c>
      <c r="Q3926" s="22" t="str">
        <f>VLOOKUP(B3926,辅助信息!E:M,9,FALSE)</f>
        <v>ZTWM-CDGS-XS-2025-0156-五冶钢构-2025年九月第一批次钢筋采购合同(三圣乡项目)-中铁物贸成都公司</v>
      </c>
      <c r="R3926" s="22" t="str">
        <f>_xlfn._xlws.FILTER(辅助信息!D:D,辅助信息!E:E=B3926)</f>
        <v>五冶钢构龙泉东洪片区70亩住宅、商业及配套工程项目一标段</v>
      </c>
    </row>
    <row r="3927" hidden="1" spans="2:18">
      <c r="B3927" s="128" t="s">
        <v>224</v>
      </c>
      <c r="C3927" s="63">
        <v>45928</v>
      </c>
      <c r="D3927" s="33" t="str">
        <f>VLOOKUP(B3927,辅助信息!E:K,7,FALSE)</f>
        <v>JWDDCD2025092400188</v>
      </c>
      <c r="E3927" s="33" t="str">
        <f>VLOOKUP(F3927,辅助信息!A:B,2,FALSE)</f>
        <v>螺纹钢</v>
      </c>
      <c r="F3927" s="33" t="s">
        <v>32</v>
      </c>
      <c r="G3927" s="29">
        <v>5</v>
      </c>
      <c r="H3927" s="127">
        <f>IF(SUMIFS('[1]2025年已发货'!$E:$E,'[1]2025年已发货'!$F:$F,C3927,'[1]2025年已发货'!$C:$C,F3927,'[1]2025年已发货'!$G:$G,I3927,'[1]2025年已发货'!$H:$H,J3927)=0,"未发货",SUMIFS('[1]2025年已发货'!$E:$E,'[1]2025年已发货'!$F:$F,C3927,'[1]2025年已发货'!$C:$C,F3927,'[1]2025年已发货'!$G:$G,I3927,'[1]2025年已发货'!$H:$H,J3927))</f>
        <v>5</v>
      </c>
      <c r="I3927" s="33" t="str">
        <f>VLOOKUP(B3927,辅助信息!E:I,3,FALSE)</f>
        <v>(五冶钢构龙泉东洪片区70亩住宅、商业及配套工程项目一标段)成都市龙泉驿外东洪路地铁2号线惠王陵地铁C口</v>
      </c>
      <c r="J3927" s="33" t="str">
        <f>VLOOKUP(B3927,辅助信息!E:I,4,FALSE)</f>
        <v>邹爱国</v>
      </c>
      <c r="K3927" s="33">
        <f>VLOOKUP(J3927,辅助信息!H:I,2,FALSE)</f>
        <v>13540231225</v>
      </c>
      <c r="L3927" s="102">
        <f>VLOOKUP(B3927,辅助信息!E:J,6,FALSE)</f>
        <v>0</v>
      </c>
      <c r="M3927" s="141">
        <v>45929</v>
      </c>
      <c r="O3927" s="55">
        <f ca="1" t="shared" si="204"/>
        <v>0</v>
      </c>
      <c r="P3927" s="55">
        <f ca="1" t="shared" si="205"/>
        <v>28</v>
      </c>
      <c r="Q3927" s="22" t="str">
        <f>VLOOKUP(B3927,辅助信息!E:M,9,FALSE)</f>
        <v>ZTWM-CDGS-XS-2025-0156-五冶钢构-2025年九月第一批次钢筋采购合同(三圣乡项目)-中铁物贸成都公司</v>
      </c>
      <c r="R3927" s="22" t="str">
        <f>_xlfn._xlws.FILTER(辅助信息!D:D,辅助信息!E:E=B3927)</f>
        <v>五冶钢构龙泉东洪片区70亩住宅、商业及配套工程项目一标段</v>
      </c>
    </row>
    <row r="3928" hidden="1" spans="2:18">
      <c r="B3928" s="128" t="s">
        <v>224</v>
      </c>
      <c r="C3928" s="63">
        <v>45928</v>
      </c>
      <c r="D3928" s="33" t="str">
        <f>VLOOKUP(B3928,辅助信息!E:K,7,FALSE)</f>
        <v>JWDDCD2025092400188</v>
      </c>
      <c r="E3928" s="33" t="str">
        <f>VLOOKUP(F3928,辅助信息!A:B,2,FALSE)</f>
        <v>螺纹钢</v>
      </c>
      <c r="F3928" s="33" t="s">
        <v>30</v>
      </c>
      <c r="G3928" s="29">
        <v>5</v>
      </c>
      <c r="H3928" s="127">
        <f>IF(SUMIFS('[1]2025年已发货'!$E:$E,'[1]2025年已发货'!$F:$F,C3928,'[1]2025年已发货'!$C:$C,F3928,'[1]2025年已发货'!$G:$G,I3928,'[1]2025年已发货'!$H:$H,J3928)=0,"未发货",SUMIFS('[1]2025年已发货'!$E:$E,'[1]2025年已发货'!$F:$F,C3928,'[1]2025年已发货'!$C:$C,F3928,'[1]2025年已发货'!$G:$G,I3928,'[1]2025年已发货'!$H:$H,J3928))</f>
        <v>5</v>
      </c>
      <c r="I3928" s="33" t="str">
        <f>VLOOKUP(B3928,辅助信息!E:I,3,FALSE)</f>
        <v>(五冶钢构龙泉东洪片区70亩住宅、商业及配套工程项目一标段)成都市龙泉驿外东洪路地铁2号线惠王陵地铁C口</v>
      </c>
      <c r="J3928" s="33" t="str">
        <f>VLOOKUP(B3928,辅助信息!E:I,4,FALSE)</f>
        <v>邹爱国</v>
      </c>
      <c r="K3928" s="33">
        <f>VLOOKUP(J3928,辅助信息!H:I,2,FALSE)</f>
        <v>13540231225</v>
      </c>
      <c r="L3928" s="102">
        <f>VLOOKUP(B3928,辅助信息!E:J,6,FALSE)</f>
        <v>0</v>
      </c>
      <c r="M3928" s="141">
        <v>45929</v>
      </c>
      <c r="O3928" s="55">
        <f ca="1" t="shared" si="204"/>
        <v>0</v>
      </c>
      <c r="P3928" s="55">
        <f ca="1" t="shared" si="205"/>
        <v>28</v>
      </c>
      <c r="Q3928" s="22" t="str">
        <f>VLOOKUP(B3928,辅助信息!E:M,9,FALSE)</f>
        <v>ZTWM-CDGS-XS-2025-0156-五冶钢构-2025年九月第一批次钢筋采购合同(三圣乡项目)-中铁物贸成都公司</v>
      </c>
      <c r="R3928" s="22" t="str">
        <f>_xlfn._xlws.FILTER(辅助信息!D:D,辅助信息!E:E=B3928)</f>
        <v>五冶钢构龙泉东洪片区70亩住宅、商业及配套工程项目一标段</v>
      </c>
    </row>
    <row r="3929" hidden="1" spans="2:18">
      <c r="B3929" s="128" t="s">
        <v>224</v>
      </c>
      <c r="C3929" s="63">
        <v>45928</v>
      </c>
      <c r="D3929" s="33" t="str">
        <f>VLOOKUP(B3929,辅助信息!E:K,7,FALSE)</f>
        <v>JWDDCD2025092400188</v>
      </c>
      <c r="E3929" s="33" t="str">
        <f>VLOOKUP(F3929,辅助信息!A:B,2,FALSE)</f>
        <v>螺纹钢</v>
      </c>
      <c r="F3929" s="33" t="s">
        <v>33</v>
      </c>
      <c r="G3929" s="29">
        <v>5</v>
      </c>
      <c r="H3929" s="127">
        <f>IF(SUMIFS('[1]2025年已发货'!$E:$E,'[1]2025年已发货'!$F:$F,C3929,'[1]2025年已发货'!$C:$C,F3929,'[1]2025年已发货'!$G:$G,I3929,'[1]2025年已发货'!$H:$H,J3929)=0,"未发货",SUMIFS('[1]2025年已发货'!$E:$E,'[1]2025年已发货'!$F:$F,C3929,'[1]2025年已发货'!$C:$C,F3929,'[1]2025年已发货'!$G:$G,I3929,'[1]2025年已发货'!$H:$H,J3929))</f>
        <v>5</v>
      </c>
      <c r="I3929" s="33" t="str">
        <f>VLOOKUP(B3929,辅助信息!E:I,3,FALSE)</f>
        <v>(五冶钢构龙泉东洪片区70亩住宅、商业及配套工程项目一标段)成都市龙泉驿外东洪路地铁2号线惠王陵地铁C口</v>
      </c>
      <c r="J3929" s="33" t="str">
        <f>VLOOKUP(B3929,辅助信息!E:I,4,FALSE)</f>
        <v>邹爱国</v>
      </c>
      <c r="K3929" s="33">
        <f>VLOOKUP(J3929,辅助信息!H:I,2,FALSE)</f>
        <v>13540231225</v>
      </c>
      <c r="L3929" s="102">
        <f>VLOOKUP(B3929,辅助信息!E:J,6,FALSE)</f>
        <v>0</v>
      </c>
      <c r="M3929" s="141">
        <v>45929</v>
      </c>
      <c r="O3929" s="55">
        <f ca="1" t="shared" si="204"/>
        <v>0</v>
      </c>
      <c r="P3929" s="55">
        <f ca="1" t="shared" si="205"/>
        <v>28</v>
      </c>
      <c r="Q3929" s="22" t="str">
        <f>VLOOKUP(B3929,辅助信息!E:M,9,FALSE)</f>
        <v>ZTWM-CDGS-XS-2025-0156-五冶钢构-2025年九月第一批次钢筋采购合同(三圣乡项目)-中铁物贸成都公司</v>
      </c>
      <c r="R3929" s="22" t="str">
        <f>_xlfn._xlws.FILTER(辅助信息!D:D,辅助信息!E:E=B3929)</f>
        <v>五冶钢构龙泉东洪片区70亩住宅、商业及配套工程项目一标段</v>
      </c>
    </row>
    <row r="3930" hidden="1" spans="2:18">
      <c r="B3930" s="128" t="s">
        <v>224</v>
      </c>
      <c r="C3930" s="63">
        <v>45928</v>
      </c>
      <c r="D3930" s="33" t="str">
        <f>VLOOKUP(B3930,辅助信息!E:K,7,FALSE)</f>
        <v>JWDDCD2025092400188</v>
      </c>
      <c r="E3930" s="33" t="str">
        <f>VLOOKUP(F3930,辅助信息!A:B,2,FALSE)</f>
        <v>螺纹钢</v>
      </c>
      <c r="F3930" s="33" t="s">
        <v>28</v>
      </c>
      <c r="G3930" s="29">
        <v>5</v>
      </c>
      <c r="H3930" s="127">
        <f>IF(SUMIFS('[1]2025年已发货'!$E:$E,'[1]2025年已发货'!$F:$F,C3930,'[1]2025年已发货'!$C:$C,F3930,'[1]2025年已发货'!$G:$G,I3930,'[1]2025年已发货'!$H:$H,J3930)=0,"未发货",SUMIFS('[1]2025年已发货'!$E:$E,'[1]2025年已发货'!$F:$F,C3930,'[1]2025年已发货'!$C:$C,F3930,'[1]2025年已发货'!$G:$G,I3930,'[1]2025年已发货'!$H:$H,J3930))</f>
        <v>5</v>
      </c>
      <c r="I3930" s="33" t="str">
        <f>VLOOKUP(B3930,辅助信息!E:I,3,FALSE)</f>
        <v>(五冶钢构龙泉东洪片区70亩住宅、商业及配套工程项目一标段)成都市龙泉驿外东洪路地铁2号线惠王陵地铁C口</v>
      </c>
      <c r="J3930" s="33" t="str">
        <f>VLOOKUP(B3930,辅助信息!E:I,4,FALSE)</f>
        <v>邹爱国</v>
      </c>
      <c r="K3930" s="33">
        <f>VLOOKUP(J3930,辅助信息!H:I,2,FALSE)</f>
        <v>13540231225</v>
      </c>
      <c r="L3930" s="102">
        <f>VLOOKUP(B3930,辅助信息!E:J,6,FALSE)</f>
        <v>0</v>
      </c>
      <c r="M3930" s="141">
        <v>45929</v>
      </c>
      <c r="O3930" s="55">
        <f ca="1" t="shared" si="204"/>
        <v>0</v>
      </c>
      <c r="P3930" s="55">
        <f ca="1" t="shared" si="205"/>
        <v>28</v>
      </c>
      <c r="Q3930" s="22" t="str">
        <f>VLOOKUP(B3930,辅助信息!E:M,9,FALSE)</f>
        <v>ZTWM-CDGS-XS-2025-0156-五冶钢构-2025年九月第一批次钢筋采购合同(三圣乡项目)-中铁物贸成都公司</v>
      </c>
      <c r="R3930" s="22" t="str">
        <f>_xlfn._xlws.FILTER(辅助信息!D:D,辅助信息!E:E=B3930)</f>
        <v>五冶钢构龙泉东洪片区70亩住宅、商业及配套工程项目一标段</v>
      </c>
    </row>
    <row r="3931" hidden="1" spans="2:18">
      <c r="B3931" s="128" t="s">
        <v>226</v>
      </c>
      <c r="C3931" s="63">
        <v>45928</v>
      </c>
      <c r="D3931" s="33" t="str">
        <f>VLOOKUP(B3931,辅助信息!E:K,7,FALSE)</f>
        <v>JWDDCD2025092400211</v>
      </c>
      <c r="E3931" s="33" t="str">
        <f>VLOOKUP(F3931,辅助信息!A:B,2,FALSE)</f>
        <v>螺纹钢</v>
      </c>
      <c r="F3931" s="33" t="s">
        <v>32</v>
      </c>
      <c r="G3931" s="29">
        <v>9</v>
      </c>
      <c r="H3931" s="127">
        <f>IF(SUMIFS('[1]2025年已发货'!$E:$E,'[1]2025年已发货'!$F:$F,C3931,'[1]2025年已发货'!$C:$C,F3931,'[1]2025年已发货'!$G:$G,I3931,'[1]2025年已发货'!$H:$H,J3931)=0,"未发货",SUMIFS('[1]2025年已发货'!$E:$E,'[1]2025年已发货'!$F:$F,C3931,'[1]2025年已发货'!$C:$C,F3931,'[1]2025年已发货'!$G:$G,I3931,'[1]2025年已发货'!$H:$H,J3931))</f>
        <v>9</v>
      </c>
      <c r="I3931" s="33" t="str">
        <f>VLOOKUP(B3931,辅助信息!E:I,3,FALSE)</f>
        <v>(五冶钢构龙泉东洪片区85亩住宅、商业及配套工程项目二标段)成都市龙泉驿外东洪路地铁2号线惠王陵地铁C口</v>
      </c>
      <c r="J3931" s="33" t="str">
        <f>VLOOKUP(B3931,辅助信息!E:I,4,FALSE)</f>
        <v>李渊</v>
      </c>
      <c r="K3931" s="33">
        <f>VLOOKUP(J3931,辅助信息!H:I,2,FALSE)</f>
        <v>18381013849</v>
      </c>
      <c r="L3931" s="102">
        <f>VLOOKUP(B3931,辅助信息!E:J,6,FALSE)</f>
        <v>0</v>
      </c>
      <c r="M3931" s="141">
        <v>45929</v>
      </c>
      <c r="O3931" s="55">
        <f ca="1" t="shared" si="204"/>
        <v>0</v>
      </c>
      <c r="P3931" s="55">
        <f ca="1" t="shared" si="205"/>
        <v>28</v>
      </c>
      <c r="Q3931" s="22" t="str">
        <f>VLOOKUP(B3931,辅助信息!E:M,9,FALSE)</f>
        <v>ZTWM-CDGS-XS-2025-0156-五冶钢构-2025年九月第一批次钢筋采购合同(三圣乡项目)-中铁物贸成都公司</v>
      </c>
      <c r="R3931" s="22" t="str">
        <f>_xlfn._xlws.FILTER(辅助信息!D:D,辅助信息!E:E=B3931)</f>
        <v>五冶钢构龙泉东洪片区85亩住宅、商业及配套工程项目二标段</v>
      </c>
    </row>
    <row r="3932" hidden="1" spans="2:18">
      <c r="B3932" s="128" t="s">
        <v>226</v>
      </c>
      <c r="C3932" s="63">
        <v>45928</v>
      </c>
      <c r="D3932" s="33" t="str">
        <f>VLOOKUP(B3932,辅助信息!E:K,7,FALSE)</f>
        <v>JWDDCD2025092400211</v>
      </c>
      <c r="E3932" s="33" t="str">
        <f>VLOOKUP(F3932,辅助信息!A:B,2,FALSE)</f>
        <v>螺纹钢</v>
      </c>
      <c r="F3932" s="33" t="s">
        <v>33</v>
      </c>
      <c r="G3932" s="29">
        <v>12</v>
      </c>
      <c r="H3932" s="127">
        <f>IF(SUMIFS('[1]2025年已发货'!$E:$E,'[1]2025年已发货'!$F:$F,C3932,'[1]2025年已发货'!$C:$C,F3932,'[1]2025年已发货'!$G:$G,I3932,'[1]2025年已发货'!$H:$H,J3932)=0,"未发货",SUMIFS('[1]2025年已发货'!$E:$E,'[1]2025年已发货'!$F:$F,C3932,'[1]2025年已发货'!$C:$C,F3932,'[1]2025年已发货'!$G:$G,I3932,'[1]2025年已发货'!$H:$H,J3932))</f>
        <v>12</v>
      </c>
      <c r="I3932" s="33" t="str">
        <f>VLOOKUP(B3932,辅助信息!E:I,3,FALSE)</f>
        <v>(五冶钢构龙泉东洪片区85亩住宅、商业及配套工程项目二标段)成都市龙泉驿外东洪路地铁2号线惠王陵地铁C口</v>
      </c>
      <c r="J3932" s="33" t="str">
        <f>VLOOKUP(B3932,辅助信息!E:I,4,FALSE)</f>
        <v>李渊</v>
      </c>
      <c r="K3932" s="33">
        <f>VLOOKUP(J3932,辅助信息!H:I,2,FALSE)</f>
        <v>18381013849</v>
      </c>
      <c r="L3932" s="102">
        <f>VLOOKUP(B3932,辅助信息!E:J,6,FALSE)</f>
        <v>0</v>
      </c>
      <c r="M3932" s="141">
        <v>45929</v>
      </c>
      <c r="O3932" s="55">
        <f ca="1" t="shared" si="204"/>
        <v>0</v>
      </c>
      <c r="P3932" s="55">
        <f ca="1" t="shared" si="205"/>
        <v>28</v>
      </c>
      <c r="Q3932" s="22" t="str">
        <f>VLOOKUP(B3932,辅助信息!E:M,9,FALSE)</f>
        <v>ZTWM-CDGS-XS-2025-0156-五冶钢构-2025年九月第一批次钢筋采购合同(三圣乡项目)-中铁物贸成都公司</v>
      </c>
      <c r="R3932" s="22" t="str">
        <f>_xlfn._xlws.FILTER(辅助信息!D:D,辅助信息!E:E=B3932)</f>
        <v>五冶钢构龙泉东洪片区85亩住宅、商业及配套工程项目二标段</v>
      </c>
    </row>
    <row r="3933" hidden="1" spans="2:18">
      <c r="B3933" s="128" t="s">
        <v>226</v>
      </c>
      <c r="C3933" s="63">
        <v>45928</v>
      </c>
      <c r="D3933" s="33" t="str">
        <f>VLOOKUP(B3933,辅助信息!E:K,7,FALSE)</f>
        <v>JWDDCD2025092400211</v>
      </c>
      <c r="E3933" s="33" t="str">
        <f>VLOOKUP(F3933,辅助信息!A:B,2,FALSE)</f>
        <v>螺纹钢</v>
      </c>
      <c r="F3933" s="33" t="s">
        <v>46</v>
      </c>
      <c r="G3933" s="29">
        <v>32</v>
      </c>
      <c r="H3933" s="127">
        <f>IF(SUMIFS('[1]2025年已发货'!$E:$E,'[1]2025年已发货'!$F:$F,C3933,'[1]2025年已发货'!$C:$C,F3933,'[1]2025年已发货'!$G:$G,I3933,'[1]2025年已发货'!$H:$H,J3933)=0,"未发货",SUMIFS('[1]2025年已发货'!$E:$E,'[1]2025年已发货'!$F:$F,C3933,'[1]2025年已发货'!$C:$C,F3933,'[1]2025年已发货'!$G:$G,I3933,'[1]2025年已发货'!$H:$H,J3933))</f>
        <v>15</v>
      </c>
      <c r="I3933" s="33" t="str">
        <f>VLOOKUP(B3933,辅助信息!E:I,3,FALSE)</f>
        <v>(五冶钢构龙泉东洪片区85亩住宅、商业及配套工程项目二标段)成都市龙泉驿外东洪路地铁2号线惠王陵地铁C口</v>
      </c>
      <c r="J3933" s="33" t="str">
        <f>VLOOKUP(B3933,辅助信息!E:I,4,FALSE)</f>
        <v>李渊</v>
      </c>
      <c r="K3933" s="33">
        <f>VLOOKUP(J3933,辅助信息!H:I,2,FALSE)</f>
        <v>18381013849</v>
      </c>
      <c r="L3933" s="102">
        <f>VLOOKUP(B3933,辅助信息!E:J,6,FALSE)</f>
        <v>0</v>
      </c>
      <c r="M3933" s="141">
        <v>45929</v>
      </c>
      <c r="O3933" s="55">
        <f ca="1" t="shared" si="204"/>
        <v>0</v>
      </c>
      <c r="P3933" s="55">
        <f ca="1" t="shared" si="205"/>
        <v>28</v>
      </c>
      <c r="Q3933" s="22" t="str">
        <f>VLOOKUP(B3933,辅助信息!E:M,9,FALSE)</f>
        <v>ZTWM-CDGS-XS-2025-0156-五冶钢构-2025年九月第一批次钢筋采购合同(三圣乡项目)-中铁物贸成都公司</v>
      </c>
      <c r="R3933" s="22" t="str">
        <f>_xlfn._xlws.FILTER(辅助信息!D:D,辅助信息!E:E=B3933)</f>
        <v>五冶钢构龙泉东洪片区85亩住宅、商业及配套工程项目二标段</v>
      </c>
    </row>
    <row r="3934" hidden="1" spans="2:18">
      <c r="B3934" s="128" t="s">
        <v>226</v>
      </c>
      <c r="C3934" s="63">
        <v>45928</v>
      </c>
      <c r="D3934" s="33" t="str">
        <f>VLOOKUP(B3934,辅助信息!E:K,7,FALSE)</f>
        <v>JWDDCD2025092400211</v>
      </c>
      <c r="E3934" s="33" t="str">
        <f>VLOOKUP(F3934,辅助信息!A:B,2,FALSE)</f>
        <v>盘螺</v>
      </c>
      <c r="F3934" s="33" t="s">
        <v>41</v>
      </c>
      <c r="G3934" s="29">
        <v>55</v>
      </c>
      <c r="H3934" s="127">
        <f>IF(SUMIFS('[1]2025年已发货'!$E:$E,'[1]2025年已发货'!$F:$F,C3934,'[1]2025年已发货'!$C:$C,F3934,'[1]2025年已发货'!$G:$G,I3934,'[1]2025年已发货'!$H:$H,J3934)=0,"未发货",SUMIFS('[1]2025年已发货'!$E:$E,'[1]2025年已发货'!$F:$F,C3934,'[1]2025年已发货'!$C:$C,F3934,'[1]2025年已发货'!$G:$G,I3934,'[1]2025年已发货'!$H:$H,J3934))</f>
        <v>55</v>
      </c>
      <c r="I3934" s="33" t="str">
        <f>VLOOKUP(B3934,辅助信息!E:I,3,FALSE)</f>
        <v>(五冶钢构龙泉东洪片区85亩住宅、商业及配套工程项目二标段)成都市龙泉驿外东洪路地铁2号线惠王陵地铁C口</v>
      </c>
      <c r="J3934" s="33" t="str">
        <f>VLOOKUP(B3934,辅助信息!E:I,4,FALSE)</f>
        <v>李渊</v>
      </c>
      <c r="K3934" s="33">
        <f>VLOOKUP(J3934,辅助信息!H:I,2,FALSE)</f>
        <v>18381013849</v>
      </c>
      <c r="L3934" s="102">
        <f>VLOOKUP(B3934,辅助信息!E:J,6,FALSE)</f>
        <v>0</v>
      </c>
      <c r="M3934" s="141">
        <v>45929</v>
      </c>
      <c r="O3934" s="55">
        <f ca="1" t="shared" si="204"/>
        <v>0</v>
      </c>
      <c r="P3934" s="55">
        <f ca="1" t="shared" si="205"/>
        <v>28</v>
      </c>
      <c r="Q3934" s="22" t="str">
        <f>VLOOKUP(B3934,辅助信息!E:M,9,FALSE)</f>
        <v>ZTWM-CDGS-XS-2025-0156-五冶钢构-2025年九月第一批次钢筋采购合同(三圣乡项目)-中铁物贸成都公司</v>
      </c>
      <c r="R3934" s="22" t="str">
        <f>_xlfn._xlws.FILTER(辅助信息!D:D,辅助信息!E:E=B3934)</f>
        <v>五冶钢构龙泉东洪片区85亩住宅、商业及配套工程项目二标段</v>
      </c>
    </row>
    <row r="3935" hidden="1" spans="2:18">
      <c r="B3935" s="128" t="s">
        <v>226</v>
      </c>
      <c r="C3935" s="63">
        <v>45928</v>
      </c>
      <c r="D3935" s="33" t="str">
        <f>VLOOKUP(B3935,辅助信息!E:K,7,FALSE)</f>
        <v>JWDDCD2025092400211</v>
      </c>
      <c r="E3935" s="33" t="str">
        <f>VLOOKUP(F3935,辅助信息!A:B,2,FALSE)</f>
        <v>盘螺</v>
      </c>
      <c r="F3935" s="33" t="s">
        <v>49</v>
      </c>
      <c r="G3935" s="29">
        <v>15</v>
      </c>
      <c r="H3935" s="127">
        <f>IF(SUMIFS('[1]2025年已发货'!$E:$E,'[1]2025年已发货'!$F:$F,C3935,'[1]2025年已发货'!$C:$C,F3935,'[1]2025年已发货'!$G:$G,I3935,'[1]2025年已发货'!$H:$H,J3935)=0,"未发货",SUMIFS('[1]2025年已发货'!$E:$E,'[1]2025年已发货'!$F:$F,C3935,'[1]2025年已发货'!$C:$C,F3935,'[1]2025年已发货'!$G:$G,I3935,'[1]2025年已发货'!$H:$H,J3935))</f>
        <v>15</v>
      </c>
      <c r="I3935" s="33" t="str">
        <f>VLOOKUP(B3935,辅助信息!E:I,3,FALSE)</f>
        <v>(五冶钢构龙泉东洪片区85亩住宅、商业及配套工程项目二标段)成都市龙泉驿外东洪路地铁2号线惠王陵地铁C口</v>
      </c>
      <c r="J3935" s="33" t="str">
        <f>VLOOKUP(B3935,辅助信息!E:I,4,FALSE)</f>
        <v>李渊</v>
      </c>
      <c r="K3935" s="33">
        <f>VLOOKUP(J3935,辅助信息!H:I,2,FALSE)</f>
        <v>18381013849</v>
      </c>
      <c r="L3935" s="102">
        <f>VLOOKUP(B3935,辅助信息!E:J,6,FALSE)</f>
        <v>0</v>
      </c>
      <c r="M3935" s="141">
        <v>45929</v>
      </c>
      <c r="O3935" s="55">
        <f ca="1" t="shared" si="204"/>
        <v>0</v>
      </c>
      <c r="P3935" s="55">
        <f ca="1" t="shared" si="205"/>
        <v>28</v>
      </c>
      <c r="Q3935" s="22" t="str">
        <f>VLOOKUP(B3935,辅助信息!E:M,9,FALSE)</f>
        <v>ZTWM-CDGS-XS-2025-0156-五冶钢构-2025年九月第一批次钢筋采购合同(三圣乡项目)-中铁物贸成都公司</v>
      </c>
      <c r="R3935" s="22" t="str">
        <f>_xlfn._xlws.FILTER(辅助信息!D:D,辅助信息!E:E=B3935)</f>
        <v>五冶钢构龙泉东洪片区85亩住宅、商业及配套工程项目二标段</v>
      </c>
    </row>
    <row r="3936" hidden="1" spans="2:18">
      <c r="B3936" s="128" t="s">
        <v>226</v>
      </c>
      <c r="C3936" s="63">
        <v>45928</v>
      </c>
      <c r="D3936" s="33" t="str">
        <f>VLOOKUP(B3936,辅助信息!E:K,7,FALSE)</f>
        <v>JWDDCD2025092400211</v>
      </c>
      <c r="E3936" s="33" t="str">
        <f>VLOOKUP(F3936,辅助信息!A:B,2,FALSE)</f>
        <v>盘螺</v>
      </c>
      <c r="F3936" s="33" t="s">
        <v>40</v>
      </c>
      <c r="G3936" s="29">
        <v>123</v>
      </c>
      <c r="H3936" s="127">
        <f>IF(SUMIFS('[1]2025年已发货'!$E:$E,'[1]2025年已发货'!$F:$F,C3936,'[1]2025年已发货'!$C:$C,F3936,'[1]2025年已发货'!$G:$G,I3936,'[1]2025年已发货'!$H:$H,J3936)=0,"未发货",SUMIFS('[1]2025年已发货'!$E:$E,'[1]2025年已发货'!$F:$F,C3936,'[1]2025年已发货'!$C:$C,F3936,'[1]2025年已发货'!$G:$G,I3936,'[1]2025年已发货'!$H:$H,J3936))</f>
        <v>105</v>
      </c>
      <c r="I3936" s="33" t="str">
        <f>VLOOKUP(B3936,辅助信息!E:I,3,FALSE)</f>
        <v>(五冶钢构龙泉东洪片区85亩住宅、商业及配套工程项目二标段)成都市龙泉驿外东洪路地铁2号线惠王陵地铁C口</v>
      </c>
      <c r="J3936" s="33" t="str">
        <f>VLOOKUP(B3936,辅助信息!E:I,4,FALSE)</f>
        <v>李渊</v>
      </c>
      <c r="K3936" s="33">
        <f>VLOOKUP(J3936,辅助信息!H:I,2,FALSE)</f>
        <v>18381013849</v>
      </c>
      <c r="L3936" s="102">
        <f>VLOOKUP(B3936,辅助信息!E:J,6,FALSE)</f>
        <v>0</v>
      </c>
      <c r="M3936" s="141">
        <v>45929</v>
      </c>
      <c r="O3936" s="55">
        <f ca="1" t="shared" ref="O3936:O3999" si="206">IF(OR(M3936="",N3936&lt;&gt;""),"",MAX(M3936-TODAY(),0))</f>
        <v>0</v>
      </c>
      <c r="P3936" s="55">
        <f ca="1" t="shared" ref="P3936:P3999" si="207">IF(M3936="","",IF(N3936&lt;&gt;"",MAX(N3936-M3936,0),IF(TODAY()&gt;M3936,TODAY()-M3936,0)))</f>
        <v>28</v>
      </c>
      <c r="Q3936" s="22" t="str">
        <f>VLOOKUP(B3936,辅助信息!E:M,9,FALSE)</f>
        <v>ZTWM-CDGS-XS-2025-0156-五冶钢构-2025年九月第一批次钢筋采购合同(三圣乡项目)-中铁物贸成都公司</v>
      </c>
      <c r="R3936" s="22" t="str">
        <f>_xlfn._xlws.FILTER(辅助信息!D:D,辅助信息!E:E=B3936)</f>
        <v>五冶钢构龙泉东洪片区85亩住宅、商业及配套工程项目二标段</v>
      </c>
    </row>
    <row r="3937" hidden="1" spans="2:18">
      <c r="B3937" s="128" t="s">
        <v>229</v>
      </c>
      <c r="C3937" s="63">
        <v>45928</v>
      </c>
      <c r="D3937" s="33" t="str">
        <f>VLOOKUP(B3937,辅助信息!E:K,7,FALSE)</f>
        <v>JWDDCD2025092400212</v>
      </c>
      <c r="E3937" s="33" t="str">
        <f>VLOOKUP(F3937,辅助信息!A:B,2,FALSE)</f>
        <v>高线</v>
      </c>
      <c r="F3937" s="33" t="s">
        <v>57</v>
      </c>
      <c r="G3937" s="29">
        <v>5</v>
      </c>
      <c r="H3937" s="127">
        <f>IF(SUMIFS('[1]2025年已发货'!$E:$E,'[1]2025年已发货'!$F:$F,C3937,'[1]2025年已发货'!$C:$C,F3937,'[1]2025年已发货'!$G:$G,I3937,'[1]2025年已发货'!$H:$H,J3937)=0,"未发货",SUMIFS('[1]2025年已发货'!$E:$E,'[1]2025年已发货'!$F:$F,C3937,'[1]2025年已发货'!$C:$C,F3937,'[1]2025年已发货'!$G:$G,I3937,'[1]2025年已发货'!$H:$H,J3937))</f>
        <v>5</v>
      </c>
      <c r="I3937" s="33" t="str">
        <f>VLOOKUP(B3937,辅助信息!E:I,3,FALSE)</f>
        <v>(五冶钢构龙泉东洪片区85亩住宅、商业及配套工程项目三标段)成都市龙泉驿外东洪路地铁2号线惠王陵地铁C口</v>
      </c>
      <c r="J3937" s="33" t="str">
        <f>VLOOKUP(B3937,辅助信息!E:I,4,FALSE)</f>
        <v>王军宝</v>
      </c>
      <c r="K3937" s="33">
        <f>VLOOKUP(J3937,辅助信息!H:I,2,FALSE)</f>
        <v>13889142392</v>
      </c>
      <c r="L3937" s="102">
        <f>VLOOKUP(B3937,辅助信息!E:J,6,FALSE)</f>
        <v>0</v>
      </c>
      <c r="M3937" s="141">
        <v>45929</v>
      </c>
      <c r="O3937" s="55">
        <f ca="1" t="shared" si="206"/>
        <v>0</v>
      </c>
      <c r="P3937" s="55">
        <f ca="1" t="shared" si="207"/>
        <v>28</v>
      </c>
      <c r="Q3937" s="22" t="str">
        <f>VLOOKUP(B3937,辅助信息!E:M,9,FALSE)</f>
        <v>ZTWM-CDGS-XS-2025-0156-五冶钢构-2025年九月第一批次钢筋采购合同(三圣乡项目)-中铁物贸成都公司</v>
      </c>
      <c r="R3937" s="22" t="str">
        <f>_xlfn._xlws.FILTER(辅助信息!D:D,辅助信息!E:E=B3937)</f>
        <v>五冶钢构龙泉东洪片区85亩住宅、商业及配套工程项目三标段</v>
      </c>
    </row>
    <row r="3938" hidden="1" spans="2:18">
      <c r="B3938" s="128" t="s">
        <v>229</v>
      </c>
      <c r="C3938" s="63">
        <v>45928</v>
      </c>
      <c r="D3938" s="33" t="str">
        <f>VLOOKUP(B3938,辅助信息!E:K,7,FALSE)</f>
        <v>JWDDCD2025092400212</v>
      </c>
      <c r="E3938" s="33" t="str">
        <f>VLOOKUP(F3938,辅助信息!A:B,2,FALSE)</f>
        <v>高线</v>
      </c>
      <c r="F3938" s="33" t="s">
        <v>53</v>
      </c>
      <c r="G3938" s="29">
        <v>8</v>
      </c>
      <c r="H3938" s="127">
        <f>IF(SUMIFS('[1]2025年已发货'!$E:$E,'[1]2025年已发货'!$F:$F,C3938,'[1]2025年已发货'!$C:$C,F3938,'[1]2025年已发货'!$G:$G,I3938,'[1]2025年已发货'!$H:$H,J3938)=0,"未发货",SUMIFS('[1]2025年已发货'!$E:$E,'[1]2025年已发货'!$F:$F,C3938,'[1]2025年已发货'!$C:$C,F3938,'[1]2025年已发货'!$G:$G,I3938,'[1]2025年已发货'!$H:$H,J3938))</f>
        <v>8</v>
      </c>
      <c r="I3938" s="33" t="str">
        <f>VLOOKUP(B3938,辅助信息!E:I,3,FALSE)</f>
        <v>(五冶钢构龙泉东洪片区85亩住宅、商业及配套工程项目三标段)成都市龙泉驿外东洪路地铁2号线惠王陵地铁C口</v>
      </c>
      <c r="J3938" s="33" t="str">
        <f>VLOOKUP(B3938,辅助信息!E:I,4,FALSE)</f>
        <v>王军宝</v>
      </c>
      <c r="K3938" s="33">
        <f>VLOOKUP(J3938,辅助信息!H:I,2,FALSE)</f>
        <v>13889142392</v>
      </c>
      <c r="L3938" s="102">
        <f>VLOOKUP(B3938,辅助信息!E:J,6,FALSE)</f>
        <v>0</v>
      </c>
      <c r="M3938" s="141">
        <v>45929</v>
      </c>
      <c r="O3938" s="55">
        <f ca="1" t="shared" si="206"/>
        <v>0</v>
      </c>
      <c r="P3938" s="55">
        <f ca="1" t="shared" si="207"/>
        <v>28</v>
      </c>
      <c r="Q3938" s="22" t="str">
        <f>VLOOKUP(B3938,辅助信息!E:M,9,FALSE)</f>
        <v>ZTWM-CDGS-XS-2025-0156-五冶钢构-2025年九月第一批次钢筋采购合同(三圣乡项目)-中铁物贸成都公司</v>
      </c>
      <c r="R3938" s="22" t="str">
        <f>_xlfn._xlws.FILTER(辅助信息!D:D,辅助信息!E:E=B3938)</f>
        <v>五冶钢构龙泉东洪片区85亩住宅、商业及配套工程项目三标段</v>
      </c>
    </row>
    <row r="3939" hidden="1" spans="2:18">
      <c r="B3939" s="128" t="s">
        <v>229</v>
      </c>
      <c r="C3939" s="63">
        <v>45928</v>
      </c>
      <c r="D3939" s="33" t="str">
        <f>VLOOKUP(B3939,辅助信息!E:K,7,FALSE)</f>
        <v>JWDDCD2025092400212</v>
      </c>
      <c r="E3939" s="33" t="str">
        <f>VLOOKUP(F3939,辅助信息!A:B,2,FALSE)</f>
        <v>螺纹钢</v>
      </c>
      <c r="F3939" s="33" t="s">
        <v>27</v>
      </c>
      <c r="G3939" s="29">
        <v>80</v>
      </c>
      <c r="H3939" s="127">
        <f>IF(SUMIFS('[1]2025年已发货'!$E:$E,'[1]2025年已发货'!$F:$F,C3939,'[1]2025年已发货'!$C:$C,F3939,'[1]2025年已发货'!$G:$G,I3939,'[1]2025年已发货'!$H:$H,J3939)=0,"未发货",SUMIFS('[1]2025年已发货'!$E:$E,'[1]2025年已发货'!$F:$F,C3939,'[1]2025年已发货'!$C:$C,F3939,'[1]2025年已发货'!$G:$G,I3939,'[1]2025年已发货'!$H:$H,J3939))</f>
        <v>80</v>
      </c>
      <c r="I3939" s="33" t="str">
        <f>VLOOKUP(B3939,辅助信息!E:I,3,FALSE)</f>
        <v>(五冶钢构龙泉东洪片区85亩住宅、商业及配套工程项目三标段)成都市龙泉驿外东洪路地铁2号线惠王陵地铁C口</v>
      </c>
      <c r="J3939" s="33" t="str">
        <f>VLOOKUP(B3939,辅助信息!E:I,4,FALSE)</f>
        <v>王军宝</v>
      </c>
      <c r="K3939" s="33">
        <f>VLOOKUP(J3939,辅助信息!H:I,2,FALSE)</f>
        <v>13889142392</v>
      </c>
      <c r="L3939" s="102">
        <f>VLOOKUP(B3939,辅助信息!E:J,6,FALSE)</f>
        <v>0</v>
      </c>
      <c r="M3939" s="141">
        <v>45929</v>
      </c>
      <c r="O3939" s="55">
        <f ca="1" t="shared" si="206"/>
        <v>0</v>
      </c>
      <c r="P3939" s="55">
        <f ca="1" t="shared" si="207"/>
        <v>28</v>
      </c>
      <c r="Q3939" s="22" t="str">
        <f>VLOOKUP(B3939,辅助信息!E:M,9,FALSE)</f>
        <v>ZTWM-CDGS-XS-2025-0156-五冶钢构-2025年九月第一批次钢筋采购合同(三圣乡项目)-中铁物贸成都公司</v>
      </c>
      <c r="R3939" s="22" t="str">
        <f>_xlfn._xlws.FILTER(辅助信息!D:D,辅助信息!E:E=B3939)</f>
        <v>五冶钢构龙泉东洪片区85亩住宅、商业及配套工程项目三标段</v>
      </c>
    </row>
    <row r="3940" hidden="1" spans="2:18">
      <c r="B3940" s="128" t="s">
        <v>229</v>
      </c>
      <c r="C3940" s="63">
        <v>45928</v>
      </c>
      <c r="D3940" s="33" t="str">
        <f>VLOOKUP(B3940,辅助信息!E:K,7,FALSE)</f>
        <v>JWDDCD2025092400212</v>
      </c>
      <c r="E3940" s="33" t="str">
        <f>VLOOKUP(F3940,辅助信息!A:B,2,FALSE)</f>
        <v>螺纹钢</v>
      </c>
      <c r="F3940" s="33" t="s">
        <v>19</v>
      </c>
      <c r="G3940" s="29">
        <v>104</v>
      </c>
      <c r="H3940" s="127">
        <f>IF(SUMIFS('[1]2025年已发货'!$E:$E,'[1]2025年已发货'!$F:$F,C3940,'[1]2025年已发货'!$C:$C,F3940,'[1]2025年已发货'!$G:$G,I3940,'[1]2025年已发货'!$H:$H,J3940)=0,"未发货",SUMIFS('[1]2025年已发货'!$E:$E,'[1]2025年已发货'!$F:$F,C3940,'[1]2025年已发货'!$C:$C,F3940,'[1]2025年已发货'!$G:$G,I3940,'[1]2025年已发货'!$H:$H,J3940))</f>
        <v>104</v>
      </c>
      <c r="I3940" s="33" t="str">
        <f>VLOOKUP(B3940,辅助信息!E:I,3,FALSE)</f>
        <v>(五冶钢构龙泉东洪片区85亩住宅、商业及配套工程项目三标段)成都市龙泉驿外东洪路地铁2号线惠王陵地铁C口</v>
      </c>
      <c r="J3940" s="33" t="str">
        <f>VLOOKUP(B3940,辅助信息!E:I,4,FALSE)</f>
        <v>王军宝</v>
      </c>
      <c r="K3940" s="33">
        <f>VLOOKUP(J3940,辅助信息!H:I,2,FALSE)</f>
        <v>13889142392</v>
      </c>
      <c r="L3940" s="102">
        <f>VLOOKUP(B3940,辅助信息!E:J,6,FALSE)</f>
        <v>0</v>
      </c>
      <c r="M3940" s="141">
        <v>45929</v>
      </c>
      <c r="O3940" s="55">
        <f ca="1" t="shared" si="206"/>
        <v>0</v>
      </c>
      <c r="P3940" s="55">
        <f ca="1" t="shared" si="207"/>
        <v>28</v>
      </c>
      <c r="Q3940" s="22" t="str">
        <f>VLOOKUP(B3940,辅助信息!E:M,9,FALSE)</f>
        <v>ZTWM-CDGS-XS-2025-0156-五冶钢构-2025年九月第一批次钢筋采购合同(三圣乡项目)-中铁物贸成都公司</v>
      </c>
      <c r="R3940" s="22" t="str">
        <f>_xlfn._xlws.FILTER(辅助信息!D:D,辅助信息!E:E=B3940)</f>
        <v>五冶钢构龙泉东洪片区85亩住宅、商业及配套工程项目三标段</v>
      </c>
    </row>
    <row r="3941" hidden="1" spans="2:18">
      <c r="B3941" s="128" t="s">
        <v>229</v>
      </c>
      <c r="C3941" s="63">
        <v>45928</v>
      </c>
      <c r="D3941" s="33" t="str">
        <f>VLOOKUP(B3941,辅助信息!E:K,7,FALSE)</f>
        <v>JWDDCD2025092400212</v>
      </c>
      <c r="E3941" s="33" t="str">
        <f>VLOOKUP(F3941,辅助信息!A:B,2,FALSE)</f>
        <v>螺纹钢</v>
      </c>
      <c r="F3941" s="33" t="s">
        <v>32</v>
      </c>
      <c r="G3941" s="29">
        <v>99</v>
      </c>
      <c r="H3941" s="127">
        <f>IF(SUMIFS('[1]2025年已发货'!$E:$E,'[1]2025年已发货'!$F:$F,C3941,'[1]2025年已发货'!$C:$C,F3941,'[1]2025年已发货'!$G:$G,I3941,'[1]2025年已发货'!$H:$H,J3941)=0,"未发货",SUMIFS('[1]2025年已发货'!$E:$E,'[1]2025年已发货'!$F:$F,C3941,'[1]2025年已发货'!$C:$C,F3941,'[1]2025年已发货'!$G:$G,I3941,'[1]2025年已发货'!$H:$H,J3941))</f>
        <v>99</v>
      </c>
      <c r="I3941" s="33" t="str">
        <f>VLOOKUP(B3941,辅助信息!E:I,3,FALSE)</f>
        <v>(五冶钢构龙泉东洪片区85亩住宅、商业及配套工程项目三标段)成都市龙泉驿外东洪路地铁2号线惠王陵地铁C口</v>
      </c>
      <c r="J3941" s="33" t="str">
        <f>VLOOKUP(B3941,辅助信息!E:I,4,FALSE)</f>
        <v>王军宝</v>
      </c>
      <c r="K3941" s="33">
        <f>VLOOKUP(J3941,辅助信息!H:I,2,FALSE)</f>
        <v>13889142392</v>
      </c>
      <c r="L3941" s="102">
        <f>VLOOKUP(B3941,辅助信息!E:J,6,FALSE)</f>
        <v>0</v>
      </c>
      <c r="M3941" s="141">
        <v>45929</v>
      </c>
      <c r="O3941" s="55">
        <f ca="1" t="shared" si="206"/>
        <v>0</v>
      </c>
      <c r="P3941" s="55">
        <f ca="1" t="shared" si="207"/>
        <v>28</v>
      </c>
      <c r="Q3941" s="22" t="str">
        <f>VLOOKUP(B3941,辅助信息!E:M,9,FALSE)</f>
        <v>ZTWM-CDGS-XS-2025-0156-五冶钢构-2025年九月第一批次钢筋采购合同(三圣乡项目)-中铁物贸成都公司</v>
      </c>
      <c r="R3941" s="22" t="str">
        <f>_xlfn._xlws.FILTER(辅助信息!D:D,辅助信息!E:E=B3941)</f>
        <v>五冶钢构龙泉东洪片区85亩住宅、商业及配套工程项目三标段</v>
      </c>
    </row>
    <row r="3942" hidden="1" spans="2:18">
      <c r="B3942" s="128" t="s">
        <v>229</v>
      </c>
      <c r="C3942" s="63">
        <v>45928</v>
      </c>
      <c r="D3942" s="33" t="str">
        <f>VLOOKUP(B3942,辅助信息!E:K,7,FALSE)</f>
        <v>JWDDCD2025092400212</v>
      </c>
      <c r="E3942" s="33" t="str">
        <f>VLOOKUP(F3942,辅助信息!A:B,2,FALSE)</f>
        <v>螺纹钢</v>
      </c>
      <c r="F3942" s="33" t="s">
        <v>30</v>
      </c>
      <c r="G3942" s="29">
        <v>53</v>
      </c>
      <c r="H3942" s="127">
        <f>IF(SUMIFS('[1]2025年已发货'!$E:$E,'[1]2025年已发货'!$F:$F,C3942,'[1]2025年已发货'!$C:$C,F3942,'[1]2025年已发货'!$G:$G,I3942,'[1]2025年已发货'!$H:$H,J3942)=0,"未发货",SUMIFS('[1]2025年已发货'!$E:$E,'[1]2025年已发货'!$F:$F,C3942,'[1]2025年已发货'!$C:$C,F3942,'[1]2025年已发货'!$G:$G,I3942,'[1]2025年已发货'!$H:$H,J3942))</f>
        <v>53</v>
      </c>
      <c r="I3942" s="33" t="str">
        <f>VLOOKUP(B3942,辅助信息!E:I,3,FALSE)</f>
        <v>(五冶钢构龙泉东洪片区85亩住宅、商业及配套工程项目三标段)成都市龙泉驿外东洪路地铁2号线惠王陵地铁C口</v>
      </c>
      <c r="J3942" s="33" t="str">
        <f>VLOOKUP(B3942,辅助信息!E:I,4,FALSE)</f>
        <v>王军宝</v>
      </c>
      <c r="K3942" s="33">
        <f>VLOOKUP(J3942,辅助信息!H:I,2,FALSE)</f>
        <v>13889142392</v>
      </c>
      <c r="L3942" s="102">
        <f>VLOOKUP(B3942,辅助信息!E:J,6,FALSE)</f>
        <v>0</v>
      </c>
      <c r="M3942" s="141">
        <v>45929</v>
      </c>
      <c r="O3942" s="55">
        <f ca="1" t="shared" si="206"/>
        <v>0</v>
      </c>
      <c r="P3942" s="55">
        <f ca="1" t="shared" si="207"/>
        <v>28</v>
      </c>
      <c r="Q3942" s="22" t="str">
        <f>VLOOKUP(B3942,辅助信息!E:M,9,FALSE)</f>
        <v>ZTWM-CDGS-XS-2025-0156-五冶钢构-2025年九月第一批次钢筋采购合同(三圣乡项目)-中铁物贸成都公司</v>
      </c>
      <c r="R3942" s="22" t="str">
        <f>_xlfn._xlws.FILTER(辅助信息!D:D,辅助信息!E:E=B3942)</f>
        <v>五冶钢构龙泉东洪片区85亩住宅、商业及配套工程项目三标段</v>
      </c>
    </row>
    <row r="3943" hidden="1" spans="2:18">
      <c r="B3943" s="128" t="s">
        <v>229</v>
      </c>
      <c r="C3943" s="63">
        <v>45928</v>
      </c>
      <c r="D3943" s="33" t="str">
        <f>VLOOKUP(B3943,辅助信息!E:K,7,FALSE)</f>
        <v>JWDDCD2025092400212</v>
      </c>
      <c r="E3943" s="33" t="str">
        <f>VLOOKUP(F3943,辅助信息!A:B,2,FALSE)</f>
        <v>螺纹钢</v>
      </c>
      <c r="F3943" s="33" t="s">
        <v>33</v>
      </c>
      <c r="G3943" s="29">
        <v>25</v>
      </c>
      <c r="H3943" s="127">
        <f>IF(SUMIFS('[1]2025年已发货'!$E:$E,'[1]2025年已发货'!$F:$F,C3943,'[1]2025年已发货'!$C:$C,F3943,'[1]2025年已发货'!$G:$G,I3943,'[1]2025年已发货'!$H:$H,J3943)=0,"未发货",SUMIFS('[1]2025年已发货'!$E:$E,'[1]2025年已发货'!$F:$F,C3943,'[1]2025年已发货'!$C:$C,F3943,'[1]2025年已发货'!$G:$G,I3943,'[1]2025年已发货'!$H:$H,J3943))</f>
        <v>25</v>
      </c>
      <c r="I3943" s="33" t="str">
        <f>VLOOKUP(B3943,辅助信息!E:I,3,FALSE)</f>
        <v>(五冶钢构龙泉东洪片区85亩住宅、商业及配套工程项目三标段)成都市龙泉驿外东洪路地铁2号线惠王陵地铁C口</v>
      </c>
      <c r="J3943" s="33" t="str">
        <f>VLOOKUP(B3943,辅助信息!E:I,4,FALSE)</f>
        <v>王军宝</v>
      </c>
      <c r="K3943" s="33">
        <f>VLOOKUP(J3943,辅助信息!H:I,2,FALSE)</f>
        <v>13889142392</v>
      </c>
      <c r="L3943" s="102">
        <f>VLOOKUP(B3943,辅助信息!E:J,6,FALSE)</f>
        <v>0</v>
      </c>
      <c r="M3943" s="141">
        <v>45929</v>
      </c>
      <c r="O3943" s="55">
        <f ca="1" t="shared" si="206"/>
        <v>0</v>
      </c>
      <c r="P3943" s="55">
        <f ca="1" t="shared" si="207"/>
        <v>28</v>
      </c>
      <c r="Q3943" s="22" t="str">
        <f>VLOOKUP(B3943,辅助信息!E:M,9,FALSE)</f>
        <v>ZTWM-CDGS-XS-2025-0156-五冶钢构-2025年九月第一批次钢筋采购合同(三圣乡项目)-中铁物贸成都公司</v>
      </c>
      <c r="R3943" s="22" t="str">
        <f>_xlfn._xlws.FILTER(辅助信息!D:D,辅助信息!E:E=B3943)</f>
        <v>五冶钢构龙泉东洪片区85亩住宅、商业及配套工程项目三标段</v>
      </c>
    </row>
    <row r="3944" hidden="1" spans="2:18">
      <c r="B3944" s="128" t="s">
        <v>229</v>
      </c>
      <c r="C3944" s="63">
        <v>45928</v>
      </c>
      <c r="D3944" s="33" t="str">
        <f>VLOOKUP(B3944,辅助信息!E:K,7,FALSE)</f>
        <v>JWDDCD2025092400212</v>
      </c>
      <c r="E3944" s="33" t="str">
        <f>VLOOKUP(F3944,辅助信息!A:B,2,FALSE)</f>
        <v>螺纹钢</v>
      </c>
      <c r="F3944" s="33" t="s">
        <v>28</v>
      </c>
      <c r="G3944" s="29">
        <v>44</v>
      </c>
      <c r="H3944" s="127">
        <f>IF(SUMIFS('[1]2025年已发货'!$E:$E,'[1]2025年已发货'!$F:$F,C3944,'[1]2025年已发货'!$C:$C,F3944,'[1]2025年已发货'!$G:$G,I3944,'[1]2025年已发货'!$H:$H,J3944)=0,"未发货",SUMIFS('[1]2025年已发货'!$E:$E,'[1]2025年已发货'!$F:$F,C3944,'[1]2025年已发货'!$C:$C,F3944,'[1]2025年已发货'!$G:$G,I3944,'[1]2025年已发货'!$H:$H,J3944))</f>
        <v>44</v>
      </c>
      <c r="I3944" s="33" t="str">
        <f>VLOOKUP(B3944,辅助信息!E:I,3,FALSE)</f>
        <v>(五冶钢构龙泉东洪片区85亩住宅、商业及配套工程项目三标段)成都市龙泉驿外东洪路地铁2号线惠王陵地铁C口</v>
      </c>
      <c r="J3944" s="33" t="str">
        <f>VLOOKUP(B3944,辅助信息!E:I,4,FALSE)</f>
        <v>王军宝</v>
      </c>
      <c r="K3944" s="33">
        <f>VLOOKUP(J3944,辅助信息!H:I,2,FALSE)</f>
        <v>13889142392</v>
      </c>
      <c r="L3944" s="102">
        <f>VLOOKUP(B3944,辅助信息!E:J,6,FALSE)</f>
        <v>0</v>
      </c>
      <c r="M3944" s="141">
        <v>45929</v>
      </c>
      <c r="O3944" s="55">
        <f ca="1" t="shared" si="206"/>
        <v>0</v>
      </c>
      <c r="P3944" s="55">
        <f ca="1" t="shared" si="207"/>
        <v>28</v>
      </c>
      <c r="Q3944" s="22" t="str">
        <f>VLOOKUP(B3944,辅助信息!E:M,9,FALSE)</f>
        <v>ZTWM-CDGS-XS-2025-0156-五冶钢构-2025年九月第一批次钢筋采购合同(三圣乡项目)-中铁物贸成都公司</v>
      </c>
      <c r="R3944" s="22" t="str">
        <f>_xlfn._xlws.FILTER(辅助信息!D:D,辅助信息!E:E=B3944)</f>
        <v>五冶钢构龙泉东洪片区85亩住宅、商业及配套工程项目三标段</v>
      </c>
    </row>
    <row r="3945" hidden="1" spans="2:18">
      <c r="B3945" s="128" t="s">
        <v>229</v>
      </c>
      <c r="C3945" s="63">
        <v>45928</v>
      </c>
      <c r="D3945" s="33" t="str">
        <f>VLOOKUP(B3945,辅助信息!E:K,7,FALSE)</f>
        <v>JWDDCD2025092400212</v>
      </c>
      <c r="E3945" s="33" t="str">
        <f>VLOOKUP(F3945,辅助信息!A:B,2,FALSE)</f>
        <v>螺纹钢</v>
      </c>
      <c r="F3945" s="33" t="s">
        <v>18</v>
      </c>
      <c r="G3945" s="29">
        <v>19</v>
      </c>
      <c r="H3945" s="127">
        <f>IF(SUMIFS('[1]2025年已发货'!$E:$E,'[1]2025年已发货'!$F:$F,C3945,'[1]2025年已发货'!$C:$C,F3945,'[1]2025年已发货'!$G:$G,I3945,'[1]2025年已发货'!$H:$H,J3945)=0,"未发货",SUMIFS('[1]2025年已发货'!$E:$E,'[1]2025年已发货'!$F:$F,C3945,'[1]2025年已发货'!$C:$C,F3945,'[1]2025年已发货'!$G:$G,I3945,'[1]2025年已发货'!$H:$H,J3945))</f>
        <v>19</v>
      </c>
      <c r="I3945" s="33" t="str">
        <f>VLOOKUP(B3945,辅助信息!E:I,3,FALSE)</f>
        <v>(五冶钢构龙泉东洪片区85亩住宅、商业及配套工程项目三标段)成都市龙泉驿外东洪路地铁2号线惠王陵地铁C口</v>
      </c>
      <c r="J3945" s="33" t="str">
        <f>VLOOKUP(B3945,辅助信息!E:I,4,FALSE)</f>
        <v>王军宝</v>
      </c>
      <c r="K3945" s="33">
        <f>VLOOKUP(J3945,辅助信息!H:I,2,FALSE)</f>
        <v>13889142392</v>
      </c>
      <c r="L3945" s="102">
        <f>VLOOKUP(B3945,辅助信息!E:J,6,FALSE)</f>
        <v>0</v>
      </c>
      <c r="M3945" s="141">
        <v>45929</v>
      </c>
      <c r="O3945" s="55">
        <f ca="1" t="shared" si="206"/>
        <v>0</v>
      </c>
      <c r="P3945" s="55">
        <f ca="1" t="shared" si="207"/>
        <v>28</v>
      </c>
      <c r="Q3945" s="22" t="str">
        <f>VLOOKUP(B3945,辅助信息!E:M,9,FALSE)</f>
        <v>ZTWM-CDGS-XS-2025-0156-五冶钢构-2025年九月第一批次钢筋采购合同(三圣乡项目)-中铁物贸成都公司</v>
      </c>
      <c r="R3945" s="22" t="str">
        <f>_xlfn._xlws.FILTER(辅助信息!D:D,辅助信息!E:E=B3945)</f>
        <v>五冶钢构龙泉东洪片区85亩住宅、商业及配套工程项目三标段</v>
      </c>
    </row>
    <row r="3946" hidden="1" spans="2:18">
      <c r="B3946" s="128" t="s">
        <v>229</v>
      </c>
      <c r="C3946" s="63">
        <v>45928</v>
      </c>
      <c r="D3946" s="33" t="str">
        <f>VLOOKUP(B3946,辅助信息!E:K,7,FALSE)</f>
        <v>JWDDCD2025092400212</v>
      </c>
      <c r="E3946" s="33" t="str">
        <f>VLOOKUP(F3946,辅助信息!A:B,2,FALSE)</f>
        <v>螺纹钢</v>
      </c>
      <c r="F3946" s="33" t="s">
        <v>58</v>
      </c>
      <c r="G3946" s="29">
        <v>2.5</v>
      </c>
      <c r="H3946" s="127">
        <f>IF(SUMIFS('[1]2025年已发货'!$E:$E,'[1]2025年已发货'!$F:$F,C3946,'[1]2025年已发货'!$C:$C,F3946,'[1]2025年已发货'!$G:$G,I3946,'[1]2025年已发货'!$H:$H,J3946)=0,"未发货",SUMIFS('[1]2025年已发货'!$E:$E,'[1]2025年已发货'!$F:$F,C3946,'[1]2025年已发货'!$C:$C,F3946,'[1]2025年已发货'!$G:$G,I3946,'[1]2025年已发货'!$H:$H,J3946))</f>
        <v>2.5</v>
      </c>
      <c r="I3946" s="33" t="str">
        <f>VLOOKUP(B3946,辅助信息!E:I,3,FALSE)</f>
        <v>(五冶钢构龙泉东洪片区85亩住宅、商业及配套工程项目三标段)成都市龙泉驿外东洪路地铁2号线惠王陵地铁C口</v>
      </c>
      <c r="J3946" s="33" t="str">
        <f>VLOOKUP(B3946,辅助信息!E:I,4,FALSE)</f>
        <v>王军宝</v>
      </c>
      <c r="K3946" s="33">
        <f>VLOOKUP(J3946,辅助信息!H:I,2,FALSE)</f>
        <v>13889142392</v>
      </c>
      <c r="L3946" s="102">
        <f>VLOOKUP(B3946,辅助信息!E:J,6,FALSE)</f>
        <v>0</v>
      </c>
      <c r="M3946" s="141">
        <v>45929</v>
      </c>
      <c r="O3946" s="55">
        <f ca="1" t="shared" si="206"/>
        <v>0</v>
      </c>
      <c r="P3946" s="55">
        <f ca="1" t="shared" si="207"/>
        <v>28</v>
      </c>
      <c r="Q3946" s="22" t="str">
        <f>VLOOKUP(B3946,辅助信息!E:M,9,FALSE)</f>
        <v>ZTWM-CDGS-XS-2025-0156-五冶钢构-2025年九月第一批次钢筋采购合同(三圣乡项目)-中铁物贸成都公司</v>
      </c>
      <c r="R3946" s="22" t="str">
        <f>_xlfn._xlws.FILTER(辅助信息!D:D,辅助信息!E:E=B3946)</f>
        <v>五冶钢构龙泉东洪片区85亩住宅、商业及配套工程项目三标段</v>
      </c>
    </row>
    <row r="3947" hidden="1" spans="2:18">
      <c r="B3947" s="128" t="s">
        <v>229</v>
      </c>
      <c r="C3947" s="63">
        <v>45928</v>
      </c>
      <c r="D3947" s="33" t="str">
        <f>VLOOKUP(B3947,辅助信息!E:K,7,FALSE)</f>
        <v>JWDDCD2025092400212</v>
      </c>
      <c r="E3947" s="33" t="str">
        <f>VLOOKUP(F3947,辅助信息!A:B,2,FALSE)</f>
        <v>螺纹钢</v>
      </c>
      <c r="F3947" s="33" t="s">
        <v>46</v>
      </c>
      <c r="G3947" s="29">
        <v>5</v>
      </c>
      <c r="H3947" s="127">
        <f>IF(SUMIFS('[1]2025年已发货'!$E:$E,'[1]2025年已发货'!$F:$F,C3947,'[1]2025年已发货'!$C:$C,F3947,'[1]2025年已发货'!$G:$G,I3947,'[1]2025年已发货'!$H:$H,J3947)=0,"未发货",SUMIFS('[1]2025年已发货'!$E:$E,'[1]2025年已发货'!$F:$F,C3947,'[1]2025年已发货'!$C:$C,F3947,'[1]2025年已发货'!$G:$G,I3947,'[1]2025年已发货'!$H:$H,J3947))</f>
        <v>5</v>
      </c>
      <c r="I3947" s="33" t="str">
        <f>VLOOKUP(B3947,辅助信息!E:I,3,FALSE)</f>
        <v>(五冶钢构龙泉东洪片区85亩住宅、商业及配套工程项目三标段)成都市龙泉驿外东洪路地铁2号线惠王陵地铁C口</v>
      </c>
      <c r="J3947" s="33" t="str">
        <f>VLOOKUP(B3947,辅助信息!E:I,4,FALSE)</f>
        <v>王军宝</v>
      </c>
      <c r="K3947" s="33">
        <f>VLOOKUP(J3947,辅助信息!H:I,2,FALSE)</f>
        <v>13889142392</v>
      </c>
      <c r="L3947" s="102">
        <f>VLOOKUP(B3947,辅助信息!E:J,6,FALSE)</f>
        <v>0</v>
      </c>
      <c r="M3947" s="141">
        <v>45929</v>
      </c>
      <c r="O3947" s="55">
        <f ca="1" t="shared" si="206"/>
        <v>0</v>
      </c>
      <c r="P3947" s="55">
        <f ca="1" t="shared" si="207"/>
        <v>28</v>
      </c>
      <c r="Q3947" s="22" t="str">
        <f>VLOOKUP(B3947,辅助信息!E:M,9,FALSE)</f>
        <v>ZTWM-CDGS-XS-2025-0156-五冶钢构-2025年九月第一批次钢筋采购合同(三圣乡项目)-中铁物贸成都公司</v>
      </c>
      <c r="R3947" s="22" t="str">
        <f>_xlfn._xlws.FILTER(辅助信息!D:D,辅助信息!E:E=B3947)</f>
        <v>五冶钢构龙泉东洪片区85亩住宅、商业及配套工程项目三标段</v>
      </c>
    </row>
    <row r="3948" hidden="1" spans="2:18">
      <c r="B3948" s="128" t="s">
        <v>229</v>
      </c>
      <c r="C3948" s="63">
        <v>45928</v>
      </c>
      <c r="D3948" s="33" t="str">
        <f>VLOOKUP(B3948,辅助信息!E:K,7,FALSE)</f>
        <v>JWDDCD2025092400212</v>
      </c>
      <c r="E3948" s="33" t="str">
        <f>VLOOKUP(F3948,辅助信息!A:B,2,FALSE)</f>
        <v>螺纹钢</v>
      </c>
      <c r="F3948" s="33" t="s">
        <v>22</v>
      </c>
      <c r="G3948" s="29">
        <v>15</v>
      </c>
      <c r="H3948" s="127">
        <f>IF(SUMIFS('[1]2025年已发货'!$E:$E,'[1]2025年已发货'!$F:$F,C3948,'[1]2025年已发货'!$C:$C,F3948,'[1]2025年已发货'!$G:$G,I3948,'[1]2025年已发货'!$H:$H,J3948)=0,"未发货",SUMIFS('[1]2025年已发货'!$E:$E,'[1]2025年已发货'!$F:$F,C3948,'[1]2025年已发货'!$C:$C,F3948,'[1]2025年已发货'!$G:$G,I3948,'[1]2025年已发货'!$H:$H,J3948))</f>
        <v>15</v>
      </c>
      <c r="I3948" s="33" t="str">
        <f>VLOOKUP(B3948,辅助信息!E:I,3,FALSE)</f>
        <v>(五冶钢构龙泉东洪片区85亩住宅、商业及配套工程项目三标段)成都市龙泉驿外东洪路地铁2号线惠王陵地铁C口</v>
      </c>
      <c r="J3948" s="33" t="str">
        <f>VLOOKUP(B3948,辅助信息!E:I,4,FALSE)</f>
        <v>王军宝</v>
      </c>
      <c r="K3948" s="33">
        <f>VLOOKUP(J3948,辅助信息!H:I,2,FALSE)</f>
        <v>13889142392</v>
      </c>
      <c r="L3948" s="102">
        <f>VLOOKUP(B3948,辅助信息!E:J,6,FALSE)</f>
        <v>0</v>
      </c>
      <c r="M3948" s="141">
        <v>45929</v>
      </c>
      <c r="O3948" s="55">
        <f ca="1" t="shared" si="206"/>
        <v>0</v>
      </c>
      <c r="P3948" s="55">
        <f ca="1" t="shared" si="207"/>
        <v>28</v>
      </c>
      <c r="Q3948" s="22" t="str">
        <f>VLOOKUP(B3948,辅助信息!E:M,9,FALSE)</f>
        <v>ZTWM-CDGS-XS-2025-0156-五冶钢构-2025年九月第一批次钢筋采购合同(三圣乡项目)-中铁物贸成都公司</v>
      </c>
      <c r="R3948" s="22" t="str">
        <f>_xlfn._xlws.FILTER(辅助信息!D:D,辅助信息!E:E=B3948)</f>
        <v>五冶钢构龙泉东洪片区85亩住宅、商业及配套工程项目三标段</v>
      </c>
    </row>
    <row r="3949" hidden="1" spans="2:18">
      <c r="B3949" s="128" t="s">
        <v>229</v>
      </c>
      <c r="C3949" s="63">
        <v>45928</v>
      </c>
      <c r="D3949" s="33" t="str">
        <f>VLOOKUP(B3949,辅助信息!E:K,7,FALSE)</f>
        <v>JWDDCD2025092400212</v>
      </c>
      <c r="E3949" s="33" t="str">
        <f>VLOOKUP(F3949,辅助信息!A:B,2,FALSE)</f>
        <v>盘螺</v>
      </c>
      <c r="F3949" s="33" t="s">
        <v>41</v>
      </c>
      <c r="G3949" s="29">
        <v>90</v>
      </c>
      <c r="H3949" s="127">
        <f>IF(SUMIFS('[1]2025年已发货'!$E:$E,'[1]2025年已发货'!$F:$F,C3949,'[1]2025年已发货'!$C:$C,F3949,'[1]2025年已发货'!$G:$G,I3949,'[1]2025年已发货'!$H:$H,J3949)=0,"未发货",SUMIFS('[1]2025年已发货'!$E:$E,'[1]2025年已发货'!$F:$F,C3949,'[1]2025年已发货'!$C:$C,F3949,'[1]2025年已发货'!$G:$G,I3949,'[1]2025年已发货'!$H:$H,J3949))</f>
        <v>90</v>
      </c>
      <c r="I3949" s="33" t="str">
        <f>VLOOKUP(B3949,辅助信息!E:I,3,FALSE)</f>
        <v>(五冶钢构龙泉东洪片区85亩住宅、商业及配套工程项目三标段)成都市龙泉驿外东洪路地铁2号线惠王陵地铁C口</v>
      </c>
      <c r="J3949" s="33" t="str">
        <f>VLOOKUP(B3949,辅助信息!E:I,4,FALSE)</f>
        <v>王军宝</v>
      </c>
      <c r="K3949" s="33">
        <f>VLOOKUP(J3949,辅助信息!H:I,2,FALSE)</f>
        <v>13889142392</v>
      </c>
      <c r="L3949" s="102">
        <f>VLOOKUP(B3949,辅助信息!E:J,6,FALSE)</f>
        <v>0</v>
      </c>
      <c r="M3949" s="141">
        <v>45929</v>
      </c>
      <c r="O3949" s="55">
        <f ca="1" t="shared" si="206"/>
        <v>0</v>
      </c>
      <c r="P3949" s="55">
        <f ca="1" t="shared" si="207"/>
        <v>28</v>
      </c>
      <c r="Q3949" s="22" t="str">
        <f>VLOOKUP(B3949,辅助信息!E:M,9,FALSE)</f>
        <v>ZTWM-CDGS-XS-2025-0156-五冶钢构-2025年九月第一批次钢筋采购合同(三圣乡项目)-中铁物贸成都公司</v>
      </c>
      <c r="R3949" s="22" t="str">
        <f>_xlfn._xlws.FILTER(辅助信息!D:D,辅助信息!E:E=B3949)</f>
        <v>五冶钢构龙泉东洪片区85亩住宅、商业及配套工程项目三标段</v>
      </c>
    </row>
    <row r="3950" hidden="1" spans="2:18">
      <c r="B3950" s="128" t="s">
        <v>229</v>
      </c>
      <c r="C3950" s="63">
        <v>45928</v>
      </c>
      <c r="D3950" s="33" t="str">
        <f>VLOOKUP(B3950,辅助信息!E:K,7,FALSE)</f>
        <v>JWDDCD2025092400212</v>
      </c>
      <c r="E3950" s="33" t="str">
        <f>VLOOKUP(F3950,辅助信息!A:B,2,FALSE)</f>
        <v>盘螺</v>
      </c>
      <c r="F3950" s="33" t="s">
        <v>49</v>
      </c>
      <c r="G3950" s="29">
        <v>22</v>
      </c>
      <c r="H3950" s="127">
        <f>IF(SUMIFS('[1]2025年已发货'!$E:$E,'[1]2025年已发货'!$F:$F,C3950,'[1]2025年已发货'!$C:$C,F3950,'[1]2025年已发货'!$G:$G,I3950,'[1]2025年已发货'!$H:$H,J3950)=0,"未发货",SUMIFS('[1]2025年已发货'!$E:$E,'[1]2025年已发货'!$F:$F,C3950,'[1]2025年已发货'!$C:$C,F3950,'[1]2025年已发货'!$G:$G,I3950,'[1]2025年已发货'!$H:$H,J3950))</f>
        <v>22</v>
      </c>
      <c r="I3950" s="33" t="str">
        <f>VLOOKUP(B3950,辅助信息!E:I,3,FALSE)</f>
        <v>(五冶钢构龙泉东洪片区85亩住宅、商业及配套工程项目三标段)成都市龙泉驿外东洪路地铁2号线惠王陵地铁C口</v>
      </c>
      <c r="J3950" s="33" t="str">
        <f>VLOOKUP(B3950,辅助信息!E:I,4,FALSE)</f>
        <v>王军宝</v>
      </c>
      <c r="K3950" s="33">
        <f>VLOOKUP(J3950,辅助信息!H:I,2,FALSE)</f>
        <v>13889142392</v>
      </c>
      <c r="L3950" s="102">
        <f>VLOOKUP(B3950,辅助信息!E:J,6,FALSE)</f>
        <v>0</v>
      </c>
      <c r="M3950" s="141">
        <v>45929</v>
      </c>
      <c r="O3950" s="55">
        <f ca="1" t="shared" si="206"/>
        <v>0</v>
      </c>
      <c r="P3950" s="55">
        <f ca="1" t="shared" si="207"/>
        <v>28</v>
      </c>
      <c r="Q3950" s="22" t="str">
        <f>VLOOKUP(B3950,辅助信息!E:M,9,FALSE)</f>
        <v>ZTWM-CDGS-XS-2025-0156-五冶钢构-2025年九月第一批次钢筋采购合同(三圣乡项目)-中铁物贸成都公司</v>
      </c>
      <c r="R3950" s="22" t="str">
        <f>_xlfn._xlws.FILTER(辅助信息!D:D,辅助信息!E:E=B3950)</f>
        <v>五冶钢构龙泉东洪片区85亩住宅、商业及配套工程项目三标段</v>
      </c>
    </row>
    <row r="3951" hidden="1" spans="2:18">
      <c r="B3951" s="128" t="s">
        <v>229</v>
      </c>
      <c r="C3951" s="63">
        <v>45928</v>
      </c>
      <c r="D3951" s="33" t="str">
        <f>VLOOKUP(B3951,辅助信息!E:K,7,FALSE)</f>
        <v>JWDDCD2025092400212</v>
      </c>
      <c r="E3951" s="33" t="str">
        <f>VLOOKUP(F3951,辅助信息!A:B,2,FALSE)</f>
        <v>盘螺</v>
      </c>
      <c r="F3951" s="33" t="s">
        <v>40</v>
      </c>
      <c r="G3951" s="29">
        <v>102</v>
      </c>
      <c r="H3951" s="127">
        <f>IF(SUMIFS('[1]2025年已发货'!$E:$E,'[1]2025年已发货'!$F:$F,C3951,'[1]2025年已发货'!$C:$C,F3951,'[1]2025年已发货'!$G:$G,I3951,'[1]2025年已发货'!$H:$H,J3951)=0,"未发货",SUMIFS('[1]2025年已发货'!$E:$E,'[1]2025年已发货'!$F:$F,C3951,'[1]2025年已发货'!$C:$C,F3951,'[1]2025年已发货'!$G:$G,I3951,'[1]2025年已发货'!$H:$H,J3951))</f>
        <v>102</v>
      </c>
      <c r="I3951" s="33" t="str">
        <f>VLOOKUP(B3951,辅助信息!E:I,3,FALSE)</f>
        <v>(五冶钢构龙泉东洪片区85亩住宅、商业及配套工程项目三标段)成都市龙泉驿外东洪路地铁2号线惠王陵地铁C口</v>
      </c>
      <c r="J3951" s="33" t="str">
        <f>VLOOKUP(B3951,辅助信息!E:I,4,FALSE)</f>
        <v>王军宝</v>
      </c>
      <c r="K3951" s="33">
        <f>VLOOKUP(J3951,辅助信息!H:I,2,FALSE)</f>
        <v>13889142392</v>
      </c>
      <c r="L3951" s="102">
        <f>VLOOKUP(B3951,辅助信息!E:J,6,FALSE)</f>
        <v>0</v>
      </c>
      <c r="M3951" s="141">
        <v>45929</v>
      </c>
      <c r="O3951" s="55">
        <f ca="1" t="shared" si="206"/>
        <v>0</v>
      </c>
      <c r="P3951" s="55">
        <f ca="1" t="shared" si="207"/>
        <v>28</v>
      </c>
      <c r="Q3951" s="22" t="str">
        <f>VLOOKUP(B3951,辅助信息!E:M,9,FALSE)</f>
        <v>ZTWM-CDGS-XS-2025-0156-五冶钢构-2025年九月第一批次钢筋采购合同(三圣乡项目)-中铁物贸成都公司</v>
      </c>
      <c r="R3951" s="22" t="str">
        <f>_xlfn._xlws.FILTER(辅助信息!D:D,辅助信息!E:E=B3951)</f>
        <v>五冶钢构龙泉东洪片区85亩住宅、商业及配套工程项目三标段</v>
      </c>
    </row>
    <row r="3952" hidden="1" spans="2:18">
      <c r="B3952" s="128" t="s">
        <v>225</v>
      </c>
      <c r="C3952" s="63">
        <v>45928</v>
      </c>
      <c r="D3952" s="33" t="str">
        <f>VLOOKUP(B3952,辅助信息!E:K,7,FALSE)</f>
        <v>JWDDCD2025092400210</v>
      </c>
      <c r="E3952" s="33" t="str">
        <f>VLOOKUP(F3952,辅助信息!A:B,2,FALSE)</f>
        <v>高线</v>
      </c>
      <c r="F3952" s="33" t="s">
        <v>53</v>
      </c>
      <c r="G3952" s="29">
        <v>15</v>
      </c>
      <c r="H3952" s="127"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33" t="str">
        <f>VLOOKUP(B3952,辅助信息!E:I,3,FALSE)</f>
        <v>(五冶钢构龙泉东洪片区85亩住宅、商业及配套工程项目一标段)成都市龙泉驿外东洪路地铁2号线惠王陵地铁C口</v>
      </c>
      <c r="J3952" s="33" t="str">
        <f>VLOOKUP(B3952,辅助信息!E:I,4,FALSE)</f>
        <v>岳工</v>
      </c>
      <c r="K3952" s="33">
        <f>VLOOKUP(J3952,辅助信息!H:I,2,FALSE)</f>
        <v>18599951655</v>
      </c>
      <c r="L3952" s="102">
        <f>VLOOKUP(B3952,辅助信息!E:J,6,FALSE)</f>
        <v>0</v>
      </c>
      <c r="M3952" s="141">
        <v>45929</v>
      </c>
      <c r="O3952" s="55">
        <f ca="1" t="shared" si="206"/>
        <v>0</v>
      </c>
      <c r="P3952" s="55">
        <f ca="1" t="shared" si="207"/>
        <v>28</v>
      </c>
      <c r="Q3952" s="22" t="str">
        <f>VLOOKUP(B3952,辅助信息!E:M,9,FALSE)</f>
        <v>ZTWM-CDGS-XS-2025-0156-五冶钢构-2025年九月第一批次钢筋采购合同(三圣乡项目)-中铁物贸成都公司</v>
      </c>
      <c r="R3952" s="22" t="str">
        <f>_xlfn._xlws.FILTER(辅助信息!D:D,辅助信息!E:E=B3952)</f>
        <v>五冶钢构龙泉东洪片区85亩住宅、商业及配套工程项目一标段</v>
      </c>
    </row>
    <row r="3953" hidden="1" spans="2:18">
      <c r="B3953" s="128" t="s">
        <v>225</v>
      </c>
      <c r="C3953" s="63">
        <v>45928</v>
      </c>
      <c r="D3953" s="33" t="str">
        <f>VLOOKUP(B3953,辅助信息!E:K,7,FALSE)</f>
        <v>JWDDCD2025092400210</v>
      </c>
      <c r="E3953" s="33" t="str">
        <f>VLOOKUP(F3953,辅助信息!A:B,2,FALSE)</f>
        <v>螺纹钢</v>
      </c>
      <c r="F3953" s="33" t="s">
        <v>28</v>
      </c>
      <c r="G3953" s="29">
        <v>20</v>
      </c>
      <c r="H3953" s="127"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33" t="str">
        <f>VLOOKUP(B3953,辅助信息!E:I,3,FALSE)</f>
        <v>(五冶钢构龙泉东洪片区85亩住宅、商业及配套工程项目一标段)成都市龙泉驿外东洪路地铁2号线惠王陵地铁C口</v>
      </c>
      <c r="J3953" s="33" t="str">
        <f>VLOOKUP(B3953,辅助信息!E:I,4,FALSE)</f>
        <v>岳工</v>
      </c>
      <c r="K3953" s="33">
        <f>VLOOKUP(J3953,辅助信息!H:I,2,FALSE)</f>
        <v>18599951655</v>
      </c>
      <c r="L3953" s="102">
        <f>VLOOKUP(B3953,辅助信息!E:J,6,FALSE)</f>
        <v>0</v>
      </c>
      <c r="M3953" s="141">
        <v>45929</v>
      </c>
      <c r="O3953" s="55">
        <f ca="1" t="shared" si="206"/>
        <v>0</v>
      </c>
      <c r="P3953" s="55">
        <f ca="1" t="shared" si="207"/>
        <v>28</v>
      </c>
      <c r="Q3953" s="22" t="str">
        <f>VLOOKUP(B3953,辅助信息!E:M,9,FALSE)</f>
        <v>ZTWM-CDGS-XS-2025-0156-五冶钢构-2025年九月第一批次钢筋采购合同(三圣乡项目)-中铁物贸成都公司</v>
      </c>
      <c r="R3953" s="22" t="str">
        <f>_xlfn._xlws.FILTER(辅助信息!D:D,辅助信息!E:E=B3953)</f>
        <v>五冶钢构龙泉东洪片区85亩住宅、商业及配套工程项目一标段</v>
      </c>
    </row>
    <row r="3954" hidden="1" spans="2:18">
      <c r="B3954" s="128" t="s">
        <v>230</v>
      </c>
      <c r="C3954" s="63">
        <v>45928</v>
      </c>
      <c r="D3954" s="33" t="str">
        <f>VLOOKUP(B3954,辅助信息!E:K,7,FALSE)</f>
        <v>JWDDCD2025102100481</v>
      </c>
      <c r="E3954" s="33" t="str">
        <f>VLOOKUP(F3954,辅助信息!A:B,2,FALSE)</f>
        <v>螺纹钢</v>
      </c>
      <c r="F3954" s="33" t="s">
        <v>18</v>
      </c>
      <c r="G3954" s="29">
        <v>9</v>
      </c>
      <c r="H3954" s="127"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33" t="str">
        <f>VLOOKUP(B3954,辅助信息!E:I,3,FALSE)</f>
        <v>(五冶建设成都盐道街中学初中部改扩建工程-二标)四川省成都市锦江区春熙路街道盐道街4号（盐道街中学初中部）</v>
      </c>
      <c r="J3954" s="33" t="str">
        <f>VLOOKUP(B3954,辅助信息!E:I,4,FALSE)</f>
        <v>谢鑫</v>
      </c>
      <c r="K3954" s="33">
        <f>VLOOKUP(J3954,辅助信息!H:I,2,FALSE)</f>
        <v>18228465067</v>
      </c>
      <c r="L3954" s="102" t="str">
        <f>VLOOKUP(B3954,辅助信息!E:J,6,FALSE)</f>
        <v>联系实际收货人（易前刚18228465067）五冶建设送货单,6份材质书,锈货不收，装货前联系收货人核实到场规格,没提前告知进场规格现场不给予接收</v>
      </c>
      <c r="M3954" s="141">
        <v>45929</v>
      </c>
      <c r="O3954" s="55">
        <f ca="1" t="shared" si="206"/>
        <v>0</v>
      </c>
      <c r="P3954" s="55">
        <f ca="1" t="shared" si="207"/>
        <v>28</v>
      </c>
      <c r="Q3954" s="22" t="str">
        <f>VLOOKUP(B3954,辅助信息!E:M,9,FALSE)</f>
        <v>ZTWM-CDGS-XS-2025-0073-五冶天府-成都怡心湖片区及龙泉驿医院等项目</v>
      </c>
      <c r="R3954" s="22" t="str">
        <f>_xlfn._xlws.FILTER(辅助信息!D:D,辅助信息!E:E=B3954)</f>
        <v>五冶建设成都盐道街中学初中部改扩建工程-二标</v>
      </c>
    </row>
    <row r="3955" hidden="1" spans="2:18">
      <c r="B3955" s="128" t="s">
        <v>230</v>
      </c>
      <c r="C3955" s="63">
        <v>45928</v>
      </c>
      <c r="D3955" s="33" t="str">
        <f>VLOOKUP(B3955,辅助信息!E:K,7,FALSE)</f>
        <v>JWDDCD2025102100481</v>
      </c>
      <c r="E3955" s="33" t="str">
        <f>VLOOKUP(F3955,辅助信息!A:B,2,FALSE)</f>
        <v>盘螺</v>
      </c>
      <c r="F3955" s="33" t="s">
        <v>41</v>
      </c>
      <c r="G3955" s="29">
        <v>2</v>
      </c>
      <c r="H3955" s="127"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33" t="str">
        <f>VLOOKUP(B3955,辅助信息!E:I,3,FALSE)</f>
        <v>(五冶建设成都盐道街中学初中部改扩建工程-二标)四川省成都市锦江区春熙路街道盐道街4号（盐道街中学初中部）</v>
      </c>
      <c r="J3955" s="33" t="str">
        <f>VLOOKUP(B3955,辅助信息!E:I,4,FALSE)</f>
        <v>谢鑫</v>
      </c>
      <c r="K3955" s="33">
        <f>VLOOKUP(J3955,辅助信息!H:I,2,FALSE)</f>
        <v>18228465067</v>
      </c>
      <c r="L3955" s="102" t="str">
        <f>VLOOKUP(B3955,辅助信息!E:J,6,FALSE)</f>
        <v>联系实际收货人（易前刚18228465067）五冶建设送货单,6份材质书,锈货不收，装货前联系收货人核实到场规格,没提前告知进场规格现场不给予接收</v>
      </c>
      <c r="M3955" s="141">
        <v>45929</v>
      </c>
      <c r="O3955" s="55">
        <f ca="1" t="shared" si="206"/>
        <v>0</v>
      </c>
      <c r="P3955" s="55">
        <f ca="1" t="shared" si="207"/>
        <v>28</v>
      </c>
      <c r="Q3955" s="22" t="str">
        <f>VLOOKUP(B3955,辅助信息!E:M,9,FALSE)</f>
        <v>ZTWM-CDGS-XS-2025-0073-五冶天府-成都怡心湖片区及龙泉驿医院等项目</v>
      </c>
      <c r="R3955" s="22" t="str">
        <f>_xlfn._xlws.FILTER(辅助信息!D:D,辅助信息!E:E=B3955)</f>
        <v>五冶建设成都盐道街中学初中部改扩建工程-二标</v>
      </c>
    </row>
    <row r="3956" hidden="1" spans="2:18">
      <c r="B3956" s="128" t="s">
        <v>230</v>
      </c>
      <c r="C3956" s="63">
        <v>45928</v>
      </c>
      <c r="D3956" s="33" t="str">
        <f>VLOOKUP(B3956,辅助信息!E:K,7,FALSE)</f>
        <v>JWDDCD2025102100481</v>
      </c>
      <c r="E3956" s="33" t="str">
        <f>VLOOKUP(F3956,辅助信息!A:B,2,FALSE)</f>
        <v>盘螺</v>
      </c>
      <c r="F3956" s="33" t="s">
        <v>40</v>
      </c>
      <c r="G3956" s="29">
        <v>2</v>
      </c>
      <c r="H3956" s="127"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33" t="str">
        <f>VLOOKUP(B3956,辅助信息!E:I,3,FALSE)</f>
        <v>(五冶建设成都盐道街中学初中部改扩建工程-二标)四川省成都市锦江区春熙路街道盐道街4号（盐道街中学初中部）</v>
      </c>
      <c r="J3956" s="33" t="str">
        <f>VLOOKUP(B3956,辅助信息!E:I,4,FALSE)</f>
        <v>谢鑫</v>
      </c>
      <c r="K3956" s="33">
        <f>VLOOKUP(J3956,辅助信息!H:I,2,FALSE)</f>
        <v>18228465067</v>
      </c>
      <c r="L3956" s="102" t="str">
        <f>VLOOKUP(B3956,辅助信息!E:J,6,FALSE)</f>
        <v>联系实际收货人（易前刚18228465067）五冶建设送货单,6份材质书,锈货不收，装货前联系收货人核实到场规格,没提前告知进场规格现场不给予接收</v>
      </c>
      <c r="M3956" s="141">
        <v>45929</v>
      </c>
      <c r="O3956" s="55">
        <f ca="1" t="shared" si="206"/>
        <v>0</v>
      </c>
      <c r="P3956" s="55">
        <f ca="1" t="shared" si="207"/>
        <v>28</v>
      </c>
      <c r="Q3956" s="22" t="str">
        <f>VLOOKUP(B3956,辅助信息!E:M,9,FALSE)</f>
        <v>ZTWM-CDGS-XS-2025-0073-五冶天府-成都怡心湖片区及龙泉驿医院等项目</v>
      </c>
      <c r="R3956" s="22" t="str">
        <f>_xlfn._xlws.FILTER(辅助信息!D:D,辅助信息!E:E=B3956)</f>
        <v>五冶建设成都盐道街中学初中部改扩建工程-二标</v>
      </c>
    </row>
    <row r="3957" hidden="1" spans="2:18">
      <c r="B3957" s="128" t="s">
        <v>231</v>
      </c>
      <c r="C3957" s="63">
        <v>45928</v>
      </c>
      <c r="D3957" s="33" t="str">
        <f>VLOOKUP(B3957,辅助信息!E:K,7,FALSE)</f>
        <v>JWDDCD2025102100481</v>
      </c>
      <c r="E3957" s="33" t="str">
        <f>VLOOKUP(F3957,辅助信息!A:B,2,FALSE)</f>
        <v>螺纹钢</v>
      </c>
      <c r="F3957" s="33" t="s">
        <v>19</v>
      </c>
      <c r="G3957" s="29">
        <v>24</v>
      </c>
      <c r="H3957" s="127"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33" t="str">
        <f>VLOOKUP(B3957,辅助信息!E:I,3,FALSE)</f>
        <v>(五冶建设成都盐道街中学初中部改扩建工程-一标)四川省成都市锦江区春熙路街道盐道街4号（盐道街中学初中部）</v>
      </c>
      <c r="J3957" s="33" t="str">
        <f>VLOOKUP(B3957,辅助信息!E:I,4,FALSE)</f>
        <v>谢鑫</v>
      </c>
      <c r="K3957" s="33">
        <f>VLOOKUP(J3957,辅助信息!H:I,2,FALSE)</f>
        <v>18228465067</v>
      </c>
      <c r="L3957" s="102" t="str">
        <f>VLOOKUP(B3957,辅助信息!E:J,6,FALSE)</f>
        <v>联系实际收货人（易前刚18228465067）五冶建设送货单,6份材质书,锈货不收，装货前联系收货人核实到场规格,没提前告知进场规格现场不给予接收</v>
      </c>
      <c r="M3957" s="141">
        <v>45929</v>
      </c>
      <c r="O3957" s="55">
        <f ca="1" t="shared" si="206"/>
        <v>0</v>
      </c>
      <c r="P3957" s="55">
        <f ca="1" t="shared" si="207"/>
        <v>28</v>
      </c>
      <c r="Q3957" s="22" t="str">
        <f>VLOOKUP(B3957,辅助信息!E:M,9,FALSE)</f>
        <v>ZTWM-CDGS-XS-2025-0073-五冶天府-成都怡心湖片区及龙泉驿医院等项目</v>
      </c>
      <c r="R3957" s="22" t="str">
        <f>_xlfn._xlws.FILTER(辅助信息!D:D,辅助信息!E:E=B3957)</f>
        <v>五冶建设成都盐道街中学初中部改扩建工程-一标</v>
      </c>
    </row>
    <row r="3958" hidden="1" spans="2:18">
      <c r="B3958" s="128" t="s">
        <v>231</v>
      </c>
      <c r="C3958" s="63">
        <v>45928</v>
      </c>
      <c r="D3958" s="33" t="str">
        <f>VLOOKUP(B3958,辅助信息!E:K,7,FALSE)</f>
        <v>JWDDCD2025102100481</v>
      </c>
      <c r="E3958" s="33" t="str">
        <f>VLOOKUP(F3958,辅助信息!A:B,2,FALSE)</f>
        <v>螺纹钢</v>
      </c>
      <c r="F3958" s="33" t="s">
        <v>32</v>
      </c>
      <c r="G3958" s="29">
        <v>6</v>
      </c>
      <c r="H3958" s="127"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33" t="str">
        <f>VLOOKUP(B3958,辅助信息!E:I,3,FALSE)</f>
        <v>(五冶建设成都盐道街中学初中部改扩建工程-一标)四川省成都市锦江区春熙路街道盐道街4号（盐道街中学初中部）</v>
      </c>
      <c r="J3958" s="33" t="str">
        <f>VLOOKUP(B3958,辅助信息!E:I,4,FALSE)</f>
        <v>谢鑫</v>
      </c>
      <c r="K3958" s="33">
        <f>VLOOKUP(J3958,辅助信息!H:I,2,FALSE)</f>
        <v>18228465067</v>
      </c>
      <c r="L3958" s="102" t="str">
        <f>VLOOKUP(B3958,辅助信息!E:J,6,FALSE)</f>
        <v>联系实际收货人（易前刚18228465067）五冶建设送货单,6份材质书,锈货不收，装货前联系收货人核实到场规格,没提前告知进场规格现场不给予接收</v>
      </c>
      <c r="M3958" s="141">
        <v>45929</v>
      </c>
      <c r="O3958" s="55">
        <f ca="1" t="shared" si="206"/>
        <v>0</v>
      </c>
      <c r="P3958" s="55">
        <f ca="1" t="shared" si="207"/>
        <v>28</v>
      </c>
      <c r="Q3958" s="22" t="str">
        <f>VLOOKUP(B3958,辅助信息!E:M,9,FALSE)</f>
        <v>ZTWM-CDGS-XS-2025-0073-五冶天府-成都怡心湖片区及龙泉驿医院等项目</v>
      </c>
      <c r="R3958" s="22" t="str">
        <f>_xlfn._xlws.FILTER(辅助信息!D:D,辅助信息!E:E=B3958)</f>
        <v>五冶建设成都盐道街中学初中部改扩建工程-一标</v>
      </c>
    </row>
    <row r="3959" hidden="1" spans="2:18">
      <c r="B3959" s="128" t="s">
        <v>231</v>
      </c>
      <c r="C3959" s="63">
        <v>45928</v>
      </c>
      <c r="D3959" s="33" t="str">
        <f>VLOOKUP(B3959,辅助信息!E:K,7,FALSE)</f>
        <v>JWDDCD2025102100481</v>
      </c>
      <c r="E3959" s="33" t="str">
        <f>VLOOKUP(F3959,辅助信息!A:B,2,FALSE)</f>
        <v>螺纹钢</v>
      </c>
      <c r="F3959" s="33" t="s">
        <v>28</v>
      </c>
      <c r="G3959" s="29">
        <v>64</v>
      </c>
      <c r="H3959" s="127"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33" t="str">
        <f>VLOOKUP(B3959,辅助信息!E:I,3,FALSE)</f>
        <v>(五冶建设成都盐道街中学初中部改扩建工程-一标)四川省成都市锦江区春熙路街道盐道街4号（盐道街中学初中部）</v>
      </c>
      <c r="J3959" s="33" t="str">
        <f>VLOOKUP(B3959,辅助信息!E:I,4,FALSE)</f>
        <v>谢鑫</v>
      </c>
      <c r="K3959" s="33">
        <f>VLOOKUP(J3959,辅助信息!H:I,2,FALSE)</f>
        <v>18228465067</v>
      </c>
      <c r="L3959" s="102" t="str">
        <f>VLOOKUP(B3959,辅助信息!E:J,6,FALSE)</f>
        <v>联系实际收货人（易前刚18228465067）五冶建设送货单,6份材质书,锈货不收，装货前联系收货人核实到场规格,没提前告知进场规格现场不给予接收</v>
      </c>
      <c r="M3959" s="141">
        <v>45929</v>
      </c>
      <c r="O3959" s="55">
        <f ca="1" t="shared" si="206"/>
        <v>0</v>
      </c>
      <c r="P3959" s="55">
        <f ca="1" t="shared" si="207"/>
        <v>28</v>
      </c>
      <c r="Q3959" s="22" t="str">
        <f>VLOOKUP(B3959,辅助信息!E:M,9,FALSE)</f>
        <v>ZTWM-CDGS-XS-2025-0073-五冶天府-成都怡心湖片区及龙泉驿医院等项目</v>
      </c>
      <c r="R3959" s="22" t="str">
        <f>_xlfn._xlws.FILTER(辅助信息!D:D,辅助信息!E:E=B3959)</f>
        <v>五冶建设成都盐道街中学初中部改扩建工程-一标</v>
      </c>
    </row>
    <row r="3960" hidden="1" spans="2:18">
      <c r="B3960" s="128" t="s">
        <v>231</v>
      </c>
      <c r="C3960" s="63">
        <v>45928</v>
      </c>
      <c r="D3960" s="33" t="str">
        <f>VLOOKUP(B3960,辅助信息!E:K,7,FALSE)</f>
        <v>JWDDCD2025102100481</v>
      </c>
      <c r="E3960" s="33" t="str">
        <f>VLOOKUP(F3960,辅助信息!A:B,2,FALSE)</f>
        <v>盘螺</v>
      </c>
      <c r="F3960" s="33" t="s">
        <v>49</v>
      </c>
      <c r="G3960" s="29">
        <v>2</v>
      </c>
      <c r="H3960" s="127"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33" t="str">
        <f>VLOOKUP(B3960,辅助信息!E:I,3,FALSE)</f>
        <v>(五冶建设成都盐道街中学初中部改扩建工程-一标)四川省成都市锦江区春熙路街道盐道街4号（盐道街中学初中部）</v>
      </c>
      <c r="J3960" s="33" t="str">
        <f>VLOOKUP(B3960,辅助信息!E:I,4,FALSE)</f>
        <v>谢鑫</v>
      </c>
      <c r="K3960" s="33">
        <f>VLOOKUP(J3960,辅助信息!H:I,2,FALSE)</f>
        <v>18228465067</v>
      </c>
      <c r="L3960" s="102" t="str">
        <f>VLOOKUP(B3960,辅助信息!E:J,6,FALSE)</f>
        <v>联系实际收货人（易前刚18228465067）五冶建设送货单,6份材质书,锈货不收，装货前联系收货人核实到场规格,没提前告知进场规格现场不给予接收</v>
      </c>
      <c r="M3960" s="141">
        <v>45929</v>
      </c>
      <c r="O3960" s="55">
        <f ca="1" t="shared" si="206"/>
        <v>0</v>
      </c>
      <c r="P3960" s="55">
        <f ca="1" t="shared" si="207"/>
        <v>28</v>
      </c>
      <c r="Q3960" s="22" t="str">
        <f>VLOOKUP(B3960,辅助信息!E:M,9,FALSE)</f>
        <v>ZTWM-CDGS-XS-2025-0073-五冶天府-成都怡心湖片区及龙泉驿医院等项目</v>
      </c>
      <c r="R3960" s="22" t="str">
        <f>_xlfn._xlws.FILTER(辅助信息!D:D,辅助信息!E:E=B3960)</f>
        <v>五冶建设成都盐道街中学初中部改扩建工程-一标</v>
      </c>
    </row>
    <row r="3961" hidden="1" spans="2:18">
      <c r="B3961" s="128" t="s">
        <v>167</v>
      </c>
      <c r="C3961" s="63">
        <v>45928</v>
      </c>
      <c r="D3961" s="33" t="str">
        <f>VLOOKUP(B3961,辅助信息!E:K,7,FALSE)</f>
        <v>JWDDCD2025102100473</v>
      </c>
      <c r="E3961" s="33" t="str">
        <f>VLOOKUP(F3961,辅助信息!A:B,2,FALSE)</f>
        <v>螺纹钢</v>
      </c>
      <c r="F3961" s="33" t="s">
        <v>21</v>
      </c>
      <c r="G3961" s="29">
        <v>5</v>
      </c>
      <c r="H3961" s="127"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33" t="str">
        <f>VLOOKUP(B3961,辅助信息!E:I,3,FALSE)</f>
        <v>(五冶建设扩建艺体中学二期工程)四川省成都市双流区光荣路成都艺体中学南200米</v>
      </c>
      <c r="J3961" s="33" t="str">
        <f>VLOOKUP(B3961,辅助信息!E:I,4,FALSE)</f>
        <v>谢序强</v>
      </c>
      <c r="K3961" s="33">
        <f>VLOOKUP(J3961,辅助信息!H:I,2,FALSE)</f>
        <v>13458588232</v>
      </c>
      <c r="L3961" s="102"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1">
        <v>45929</v>
      </c>
      <c r="O3961" s="55">
        <f ca="1" t="shared" si="206"/>
        <v>0</v>
      </c>
      <c r="P3961" s="55">
        <f ca="1" t="shared" si="207"/>
        <v>28</v>
      </c>
      <c r="Q3961" s="22" t="str">
        <f>VLOOKUP(B3961,辅助信息!E:M,9,FALSE)</f>
        <v>ZTWM-CDGS-XS-2025-0073-五冶天府-成都怡心湖片区及龙泉驿医院等项目</v>
      </c>
      <c r="R3961" s="22" t="str">
        <f>_xlfn._xlws.FILTER(辅助信息!D:D,辅助信息!E:E=B3961)</f>
        <v>五冶建设扩建艺体中学二期工程</v>
      </c>
    </row>
    <row r="3962" hidden="1" spans="2:18">
      <c r="B3962" s="128" t="s">
        <v>167</v>
      </c>
      <c r="C3962" s="63">
        <v>45928</v>
      </c>
      <c r="D3962" s="33" t="str">
        <f>VLOOKUP(B3962,辅助信息!E:K,7,FALSE)</f>
        <v>JWDDCD2025102100473</v>
      </c>
      <c r="E3962" s="33" t="str">
        <f>VLOOKUP(F3962,辅助信息!A:B,2,FALSE)</f>
        <v>螺纹钢</v>
      </c>
      <c r="F3962" s="33" t="s">
        <v>58</v>
      </c>
      <c r="G3962" s="29">
        <v>11</v>
      </c>
      <c r="H3962" s="127">
        <f>IF(SUMIFS('[1]2025年已发货'!$E:$E,'[1]2025年已发货'!$F:$F,C3962,'[1]2025年已发货'!$C:$C,F3962,'[1]2025年已发货'!$G:$G,I3962,'[1]2025年已发货'!$H:$H,J3962)=0,"未发货",SUMIFS('[1]2025年已发货'!$E:$E,'[1]2025年已发货'!$F:$F,C3962,'[1]2025年已发货'!$C:$C,F3962,'[1]2025年已发货'!$G:$G,I3962,'[1]2025年已发货'!$H:$H,J3962))</f>
        <v>6</v>
      </c>
      <c r="I3962" s="33" t="str">
        <f>VLOOKUP(B3962,辅助信息!E:I,3,FALSE)</f>
        <v>(五冶建设扩建艺体中学二期工程)四川省成都市双流区光荣路成都艺体中学南200米</v>
      </c>
      <c r="J3962" s="33" t="str">
        <f>VLOOKUP(B3962,辅助信息!E:I,4,FALSE)</f>
        <v>谢序强</v>
      </c>
      <c r="K3962" s="33">
        <f>VLOOKUP(J3962,辅助信息!H:I,2,FALSE)</f>
        <v>13458588232</v>
      </c>
      <c r="L3962" s="102"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1">
        <v>45929</v>
      </c>
      <c r="O3962" s="55">
        <f ca="1" t="shared" si="206"/>
        <v>0</v>
      </c>
      <c r="P3962" s="55">
        <f ca="1" t="shared" si="207"/>
        <v>28</v>
      </c>
      <c r="Q3962" s="22" t="str">
        <f>VLOOKUP(B3962,辅助信息!E:M,9,FALSE)</f>
        <v>ZTWM-CDGS-XS-2025-0073-五冶天府-成都怡心湖片区及龙泉驿医院等项目</v>
      </c>
      <c r="R3962" s="22" t="str">
        <f>_xlfn._xlws.FILTER(辅助信息!D:D,辅助信息!E:E=B3962)</f>
        <v>五冶建设扩建艺体中学二期工程</v>
      </c>
    </row>
    <row r="3963" hidden="1" spans="2:18">
      <c r="B3963" s="128" t="s">
        <v>167</v>
      </c>
      <c r="C3963" s="63">
        <v>45928</v>
      </c>
      <c r="D3963" s="33" t="str">
        <f>VLOOKUP(B3963,辅助信息!E:K,7,FALSE)</f>
        <v>JWDDCD2025102100473</v>
      </c>
      <c r="E3963" s="33" t="str">
        <f>VLOOKUP(F3963,辅助信息!A:B,2,FALSE)</f>
        <v>螺纹钢</v>
      </c>
      <c r="F3963" s="33" t="s">
        <v>46</v>
      </c>
      <c r="G3963" s="29">
        <v>5</v>
      </c>
      <c r="H3963" s="127"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33" t="str">
        <f>VLOOKUP(B3963,辅助信息!E:I,3,FALSE)</f>
        <v>(五冶建设扩建艺体中学二期工程)四川省成都市双流区光荣路成都艺体中学南200米</v>
      </c>
      <c r="J3963" s="33" t="str">
        <f>VLOOKUP(B3963,辅助信息!E:I,4,FALSE)</f>
        <v>谢序强</v>
      </c>
      <c r="K3963" s="33">
        <f>VLOOKUP(J3963,辅助信息!H:I,2,FALSE)</f>
        <v>13458588232</v>
      </c>
      <c r="L3963" s="102"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1">
        <v>45929</v>
      </c>
      <c r="O3963" s="55">
        <f ca="1" t="shared" si="206"/>
        <v>0</v>
      </c>
      <c r="P3963" s="55">
        <f ca="1" t="shared" si="207"/>
        <v>28</v>
      </c>
      <c r="Q3963" s="22" t="str">
        <f>VLOOKUP(B3963,辅助信息!E:M,9,FALSE)</f>
        <v>ZTWM-CDGS-XS-2025-0073-五冶天府-成都怡心湖片区及龙泉驿医院等项目</v>
      </c>
      <c r="R3963" s="22" t="str">
        <f>_xlfn._xlws.FILTER(辅助信息!D:D,辅助信息!E:E=B3963)</f>
        <v>五冶建设扩建艺体中学二期工程</v>
      </c>
    </row>
    <row r="3964" hidden="1" spans="2:18">
      <c r="B3964" s="128" t="s">
        <v>167</v>
      </c>
      <c r="C3964" s="63">
        <v>45928</v>
      </c>
      <c r="D3964" s="33" t="str">
        <f>VLOOKUP(B3964,辅助信息!E:K,7,FALSE)</f>
        <v>JWDDCD2025102100473</v>
      </c>
      <c r="E3964" s="33" t="str">
        <f>VLOOKUP(F3964,辅助信息!A:B,2,FALSE)</f>
        <v>螺纹钢</v>
      </c>
      <c r="F3964" s="33" t="s">
        <v>22</v>
      </c>
      <c r="G3964" s="29">
        <v>35</v>
      </c>
      <c r="H3964" s="127"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33" t="str">
        <f>VLOOKUP(B3964,辅助信息!E:I,3,FALSE)</f>
        <v>(五冶建设扩建艺体中学二期工程)四川省成都市双流区光荣路成都艺体中学南200米</v>
      </c>
      <c r="J3964" s="33" t="str">
        <f>VLOOKUP(B3964,辅助信息!E:I,4,FALSE)</f>
        <v>谢序强</v>
      </c>
      <c r="K3964" s="33">
        <f>VLOOKUP(J3964,辅助信息!H:I,2,FALSE)</f>
        <v>13458588232</v>
      </c>
      <c r="L3964" s="102"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1">
        <v>45929</v>
      </c>
      <c r="O3964" s="55">
        <f ca="1" t="shared" si="206"/>
        <v>0</v>
      </c>
      <c r="P3964" s="55">
        <f ca="1" t="shared" si="207"/>
        <v>28</v>
      </c>
      <c r="Q3964" s="22" t="str">
        <f>VLOOKUP(B3964,辅助信息!E:M,9,FALSE)</f>
        <v>ZTWM-CDGS-XS-2025-0073-五冶天府-成都怡心湖片区及龙泉驿医院等项目</v>
      </c>
      <c r="R3964" s="22" t="str">
        <f>_xlfn._xlws.FILTER(辅助信息!D:D,辅助信息!E:E=B3964)</f>
        <v>五冶建设扩建艺体中学二期工程</v>
      </c>
    </row>
    <row r="3965" hidden="1" spans="2:18">
      <c r="B3965" s="128" t="s">
        <v>167</v>
      </c>
      <c r="C3965" s="63">
        <v>45928</v>
      </c>
      <c r="D3965" s="33" t="str">
        <f>VLOOKUP(B3965,辅助信息!E:K,7,FALSE)</f>
        <v>JWDDCD2025102100473</v>
      </c>
      <c r="E3965" s="33" t="str">
        <f>VLOOKUP(F3965,辅助信息!A:B,2,FALSE)</f>
        <v>螺纹钢</v>
      </c>
      <c r="F3965" s="33" t="s">
        <v>181</v>
      </c>
      <c r="G3965" s="29">
        <v>10</v>
      </c>
      <c r="H3965" s="127"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33" t="str">
        <f>VLOOKUP(B3965,辅助信息!E:I,3,FALSE)</f>
        <v>(五冶建设扩建艺体中学二期工程)四川省成都市双流区光荣路成都艺体中学南200米</v>
      </c>
      <c r="J3965" s="33" t="str">
        <f>VLOOKUP(B3965,辅助信息!E:I,4,FALSE)</f>
        <v>谢序强</v>
      </c>
      <c r="K3965" s="33">
        <f>VLOOKUP(J3965,辅助信息!H:I,2,FALSE)</f>
        <v>13458588232</v>
      </c>
      <c r="L3965" s="102"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1">
        <v>45929</v>
      </c>
      <c r="O3965" s="55">
        <f ca="1" t="shared" si="206"/>
        <v>0</v>
      </c>
      <c r="P3965" s="55">
        <f ca="1" t="shared" si="207"/>
        <v>28</v>
      </c>
      <c r="Q3965" s="22" t="str">
        <f>VLOOKUP(B3965,辅助信息!E:M,9,FALSE)</f>
        <v>ZTWM-CDGS-XS-2025-0073-五冶天府-成都怡心湖片区及龙泉驿医院等项目</v>
      </c>
      <c r="R3965" s="22" t="str">
        <f>_xlfn._xlws.FILTER(辅助信息!D:D,辅助信息!E:E=B3965)</f>
        <v>五冶建设扩建艺体中学二期工程</v>
      </c>
    </row>
    <row r="3966" hidden="1" spans="2:18">
      <c r="B3966" s="128" t="s">
        <v>167</v>
      </c>
      <c r="C3966" s="63">
        <v>45928</v>
      </c>
      <c r="D3966" s="33" t="str">
        <f>VLOOKUP(B3966,辅助信息!E:K,7,FALSE)</f>
        <v>JWDDCD2025102100473</v>
      </c>
      <c r="E3966" s="33" t="str">
        <f>VLOOKUP(F3966,辅助信息!A:B,2,FALSE)</f>
        <v>螺纹钢</v>
      </c>
      <c r="F3966" s="33" t="s">
        <v>182</v>
      </c>
      <c r="G3966" s="29">
        <v>43</v>
      </c>
      <c r="H3966" s="127">
        <f>IF(SUMIFS('[1]2025年已发货'!$E:$E,'[1]2025年已发货'!$F:$F,C3966,'[1]2025年已发货'!$C:$C,F3966,'[1]2025年已发货'!$G:$G,I3966,'[1]2025年已发货'!$H:$H,J3966)=0,"未发货",SUMIFS('[1]2025年已发货'!$E:$E,'[1]2025年已发货'!$F:$F,C3966,'[1]2025年已发货'!$C:$C,F3966,'[1]2025年已发货'!$G:$G,I3966,'[1]2025年已发货'!$H:$H,J3966))</f>
        <v>28</v>
      </c>
      <c r="I3966" s="33" t="str">
        <f>VLOOKUP(B3966,辅助信息!E:I,3,FALSE)</f>
        <v>(五冶建设扩建艺体中学二期工程)四川省成都市双流区光荣路成都艺体中学南200米</v>
      </c>
      <c r="J3966" s="33" t="str">
        <f>VLOOKUP(B3966,辅助信息!E:I,4,FALSE)</f>
        <v>谢序强</v>
      </c>
      <c r="K3966" s="33">
        <f>VLOOKUP(J3966,辅助信息!H:I,2,FALSE)</f>
        <v>13458588232</v>
      </c>
      <c r="L3966" s="102"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1">
        <v>45929</v>
      </c>
      <c r="O3966" s="55">
        <f ca="1" t="shared" si="206"/>
        <v>0</v>
      </c>
      <c r="P3966" s="55">
        <f ca="1" t="shared" si="207"/>
        <v>28</v>
      </c>
      <c r="Q3966" s="22" t="str">
        <f>VLOOKUP(B3966,辅助信息!E:M,9,FALSE)</f>
        <v>ZTWM-CDGS-XS-2025-0073-五冶天府-成都怡心湖片区及龙泉驿医院等项目</v>
      </c>
      <c r="R3966" s="22" t="str">
        <f>_xlfn._xlws.FILTER(辅助信息!D:D,辅助信息!E:E=B3966)</f>
        <v>五冶建设扩建艺体中学二期工程</v>
      </c>
    </row>
    <row r="3967" hidden="1" spans="2:18">
      <c r="B3967" s="128" t="s">
        <v>167</v>
      </c>
      <c r="C3967" s="63">
        <v>45928</v>
      </c>
      <c r="D3967" s="33" t="str">
        <f>VLOOKUP(B3967,辅助信息!E:K,7,FALSE)</f>
        <v>JWDDCD2025102100473</v>
      </c>
      <c r="E3967" s="33" t="str">
        <f>VLOOKUP(F3967,辅助信息!A:B,2,FALSE)</f>
        <v>盘螺</v>
      </c>
      <c r="F3967" s="33" t="s">
        <v>41</v>
      </c>
      <c r="G3967" s="29">
        <v>20</v>
      </c>
      <c r="H3967" s="127"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33" t="str">
        <f>VLOOKUP(B3967,辅助信息!E:I,3,FALSE)</f>
        <v>(五冶建设扩建艺体中学二期工程)四川省成都市双流区光荣路成都艺体中学南200米</v>
      </c>
      <c r="J3967" s="33" t="str">
        <f>VLOOKUP(B3967,辅助信息!E:I,4,FALSE)</f>
        <v>谢序强</v>
      </c>
      <c r="K3967" s="33">
        <f>VLOOKUP(J3967,辅助信息!H:I,2,FALSE)</f>
        <v>13458588232</v>
      </c>
      <c r="L3967" s="102"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1">
        <v>45929</v>
      </c>
      <c r="O3967" s="55">
        <f ca="1" t="shared" si="206"/>
        <v>0</v>
      </c>
      <c r="P3967" s="55">
        <f ca="1" t="shared" si="207"/>
        <v>28</v>
      </c>
      <c r="Q3967" s="22" t="str">
        <f>VLOOKUP(B3967,辅助信息!E:M,9,FALSE)</f>
        <v>ZTWM-CDGS-XS-2025-0073-五冶天府-成都怡心湖片区及龙泉驿医院等项目</v>
      </c>
      <c r="R3967" s="22" t="str">
        <f>_xlfn._xlws.FILTER(辅助信息!D:D,辅助信息!E:E=B3967)</f>
        <v>五冶建设扩建艺体中学二期工程</v>
      </c>
    </row>
    <row r="3968" hidden="1" spans="2:18">
      <c r="B3968" s="128" t="s">
        <v>167</v>
      </c>
      <c r="C3968" s="63">
        <v>45928</v>
      </c>
      <c r="D3968" s="33" t="str">
        <f>VLOOKUP(B3968,辅助信息!E:K,7,FALSE)</f>
        <v>JWDDCD2025102100473</v>
      </c>
      <c r="E3968" s="33" t="str">
        <f>VLOOKUP(F3968,辅助信息!A:B,2,FALSE)</f>
        <v>盘螺</v>
      </c>
      <c r="F3968" s="33" t="s">
        <v>40</v>
      </c>
      <c r="G3968" s="29">
        <v>10</v>
      </c>
      <c r="H3968" s="127"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33" t="str">
        <f>VLOOKUP(B3968,辅助信息!E:I,3,FALSE)</f>
        <v>(五冶建设扩建艺体中学二期工程)四川省成都市双流区光荣路成都艺体中学南200米</v>
      </c>
      <c r="J3968" s="33" t="str">
        <f>VLOOKUP(B3968,辅助信息!E:I,4,FALSE)</f>
        <v>谢序强</v>
      </c>
      <c r="K3968" s="33">
        <f>VLOOKUP(J3968,辅助信息!H:I,2,FALSE)</f>
        <v>13458588232</v>
      </c>
      <c r="L3968" s="102"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1">
        <v>45929</v>
      </c>
      <c r="O3968" s="55">
        <f ca="1" t="shared" si="206"/>
        <v>0</v>
      </c>
      <c r="P3968" s="55">
        <f ca="1" t="shared" si="207"/>
        <v>28</v>
      </c>
      <c r="Q3968" s="22" t="str">
        <f>VLOOKUP(B3968,辅助信息!E:M,9,FALSE)</f>
        <v>ZTWM-CDGS-XS-2025-0073-五冶天府-成都怡心湖片区及龙泉驿医院等项目</v>
      </c>
      <c r="R3968" s="22" t="str">
        <f>_xlfn._xlws.FILTER(辅助信息!D:D,辅助信息!E:E=B3968)</f>
        <v>五冶建设扩建艺体中学二期工程</v>
      </c>
    </row>
    <row r="3969" hidden="1" spans="2:18">
      <c r="B3969" s="128" t="s">
        <v>215</v>
      </c>
      <c r="C3969" s="63">
        <v>45928</v>
      </c>
      <c r="D3969" s="33" t="str">
        <f>VLOOKUP(B3969,辅助信息!E:K,7,FALSE)</f>
        <v>JWDDCD2025102100486</v>
      </c>
      <c r="E3969" s="33" t="str">
        <f>VLOOKUP(F3969,辅助信息!A:B,2,FALSE)</f>
        <v>螺纹钢</v>
      </c>
      <c r="F3969" s="33" t="s">
        <v>27</v>
      </c>
      <c r="G3969" s="29">
        <v>15</v>
      </c>
      <c r="H3969" s="127"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33" t="str">
        <f>VLOOKUP(B3969,辅助信息!E:I,3,FALSE)</f>
        <v>(五冶建设龙泉驿一医院配套建设工程)成都市龙泉驿区董朗路69号龙泉驿一医院5号门</v>
      </c>
      <c r="J3969" s="33" t="str">
        <f>VLOOKUP(B3969,辅助信息!E:I,4,FALSE)</f>
        <v>孙敏</v>
      </c>
      <c r="K3969" s="33">
        <f>VLOOKUP(J3969,辅助信息!H:I,2,FALSE)</f>
        <v>13617695006</v>
      </c>
      <c r="L3969" s="102" t="str">
        <f>VLOOKUP(B3969,辅助信息!E:J,6,FALSE)</f>
        <v>联系实际收货人（孙敏13617695006）五冶建设送货单,6份材质书,锈货不收，装货前联系收货人核实到场规格,没提前告知进场规格现场不给予接收</v>
      </c>
      <c r="O3969" s="55" t="str">
        <f ca="1" t="shared" si="206"/>
        <v/>
      </c>
      <c r="P3969" s="55" t="str">
        <f ca="1" t="shared" si="207"/>
        <v/>
      </c>
      <c r="Q3969" s="22" t="str">
        <f>VLOOKUP(B3969,辅助信息!E:M,9,FALSE)</f>
        <v>ZTWM-CDGS-XS-2025-0073-五冶天府-成都怡心湖片区及龙泉驿医院等项目</v>
      </c>
      <c r="R3969" s="22" t="str">
        <f>_xlfn._xlws.FILTER(辅助信息!D:D,辅助信息!E:E=B3969)</f>
        <v>五冶建设龙泉驿一医院配套建设工程</v>
      </c>
    </row>
    <row r="3970" hidden="1" spans="2:18">
      <c r="B3970" s="128" t="s">
        <v>215</v>
      </c>
      <c r="C3970" s="63">
        <v>45928</v>
      </c>
      <c r="D3970" s="33" t="str">
        <f>VLOOKUP(B3970,辅助信息!E:K,7,FALSE)</f>
        <v>JWDDCD2025102100486</v>
      </c>
      <c r="E3970" s="33" t="str">
        <f>VLOOKUP(F3970,辅助信息!A:B,2,FALSE)</f>
        <v>螺纹钢</v>
      </c>
      <c r="F3970" s="33" t="s">
        <v>28</v>
      </c>
      <c r="G3970" s="29">
        <v>5</v>
      </c>
      <c r="H3970" s="127"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33" t="str">
        <f>VLOOKUP(B3970,辅助信息!E:I,3,FALSE)</f>
        <v>(五冶建设龙泉驿一医院配套建设工程)成都市龙泉驿区董朗路69号龙泉驿一医院5号门</v>
      </c>
      <c r="J3970" s="33" t="str">
        <f>VLOOKUP(B3970,辅助信息!E:I,4,FALSE)</f>
        <v>孙敏</v>
      </c>
      <c r="K3970" s="33">
        <f>VLOOKUP(J3970,辅助信息!H:I,2,FALSE)</f>
        <v>13617695006</v>
      </c>
      <c r="L3970" s="102" t="str">
        <f>VLOOKUP(B3970,辅助信息!E:J,6,FALSE)</f>
        <v>联系实际收货人（孙敏13617695006）五冶建设送货单,6份材质书,锈货不收，装货前联系收货人核实到场规格,没提前告知进场规格现场不给予接收</v>
      </c>
      <c r="O3970" s="55" t="str">
        <f ca="1" t="shared" si="206"/>
        <v/>
      </c>
      <c r="P3970" s="55" t="str">
        <f ca="1" t="shared" si="207"/>
        <v/>
      </c>
      <c r="Q3970" s="22" t="str">
        <f>VLOOKUP(B3970,辅助信息!E:M,9,FALSE)</f>
        <v>ZTWM-CDGS-XS-2025-0073-五冶天府-成都怡心湖片区及龙泉驿医院等项目</v>
      </c>
      <c r="R3970" s="22" t="str">
        <f>_xlfn._xlws.FILTER(辅助信息!D:D,辅助信息!E:E=B3970)</f>
        <v>五冶建设龙泉驿一医院配套建设工程</v>
      </c>
    </row>
    <row r="3971" hidden="1" spans="2:18">
      <c r="B3971" s="128" t="s">
        <v>215</v>
      </c>
      <c r="C3971" s="63">
        <v>45928</v>
      </c>
      <c r="D3971" s="33" t="str">
        <f>VLOOKUP(B3971,辅助信息!E:K,7,FALSE)</f>
        <v>JWDDCD2025102100486</v>
      </c>
      <c r="E3971" s="33" t="str">
        <f>VLOOKUP(F3971,辅助信息!A:B,2,FALSE)</f>
        <v>螺纹钢</v>
      </c>
      <c r="F3971" s="33" t="s">
        <v>18</v>
      </c>
      <c r="G3971" s="29">
        <v>6</v>
      </c>
      <c r="H3971" s="127"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33" t="str">
        <f>VLOOKUP(B3971,辅助信息!E:I,3,FALSE)</f>
        <v>(五冶建设龙泉驿一医院配套建设工程)成都市龙泉驿区董朗路69号龙泉驿一医院5号门</v>
      </c>
      <c r="J3971" s="33" t="str">
        <f>VLOOKUP(B3971,辅助信息!E:I,4,FALSE)</f>
        <v>孙敏</v>
      </c>
      <c r="K3971" s="33">
        <f>VLOOKUP(J3971,辅助信息!H:I,2,FALSE)</f>
        <v>13617695006</v>
      </c>
      <c r="L3971" s="102" t="str">
        <f>VLOOKUP(B3971,辅助信息!E:J,6,FALSE)</f>
        <v>联系实际收货人（孙敏13617695006）五冶建设送货单,6份材质书,锈货不收，装货前联系收货人核实到场规格,没提前告知进场规格现场不给予接收</v>
      </c>
      <c r="O3971" s="55" t="str">
        <f ca="1" t="shared" si="206"/>
        <v/>
      </c>
      <c r="P3971" s="55" t="str">
        <f ca="1" t="shared" si="207"/>
        <v/>
      </c>
      <c r="Q3971" s="22" t="str">
        <f>VLOOKUP(B3971,辅助信息!E:M,9,FALSE)</f>
        <v>ZTWM-CDGS-XS-2025-0073-五冶天府-成都怡心湖片区及龙泉驿医院等项目</v>
      </c>
      <c r="R3971" s="22" t="str">
        <f>_xlfn._xlws.FILTER(辅助信息!D:D,辅助信息!E:E=B3971)</f>
        <v>五冶建设龙泉驿一医院配套建设工程</v>
      </c>
    </row>
    <row r="3972" hidden="1" spans="2:18">
      <c r="B3972" s="128" t="s">
        <v>215</v>
      </c>
      <c r="C3972" s="63">
        <v>45928</v>
      </c>
      <c r="D3972" s="33" t="str">
        <f>VLOOKUP(B3972,辅助信息!E:K,7,FALSE)</f>
        <v>JWDDCD2025102100486</v>
      </c>
      <c r="E3972" s="33" t="str">
        <f>VLOOKUP(F3972,辅助信息!A:B,2,FALSE)</f>
        <v>螺纹钢</v>
      </c>
      <c r="F3972" s="33" t="s">
        <v>22</v>
      </c>
      <c r="G3972" s="29">
        <v>9</v>
      </c>
      <c r="H3972" s="127"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33" t="str">
        <f>VLOOKUP(B3972,辅助信息!E:I,3,FALSE)</f>
        <v>(五冶建设龙泉驿一医院配套建设工程)成都市龙泉驿区董朗路69号龙泉驿一医院5号门</v>
      </c>
      <c r="J3972" s="33" t="str">
        <f>VLOOKUP(B3972,辅助信息!E:I,4,FALSE)</f>
        <v>孙敏</v>
      </c>
      <c r="K3972" s="33">
        <f>VLOOKUP(J3972,辅助信息!H:I,2,FALSE)</f>
        <v>13617695006</v>
      </c>
      <c r="L3972" s="102" t="str">
        <f>VLOOKUP(B3972,辅助信息!E:J,6,FALSE)</f>
        <v>联系实际收货人（孙敏13617695006）五冶建设送货单,6份材质书,锈货不收，装货前联系收货人核实到场规格,没提前告知进场规格现场不给予接收</v>
      </c>
      <c r="O3972" s="55" t="str">
        <f ca="1" t="shared" si="206"/>
        <v/>
      </c>
      <c r="P3972" s="55" t="str">
        <f ca="1" t="shared" si="207"/>
        <v/>
      </c>
      <c r="Q3972" s="22" t="str">
        <f>VLOOKUP(B3972,辅助信息!E:M,9,FALSE)</f>
        <v>ZTWM-CDGS-XS-2025-0073-五冶天府-成都怡心湖片区及龙泉驿医院等项目</v>
      </c>
      <c r="R3972" s="22" t="str">
        <f>_xlfn._xlws.FILTER(辅助信息!D:D,辅助信息!E:E=B3972)</f>
        <v>五冶建设龙泉驿一医院配套建设工程</v>
      </c>
    </row>
    <row r="3973" hidden="1" spans="2:18">
      <c r="B3973" s="128" t="s">
        <v>196</v>
      </c>
      <c r="C3973" s="63">
        <v>45928</v>
      </c>
      <c r="D3973" s="33" t="str">
        <f>VLOOKUP(B3973,辅助信息!E:K,7,FALSE)</f>
        <v>JWDDCD2025102100476</v>
      </c>
      <c r="E3973" s="33" t="str">
        <f>VLOOKUP(F3973,辅助信息!A:B,2,FALSE)</f>
        <v>螺纹钢</v>
      </c>
      <c r="F3973" s="33" t="s">
        <v>21</v>
      </c>
      <c r="G3973" s="29">
        <v>5</v>
      </c>
      <c r="H3973" s="127">
        <f>IF(SUMIFS('[1]2025年已发货'!$E:$E,'[1]2025年已发货'!$F:$F,C3973,'[1]2025年已发货'!$C:$C,F3973,'[1]2025年已发货'!$G:$G,I3973,'[1]2025年已发货'!$H:$H,J3973)=0,"未发货",SUMIFS('[1]2025年已发货'!$E:$E,'[1]2025年已发货'!$F:$F,C3973,'[1]2025年已发货'!$C:$C,F3973,'[1]2025年已发货'!$G:$G,I3973,'[1]2025年已发货'!$H:$H,J3973))</f>
        <v>5</v>
      </c>
      <c r="I3973" s="33" t="str">
        <f>VLOOKUP(B3973,辅助信息!E:I,3,FALSE)</f>
        <v>(五冶建设师大附中外语校新建教学楼工程)四川省成都市成华区大观堰2号(四川师范大学附属中学外国语学校)</v>
      </c>
      <c r="J3973" s="33" t="str">
        <f>VLOOKUP(B3973,辅助信息!E:I,4,FALSE)</f>
        <v>蔡浩</v>
      </c>
      <c r="K3973" s="33">
        <f>VLOOKUP(J3973,辅助信息!H:I,2,FALSE)</f>
        <v>13980880820</v>
      </c>
      <c r="L3973" s="102"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55" t="str">
        <f ca="1" t="shared" si="206"/>
        <v/>
      </c>
      <c r="P3973" s="55" t="str">
        <f ca="1" t="shared" si="207"/>
        <v/>
      </c>
      <c r="Q3973" s="22" t="str">
        <f>VLOOKUP(B3973,辅助信息!E:M,9,FALSE)</f>
        <v>ZTWM-CDGS-XS-2025-0073-五冶天府-成都怡心湖片区及龙泉驿医院等项目</v>
      </c>
      <c r="R3973" s="22" t="str">
        <f>_xlfn._xlws.FILTER(辅助信息!D:D,辅助信息!E:E=B3973)</f>
        <v>五冶建设师大附中外语校新建教学楼工程</v>
      </c>
    </row>
    <row r="3974" hidden="1" spans="2:18">
      <c r="B3974" s="128" t="s">
        <v>196</v>
      </c>
      <c r="C3974" s="63">
        <v>45928</v>
      </c>
      <c r="D3974" s="33" t="str">
        <f>VLOOKUP(B3974,辅助信息!E:K,7,FALSE)</f>
        <v>JWDDCD2025102100476</v>
      </c>
      <c r="E3974" s="33" t="str">
        <f>VLOOKUP(F3974,辅助信息!A:B,2,FALSE)</f>
        <v>螺纹钢</v>
      </c>
      <c r="F3974" s="33" t="s">
        <v>22</v>
      </c>
      <c r="G3974" s="29">
        <v>30</v>
      </c>
      <c r="H3974" s="127">
        <f>IF(SUMIFS('[1]2025年已发货'!$E:$E,'[1]2025年已发货'!$F:$F,C3974,'[1]2025年已发货'!$C:$C,F3974,'[1]2025年已发货'!$G:$G,I3974,'[1]2025年已发货'!$H:$H,J3974)=0,"未发货",SUMIFS('[1]2025年已发货'!$E:$E,'[1]2025年已发货'!$F:$F,C3974,'[1]2025年已发货'!$C:$C,F3974,'[1]2025年已发货'!$G:$G,I3974,'[1]2025年已发货'!$H:$H,J3974))</f>
        <v>30</v>
      </c>
      <c r="I3974" s="33" t="str">
        <f>VLOOKUP(B3974,辅助信息!E:I,3,FALSE)</f>
        <v>(五冶建设师大附中外语校新建教学楼工程)四川省成都市成华区大观堰2号(四川师范大学附属中学外国语学校)</v>
      </c>
      <c r="J3974" s="33" t="str">
        <f>VLOOKUP(B3974,辅助信息!E:I,4,FALSE)</f>
        <v>蔡浩</v>
      </c>
      <c r="K3974" s="33">
        <f>VLOOKUP(J3974,辅助信息!H:I,2,FALSE)</f>
        <v>13980880820</v>
      </c>
      <c r="L3974" s="102"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55" t="str">
        <f ca="1" t="shared" si="206"/>
        <v/>
      </c>
      <c r="P3974" s="55" t="str">
        <f ca="1" t="shared" si="207"/>
        <v/>
      </c>
      <c r="Q3974" s="22" t="str">
        <f>VLOOKUP(B3974,辅助信息!E:M,9,FALSE)</f>
        <v>ZTWM-CDGS-XS-2025-0073-五冶天府-成都怡心湖片区及龙泉驿医院等项目</v>
      </c>
      <c r="R3974" s="22" t="str">
        <f>_xlfn._xlws.FILTER(辅助信息!D:D,辅助信息!E:E=B3974)</f>
        <v>五冶建设师大附中外语校新建教学楼工程</v>
      </c>
    </row>
    <row r="3975" hidden="1" spans="2:18">
      <c r="B3975" s="128" t="s">
        <v>204</v>
      </c>
      <c r="C3975" s="63">
        <v>45928</v>
      </c>
      <c r="D3975" s="33" t="str">
        <f>VLOOKUP(B3975,辅助信息!E:K,7,FALSE)</f>
        <v>JWDDCD2025062200016</v>
      </c>
      <c r="E3975" s="33" t="str">
        <f>VLOOKUP(F3975,辅助信息!A:B,2,FALSE)</f>
        <v>螺纹钢</v>
      </c>
      <c r="F3975" s="33" t="s">
        <v>19</v>
      </c>
      <c r="G3975" s="29">
        <v>9</v>
      </c>
      <c r="H3975" s="127">
        <f>IF(SUMIFS('[1]2025年已发货'!$E:$E,'[1]2025年已发货'!$F:$F,C3975,'[1]2025年已发货'!$C:$C,F3975,'[1]2025年已发货'!$G:$G,I3975,'[1]2025年已发货'!$H:$H,J3975)=0,"未发货",SUMIFS('[1]2025年已发货'!$E:$E,'[1]2025年已发货'!$F:$F,C3975,'[1]2025年已发货'!$C:$C,F3975,'[1]2025年已发货'!$G:$G,I3975,'[1]2025年已发货'!$H:$H,J3975))</f>
        <v>9</v>
      </c>
      <c r="I3975" s="33" t="str">
        <f>VLOOKUP(B3975,辅助信息!E:I,3,FALSE)</f>
        <v>(武汉电气化局成达万高铁强电项目-达州主城区-达州南站)四川省达州市达川区达州南站</v>
      </c>
      <c r="J3975" s="33" t="str">
        <f>VLOOKUP(B3975,辅助信息!E:I,4,FALSE)</f>
        <v>杨人志</v>
      </c>
      <c r="K3975" s="33">
        <f>VLOOKUP(J3975,辅助信息!H:I,2,FALSE)</f>
        <v>18782679099</v>
      </c>
      <c r="L3975" s="102" t="str">
        <f>VLOOKUP(B3975,辅助信息!E:J,6,FALSE)</f>
        <v>锈货不收！！下雨天钢筋没盖篷布不收！！，装货前联系收货人核实到场规格,没提前告知进场规格现场不给予接收</v>
      </c>
      <c r="O3975" s="55" t="str">
        <f ca="1" t="shared" si="206"/>
        <v/>
      </c>
      <c r="P3975" s="55" t="str">
        <f ca="1" t="shared" si="207"/>
        <v/>
      </c>
      <c r="Q3975" s="22" t="str">
        <f>VLOOKUP(B3975,辅助信息!E:M,9,FALSE)</f>
        <v>ZTWM-CDGS-XS-2025-0033-中铁武汉电气化局集团有限公司成达万高速铁路强电工程项目</v>
      </c>
      <c r="R3975" s="22" t="str">
        <f>_xlfn._xlws.FILTER(辅助信息!D:D,辅助信息!E:E=B3975)</f>
        <v>武汉电气化局成达万高铁强电项目</v>
      </c>
    </row>
    <row r="3976" hidden="1" spans="2:18">
      <c r="B3976" s="128" t="s">
        <v>204</v>
      </c>
      <c r="C3976" s="63">
        <v>45928</v>
      </c>
      <c r="D3976" s="33" t="str">
        <f>VLOOKUP(B3976,辅助信息!E:K,7,FALSE)</f>
        <v>JWDDCD2025062200016</v>
      </c>
      <c r="E3976" s="33" t="str">
        <f>VLOOKUP(F3976,辅助信息!A:B,2,FALSE)</f>
        <v>螺纹钢</v>
      </c>
      <c r="F3976" s="33" t="s">
        <v>32</v>
      </c>
      <c r="G3976" s="29">
        <v>9</v>
      </c>
      <c r="H3976" s="127">
        <f>IF(SUMIFS('[1]2025年已发货'!$E:$E,'[1]2025年已发货'!$F:$F,C3976,'[1]2025年已发货'!$C:$C,F3976,'[1]2025年已发货'!$G:$G,I3976,'[1]2025年已发货'!$H:$H,J3976)=0,"未发货",SUMIFS('[1]2025年已发货'!$E:$E,'[1]2025年已发货'!$F:$F,C3976,'[1]2025年已发货'!$C:$C,F3976,'[1]2025年已发货'!$G:$G,I3976,'[1]2025年已发货'!$H:$H,J3976))</f>
        <v>9</v>
      </c>
      <c r="I3976" s="33" t="str">
        <f>VLOOKUP(B3976,辅助信息!E:I,3,FALSE)</f>
        <v>(武汉电气化局成达万高铁强电项目-达州主城区-达州南站)四川省达州市达川区达州南站</v>
      </c>
      <c r="J3976" s="33" t="str">
        <f>VLOOKUP(B3976,辅助信息!E:I,4,FALSE)</f>
        <v>杨人志</v>
      </c>
      <c r="K3976" s="33">
        <f>VLOOKUP(J3976,辅助信息!H:I,2,FALSE)</f>
        <v>18782679099</v>
      </c>
      <c r="L3976" s="102" t="str">
        <f>VLOOKUP(B3976,辅助信息!E:J,6,FALSE)</f>
        <v>锈货不收！！下雨天钢筋没盖篷布不收！！，装货前联系收货人核实到场规格,没提前告知进场规格现场不给予接收</v>
      </c>
      <c r="O3976" s="55" t="str">
        <f ca="1" t="shared" si="206"/>
        <v/>
      </c>
      <c r="P3976" s="55" t="str">
        <f ca="1" t="shared" si="207"/>
        <v/>
      </c>
      <c r="Q3976" s="22" t="str">
        <f>VLOOKUP(B3976,辅助信息!E:M,9,FALSE)</f>
        <v>ZTWM-CDGS-XS-2025-0033-中铁武汉电气化局集团有限公司成达万高速铁路强电工程项目</v>
      </c>
      <c r="R3976" s="22" t="str">
        <f>_xlfn._xlws.FILTER(辅助信息!D:D,辅助信息!E:E=B3976)</f>
        <v>武汉电气化局成达万高铁强电项目</v>
      </c>
    </row>
    <row r="3977" hidden="1" spans="2:18">
      <c r="B3977" s="128" t="s">
        <v>204</v>
      </c>
      <c r="C3977" s="63">
        <v>45928</v>
      </c>
      <c r="D3977" s="33" t="str">
        <f>VLOOKUP(B3977,辅助信息!E:K,7,FALSE)</f>
        <v>JWDDCD2025062200016</v>
      </c>
      <c r="E3977" s="33" t="str">
        <f>VLOOKUP(F3977,辅助信息!A:B,2,FALSE)</f>
        <v>螺纹钢</v>
      </c>
      <c r="F3977" s="33" t="s">
        <v>30</v>
      </c>
      <c r="G3977" s="29">
        <v>9</v>
      </c>
      <c r="H3977" s="127"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33" t="str">
        <f>VLOOKUP(B3977,辅助信息!E:I,3,FALSE)</f>
        <v>(武汉电气化局成达万高铁强电项目-达州主城区-达州南站)四川省达州市达川区达州南站</v>
      </c>
      <c r="J3977" s="33" t="str">
        <f>VLOOKUP(B3977,辅助信息!E:I,4,FALSE)</f>
        <v>杨人志</v>
      </c>
      <c r="K3977" s="33">
        <f>VLOOKUP(J3977,辅助信息!H:I,2,FALSE)</f>
        <v>18782679099</v>
      </c>
      <c r="L3977" s="102" t="str">
        <f>VLOOKUP(B3977,辅助信息!E:J,6,FALSE)</f>
        <v>锈货不收！！下雨天钢筋没盖篷布不收！！，装货前联系收货人核实到场规格,没提前告知进场规格现场不给予接收</v>
      </c>
      <c r="O3977" s="55" t="str">
        <f ca="1" t="shared" si="206"/>
        <v/>
      </c>
      <c r="P3977" s="55" t="str">
        <f ca="1" t="shared" si="207"/>
        <v/>
      </c>
      <c r="Q3977" s="22" t="str">
        <f>VLOOKUP(B3977,辅助信息!E:M,9,FALSE)</f>
        <v>ZTWM-CDGS-XS-2025-0033-中铁武汉电气化局集团有限公司成达万高速铁路强电工程项目</v>
      </c>
      <c r="R3977" s="22" t="str">
        <f>_xlfn._xlws.FILTER(辅助信息!D:D,辅助信息!E:E=B3977)</f>
        <v>武汉电气化局成达万高铁强电项目</v>
      </c>
    </row>
    <row r="3978" hidden="1" spans="2:18">
      <c r="B3978" s="128" t="s">
        <v>204</v>
      </c>
      <c r="C3978" s="63">
        <v>45928</v>
      </c>
      <c r="D3978" s="33" t="str">
        <f>VLOOKUP(B3978,辅助信息!E:K,7,FALSE)</f>
        <v>JWDDCD2025062200016</v>
      </c>
      <c r="E3978" s="33" t="str">
        <f>VLOOKUP(F3978,辅助信息!A:B,2,FALSE)</f>
        <v>螺纹钢</v>
      </c>
      <c r="F3978" s="33" t="s">
        <v>33</v>
      </c>
      <c r="G3978" s="29">
        <v>30</v>
      </c>
      <c r="H3978" s="127">
        <f>IF(SUMIFS('[1]2025年已发货'!$E:$E,'[1]2025年已发货'!$F:$F,C3978,'[1]2025年已发货'!$C:$C,F3978,'[1]2025年已发货'!$G:$G,I3978,'[1]2025年已发货'!$H:$H,J3978)=0,"未发货",SUMIFS('[1]2025年已发货'!$E:$E,'[1]2025年已发货'!$F:$F,C3978,'[1]2025年已发货'!$C:$C,F3978,'[1]2025年已发货'!$G:$G,I3978,'[1]2025年已发货'!$H:$H,J3978))</f>
        <v>30</v>
      </c>
      <c r="I3978" s="33" t="str">
        <f>VLOOKUP(B3978,辅助信息!E:I,3,FALSE)</f>
        <v>(武汉电气化局成达万高铁强电项目-达州主城区-达州南站)四川省达州市达川区达州南站</v>
      </c>
      <c r="J3978" s="33" t="str">
        <f>VLOOKUP(B3978,辅助信息!E:I,4,FALSE)</f>
        <v>杨人志</v>
      </c>
      <c r="K3978" s="33">
        <f>VLOOKUP(J3978,辅助信息!H:I,2,FALSE)</f>
        <v>18782679099</v>
      </c>
      <c r="L3978" s="102" t="str">
        <f>VLOOKUP(B3978,辅助信息!E:J,6,FALSE)</f>
        <v>锈货不收！！下雨天钢筋没盖篷布不收！！，装货前联系收货人核实到场规格,没提前告知进场规格现场不给予接收</v>
      </c>
      <c r="O3978" s="55" t="str">
        <f ca="1" t="shared" si="206"/>
        <v/>
      </c>
      <c r="P3978" s="55" t="str">
        <f ca="1" t="shared" si="207"/>
        <v/>
      </c>
      <c r="Q3978" s="22" t="str">
        <f>VLOOKUP(B3978,辅助信息!E:M,9,FALSE)</f>
        <v>ZTWM-CDGS-XS-2025-0033-中铁武汉电气化局集团有限公司成达万高速铁路强电工程项目</v>
      </c>
      <c r="R3978" s="22" t="str">
        <f>_xlfn._xlws.FILTER(辅助信息!D:D,辅助信息!E:E=B3978)</f>
        <v>武汉电气化局成达万高铁强电项目</v>
      </c>
    </row>
    <row r="3979" hidden="1" spans="2:18">
      <c r="B3979" s="128" t="s">
        <v>204</v>
      </c>
      <c r="C3979" s="63">
        <v>45928</v>
      </c>
      <c r="D3979" s="33" t="str">
        <f>VLOOKUP(B3979,辅助信息!E:K,7,FALSE)</f>
        <v>JWDDCD2025062200016</v>
      </c>
      <c r="E3979" s="33" t="str">
        <f>VLOOKUP(F3979,辅助信息!A:B,2,FALSE)</f>
        <v>螺纹钢</v>
      </c>
      <c r="F3979" s="33" t="s">
        <v>28</v>
      </c>
      <c r="G3979" s="29">
        <v>3</v>
      </c>
      <c r="H3979" s="127"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33" t="str">
        <f>VLOOKUP(B3979,辅助信息!E:I,3,FALSE)</f>
        <v>(武汉电气化局成达万高铁强电项目-达州主城区-达州南站)四川省达州市达川区达州南站</v>
      </c>
      <c r="J3979" s="33" t="str">
        <f>VLOOKUP(B3979,辅助信息!E:I,4,FALSE)</f>
        <v>杨人志</v>
      </c>
      <c r="K3979" s="33">
        <f>VLOOKUP(J3979,辅助信息!H:I,2,FALSE)</f>
        <v>18782679099</v>
      </c>
      <c r="L3979" s="102" t="str">
        <f>VLOOKUP(B3979,辅助信息!E:J,6,FALSE)</f>
        <v>锈货不收！！下雨天钢筋没盖篷布不收！！，装货前联系收货人核实到场规格,没提前告知进场规格现场不给予接收</v>
      </c>
      <c r="O3979" s="55" t="str">
        <f ca="1" t="shared" si="206"/>
        <v/>
      </c>
      <c r="P3979" s="55" t="str">
        <f ca="1" t="shared" si="207"/>
        <v/>
      </c>
      <c r="Q3979" s="22" t="str">
        <f>VLOOKUP(B3979,辅助信息!E:M,9,FALSE)</f>
        <v>ZTWM-CDGS-XS-2025-0033-中铁武汉电气化局集团有限公司成达万高速铁路强电工程项目</v>
      </c>
      <c r="R3979" s="22" t="str">
        <f>_xlfn._xlws.FILTER(辅助信息!D:D,辅助信息!E:E=B3979)</f>
        <v>武汉电气化局成达万高铁强电项目</v>
      </c>
    </row>
    <row r="3980" hidden="1" spans="2:18">
      <c r="B3980" s="128" t="s">
        <v>204</v>
      </c>
      <c r="C3980" s="63">
        <v>45928</v>
      </c>
      <c r="D3980" s="33" t="str">
        <f>VLOOKUP(B3980,辅助信息!E:K,7,FALSE)</f>
        <v>JWDDCD2025062200016</v>
      </c>
      <c r="E3980" s="33" t="str">
        <f>VLOOKUP(F3980,辅助信息!A:B,2,FALSE)</f>
        <v>螺纹钢</v>
      </c>
      <c r="F3980" s="33" t="s">
        <v>18</v>
      </c>
      <c r="G3980" s="29">
        <v>15</v>
      </c>
      <c r="H3980" s="127">
        <f>IF(SUMIFS('[1]2025年已发货'!$E:$E,'[1]2025年已发货'!$F:$F,C3980,'[1]2025年已发货'!$C:$C,F3980,'[1]2025年已发货'!$G:$G,I3980,'[1]2025年已发货'!$H:$H,J3980)=0,"未发货",SUMIFS('[1]2025年已发货'!$E:$E,'[1]2025年已发货'!$F:$F,C3980,'[1]2025年已发货'!$C:$C,F3980,'[1]2025年已发货'!$G:$G,I3980,'[1]2025年已发货'!$H:$H,J3980))</f>
        <v>15</v>
      </c>
      <c r="I3980" s="33" t="str">
        <f>VLOOKUP(B3980,辅助信息!E:I,3,FALSE)</f>
        <v>(武汉电气化局成达万高铁强电项目-达州主城区-达州南站)四川省达州市达川区达州南站</v>
      </c>
      <c r="J3980" s="33" t="str">
        <f>VLOOKUP(B3980,辅助信息!E:I,4,FALSE)</f>
        <v>杨人志</v>
      </c>
      <c r="K3980" s="33">
        <f>VLOOKUP(J3980,辅助信息!H:I,2,FALSE)</f>
        <v>18782679099</v>
      </c>
      <c r="L3980" s="102" t="str">
        <f>VLOOKUP(B3980,辅助信息!E:J,6,FALSE)</f>
        <v>锈货不收！！下雨天钢筋没盖篷布不收！！，装货前联系收货人核实到场规格,没提前告知进场规格现场不给予接收</v>
      </c>
      <c r="O3980" s="55" t="str">
        <f ca="1" t="shared" si="206"/>
        <v/>
      </c>
      <c r="P3980" s="55" t="str">
        <f ca="1" t="shared" si="207"/>
        <v/>
      </c>
      <c r="Q3980" s="22" t="str">
        <f>VLOOKUP(B3980,辅助信息!E:M,9,FALSE)</f>
        <v>ZTWM-CDGS-XS-2025-0033-中铁武汉电气化局集团有限公司成达万高速铁路强电工程项目</v>
      </c>
      <c r="R3980" s="22" t="str">
        <f>_xlfn._xlws.FILTER(辅助信息!D:D,辅助信息!E:E=B3980)</f>
        <v>武汉电气化局成达万高铁强电项目</v>
      </c>
    </row>
    <row r="3981" hidden="1" spans="2:18">
      <c r="B3981" s="128" t="s">
        <v>204</v>
      </c>
      <c r="C3981" s="63">
        <v>45928</v>
      </c>
      <c r="D3981" s="33" t="str">
        <f>VLOOKUP(B3981,辅助信息!E:K,7,FALSE)</f>
        <v>JWDDCD2025062200016</v>
      </c>
      <c r="E3981" s="33" t="str">
        <f>VLOOKUP(F3981,辅助信息!A:B,2,FALSE)</f>
        <v>盘螺</v>
      </c>
      <c r="F3981" s="33" t="s">
        <v>41</v>
      </c>
      <c r="G3981" s="29">
        <v>24</v>
      </c>
      <c r="H3981" s="127">
        <f>IF(SUMIFS('[1]2025年已发货'!$E:$E,'[1]2025年已发货'!$F:$F,C3981,'[1]2025年已发货'!$C:$C,F3981,'[1]2025年已发货'!$G:$G,I3981,'[1]2025年已发货'!$H:$H,J3981)=0,"未发货",SUMIFS('[1]2025年已发货'!$E:$E,'[1]2025年已发货'!$F:$F,C3981,'[1]2025年已发货'!$C:$C,F3981,'[1]2025年已发货'!$G:$G,I3981,'[1]2025年已发货'!$H:$H,J3981))</f>
        <v>24</v>
      </c>
      <c r="I3981" s="33" t="str">
        <f>VLOOKUP(B3981,辅助信息!E:I,3,FALSE)</f>
        <v>(武汉电气化局成达万高铁强电项目-达州主城区-达州南站)四川省达州市达川区达州南站</v>
      </c>
      <c r="J3981" s="33" t="str">
        <f>VLOOKUP(B3981,辅助信息!E:I,4,FALSE)</f>
        <v>杨人志</v>
      </c>
      <c r="K3981" s="33">
        <f>VLOOKUP(J3981,辅助信息!H:I,2,FALSE)</f>
        <v>18782679099</v>
      </c>
      <c r="L3981" s="102" t="str">
        <f>VLOOKUP(B3981,辅助信息!E:J,6,FALSE)</f>
        <v>锈货不收！！下雨天钢筋没盖篷布不收！！，装货前联系收货人核实到场规格,没提前告知进场规格现场不给予接收</v>
      </c>
      <c r="O3981" s="55" t="str">
        <f ca="1" t="shared" si="206"/>
        <v/>
      </c>
      <c r="P3981" s="55" t="str">
        <f ca="1" t="shared" si="207"/>
        <v/>
      </c>
      <c r="Q3981" s="22" t="str">
        <f>VLOOKUP(B3981,辅助信息!E:M,9,FALSE)</f>
        <v>ZTWM-CDGS-XS-2025-0033-中铁武汉电气化局集团有限公司成达万高速铁路强电工程项目</v>
      </c>
      <c r="R3981" s="22" t="str">
        <f>_xlfn._xlws.FILTER(辅助信息!D:D,辅助信息!E:E=B3981)</f>
        <v>武汉电气化局成达万高铁强电项目</v>
      </c>
    </row>
    <row r="3982" hidden="1" spans="2:18">
      <c r="B3982" s="128" t="s">
        <v>204</v>
      </c>
      <c r="C3982" s="63">
        <v>45928</v>
      </c>
      <c r="D3982" s="33" t="str">
        <f>VLOOKUP(B3982,辅助信息!E:K,7,FALSE)</f>
        <v>JWDDCD2025062200016</v>
      </c>
      <c r="E3982" s="33" t="str">
        <f>VLOOKUP(F3982,辅助信息!A:B,2,FALSE)</f>
        <v>盘螺</v>
      </c>
      <c r="F3982" s="33" t="s">
        <v>40</v>
      </c>
      <c r="G3982" s="29">
        <v>2</v>
      </c>
      <c r="H3982" s="127">
        <f>IF(SUMIFS('[1]2025年已发货'!$E:$E,'[1]2025年已发货'!$F:$F,C3982,'[1]2025年已发货'!$C:$C,F3982,'[1]2025年已发货'!$G:$G,I3982,'[1]2025年已发货'!$H:$H,J3982)=0,"未发货",SUMIFS('[1]2025年已发货'!$E:$E,'[1]2025年已发货'!$F:$F,C3982,'[1]2025年已发货'!$C:$C,F3982,'[1]2025年已发货'!$G:$G,I3982,'[1]2025年已发货'!$H:$H,J3982))</f>
        <v>2.4</v>
      </c>
      <c r="I3982" s="33" t="str">
        <f>VLOOKUP(B3982,辅助信息!E:I,3,FALSE)</f>
        <v>(武汉电气化局成达万高铁强电项目-达州主城区-达州南站)四川省达州市达川区达州南站</v>
      </c>
      <c r="J3982" s="33" t="str">
        <f>VLOOKUP(B3982,辅助信息!E:I,4,FALSE)</f>
        <v>杨人志</v>
      </c>
      <c r="K3982" s="33">
        <f>VLOOKUP(J3982,辅助信息!H:I,2,FALSE)</f>
        <v>18782679099</v>
      </c>
      <c r="L3982" s="102" t="str">
        <f>VLOOKUP(B3982,辅助信息!E:J,6,FALSE)</f>
        <v>锈货不收！！下雨天钢筋没盖篷布不收！！，装货前联系收货人核实到场规格,没提前告知进场规格现场不给予接收</v>
      </c>
      <c r="O3982" s="55" t="str">
        <f ca="1" t="shared" si="206"/>
        <v/>
      </c>
      <c r="P3982" s="55" t="str">
        <f ca="1" t="shared" si="207"/>
        <v/>
      </c>
      <c r="Q3982" s="22" t="str">
        <f>VLOOKUP(B3982,辅助信息!E:M,9,FALSE)</f>
        <v>ZTWM-CDGS-XS-2025-0033-中铁武汉电气化局集团有限公司成达万高速铁路强电工程项目</v>
      </c>
      <c r="R3982" s="22" t="str">
        <f>_xlfn._xlws.FILTER(辅助信息!D:D,辅助信息!E:E=B3982)</f>
        <v>武汉电气化局成达万高铁强电项目</v>
      </c>
    </row>
    <row r="3983" hidden="1" spans="2:18">
      <c r="B3983" s="128" t="s">
        <v>177</v>
      </c>
      <c r="C3983" s="63">
        <v>45928</v>
      </c>
      <c r="D3983" s="33" t="str">
        <f>VLOOKUP(B3983,辅助信息!E:K,7,FALSE)</f>
        <v>JWDDCD2025062200016</v>
      </c>
      <c r="E3983" s="33" t="str">
        <f>VLOOKUP(F3983,辅助信息!A:B,2,FALSE)</f>
        <v>螺纹钢</v>
      </c>
      <c r="F3983" s="33" t="s">
        <v>27</v>
      </c>
      <c r="G3983" s="29">
        <v>5</v>
      </c>
      <c r="H3983" s="127">
        <f>IF(SUMIFS('[1]2025年已发货'!$E:$E,'[1]2025年已发货'!$F:$F,C3983,'[1]2025年已发货'!$C:$C,F3983,'[1]2025年已发货'!$G:$G,I3983,'[1]2025年已发货'!$H:$H,J3983)=0,"未发货",SUMIFS('[1]2025年已发货'!$E:$E,'[1]2025年已发货'!$F:$F,C3983,'[1]2025年已发货'!$C:$C,F3983,'[1]2025年已发货'!$G:$G,I3983,'[1]2025年已发货'!$H:$H,J3983))</f>
        <v>6</v>
      </c>
      <c r="I3983" s="33" t="str">
        <f>VLOOKUP(B3983,辅助信息!E:I,3,FALSE)</f>
        <v>(武汉电气化局成达万高铁强电项目-南充营山)四川省南充市营山县保真路景阳名城南50米(保真路东)</v>
      </c>
      <c r="J3983" s="33" t="str">
        <f>VLOOKUP(B3983,辅助信息!E:I,4,FALSE)</f>
        <v>周开亮</v>
      </c>
      <c r="K3983" s="33">
        <f>VLOOKUP(J3983,辅助信息!H:I,2,FALSE)</f>
        <v>18381485052</v>
      </c>
      <c r="L3983" s="102" t="str">
        <f>VLOOKUP(B3983,辅助信息!E:J,6,FALSE)</f>
        <v>锈货不收！！下雨天钢筋没盖篷布不收！！，装货前联系收货人核实到场规格,没提前告知进场规格现场不给予接收</v>
      </c>
      <c r="O3983" s="55" t="str">
        <f ca="1" t="shared" si="206"/>
        <v/>
      </c>
      <c r="P3983" s="55" t="str">
        <f ca="1" t="shared" si="207"/>
        <v/>
      </c>
      <c r="Q3983" s="22" t="str">
        <f>VLOOKUP(B3983,辅助信息!E:M,9,FALSE)</f>
        <v>ZTWM-CDGS-XS-2025-0033-中铁武汉电气化局集团有限公司成达万高速铁路强电工程项目</v>
      </c>
      <c r="R3983" s="22" t="str">
        <f>_xlfn._xlws.FILTER(辅助信息!D:D,辅助信息!E:E=B3983)</f>
        <v>武汉电气化局成达万高铁强电项目</v>
      </c>
    </row>
    <row r="3984" hidden="1" spans="2:18">
      <c r="B3984" s="128" t="s">
        <v>177</v>
      </c>
      <c r="C3984" s="63">
        <v>45928</v>
      </c>
      <c r="D3984" s="33" t="str">
        <f>VLOOKUP(B3984,辅助信息!E:K,7,FALSE)</f>
        <v>JWDDCD2025062200016</v>
      </c>
      <c r="E3984" s="33" t="str">
        <f>VLOOKUP(F3984,辅助信息!A:B,2,FALSE)</f>
        <v>螺纹钢</v>
      </c>
      <c r="F3984" s="33" t="s">
        <v>19</v>
      </c>
      <c r="G3984" s="29">
        <v>6</v>
      </c>
      <c r="H3984" s="127">
        <f>IF(SUMIFS('[1]2025年已发货'!$E:$E,'[1]2025年已发货'!$F:$F,C3984,'[1]2025年已发货'!$C:$C,F3984,'[1]2025年已发货'!$G:$G,I3984,'[1]2025年已发货'!$H:$H,J3984)=0,"未发货",SUMIFS('[1]2025年已发货'!$E:$E,'[1]2025年已发货'!$F:$F,C3984,'[1]2025年已发货'!$C:$C,F3984,'[1]2025年已发货'!$G:$G,I3984,'[1]2025年已发货'!$H:$H,J3984))</f>
        <v>6</v>
      </c>
      <c r="I3984" s="33" t="str">
        <f>VLOOKUP(B3984,辅助信息!E:I,3,FALSE)</f>
        <v>(武汉电气化局成达万高铁强电项目-南充营山)四川省南充市营山县保真路景阳名城南50米(保真路东)</v>
      </c>
      <c r="J3984" s="33" t="str">
        <f>VLOOKUP(B3984,辅助信息!E:I,4,FALSE)</f>
        <v>周开亮</v>
      </c>
      <c r="K3984" s="33">
        <f>VLOOKUP(J3984,辅助信息!H:I,2,FALSE)</f>
        <v>18381485052</v>
      </c>
      <c r="L3984" s="102" t="str">
        <f>VLOOKUP(B3984,辅助信息!E:J,6,FALSE)</f>
        <v>锈货不收！！下雨天钢筋没盖篷布不收！！，装货前联系收货人核实到场规格,没提前告知进场规格现场不给予接收</v>
      </c>
      <c r="O3984" s="55" t="str">
        <f ca="1" t="shared" si="206"/>
        <v/>
      </c>
      <c r="P3984" s="55" t="str">
        <f ca="1" t="shared" si="207"/>
        <v/>
      </c>
      <c r="Q3984" s="22" t="str">
        <f>VLOOKUP(B3984,辅助信息!E:M,9,FALSE)</f>
        <v>ZTWM-CDGS-XS-2025-0033-中铁武汉电气化局集团有限公司成达万高速铁路强电工程项目</v>
      </c>
      <c r="R3984" s="22" t="str">
        <f>_xlfn._xlws.FILTER(辅助信息!D:D,辅助信息!E:E=B3984)</f>
        <v>武汉电气化局成达万高铁强电项目</v>
      </c>
    </row>
    <row r="3985" hidden="1" spans="2:18">
      <c r="B3985" s="128" t="s">
        <v>177</v>
      </c>
      <c r="C3985" s="63">
        <v>45928</v>
      </c>
      <c r="D3985" s="33" t="str">
        <f>VLOOKUP(B3985,辅助信息!E:K,7,FALSE)</f>
        <v>JWDDCD2025062200016</v>
      </c>
      <c r="E3985" s="33" t="str">
        <f>VLOOKUP(F3985,辅助信息!A:B,2,FALSE)</f>
        <v>螺纹钢</v>
      </c>
      <c r="F3985" s="33" t="s">
        <v>32</v>
      </c>
      <c r="G3985" s="29">
        <v>3</v>
      </c>
      <c r="H3985" s="127">
        <f>IF(SUMIFS('[1]2025年已发货'!$E:$E,'[1]2025年已发货'!$F:$F,C3985,'[1]2025年已发货'!$C:$C,F3985,'[1]2025年已发货'!$G:$G,I3985,'[1]2025年已发货'!$H:$H,J3985)=0,"未发货",SUMIFS('[1]2025年已发货'!$E:$E,'[1]2025年已发货'!$F:$F,C3985,'[1]2025年已发货'!$C:$C,F3985,'[1]2025年已发货'!$G:$G,I3985,'[1]2025年已发货'!$H:$H,J3985))</f>
        <v>3</v>
      </c>
      <c r="I3985" s="33" t="str">
        <f>VLOOKUP(B3985,辅助信息!E:I,3,FALSE)</f>
        <v>(武汉电气化局成达万高铁强电项目-南充营山)四川省南充市营山县保真路景阳名城南50米(保真路东)</v>
      </c>
      <c r="J3985" s="33" t="str">
        <f>VLOOKUP(B3985,辅助信息!E:I,4,FALSE)</f>
        <v>周开亮</v>
      </c>
      <c r="K3985" s="33">
        <f>VLOOKUP(J3985,辅助信息!H:I,2,FALSE)</f>
        <v>18381485052</v>
      </c>
      <c r="L3985" s="102" t="str">
        <f>VLOOKUP(B3985,辅助信息!E:J,6,FALSE)</f>
        <v>锈货不收！！下雨天钢筋没盖篷布不收！！，装货前联系收货人核实到场规格,没提前告知进场规格现场不给予接收</v>
      </c>
      <c r="O3985" s="55" t="str">
        <f ca="1" t="shared" si="206"/>
        <v/>
      </c>
      <c r="P3985" s="55" t="str">
        <f ca="1" t="shared" si="207"/>
        <v/>
      </c>
      <c r="Q3985" s="22" t="str">
        <f>VLOOKUP(B3985,辅助信息!E:M,9,FALSE)</f>
        <v>ZTWM-CDGS-XS-2025-0033-中铁武汉电气化局集团有限公司成达万高速铁路强电工程项目</v>
      </c>
      <c r="R3985" s="22" t="str">
        <f>_xlfn._xlws.FILTER(辅助信息!D:D,辅助信息!E:E=B3985)</f>
        <v>武汉电气化局成达万高铁强电项目</v>
      </c>
    </row>
    <row r="3986" hidden="1" spans="2:18">
      <c r="B3986" s="128" t="s">
        <v>177</v>
      </c>
      <c r="C3986" s="63">
        <v>45928</v>
      </c>
      <c r="D3986" s="33" t="str">
        <f>VLOOKUP(B3986,辅助信息!E:K,7,FALSE)</f>
        <v>JWDDCD2025062200016</v>
      </c>
      <c r="E3986" s="33" t="str">
        <f>VLOOKUP(F3986,辅助信息!A:B,2,FALSE)</f>
        <v>螺纹钢</v>
      </c>
      <c r="F3986" s="33" t="s">
        <v>30</v>
      </c>
      <c r="G3986" s="29">
        <v>16</v>
      </c>
      <c r="H3986" s="127"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33" t="str">
        <f>VLOOKUP(B3986,辅助信息!E:I,3,FALSE)</f>
        <v>(武汉电气化局成达万高铁强电项目-南充营山)四川省南充市营山县保真路景阳名城南50米(保真路东)</v>
      </c>
      <c r="J3986" s="33" t="str">
        <f>VLOOKUP(B3986,辅助信息!E:I,4,FALSE)</f>
        <v>周开亮</v>
      </c>
      <c r="K3986" s="33">
        <f>VLOOKUP(J3986,辅助信息!H:I,2,FALSE)</f>
        <v>18381485052</v>
      </c>
      <c r="L3986" s="102" t="str">
        <f>VLOOKUP(B3986,辅助信息!E:J,6,FALSE)</f>
        <v>锈货不收！！下雨天钢筋没盖篷布不收！！，装货前联系收货人核实到场规格,没提前告知进场规格现场不给予接收</v>
      </c>
      <c r="O3986" s="55" t="str">
        <f ca="1" t="shared" si="206"/>
        <v/>
      </c>
      <c r="P3986" s="55" t="str">
        <f ca="1" t="shared" si="207"/>
        <v/>
      </c>
      <c r="Q3986" s="22" t="str">
        <f>VLOOKUP(B3986,辅助信息!E:M,9,FALSE)</f>
        <v>ZTWM-CDGS-XS-2025-0033-中铁武汉电气化局集团有限公司成达万高速铁路强电工程项目</v>
      </c>
      <c r="R3986" s="22" t="str">
        <f>_xlfn._xlws.FILTER(辅助信息!D:D,辅助信息!E:E=B3986)</f>
        <v>武汉电气化局成达万高铁强电项目</v>
      </c>
    </row>
    <row r="3987" hidden="1" spans="2:18">
      <c r="B3987" s="128" t="s">
        <v>177</v>
      </c>
      <c r="C3987" s="63">
        <v>45928</v>
      </c>
      <c r="D3987" s="33" t="str">
        <f>VLOOKUP(B3987,辅助信息!E:K,7,FALSE)</f>
        <v>JWDDCD2025062200016</v>
      </c>
      <c r="E3987" s="33" t="str">
        <f>VLOOKUP(F3987,辅助信息!A:B,2,FALSE)</f>
        <v>螺纹钢</v>
      </c>
      <c r="F3987" s="33" t="s">
        <v>33</v>
      </c>
      <c r="G3987" s="29">
        <v>8</v>
      </c>
      <c r="H3987" s="127"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33" t="str">
        <f>VLOOKUP(B3987,辅助信息!E:I,3,FALSE)</f>
        <v>(武汉电气化局成达万高铁强电项目-南充营山)四川省南充市营山县保真路景阳名城南50米(保真路东)</v>
      </c>
      <c r="J3987" s="33" t="str">
        <f>VLOOKUP(B3987,辅助信息!E:I,4,FALSE)</f>
        <v>周开亮</v>
      </c>
      <c r="K3987" s="33">
        <f>VLOOKUP(J3987,辅助信息!H:I,2,FALSE)</f>
        <v>18381485052</v>
      </c>
      <c r="L3987" s="102" t="str">
        <f>VLOOKUP(B3987,辅助信息!E:J,6,FALSE)</f>
        <v>锈货不收！！下雨天钢筋没盖篷布不收！！，装货前联系收货人核实到场规格,没提前告知进场规格现场不给予接收</v>
      </c>
      <c r="O3987" s="55" t="str">
        <f ca="1" t="shared" si="206"/>
        <v/>
      </c>
      <c r="P3987" s="55" t="str">
        <f ca="1" t="shared" si="207"/>
        <v/>
      </c>
      <c r="Q3987" s="22" t="str">
        <f>VLOOKUP(B3987,辅助信息!E:M,9,FALSE)</f>
        <v>ZTWM-CDGS-XS-2025-0033-中铁武汉电气化局集团有限公司成达万高速铁路强电工程项目</v>
      </c>
      <c r="R3987" s="22" t="str">
        <f>_xlfn._xlws.FILTER(辅助信息!D:D,辅助信息!E:E=B3987)</f>
        <v>武汉电气化局成达万高铁强电项目</v>
      </c>
    </row>
    <row r="3988" hidden="1" spans="2:18">
      <c r="B3988" s="128" t="s">
        <v>177</v>
      </c>
      <c r="C3988" s="63">
        <v>45928</v>
      </c>
      <c r="D3988" s="33" t="str">
        <f>VLOOKUP(B3988,辅助信息!E:K,7,FALSE)</f>
        <v>JWDDCD2025062200016</v>
      </c>
      <c r="E3988" s="33" t="str">
        <f>VLOOKUP(F3988,辅助信息!A:B,2,FALSE)</f>
        <v>螺纹钢</v>
      </c>
      <c r="F3988" s="33" t="s">
        <v>18</v>
      </c>
      <c r="G3988" s="29">
        <v>8</v>
      </c>
      <c r="H3988" s="127"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33" t="str">
        <f>VLOOKUP(B3988,辅助信息!E:I,3,FALSE)</f>
        <v>(武汉电气化局成达万高铁强电项目-南充营山)四川省南充市营山县保真路景阳名城南50米(保真路东)</v>
      </c>
      <c r="J3988" s="33" t="str">
        <f>VLOOKUP(B3988,辅助信息!E:I,4,FALSE)</f>
        <v>周开亮</v>
      </c>
      <c r="K3988" s="33">
        <f>VLOOKUP(J3988,辅助信息!H:I,2,FALSE)</f>
        <v>18381485052</v>
      </c>
      <c r="L3988" s="102" t="str">
        <f>VLOOKUP(B3988,辅助信息!E:J,6,FALSE)</f>
        <v>锈货不收！！下雨天钢筋没盖篷布不收！！，装货前联系收货人核实到场规格,没提前告知进场规格现场不给予接收</v>
      </c>
      <c r="O3988" s="55" t="str">
        <f ca="1" t="shared" si="206"/>
        <v/>
      </c>
      <c r="P3988" s="55" t="str">
        <f ca="1" t="shared" si="207"/>
        <v/>
      </c>
      <c r="Q3988" s="22" t="str">
        <f>VLOOKUP(B3988,辅助信息!E:M,9,FALSE)</f>
        <v>ZTWM-CDGS-XS-2025-0033-中铁武汉电气化局集团有限公司成达万高速铁路强电工程项目</v>
      </c>
      <c r="R3988" s="22" t="str">
        <f>_xlfn._xlws.FILTER(辅助信息!D:D,辅助信息!E:E=B3988)</f>
        <v>武汉电气化局成达万高铁强电项目</v>
      </c>
    </row>
    <row r="3989" hidden="1" spans="2:18">
      <c r="B3989" s="128" t="s">
        <v>177</v>
      </c>
      <c r="C3989" s="63">
        <v>45928</v>
      </c>
      <c r="D3989" s="33" t="str">
        <f>VLOOKUP(B3989,辅助信息!E:K,7,FALSE)</f>
        <v>JWDDCD2025062200016</v>
      </c>
      <c r="E3989" s="33" t="str">
        <f>VLOOKUP(F3989,辅助信息!A:B,2,FALSE)</f>
        <v>盘螺</v>
      </c>
      <c r="F3989" s="33" t="s">
        <v>41</v>
      </c>
      <c r="G3989" s="29">
        <v>10</v>
      </c>
      <c r="H3989" s="127">
        <f>IF(SUMIFS('[1]2025年已发货'!$E:$E,'[1]2025年已发货'!$F:$F,C3989,'[1]2025年已发货'!$C:$C,F3989,'[1]2025年已发货'!$G:$G,I3989,'[1]2025年已发货'!$H:$H,J3989)=0,"未发货",SUMIFS('[1]2025年已发货'!$E:$E,'[1]2025年已发货'!$F:$F,C3989,'[1]2025年已发货'!$C:$C,F3989,'[1]2025年已发货'!$G:$G,I3989,'[1]2025年已发货'!$H:$H,J3989))</f>
        <v>10</v>
      </c>
      <c r="I3989" s="33" t="str">
        <f>VLOOKUP(B3989,辅助信息!E:I,3,FALSE)</f>
        <v>(武汉电气化局成达万高铁强电项目-南充营山)四川省南充市营山县保真路景阳名城南50米(保真路东)</v>
      </c>
      <c r="J3989" s="33" t="str">
        <f>VLOOKUP(B3989,辅助信息!E:I,4,FALSE)</f>
        <v>周开亮</v>
      </c>
      <c r="K3989" s="33">
        <f>VLOOKUP(J3989,辅助信息!H:I,2,FALSE)</f>
        <v>18381485052</v>
      </c>
      <c r="L3989" s="102" t="str">
        <f>VLOOKUP(B3989,辅助信息!E:J,6,FALSE)</f>
        <v>锈货不收！！下雨天钢筋没盖篷布不收！！，装货前联系收货人核实到场规格,没提前告知进场规格现场不给予接收</v>
      </c>
      <c r="O3989" s="55" t="str">
        <f ca="1" t="shared" si="206"/>
        <v/>
      </c>
      <c r="P3989" s="55" t="str">
        <f ca="1" t="shared" si="207"/>
        <v/>
      </c>
      <c r="Q3989" s="22" t="str">
        <f>VLOOKUP(B3989,辅助信息!E:M,9,FALSE)</f>
        <v>ZTWM-CDGS-XS-2025-0033-中铁武汉电气化局集团有限公司成达万高速铁路强电工程项目</v>
      </c>
      <c r="R3989" s="22" t="str">
        <f>_xlfn._xlws.FILTER(辅助信息!D:D,辅助信息!E:E=B3989)</f>
        <v>武汉电气化局成达万高铁强电项目</v>
      </c>
    </row>
    <row r="3990" hidden="1" spans="2:18">
      <c r="B3990" s="128" t="s">
        <v>177</v>
      </c>
      <c r="C3990" s="63">
        <v>45928</v>
      </c>
      <c r="D3990" s="33" t="str">
        <f>VLOOKUP(B3990,辅助信息!E:K,7,FALSE)</f>
        <v>JWDDCD2025062200016</v>
      </c>
      <c r="E3990" s="33" t="str">
        <f>VLOOKUP(F3990,辅助信息!A:B,2,FALSE)</f>
        <v>盘螺</v>
      </c>
      <c r="F3990" s="33" t="s">
        <v>40</v>
      </c>
      <c r="G3990" s="29">
        <v>10</v>
      </c>
      <c r="H3990" s="127">
        <f>IF(SUMIFS('[1]2025年已发货'!$E:$E,'[1]2025年已发货'!$F:$F,C3990,'[1]2025年已发货'!$C:$C,F3990,'[1]2025年已发货'!$G:$G,I3990,'[1]2025年已发货'!$H:$H,J3990)=0,"未发货",SUMIFS('[1]2025年已发货'!$E:$E,'[1]2025年已发货'!$F:$F,C3990,'[1]2025年已发货'!$C:$C,F3990,'[1]2025年已发货'!$G:$G,I3990,'[1]2025年已发货'!$H:$H,J3990))</f>
        <v>10</v>
      </c>
      <c r="I3990" s="33" t="str">
        <f>VLOOKUP(B3990,辅助信息!E:I,3,FALSE)</f>
        <v>(武汉电气化局成达万高铁强电项目-南充营山)四川省南充市营山县保真路景阳名城南50米(保真路东)</v>
      </c>
      <c r="J3990" s="33" t="str">
        <f>VLOOKUP(B3990,辅助信息!E:I,4,FALSE)</f>
        <v>周开亮</v>
      </c>
      <c r="K3990" s="33">
        <f>VLOOKUP(J3990,辅助信息!H:I,2,FALSE)</f>
        <v>18381485052</v>
      </c>
      <c r="L3990" s="102" t="str">
        <f>VLOOKUP(B3990,辅助信息!E:J,6,FALSE)</f>
        <v>锈货不收！！下雨天钢筋没盖篷布不收！！，装货前联系收货人核实到场规格,没提前告知进场规格现场不给予接收</v>
      </c>
      <c r="O3990" s="55" t="str">
        <f ca="1" t="shared" si="206"/>
        <v/>
      </c>
      <c r="P3990" s="55" t="str">
        <f ca="1" t="shared" si="207"/>
        <v/>
      </c>
      <c r="Q3990" s="22" t="str">
        <f>VLOOKUP(B3990,辅助信息!E:M,9,FALSE)</f>
        <v>ZTWM-CDGS-XS-2025-0033-中铁武汉电气化局集团有限公司成达万高速铁路强电工程项目</v>
      </c>
      <c r="R3990" s="22" t="str">
        <f>_xlfn._xlws.FILTER(辅助信息!D:D,辅助信息!E:E=B3990)</f>
        <v>武汉电气化局成达万高铁强电项目</v>
      </c>
    </row>
    <row r="3991" hidden="1" spans="2:18">
      <c r="B3991" s="128" t="s">
        <v>194</v>
      </c>
      <c r="C3991" s="63">
        <v>45928</v>
      </c>
      <c r="D3991" s="33" t="str">
        <f>VLOOKUP(B3991,辅助信息!E:K,7,FALSE)</f>
        <v>JWDD2025071500089</v>
      </c>
      <c r="E3991" s="33" t="str">
        <f>VLOOKUP(F3991,辅助信息!A:B,2,FALSE)</f>
        <v>螺纹钢</v>
      </c>
      <c r="F3991" s="33" t="s">
        <v>19</v>
      </c>
      <c r="G3991" s="29">
        <v>65</v>
      </c>
      <c r="H3991" s="127">
        <f>IF(SUMIFS('[1]2025年已发货'!$E:$E,'[1]2025年已发货'!$F:$F,C3991,'[1]2025年已发货'!$C:$C,F3991,'[1]2025年已发货'!$G:$G,I3991,'[1]2025年已发货'!$H:$H,J3991)=0,"未发货",SUMIFS('[1]2025年已发货'!$E:$E,'[1]2025年已发货'!$F:$F,C3991,'[1]2025年已发货'!$C:$C,F3991,'[1]2025年已发货'!$G:$G,I3991,'[1]2025年已发货'!$H:$H,J3991))</f>
        <v>65</v>
      </c>
      <c r="I3991" s="33" t="str">
        <f>VLOOKUP(B3991,辅助信息!E:I,3,FALSE)</f>
        <v>(宜宾兴港三江新区长江工业园保障性租赁住房建设项目-土建)四川省宜宾市翠屏区永善路南段宜宾市三江新区长江工业园区</v>
      </c>
      <c r="J3991" s="33" t="str">
        <f>VLOOKUP(B3991,辅助信息!E:I,4,FALSE)</f>
        <v>赵元虎</v>
      </c>
      <c r="K3991" s="33">
        <f>VLOOKUP(J3991,辅助信息!H:I,2,FALSE)</f>
        <v>13684167136</v>
      </c>
      <c r="L3991" s="102" t="str">
        <f>VLOOKUP(B3991,辅助信息!E:J,6,FALSE)</f>
        <v>现场要求调度统一联系指定收货人，不单独发司机位置。锈货不收，装货前联系收货人核实到场规格,没提前告知进场规格现场不给予接收</v>
      </c>
      <c r="O3991" s="55" t="str">
        <f ca="1" t="shared" si="206"/>
        <v/>
      </c>
      <c r="P3991" s="55" t="str">
        <f ca="1" t="shared" si="207"/>
        <v/>
      </c>
      <c r="Q3991" s="22" t="str">
        <f>VLOOKUP(B3991,辅助信息!E:M,9,FALSE)</f>
        <v>ZTWM-CDYXGS-XS-2025-0014-宜宾兴港建材-三江新区长江工业园片区保障性租赁住房建设项目</v>
      </c>
      <c r="R3991" s="22" t="str">
        <f>_xlfn._xlws.FILTER(辅助信息!D:D,辅助信息!E:E=B3991)</f>
        <v>宜宾兴港三江新区长江工业园建设项目</v>
      </c>
    </row>
    <row r="3992" hidden="1" spans="2:18">
      <c r="B3992" s="128" t="s">
        <v>194</v>
      </c>
      <c r="C3992" s="63">
        <v>45928</v>
      </c>
      <c r="D3992" s="33" t="str">
        <f>VLOOKUP(B3992,辅助信息!E:K,7,FALSE)</f>
        <v>JWDD2025071500089</v>
      </c>
      <c r="E3992" s="33" t="str">
        <f>VLOOKUP(F3992,辅助信息!A:B,2,FALSE)</f>
        <v>螺纹钢</v>
      </c>
      <c r="F3992" s="33" t="s">
        <v>32</v>
      </c>
      <c r="G3992" s="29">
        <v>10</v>
      </c>
      <c r="H3992" s="127">
        <f>IF(SUMIFS('[1]2025年已发货'!$E:$E,'[1]2025年已发货'!$F:$F,C3992,'[1]2025年已发货'!$C:$C,F3992,'[1]2025年已发货'!$G:$G,I3992,'[1]2025年已发货'!$H:$H,J3992)=0,"未发货",SUMIFS('[1]2025年已发货'!$E:$E,'[1]2025年已发货'!$F:$F,C3992,'[1]2025年已发货'!$C:$C,F3992,'[1]2025年已发货'!$G:$G,I3992,'[1]2025年已发货'!$H:$H,J3992))</f>
        <v>10</v>
      </c>
      <c r="I3992" s="33" t="str">
        <f>VLOOKUP(B3992,辅助信息!E:I,3,FALSE)</f>
        <v>(宜宾兴港三江新区长江工业园保障性租赁住房建设项目-土建)四川省宜宾市翠屏区永善路南段宜宾市三江新区长江工业园区</v>
      </c>
      <c r="J3992" s="33" t="str">
        <f>VLOOKUP(B3992,辅助信息!E:I,4,FALSE)</f>
        <v>赵元虎</v>
      </c>
      <c r="K3992" s="33">
        <f>VLOOKUP(J3992,辅助信息!H:I,2,FALSE)</f>
        <v>13684167136</v>
      </c>
      <c r="L3992" s="102" t="str">
        <f>VLOOKUP(B3992,辅助信息!E:J,6,FALSE)</f>
        <v>现场要求调度统一联系指定收货人，不单独发司机位置。锈货不收，装货前联系收货人核实到场规格,没提前告知进场规格现场不给予接收</v>
      </c>
      <c r="O3992" s="55" t="str">
        <f ca="1" t="shared" si="206"/>
        <v/>
      </c>
      <c r="P3992" s="55" t="str">
        <f ca="1" t="shared" si="207"/>
        <v/>
      </c>
      <c r="Q3992" s="22" t="str">
        <f>VLOOKUP(B3992,辅助信息!E:M,9,FALSE)</f>
        <v>ZTWM-CDYXGS-XS-2025-0014-宜宾兴港建材-三江新区长江工业园片区保障性租赁住房建设项目</v>
      </c>
      <c r="R3992" s="22" t="str">
        <f>_xlfn._xlws.FILTER(辅助信息!D:D,辅助信息!E:E=B3992)</f>
        <v>宜宾兴港三江新区长江工业园建设项目</v>
      </c>
    </row>
    <row r="3993" hidden="1" spans="2:18">
      <c r="B3993" s="128" t="s">
        <v>194</v>
      </c>
      <c r="C3993" s="63">
        <v>45928</v>
      </c>
      <c r="D3993" s="33" t="str">
        <f>VLOOKUP(B3993,辅助信息!E:K,7,FALSE)</f>
        <v>JWDD2025071500089</v>
      </c>
      <c r="E3993" s="33" t="str">
        <f>VLOOKUP(F3993,辅助信息!A:B,2,FALSE)</f>
        <v>螺纹钢</v>
      </c>
      <c r="F3993" s="33" t="s">
        <v>33</v>
      </c>
      <c r="G3993" s="29">
        <v>5</v>
      </c>
      <c r="H3993" s="127">
        <f>IF(SUMIFS('[1]2025年已发货'!$E:$E,'[1]2025年已发货'!$F:$F,C3993,'[1]2025年已发货'!$C:$C,F3993,'[1]2025年已发货'!$G:$G,I3993,'[1]2025年已发货'!$H:$H,J3993)=0,"未发货",SUMIFS('[1]2025年已发货'!$E:$E,'[1]2025年已发货'!$F:$F,C3993,'[1]2025年已发货'!$C:$C,F3993,'[1]2025年已发货'!$G:$G,I3993,'[1]2025年已发货'!$H:$H,J3993))</f>
        <v>5</v>
      </c>
      <c r="I3993" s="33" t="str">
        <f>VLOOKUP(B3993,辅助信息!E:I,3,FALSE)</f>
        <v>(宜宾兴港三江新区长江工业园保障性租赁住房建设项目-土建)四川省宜宾市翠屏区永善路南段宜宾市三江新区长江工业园区</v>
      </c>
      <c r="J3993" s="33" t="str">
        <f>VLOOKUP(B3993,辅助信息!E:I,4,FALSE)</f>
        <v>赵元虎</v>
      </c>
      <c r="K3993" s="33">
        <f>VLOOKUP(J3993,辅助信息!H:I,2,FALSE)</f>
        <v>13684167136</v>
      </c>
      <c r="L3993" s="102" t="str">
        <f>VLOOKUP(B3993,辅助信息!E:J,6,FALSE)</f>
        <v>现场要求调度统一联系指定收货人，不单独发司机位置。锈货不收，装货前联系收货人核实到场规格,没提前告知进场规格现场不给予接收</v>
      </c>
      <c r="O3993" s="55" t="str">
        <f ca="1" t="shared" si="206"/>
        <v/>
      </c>
      <c r="P3993" s="55" t="str">
        <f ca="1" t="shared" si="207"/>
        <v/>
      </c>
      <c r="Q3993" s="22" t="str">
        <f>VLOOKUP(B3993,辅助信息!E:M,9,FALSE)</f>
        <v>ZTWM-CDYXGS-XS-2025-0014-宜宾兴港建材-三江新区长江工业园片区保障性租赁住房建设项目</v>
      </c>
      <c r="R3993" s="22" t="str">
        <f>_xlfn._xlws.FILTER(辅助信息!D:D,辅助信息!E:E=B3993)</f>
        <v>宜宾兴港三江新区长江工业园建设项目</v>
      </c>
    </row>
    <row r="3994" hidden="1" spans="2:18">
      <c r="B3994" s="128" t="s">
        <v>194</v>
      </c>
      <c r="C3994" s="63">
        <v>45928</v>
      </c>
      <c r="D3994" s="33" t="str">
        <f>VLOOKUP(B3994,辅助信息!E:K,7,FALSE)</f>
        <v>JWDD2025071500089</v>
      </c>
      <c r="E3994" s="33" t="str">
        <f>VLOOKUP(F3994,辅助信息!A:B,2,FALSE)</f>
        <v>螺纹钢</v>
      </c>
      <c r="F3994" s="33" t="s">
        <v>28</v>
      </c>
      <c r="G3994" s="29">
        <v>7.5</v>
      </c>
      <c r="H3994" s="127">
        <f>IF(SUMIFS('[1]2025年已发货'!$E:$E,'[1]2025年已发货'!$F:$F,C3994,'[1]2025年已发货'!$C:$C,F3994,'[1]2025年已发货'!$G:$G,I3994,'[1]2025年已发货'!$H:$H,J3994)=0,"未发货",SUMIFS('[1]2025年已发货'!$E:$E,'[1]2025年已发货'!$F:$F,C3994,'[1]2025年已发货'!$C:$C,F3994,'[1]2025年已发货'!$G:$G,I3994,'[1]2025年已发货'!$H:$H,J3994))</f>
        <v>7.5</v>
      </c>
      <c r="I3994" s="33" t="str">
        <f>VLOOKUP(B3994,辅助信息!E:I,3,FALSE)</f>
        <v>(宜宾兴港三江新区长江工业园保障性租赁住房建设项目-土建)四川省宜宾市翠屏区永善路南段宜宾市三江新区长江工业园区</v>
      </c>
      <c r="J3994" s="33" t="str">
        <f>VLOOKUP(B3994,辅助信息!E:I,4,FALSE)</f>
        <v>赵元虎</v>
      </c>
      <c r="K3994" s="33">
        <f>VLOOKUP(J3994,辅助信息!H:I,2,FALSE)</f>
        <v>13684167136</v>
      </c>
      <c r="L3994" s="102" t="str">
        <f>VLOOKUP(B3994,辅助信息!E:J,6,FALSE)</f>
        <v>现场要求调度统一联系指定收货人，不单独发司机位置。锈货不收，装货前联系收货人核实到场规格,没提前告知进场规格现场不给予接收</v>
      </c>
      <c r="O3994" s="55" t="str">
        <f ca="1" t="shared" si="206"/>
        <v/>
      </c>
      <c r="P3994" s="55" t="str">
        <f ca="1" t="shared" si="207"/>
        <v/>
      </c>
      <c r="Q3994" s="22" t="str">
        <f>VLOOKUP(B3994,辅助信息!E:M,9,FALSE)</f>
        <v>ZTWM-CDYXGS-XS-2025-0014-宜宾兴港建材-三江新区长江工业园片区保障性租赁住房建设项目</v>
      </c>
      <c r="R3994" s="22" t="str">
        <f>_xlfn._xlws.FILTER(辅助信息!D:D,辅助信息!E:E=B3994)</f>
        <v>宜宾兴港三江新区长江工业园建设项目</v>
      </c>
    </row>
    <row r="3995" hidden="1" spans="2:18">
      <c r="B3995" s="128" t="s">
        <v>194</v>
      </c>
      <c r="C3995" s="63">
        <v>45928</v>
      </c>
      <c r="D3995" s="33" t="str">
        <f>VLOOKUP(B3995,辅助信息!E:K,7,FALSE)</f>
        <v>JWDD2025071500089</v>
      </c>
      <c r="E3995" s="33" t="str">
        <f>VLOOKUP(F3995,辅助信息!A:B,2,FALSE)</f>
        <v>螺纹钢</v>
      </c>
      <c r="F3995" s="33" t="s">
        <v>18</v>
      </c>
      <c r="G3995" s="29">
        <v>17.5</v>
      </c>
      <c r="H3995" s="127">
        <f>IF(SUMIFS('[1]2025年已发货'!$E:$E,'[1]2025年已发货'!$F:$F,C3995,'[1]2025年已发货'!$C:$C,F3995,'[1]2025年已发货'!$G:$G,I3995,'[1]2025年已发货'!$H:$H,J3995)=0,"未发货",SUMIFS('[1]2025年已发货'!$E:$E,'[1]2025年已发货'!$F:$F,C3995,'[1]2025年已发货'!$C:$C,F3995,'[1]2025年已发货'!$G:$G,I3995,'[1]2025年已发货'!$H:$H,J3995))</f>
        <v>17.5</v>
      </c>
      <c r="I3995" s="33" t="str">
        <f>VLOOKUP(B3995,辅助信息!E:I,3,FALSE)</f>
        <v>(宜宾兴港三江新区长江工业园保障性租赁住房建设项目-土建)四川省宜宾市翠屏区永善路南段宜宾市三江新区长江工业园区</v>
      </c>
      <c r="J3995" s="33" t="str">
        <f>VLOOKUP(B3995,辅助信息!E:I,4,FALSE)</f>
        <v>赵元虎</v>
      </c>
      <c r="K3995" s="33">
        <f>VLOOKUP(J3995,辅助信息!H:I,2,FALSE)</f>
        <v>13684167136</v>
      </c>
      <c r="L3995" s="102" t="str">
        <f>VLOOKUP(B3995,辅助信息!E:J,6,FALSE)</f>
        <v>现场要求调度统一联系指定收货人，不单独发司机位置。锈货不收，装货前联系收货人核实到场规格,没提前告知进场规格现场不给予接收</v>
      </c>
      <c r="O3995" s="55" t="str">
        <f ca="1" t="shared" si="206"/>
        <v/>
      </c>
      <c r="P3995" s="55" t="str">
        <f ca="1" t="shared" si="207"/>
        <v/>
      </c>
      <c r="Q3995" s="22" t="str">
        <f>VLOOKUP(B3995,辅助信息!E:M,9,FALSE)</f>
        <v>ZTWM-CDYXGS-XS-2025-0014-宜宾兴港建材-三江新区长江工业园片区保障性租赁住房建设项目</v>
      </c>
      <c r="R3995" s="22" t="str">
        <f>_xlfn._xlws.FILTER(辅助信息!D:D,辅助信息!E:E=B3995)</f>
        <v>宜宾兴港三江新区长江工业园建设项目</v>
      </c>
    </row>
    <row r="3996" hidden="1" spans="2:18">
      <c r="B3996" s="128" t="s">
        <v>150</v>
      </c>
      <c r="C3996" s="63">
        <v>45928</v>
      </c>
      <c r="D3996" s="33" t="str">
        <f>VLOOKUP(B3996,辅助信息!E:K,7,FALSE)</f>
        <v>JWDDCD2025050800101</v>
      </c>
      <c r="E3996" s="33" t="str">
        <f>VLOOKUP(F3996,辅助信息!A:B,2,FALSE)</f>
        <v>盘螺</v>
      </c>
      <c r="F3996" s="33" t="s">
        <v>41</v>
      </c>
      <c r="G3996" s="29">
        <v>10</v>
      </c>
      <c r="H3996" s="127"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33" t="str">
        <f>VLOOKUP(B3996,辅助信息!E:I,3,FALSE)</f>
        <v>(中铁科研院宜宾泥溪项目)中铁科研院集团有限公司宜宾市泥溪东互通式立交下穿成贵客专铁路工程项目钢筋加工厂</v>
      </c>
      <c r="J3996" s="33" t="str">
        <f>VLOOKUP(B3996,辅助信息!E:I,4,FALSE)</f>
        <v>蔡鹏</v>
      </c>
      <c r="K3996" s="33">
        <f>VLOOKUP(J3996,辅助信息!H:I,2,FALSE)</f>
        <v>19130850820</v>
      </c>
      <c r="L3996" s="102" t="str">
        <f>VLOOKUP(B3996,辅助信息!E:J,6,FALSE)</f>
        <v>装货前联系收货人核实到场规格，货物最下面用方木垫下方便卸货</v>
      </c>
      <c r="O3996" s="55" t="str">
        <f ca="1" t="shared" si="206"/>
        <v/>
      </c>
      <c r="P3996" s="55" t="str">
        <f ca="1" t="shared" si="207"/>
        <v/>
      </c>
      <c r="Q3996" s="22" t="str">
        <f>VLOOKUP(B3996,辅助信息!E:M,9,FALSE)</f>
        <v>ZTWM-CDGS-XS-2025-0050-中铁科研院-宜宾泥溪项目</v>
      </c>
      <c r="R3996" s="22" t="str">
        <f>_xlfn._xlws.FILTER(辅助信息!D:D,辅助信息!E:E=B3996)</f>
        <v>中铁科研院宜宾泥溪项目</v>
      </c>
    </row>
    <row r="3997" hidden="1" spans="2:18">
      <c r="B3997" s="128" t="s">
        <v>150</v>
      </c>
      <c r="C3997" s="63">
        <v>45928</v>
      </c>
      <c r="D3997" s="33" t="str">
        <f>VLOOKUP(B3997,辅助信息!E:K,7,FALSE)</f>
        <v>JWDDCD2025050800101</v>
      </c>
      <c r="E3997" s="33" t="str">
        <f>VLOOKUP(F3997,辅助信息!A:B,2,FALSE)</f>
        <v>盘螺</v>
      </c>
      <c r="F3997" s="33" t="s">
        <v>26</v>
      </c>
      <c r="G3997" s="29">
        <v>25</v>
      </c>
      <c r="H3997" s="127"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33" t="str">
        <f>VLOOKUP(B3997,辅助信息!E:I,3,FALSE)</f>
        <v>(中铁科研院宜宾泥溪项目)中铁科研院集团有限公司宜宾市泥溪东互通式立交下穿成贵客专铁路工程项目钢筋加工厂</v>
      </c>
      <c r="J3997" s="33" t="str">
        <f>VLOOKUP(B3997,辅助信息!E:I,4,FALSE)</f>
        <v>蔡鹏</v>
      </c>
      <c r="K3997" s="33">
        <f>VLOOKUP(J3997,辅助信息!H:I,2,FALSE)</f>
        <v>19130850820</v>
      </c>
      <c r="L3997" s="102" t="str">
        <f>VLOOKUP(B3997,辅助信息!E:J,6,FALSE)</f>
        <v>装货前联系收货人核实到场规格，货物最下面用方木垫下方便卸货</v>
      </c>
      <c r="O3997" s="55" t="str">
        <f ca="1" t="shared" si="206"/>
        <v/>
      </c>
      <c r="P3997" s="55" t="str">
        <f ca="1" t="shared" si="207"/>
        <v/>
      </c>
      <c r="Q3997" s="22" t="str">
        <f>VLOOKUP(B3997,辅助信息!E:M,9,FALSE)</f>
        <v>ZTWM-CDGS-XS-2025-0050-中铁科研院-宜宾泥溪项目</v>
      </c>
      <c r="R3997" s="22" t="str">
        <f>_xlfn._xlws.FILTER(辅助信息!D:D,辅助信息!E:E=B3997)</f>
        <v>中铁科研院宜宾泥溪项目</v>
      </c>
    </row>
    <row r="3998" hidden="1" spans="2:18">
      <c r="B3998" s="129" t="s">
        <v>81</v>
      </c>
      <c r="C3998" s="63">
        <v>45929</v>
      </c>
      <c r="D3998" s="113" t="str">
        <f>VLOOKUP(B3998,辅助信息!E:K,7,FALSE)</f>
        <v>JWDDCD2025060900080</v>
      </c>
      <c r="E3998" s="113" t="str">
        <f>VLOOKUP(F3998,辅助信息!A:B,2,FALSE)</f>
        <v>螺纹钢</v>
      </c>
      <c r="F3998" s="113" t="s">
        <v>19</v>
      </c>
      <c r="G3998" s="114">
        <v>30</v>
      </c>
      <c r="H3998" s="127">
        <f>IF(SUMIFS('[1]2025年已发货'!$E:$E,'[1]2025年已发货'!$F:$F,C3998,'[1]2025年已发货'!$C:$C,F3998,'[1]2025年已发货'!$G:$G,I3998,'[1]2025年已发货'!$H:$H,J3998)=0,"未发货",SUMIFS('[1]2025年已发货'!$E:$E,'[1]2025年已发货'!$F:$F,C3998,'[1]2025年已发货'!$C:$C,F3998,'[1]2025年已发货'!$G:$G,I3998,'[1]2025年已发货'!$H:$H,J3998))</f>
        <v>30</v>
      </c>
      <c r="I3998" s="113" t="str">
        <f>VLOOKUP(B3998,辅助信息!E:I,3,FALSE)</f>
        <v>（华西简阳西城嘉苑）四川省成都市简阳市简城街道高屋村</v>
      </c>
      <c r="J3998" s="113" t="str">
        <f>VLOOKUP(B3998,辅助信息!E:I,4,FALSE)</f>
        <v>张瀚镭</v>
      </c>
      <c r="K3998" s="113">
        <f>VLOOKUP(J3998,辅助信息!H:I,2,FALSE)</f>
        <v>15884666220</v>
      </c>
      <c r="L3998" s="115" t="str">
        <f>VLOOKUP(B3998,辅助信息!E:J,6,FALSE)</f>
        <v>现场禁止使用氢能源挂车！优先威钢发货,我方卸车,新老国标钢厂不加价可直发，因陕钢多次出现磅差，项目拒绝使用</v>
      </c>
      <c r="M3998" s="141">
        <v>45929</v>
      </c>
      <c r="O3998" s="55">
        <f ca="1" t="shared" si="206"/>
        <v>0</v>
      </c>
      <c r="P3998" s="55">
        <f ca="1" t="shared" si="207"/>
        <v>28</v>
      </c>
      <c r="Q3998" s="22" t="str">
        <f>VLOOKUP(B3998,辅助信息!E:M,9,FALSE)</f>
        <v>ZTWM-CDGS-XS-2024-0030-华西集采-简州大道</v>
      </c>
      <c r="R3998" s="22" t="str">
        <f>_xlfn._xlws.FILTER(辅助信息!D:D,辅助信息!E:E=B3998)</f>
        <v>华西简阳西城嘉苑</v>
      </c>
    </row>
    <row r="3999" hidden="1" spans="2:18">
      <c r="B3999" s="129" t="s">
        <v>81</v>
      </c>
      <c r="C3999" s="63">
        <v>45929</v>
      </c>
      <c r="D3999" s="113" t="str">
        <f>VLOOKUP(B3999,辅助信息!E:K,7,FALSE)</f>
        <v>JWDDCD2025060900080</v>
      </c>
      <c r="E3999" s="113" t="str">
        <f>VLOOKUP(F3999,辅助信息!A:B,2,FALSE)</f>
        <v>螺纹钢</v>
      </c>
      <c r="F3999" s="113" t="s">
        <v>32</v>
      </c>
      <c r="G3999" s="114">
        <v>50</v>
      </c>
      <c r="H3999" s="127">
        <f>IF(SUMIFS('[1]2025年已发货'!$E:$E,'[1]2025年已发货'!$F:$F,C3999,'[1]2025年已发货'!$C:$C,F3999,'[1]2025年已发货'!$G:$G,I3999,'[1]2025年已发货'!$H:$H,J3999)=0,"未发货",SUMIFS('[1]2025年已发货'!$E:$E,'[1]2025年已发货'!$F:$F,C3999,'[1]2025年已发货'!$C:$C,F3999,'[1]2025年已发货'!$G:$G,I3999,'[1]2025年已发货'!$H:$H,J3999))</f>
        <v>45</v>
      </c>
      <c r="I3999" s="113" t="str">
        <f>VLOOKUP(B3999,辅助信息!E:I,3,FALSE)</f>
        <v>（华西简阳西城嘉苑）四川省成都市简阳市简城街道高屋村</v>
      </c>
      <c r="J3999" s="113" t="str">
        <f>VLOOKUP(B3999,辅助信息!E:I,4,FALSE)</f>
        <v>张瀚镭</v>
      </c>
      <c r="K3999" s="113">
        <f>VLOOKUP(J3999,辅助信息!H:I,2,FALSE)</f>
        <v>15884666220</v>
      </c>
      <c r="L3999" s="115" t="str">
        <f>VLOOKUP(B3999,辅助信息!E:J,6,FALSE)</f>
        <v>现场禁止使用氢能源挂车！优先威钢发货,我方卸车,新老国标钢厂不加价可直发，因陕钢多次出现磅差，项目拒绝使用</v>
      </c>
      <c r="M3999" s="141">
        <v>45929</v>
      </c>
      <c r="O3999" s="55">
        <f ca="1" t="shared" si="206"/>
        <v>0</v>
      </c>
      <c r="P3999" s="55">
        <f ca="1" t="shared" si="207"/>
        <v>28</v>
      </c>
      <c r="Q3999" s="22" t="str">
        <f>VLOOKUP(B3999,辅助信息!E:M,9,FALSE)</f>
        <v>ZTWM-CDGS-XS-2024-0030-华西集采-简州大道</v>
      </c>
      <c r="R3999" s="22" t="str">
        <f>_xlfn._xlws.FILTER(辅助信息!D:D,辅助信息!E:E=B3999)</f>
        <v>华西简阳西城嘉苑</v>
      </c>
    </row>
    <row r="4000" hidden="1" spans="2:18">
      <c r="B4000" s="129" t="s">
        <v>81</v>
      </c>
      <c r="C4000" s="63">
        <v>45929</v>
      </c>
      <c r="D4000" s="113" t="str">
        <f>VLOOKUP(B4000,辅助信息!E:K,7,FALSE)</f>
        <v>JWDDCD2025060900080</v>
      </c>
      <c r="E4000" s="113" t="str">
        <f>VLOOKUP(F4000,辅助信息!A:B,2,FALSE)</f>
        <v>螺纹钢</v>
      </c>
      <c r="F4000" s="113" t="s">
        <v>30</v>
      </c>
      <c r="G4000" s="114">
        <v>18</v>
      </c>
      <c r="H4000" s="127">
        <f>IF(SUMIFS('[1]2025年已发货'!$E:$E,'[1]2025年已发货'!$F:$F,C4000,'[1]2025年已发货'!$C:$C,F4000,'[1]2025年已发货'!$G:$G,I4000,'[1]2025年已发货'!$H:$H,J4000)=0,"未发货",SUMIFS('[1]2025年已发货'!$E:$E,'[1]2025年已发货'!$F:$F,C4000,'[1]2025年已发货'!$C:$C,F4000,'[1]2025年已发货'!$G:$G,I4000,'[1]2025年已发货'!$H:$H,J4000))</f>
        <v>18</v>
      </c>
      <c r="I4000" s="113" t="str">
        <f>VLOOKUP(B4000,辅助信息!E:I,3,FALSE)</f>
        <v>（华西简阳西城嘉苑）四川省成都市简阳市简城街道高屋村</v>
      </c>
      <c r="J4000" s="113" t="str">
        <f>VLOOKUP(B4000,辅助信息!E:I,4,FALSE)</f>
        <v>张瀚镭</v>
      </c>
      <c r="K4000" s="113">
        <f>VLOOKUP(J4000,辅助信息!H:I,2,FALSE)</f>
        <v>15884666220</v>
      </c>
      <c r="L4000" s="115" t="str">
        <f>VLOOKUP(B4000,辅助信息!E:J,6,FALSE)</f>
        <v>现场禁止使用氢能源挂车！优先威钢发货,我方卸车,新老国标钢厂不加价可直发，因陕钢多次出现磅差，项目拒绝使用</v>
      </c>
      <c r="M4000" s="141">
        <v>45929</v>
      </c>
      <c r="O4000" s="55">
        <f ca="1" t="shared" ref="O4000:O4063" si="208">IF(OR(M4000="",N4000&lt;&gt;""),"",MAX(M4000-TODAY(),0))</f>
        <v>0</v>
      </c>
      <c r="P4000" s="55">
        <f ca="1" t="shared" ref="P4000:P4063" si="209">IF(M4000="","",IF(N4000&lt;&gt;"",MAX(N4000-M4000,0),IF(TODAY()&gt;M4000,TODAY()-M4000,0)))</f>
        <v>28</v>
      </c>
      <c r="Q4000" s="22" t="str">
        <f>VLOOKUP(B4000,辅助信息!E:M,9,FALSE)</f>
        <v>ZTWM-CDGS-XS-2024-0030-华西集采-简州大道</v>
      </c>
      <c r="R4000" s="22" t="str">
        <f>_xlfn._xlws.FILTER(辅助信息!D:D,辅助信息!E:E=B4000)</f>
        <v>华西简阳西城嘉苑</v>
      </c>
    </row>
    <row r="4001" hidden="1" spans="2:18">
      <c r="B4001" s="129" t="s">
        <v>81</v>
      </c>
      <c r="C4001" s="63">
        <v>45929</v>
      </c>
      <c r="D4001" s="113" t="str">
        <f>VLOOKUP(B4001,辅助信息!E:K,7,FALSE)</f>
        <v>JWDDCD2025060900080</v>
      </c>
      <c r="E4001" s="113" t="str">
        <f>VLOOKUP(F4001,辅助信息!A:B,2,FALSE)</f>
        <v>螺纹钢</v>
      </c>
      <c r="F4001" s="113" t="s">
        <v>33</v>
      </c>
      <c r="G4001" s="114">
        <v>18</v>
      </c>
      <c r="H4001" s="127">
        <f>IF(SUMIFS('[1]2025年已发货'!$E:$E,'[1]2025年已发货'!$F:$F,C4001,'[1]2025年已发货'!$C:$C,F4001,'[1]2025年已发货'!$G:$G,I4001,'[1]2025年已发货'!$H:$H,J4001)=0,"未发货",SUMIFS('[1]2025年已发货'!$E:$E,'[1]2025年已发货'!$F:$F,C4001,'[1]2025年已发货'!$C:$C,F4001,'[1]2025年已发货'!$G:$G,I4001,'[1]2025年已发货'!$H:$H,J4001))</f>
        <v>18</v>
      </c>
      <c r="I4001" s="113" t="str">
        <f>VLOOKUP(B4001,辅助信息!E:I,3,FALSE)</f>
        <v>（华西简阳西城嘉苑）四川省成都市简阳市简城街道高屋村</v>
      </c>
      <c r="J4001" s="113" t="str">
        <f>VLOOKUP(B4001,辅助信息!E:I,4,FALSE)</f>
        <v>张瀚镭</v>
      </c>
      <c r="K4001" s="113">
        <f>VLOOKUP(J4001,辅助信息!H:I,2,FALSE)</f>
        <v>15884666220</v>
      </c>
      <c r="L4001" s="115" t="str">
        <f>VLOOKUP(B4001,辅助信息!E:J,6,FALSE)</f>
        <v>现场禁止使用氢能源挂车！优先威钢发货,我方卸车,新老国标钢厂不加价可直发，因陕钢多次出现磅差，项目拒绝使用</v>
      </c>
      <c r="M4001" s="141">
        <v>45929</v>
      </c>
      <c r="O4001" s="55">
        <f ca="1" t="shared" si="208"/>
        <v>0</v>
      </c>
      <c r="P4001" s="55">
        <f ca="1" t="shared" si="209"/>
        <v>28</v>
      </c>
      <c r="Q4001" s="22" t="str">
        <f>VLOOKUP(B4001,辅助信息!E:M,9,FALSE)</f>
        <v>ZTWM-CDGS-XS-2024-0030-华西集采-简州大道</v>
      </c>
      <c r="R4001" s="22" t="str">
        <f>_xlfn._xlws.FILTER(辅助信息!D:D,辅助信息!E:E=B4001)</f>
        <v>华西简阳西城嘉苑</v>
      </c>
    </row>
    <row r="4002" hidden="1" spans="2:18">
      <c r="B4002" s="129" t="s">
        <v>81</v>
      </c>
      <c r="C4002" s="63">
        <v>45929</v>
      </c>
      <c r="D4002" s="113" t="str">
        <f>VLOOKUP(B4002,辅助信息!E:K,7,FALSE)</f>
        <v>JWDDCD2025060900080</v>
      </c>
      <c r="E4002" s="113" t="str">
        <f>VLOOKUP(F4002,辅助信息!A:B,2,FALSE)</f>
        <v>螺纹钢</v>
      </c>
      <c r="F4002" s="113" t="s">
        <v>28</v>
      </c>
      <c r="G4002" s="114">
        <v>2.5</v>
      </c>
      <c r="H4002" s="127">
        <f>IF(SUMIFS('[1]2025年已发货'!$E:$E,'[1]2025年已发货'!$F:$F,C4002,'[1]2025年已发货'!$C:$C,F4002,'[1]2025年已发货'!$G:$G,I4002,'[1]2025年已发货'!$H:$H,J4002)=0,"未发货",SUMIFS('[1]2025年已发货'!$E:$E,'[1]2025年已发货'!$F:$F,C4002,'[1]2025年已发货'!$C:$C,F4002,'[1]2025年已发货'!$G:$G,I4002,'[1]2025年已发货'!$H:$H,J4002))</f>
        <v>2.5</v>
      </c>
      <c r="I4002" s="113" t="str">
        <f>VLOOKUP(B4002,辅助信息!E:I,3,FALSE)</f>
        <v>（华西简阳西城嘉苑）四川省成都市简阳市简城街道高屋村</v>
      </c>
      <c r="J4002" s="113" t="str">
        <f>VLOOKUP(B4002,辅助信息!E:I,4,FALSE)</f>
        <v>张瀚镭</v>
      </c>
      <c r="K4002" s="113">
        <f>VLOOKUP(J4002,辅助信息!H:I,2,FALSE)</f>
        <v>15884666220</v>
      </c>
      <c r="L4002" s="115" t="str">
        <f>VLOOKUP(B4002,辅助信息!E:J,6,FALSE)</f>
        <v>现场禁止使用氢能源挂车！优先威钢发货,我方卸车,新老国标钢厂不加价可直发，因陕钢多次出现磅差，项目拒绝使用</v>
      </c>
      <c r="M4002" s="141">
        <v>45929</v>
      </c>
      <c r="O4002" s="55">
        <f ca="1" t="shared" si="208"/>
        <v>0</v>
      </c>
      <c r="P4002" s="55">
        <f ca="1" t="shared" si="209"/>
        <v>28</v>
      </c>
      <c r="Q4002" s="22" t="str">
        <f>VLOOKUP(B4002,辅助信息!E:M,9,FALSE)</f>
        <v>ZTWM-CDGS-XS-2024-0030-华西集采-简州大道</v>
      </c>
      <c r="R4002" s="22" t="str">
        <f>_xlfn._xlws.FILTER(辅助信息!D:D,辅助信息!E:E=B4002)</f>
        <v>华西简阳西城嘉苑</v>
      </c>
    </row>
    <row r="4003" hidden="1" spans="2:18">
      <c r="B4003" s="129" t="s">
        <v>81</v>
      </c>
      <c r="C4003" s="63">
        <v>45929</v>
      </c>
      <c r="D4003" s="113" t="str">
        <f>VLOOKUP(B4003,辅助信息!E:K,7,FALSE)</f>
        <v>JWDDCD2025060900080</v>
      </c>
      <c r="E4003" s="113" t="str">
        <f>VLOOKUP(F4003,辅助信息!A:B,2,FALSE)</f>
        <v>螺纹钢</v>
      </c>
      <c r="F4003" s="113" t="s">
        <v>58</v>
      </c>
      <c r="G4003" s="114">
        <v>21</v>
      </c>
      <c r="H4003" s="127">
        <f>IF(SUMIFS('[1]2025年已发货'!$E:$E,'[1]2025年已发货'!$F:$F,C4003,'[1]2025年已发货'!$C:$C,F4003,'[1]2025年已发货'!$G:$G,I4003,'[1]2025年已发货'!$H:$H,J4003)=0,"未发货",SUMIFS('[1]2025年已发货'!$E:$E,'[1]2025年已发货'!$F:$F,C4003,'[1]2025年已发货'!$C:$C,F4003,'[1]2025年已发货'!$G:$G,I4003,'[1]2025年已发货'!$H:$H,J4003))</f>
        <v>21</v>
      </c>
      <c r="I4003" s="113" t="str">
        <f>VLOOKUP(B4003,辅助信息!E:I,3,FALSE)</f>
        <v>（华西简阳西城嘉苑）四川省成都市简阳市简城街道高屋村</v>
      </c>
      <c r="J4003" s="113" t="str">
        <f>VLOOKUP(B4003,辅助信息!E:I,4,FALSE)</f>
        <v>张瀚镭</v>
      </c>
      <c r="K4003" s="113">
        <f>VLOOKUP(J4003,辅助信息!H:I,2,FALSE)</f>
        <v>15884666220</v>
      </c>
      <c r="L4003" s="115" t="str">
        <f>VLOOKUP(B4003,辅助信息!E:J,6,FALSE)</f>
        <v>现场禁止使用氢能源挂车！优先威钢发货,我方卸车,新老国标钢厂不加价可直发，因陕钢多次出现磅差，项目拒绝使用</v>
      </c>
      <c r="O4003" s="55" t="str">
        <f ca="1" t="shared" si="208"/>
        <v/>
      </c>
      <c r="P4003" s="55" t="str">
        <f ca="1" t="shared" si="209"/>
        <v/>
      </c>
      <c r="Q4003" s="22" t="str">
        <f>VLOOKUP(B4003,辅助信息!E:M,9,FALSE)</f>
        <v>ZTWM-CDGS-XS-2024-0030-华西集采-简州大道</v>
      </c>
      <c r="R4003" s="22" t="str">
        <f>_xlfn._xlws.FILTER(辅助信息!D:D,辅助信息!E:E=B4003)</f>
        <v>华西简阳西城嘉苑</v>
      </c>
    </row>
    <row r="4004" hidden="1" spans="2:18">
      <c r="B4004" s="129" t="s">
        <v>81</v>
      </c>
      <c r="C4004" s="63">
        <v>45929</v>
      </c>
      <c r="D4004" s="113" t="str">
        <f>VLOOKUP(B4004,辅助信息!E:K,7,FALSE)</f>
        <v>JWDDCD2025060900080</v>
      </c>
      <c r="E4004" s="113" t="str">
        <f>VLOOKUP(F4004,辅助信息!A:B,2,FALSE)</f>
        <v>螺纹钢</v>
      </c>
      <c r="F4004" s="113" t="s">
        <v>46</v>
      </c>
      <c r="G4004" s="114">
        <v>8</v>
      </c>
      <c r="H4004" s="127">
        <f>IF(SUMIFS('[1]2025年已发货'!$E:$E,'[1]2025年已发货'!$F:$F,C4004,'[1]2025年已发货'!$C:$C,F4004,'[1]2025年已发货'!$G:$G,I4004,'[1]2025年已发货'!$H:$H,J4004)=0,"未发货",SUMIFS('[1]2025年已发货'!$E:$E,'[1]2025年已发货'!$F:$F,C4004,'[1]2025年已发货'!$C:$C,F4004,'[1]2025年已发货'!$G:$G,I4004,'[1]2025年已发货'!$H:$H,J4004))</f>
        <v>8</v>
      </c>
      <c r="I4004" s="113" t="str">
        <f>VLOOKUP(B4004,辅助信息!E:I,3,FALSE)</f>
        <v>（华西简阳西城嘉苑）四川省成都市简阳市简城街道高屋村</v>
      </c>
      <c r="J4004" s="113" t="str">
        <f>VLOOKUP(B4004,辅助信息!E:I,4,FALSE)</f>
        <v>张瀚镭</v>
      </c>
      <c r="K4004" s="113">
        <f>VLOOKUP(J4004,辅助信息!H:I,2,FALSE)</f>
        <v>15884666220</v>
      </c>
      <c r="L4004" s="115" t="str">
        <f>VLOOKUP(B4004,辅助信息!E:J,6,FALSE)</f>
        <v>现场禁止使用氢能源挂车！优先威钢发货,我方卸车,新老国标钢厂不加价可直发，因陕钢多次出现磅差，项目拒绝使用</v>
      </c>
      <c r="O4004" s="55" t="str">
        <f ca="1" t="shared" si="208"/>
        <v/>
      </c>
      <c r="P4004" s="55" t="str">
        <f ca="1" t="shared" si="209"/>
        <v/>
      </c>
      <c r="Q4004" s="22" t="str">
        <f>VLOOKUP(B4004,辅助信息!E:M,9,FALSE)</f>
        <v>ZTWM-CDGS-XS-2024-0030-华西集采-简州大道</v>
      </c>
      <c r="R4004" s="22" t="str">
        <f>_xlfn._xlws.FILTER(辅助信息!D:D,辅助信息!E:E=B4004)</f>
        <v>华西简阳西城嘉苑</v>
      </c>
    </row>
    <row r="4005" hidden="1" spans="2:18">
      <c r="B4005" s="129" t="s">
        <v>81</v>
      </c>
      <c r="C4005" s="63">
        <v>45929</v>
      </c>
      <c r="D4005" s="113" t="str">
        <f>VLOOKUP(B4005,辅助信息!E:K,7,FALSE)</f>
        <v>JWDDCD2025060900080</v>
      </c>
      <c r="E4005" s="113" t="str">
        <f>VLOOKUP(F4005,辅助信息!A:B,2,FALSE)</f>
        <v>螺纹钢</v>
      </c>
      <c r="F4005" s="113" t="s">
        <v>22</v>
      </c>
      <c r="G4005" s="114">
        <v>30</v>
      </c>
      <c r="H4005" s="127"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13" t="str">
        <f>VLOOKUP(B4005,辅助信息!E:I,3,FALSE)</f>
        <v>（华西简阳西城嘉苑）四川省成都市简阳市简城街道高屋村</v>
      </c>
      <c r="J4005" s="113" t="str">
        <f>VLOOKUP(B4005,辅助信息!E:I,4,FALSE)</f>
        <v>张瀚镭</v>
      </c>
      <c r="K4005" s="113">
        <f>VLOOKUP(J4005,辅助信息!H:I,2,FALSE)</f>
        <v>15884666220</v>
      </c>
      <c r="L4005" s="115" t="str">
        <f>VLOOKUP(B4005,辅助信息!E:J,6,FALSE)</f>
        <v>现场禁止使用氢能源挂车！优先威钢发货,我方卸车,新老国标钢厂不加价可直发，因陕钢多次出现磅差，项目拒绝使用</v>
      </c>
      <c r="O4005" s="55" t="str">
        <f ca="1" t="shared" si="208"/>
        <v/>
      </c>
      <c r="P4005" s="55" t="str">
        <f ca="1" t="shared" si="209"/>
        <v/>
      </c>
      <c r="Q4005" s="22" t="str">
        <f>VLOOKUP(B4005,辅助信息!E:M,9,FALSE)</f>
        <v>ZTWM-CDGS-XS-2024-0030-华西集采-简州大道</v>
      </c>
      <c r="R4005" s="22" t="str">
        <f>_xlfn._xlws.FILTER(辅助信息!D:D,辅助信息!E:E=B4005)</f>
        <v>华西简阳西城嘉苑</v>
      </c>
    </row>
    <row r="4006" hidden="1" spans="2:18">
      <c r="B4006" s="129" t="s">
        <v>81</v>
      </c>
      <c r="C4006" s="63">
        <v>45929</v>
      </c>
      <c r="D4006" s="113" t="str">
        <f>VLOOKUP(B4006,辅助信息!E:K,7,FALSE)</f>
        <v>JWDDCD2025060900080</v>
      </c>
      <c r="E4006" s="113" t="str">
        <f>VLOOKUP(F4006,辅助信息!A:B,2,FALSE)</f>
        <v>盘螺</v>
      </c>
      <c r="F4006" s="113" t="s">
        <v>41</v>
      </c>
      <c r="G4006" s="114">
        <f>125-70</f>
        <v>55</v>
      </c>
      <c r="H4006" s="127">
        <f>IF(SUMIFS('[1]2025年已发货'!$E:$E,'[1]2025年已发货'!$F:$F,C4006,'[1]2025年已发货'!$C:$C,F4006,'[1]2025年已发货'!$G:$G,I4006,'[1]2025年已发货'!$H:$H,J4006)=0,"未发货",SUMIFS('[1]2025年已发货'!$E:$E,'[1]2025年已发货'!$F:$F,C4006,'[1]2025年已发货'!$C:$C,F4006,'[1]2025年已发货'!$G:$G,I4006,'[1]2025年已发货'!$H:$H,J4006))</f>
        <v>35</v>
      </c>
      <c r="I4006" s="113" t="str">
        <f>VLOOKUP(B4006,辅助信息!E:I,3,FALSE)</f>
        <v>（华西简阳西城嘉苑）四川省成都市简阳市简城街道高屋村</v>
      </c>
      <c r="J4006" s="113" t="str">
        <f>VLOOKUP(B4006,辅助信息!E:I,4,FALSE)</f>
        <v>张瀚镭</v>
      </c>
      <c r="K4006" s="113">
        <f>VLOOKUP(J4006,辅助信息!H:I,2,FALSE)</f>
        <v>15884666220</v>
      </c>
      <c r="L4006" s="115" t="str">
        <f>VLOOKUP(B4006,辅助信息!E:J,6,FALSE)</f>
        <v>现场禁止使用氢能源挂车！优先威钢发货,我方卸车,新老国标钢厂不加价可直发，因陕钢多次出现磅差，项目拒绝使用</v>
      </c>
      <c r="O4006" s="55" t="str">
        <f ca="1" t="shared" si="208"/>
        <v/>
      </c>
      <c r="P4006" s="55" t="str">
        <f ca="1" t="shared" si="209"/>
        <v/>
      </c>
      <c r="Q4006" s="22" t="str">
        <f>VLOOKUP(B4006,辅助信息!E:M,9,FALSE)</f>
        <v>ZTWM-CDGS-XS-2024-0030-华西集采-简州大道</v>
      </c>
      <c r="R4006" s="22" t="str">
        <f>_xlfn._xlws.FILTER(辅助信息!D:D,辅助信息!E:E=B4006)</f>
        <v>华西简阳西城嘉苑</v>
      </c>
    </row>
    <row r="4007" hidden="1" spans="2:18">
      <c r="B4007" s="129" t="s">
        <v>81</v>
      </c>
      <c r="C4007" s="63">
        <v>45929</v>
      </c>
      <c r="D4007" s="113" t="str">
        <f>VLOOKUP(B4007,辅助信息!E:K,7,FALSE)</f>
        <v>JWDDCD2025060900080</v>
      </c>
      <c r="E4007" s="113" t="str">
        <f>VLOOKUP(F4007,辅助信息!A:B,2,FALSE)</f>
        <v>盘螺</v>
      </c>
      <c r="F4007" s="113" t="s">
        <v>26</v>
      </c>
      <c r="G4007" s="114">
        <v>10</v>
      </c>
      <c r="H4007" s="127"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13" t="str">
        <f>VLOOKUP(B4007,辅助信息!E:I,3,FALSE)</f>
        <v>（华西简阳西城嘉苑）四川省成都市简阳市简城街道高屋村</v>
      </c>
      <c r="J4007" s="113" t="str">
        <f>VLOOKUP(B4007,辅助信息!E:I,4,FALSE)</f>
        <v>张瀚镭</v>
      </c>
      <c r="K4007" s="113">
        <f>VLOOKUP(J4007,辅助信息!H:I,2,FALSE)</f>
        <v>15884666220</v>
      </c>
      <c r="L4007" s="115" t="str">
        <f>VLOOKUP(B4007,辅助信息!E:J,6,FALSE)</f>
        <v>现场禁止使用氢能源挂车！优先威钢发货,我方卸车,新老国标钢厂不加价可直发，因陕钢多次出现磅差，项目拒绝使用</v>
      </c>
      <c r="O4007" s="55" t="str">
        <f ca="1" t="shared" si="208"/>
        <v/>
      </c>
      <c r="P4007" s="55" t="str">
        <f ca="1" t="shared" si="209"/>
        <v/>
      </c>
      <c r="Q4007" s="22" t="str">
        <f>VLOOKUP(B4007,辅助信息!E:M,9,FALSE)</f>
        <v>ZTWM-CDGS-XS-2024-0030-华西集采-简州大道</v>
      </c>
      <c r="R4007" s="22" t="str">
        <f>_xlfn._xlws.FILTER(辅助信息!D:D,辅助信息!E:E=B4007)</f>
        <v>华西简阳西城嘉苑</v>
      </c>
    </row>
    <row r="4008" hidden="1" spans="2:18">
      <c r="B4008" s="129" t="s">
        <v>81</v>
      </c>
      <c r="C4008" s="63">
        <v>45929</v>
      </c>
      <c r="D4008" s="113" t="str">
        <f>VLOOKUP(B4008,辅助信息!E:K,7,FALSE)</f>
        <v>JWDDCD2025060900080</v>
      </c>
      <c r="E4008" s="113" t="str">
        <f>VLOOKUP(F4008,辅助信息!A:B,2,FALSE)</f>
        <v>盘螺</v>
      </c>
      <c r="F4008" s="113" t="s">
        <v>49</v>
      </c>
      <c r="G4008" s="114">
        <v>25</v>
      </c>
      <c r="H4008" s="127"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13" t="str">
        <f>VLOOKUP(B4008,辅助信息!E:I,3,FALSE)</f>
        <v>（华西简阳西城嘉苑）四川省成都市简阳市简城街道高屋村</v>
      </c>
      <c r="J4008" s="113" t="str">
        <f>VLOOKUP(B4008,辅助信息!E:I,4,FALSE)</f>
        <v>张瀚镭</v>
      </c>
      <c r="K4008" s="113">
        <f>VLOOKUP(J4008,辅助信息!H:I,2,FALSE)</f>
        <v>15884666220</v>
      </c>
      <c r="L4008" s="115" t="str">
        <f>VLOOKUP(B4008,辅助信息!E:J,6,FALSE)</f>
        <v>现场禁止使用氢能源挂车！优先威钢发货,我方卸车,新老国标钢厂不加价可直发，因陕钢多次出现磅差，项目拒绝使用</v>
      </c>
      <c r="O4008" s="55" t="str">
        <f ca="1" t="shared" si="208"/>
        <v/>
      </c>
      <c r="P4008" s="55" t="str">
        <f ca="1" t="shared" si="209"/>
        <v/>
      </c>
      <c r="Q4008" s="22" t="str">
        <f>VLOOKUP(B4008,辅助信息!E:M,9,FALSE)</f>
        <v>ZTWM-CDGS-XS-2024-0030-华西集采-简州大道</v>
      </c>
      <c r="R4008" s="22" t="str">
        <f>_xlfn._xlws.FILTER(辅助信息!D:D,辅助信息!E:E=B4008)</f>
        <v>华西简阳西城嘉苑</v>
      </c>
    </row>
    <row r="4009" hidden="1" spans="2:18">
      <c r="B4009" s="129" t="s">
        <v>81</v>
      </c>
      <c r="C4009" s="63">
        <v>45929</v>
      </c>
      <c r="D4009" s="113" t="str">
        <f>VLOOKUP(B4009,辅助信息!E:K,7,FALSE)</f>
        <v>JWDDCD2025060900080</v>
      </c>
      <c r="E4009" s="113" t="str">
        <f>VLOOKUP(F4009,辅助信息!A:B,2,FALSE)</f>
        <v>盘螺</v>
      </c>
      <c r="F4009" s="113" t="s">
        <v>40</v>
      </c>
      <c r="G4009" s="114">
        <v>10</v>
      </c>
      <c r="H4009" s="127"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13" t="str">
        <f>VLOOKUP(B4009,辅助信息!E:I,3,FALSE)</f>
        <v>（华西简阳西城嘉苑）四川省成都市简阳市简城街道高屋村</v>
      </c>
      <c r="J4009" s="113" t="str">
        <f>VLOOKUP(B4009,辅助信息!E:I,4,FALSE)</f>
        <v>张瀚镭</v>
      </c>
      <c r="K4009" s="113">
        <f>VLOOKUP(J4009,辅助信息!H:I,2,FALSE)</f>
        <v>15884666220</v>
      </c>
      <c r="L4009" s="115" t="str">
        <f>VLOOKUP(B4009,辅助信息!E:J,6,FALSE)</f>
        <v>现场禁止使用氢能源挂车！优先威钢发货,我方卸车,新老国标钢厂不加价可直发，因陕钢多次出现磅差，项目拒绝使用</v>
      </c>
      <c r="M4009" s="141">
        <v>45929</v>
      </c>
      <c r="O4009" s="55">
        <f ca="1" t="shared" si="208"/>
        <v>0</v>
      </c>
      <c r="P4009" s="55">
        <f ca="1" t="shared" si="209"/>
        <v>28</v>
      </c>
      <c r="Q4009" s="22" t="str">
        <f>VLOOKUP(B4009,辅助信息!E:M,9,FALSE)</f>
        <v>ZTWM-CDGS-XS-2024-0030-华西集采-简州大道</v>
      </c>
      <c r="R4009" s="22" t="str">
        <f>_xlfn._xlws.FILTER(辅助信息!D:D,辅助信息!E:E=B4009)</f>
        <v>华西简阳西城嘉苑</v>
      </c>
    </row>
    <row r="4010" hidden="1" spans="2:18">
      <c r="B4010" s="129" t="s">
        <v>186</v>
      </c>
      <c r="C4010" s="63">
        <v>45929</v>
      </c>
      <c r="D4010" s="113" t="str">
        <f>VLOOKUP(B4010,辅助信息!E:K,7,FALSE)</f>
        <v>JWDDCD2025072900123</v>
      </c>
      <c r="E4010" s="113" t="str">
        <f>VLOOKUP(F4010,辅助信息!A:B,2,FALSE)</f>
        <v>螺纹钢</v>
      </c>
      <c r="F4010" s="113" t="s">
        <v>111</v>
      </c>
      <c r="G4010" s="114">
        <v>35</v>
      </c>
      <c r="H4010" s="127">
        <f>IF(SUMIFS('[1]2025年已发货'!$E:$E,'[1]2025年已发货'!$F:$F,C4010,'[1]2025年已发货'!$C:$C,F4010,'[1]2025年已发货'!$G:$G,I4010,'[1]2025年已发货'!$H:$H,J4010)=0,"未发货",SUMIFS('[1]2025年已发货'!$E:$E,'[1]2025年已发货'!$F:$F,C4010,'[1]2025年已发货'!$C:$C,F4010,'[1]2025年已发货'!$G:$G,I4010,'[1]2025年已发货'!$H:$H,J4010))</f>
        <v>35</v>
      </c>
      <c r="I4010" s="113" t="str">
        <f>VLOOKUP(B4010,辅助信息!E:I,3,FALSE)</f>
        <v>(乐山市校地共建产教融合基地建设项目二标段)四川省乐山市市中区苏稽镇</v>
      </c>
      <c r="J4010" s="113" t="str">
        <f>VLOOKUP(B4010,辅助信息!E:I,4,FALSE)</f>
        <v>彭江涛</v>
      </c>
      <c r="K4010" s="113">
        <f>VLOOKUP(J4010,辅助信息!H:I,2,FALSE)</f>
        <v>13990276572</v>
      </c>
      <c r="L4010" s="115" t="str">
        <f>VLOOKUP(B4010,辅助信息!E:J,6,FALSE)</f>
        <v>联系实际收货人（彭江涛13990276572）现场要求炉批号控制2个以下，超2个不给予签收。提前联系到场规格及数量</v>
      </c>
      <c r="M4010" s="141">
        <v>45929</v>
      </c>
      <c r="O4010" s="55">
        <f ca="1" t="shared" si="208"/>
        <v>0</v>
      </c>
      <c r="P4010" s="55">
        <f ca="1" t="shared" si="209"/>
        <v>28</v>
      </c>
      <c r="Q4010" s="22" t="str">
        <f>VLOOKUP(B4010,辅助信息!E:M,9,FALSE)</f>
        <v>ZTWM-CDGS-XS-2025-0126-四川机司-乐山市校地共建产教融合基地配套设施项目施工二标段钢筋采购合同</v>
      </c>
      <c r="R4010" s="22" t="str">
        <f>_xlfn._xlws.FILTER(辅助信息!D:D,辅助信息!E:E=B4010)</f>
        <v>乐山市校地共建产教融合基地建设项目二标段</v>
      </c>
    </row>
    <row r="4011" hidden="1" spans="2:18">
      <c r="B4011" s="129" t="s">
        <v>186</v>
      </c>
      <c r="C4011" s="63">
        <v>45929</v>
      </c>
      <c r="D4011" s="113" t="str">
        <f>VLOOKUP(B4011,辅助信息!E:K,7,FALSE)</f>
        <v>JWDDCD2025072900123</v>
      </c>
      <c r="E4011" s="113" t="str">
        <f>VLOOKUP(F4011,辅助信息!A:B,2,FALSE)</f>
        <v>螺纹钢</v>
      </c>
      <c r="F4011" s="113" t="s">
        <v>76</v>
      </c>
      <c r="G4011" s="114">
        <v>35</v>
      </c>
      <c r="H4011" s="127">
        <f>IF(SUMIFS('[1]2025年已发货'!$E:$E,'[1]2025年已发货'!$F:$F,C4011,'[1]2025年已发货'!$C:$C,F4011,'[1]2025年已发货'!$G:$G,I4011,'[1]2025年已发货'!$H:$H,J4011)=0,"未发货",SUMIFS('[1]2025年已发货'!$E:$E,'[1]2025年已发货'!$F:$F,C4011,'[1]2025年已发货'!$C:$C,F4011,'[1]2025年已发货'!$G:$G,I4011,'[1]2025年已发货'!$H:$H,J4011))</f>
        <v>35</v>
      </c>
      <c r="I4011" s="113" t="str">
        <f>VLOOKUP(B4011,辅助信息!E:I,3,FALSE)</f>
        <v>(乐山市校地共建产教融合基地建设项目二标段)四川省乐山市市中区苏稽镇</v>
      </c>
      <c r="J4011" s="113" t="str">
        <f>VLOOKUP(B4011,辅助信息!E:I,4,FALSE)</f>
        <v>彭江涛</v>
      </c>
      <c r="K4011" s="113">
        <f>VLOOKUP(J4011,辅助信息!H:I,2,FALSE)</f>
        <v>13990276572</v>
      </c>
      <c r="L4011" s="115" t="str">
        <f>VLOOKUP(B4011,辅助信息!E:J,6,FALSE)</f>
        <v>联系实际收货人（彭江涛13990276572）现场要求炉批号控制2个以下，超2个不给予签收。提前联系到场规格及数量</v>
      </c>
      <c r="M4011" s="141">
        <v>45929</v>
      </c>
      <c r="O4011" s="55">
        <f ca="1" t="shared" si="208"/>
        <v>0</v>
      </c>
      <c r="P4011" s="55">
        <f ca="1" t="shared" si="209"/>
        <v>28</v>
      </c>
      <c r="Q4011" s="22" t="str">
        <f>VLOOKUP(B4011,辅助信息!E:M,9,FALSE)</f>
        <v>ZTWM-CDGS-XS-2025-0126-四川机司-乐山市校地共建产教融合基地配套设施项目施工二标段钢筋采购合同</v>
      </c>
      <c r="R4011" s="22" t="str">
        <f>_xlfn._xlws.FILTER(辅助信息!D:D,辅助信息!E:E=B4011)</f>
        <v>乐山市校地共建产教融合基地建设项目二标段</v>
      </c>
    </row>
    <row r="4012" hidden="1" spans="2:18">
      <c r="B4012" s="129" t="s">
        <v>186</v>
      </c>
      <c r="C4012" s="63">
        <v>45929</v>
      </c>
      <c r="D4012" s="113" t="str">
        <f>VLOOKUP(B4012,辅助信息!E:K,7,FALSE)</f>
        <v>JWDDCD2025072900123</v>
      </c>
      <c r="E4012" s="113" t="str">
        <f>VLOOKUP(F4012,辅助信息!A:B,2,FALSE)</f>
        <v>螺纹钢</v>
      </c>
      <c r="F4012" s="113" t="s">
        <v>197</v>
      </c>
      <c r="G4012" s="114">
        <v>18</v>
      </c>
      <c r="H4012" s="127">
        <f>IF(SUMIFS('[1]2025年已发货'!$E:$E,'[1]2025年已发货'!$F:$F,C4012,'[1]2025年已发货'!$C:$C,F4012,'[1]2025年已发货'!$G:$G,I4012,'[1]2025年已发货'!$H:$H,J4012)=0,"未发货",SUMIFS('[1]2025年已发货'!$E:$E,'[1]2025年已发货'!$F:$F,C4012,'[1]2025年已发货'!$C:$C,F4012,'[1]2025年已发货'!$G:$G,I4012,'[1]2025年已发货'!$H:$H,J4012))</f>
        <v>18</v>
      </c>
      <c r="I4012" s="113" t="str">
        <f>VLOOKUP(B4012,辅助信息!E:I,3,FALSE)</f>
        <v>(乐山市校地共建产教融合基地建设项目二标段)四川省乐山市市中区苏稽镇</v>
      </c>
      <c r="J4012" s="113" t="str">
        <f>VLOOKUP(B4012,辅助信息!E:I,4,FALSE)</f>
        <v>彭江涛</v>
      </c>
      <c r="K4012" s="113">
        <f>VLOOKUP(J4012,辅助信息!H:I,2,FALSE)</f>
        <v>13990276572</v>
      </c>
      <c r="L4012" s="115" t="str">
        <f>VLOOKUP(B4012,辅助信息!E:J,6,FALSE)</f>
        <v>联系实际收货人（彭江涛13990276572）现场要求炉批号控制2个以下，超2个不给予签收。提前联系到场规格及数量</v>
      </c>
      <c r="M4012" s="141">
        <v>45929</v>
      </c>
      <c r="O4012" s="55">
        <f ca="1" t="shared" si="208"/>
        <v>0</v>
      </c>
      <c r="P4012" s="55">
        <f ca="1" t="shared" si="209"/>
        <v>28</v>
      </c>
      <c r="Q4012" s="22" t="str">
        <f>VLOOKUP(B4012,辅助信息!E:M,9,FALSE)</f>
        <v>ZTWM-CDGS-XS-2025-0126-四川机司-乐山市校地共建产教融合基地配套设施项目施工二标段钢筋采购合同</v>
      </c>
      <c r="R4012" s="22" t="str">
        <f>_xlfn._xlws.FILTER(辅助信息!D:D,辅助信息!E:E=B4012)</f>
        <v>乐山市校地共建产教融合基地建设项目二标段</v>
      </c>
    </row>
    <row r="4013" hidden="1" spans="2:18">
      <c r="B4013" s="129" t="s">
        <v>186</v>
      </c>
      <c r="C4013" s="63">
        <v>45929</v>
      </c>
      <c r="D4013" s="113" t="str">
        <f>VLOOKUP(B4013,辅助信息!E:K,7,FALSE)</f>
        <v>JWDDCD2025072900123</v>
      </c>
      <c r="E4013" s="113" t="str">
        <f>VLOOKUP(F4013,辅助信息!A:B,2,FALSE)</f>
        <v>螺纹钢</v>
      </c>
      <c r="F4013" s="113" t="s">
        <v>198</v>
      </c>
      <c r="G4013" s="114">
        <v>18</v>
      </c>
      <c r="H4013" s="127">
        <f>IF(SUMIFS('[1]2025年已发货'!$E:$E,'[1]2025年已发货'!$F:$F,C4013,'[1]2025年已发货'!$C:$C,F4013,'[1]2025年已发货'!$G:$G,I4013,'[1]2025年已发货'!$H:$H,J4013)=0,"未发货",SUMIFS('[1]2025年已发货'!$E:$E,'[1]2025年已发货'!$F:$F,C4013,'[1]2025年已发货'!$C:$C,F4013,'[1]2025年已发货'!$G:$G,I4013,'[1]2025年已发货'!$H:$H,J4013))</f>
        <v>18</v>
      </c>
      <c r="I4013" s="113" t="str">
        <f>VLOOKUP(B4013,辅助信息!E:I,3,FALSE)</f>
        <v>(乐山市校地共建产教融合基地建设项目二标段)四川省乐山市市中区苏稽镇</v>
      </c>
      <c r="J4013" s="113" t="str">
        <f>VLOOKUP(B4013,辅助信息!E:I,4,FALSE)</f>
        <v>彭江涛</v>
      </c>
      <c r="K4013" s="113">
        <f>VLOOKUP(J4013,辅助信息!H:I,2,FALSE)</f>
        <v>13990276572</v>
      </c>
      <c r="L4013" s="115" t="str">
        <f>VLOOKUP(B4013,辅助信息!E:J,6,FALSE)</f>
        <v>联系实际收货人（彭江涛13990276572）现场要求炉批号控制2个以下，超2个不给予签收。提前联系到场规格及数量</v>
      </c>
      <c r="M4013" s="141"/>
      <c r="O4013" s="55" t="str">
        <f ca="1" t="shared" si="208"/>
        <v/>
      </c>
      <c r="P4013" s="55" t="str">
        <f ca="1" t="shared" si="209"/>
        <v/>
      </c>
      <c r="Q4013" s="22" t="str">
        <f>VLOOKUP(B4013,辅助信息!E:M,9,FALSE)</f>
        <v>ZTWM-CDGS-XS-2025-0126-四川机司-乐山市校地共建产教融合基地配套设施项目施工二标段钢筋采购合同</v>
      </c>
      <c r="R4013" s="22" t="str">
        <f>_xlfn._xlws.FILTER(辅助信息!D:D,辅助信息!E:E=B4013)</f>
        <v>乐山市校地共建产教融合基地建设项目二标段</v>
      </c>
    </row>
    <row r="4014" hidden="1" spans="2:18">
      <c r="B4014" s="129" t="s">
        <v>186</v>
      </c>
      <c r="C4014" s="63">
        <v>45929</v>
      </c>
      <c r="D4014" s="113" t="str">
        <f>VLOOKUP(B4014,辅助信息!E:K,7,FALSE)</f>
        <v>JWDDCD2025072900123</v>
      </c>
      <c r="E4014" s="113" t="str">
        <f>VLOOKUP(F4014,辅助信息!A:B,2,FALSE)</f>
        <v>螺纹钢</v>
      </c>
      <c r="F4014" s="113" t="s">
        <v>199</v>
      </c>
      <c r="G4014" s="114">
        <v>18</v>
      </c>
      <c r="H4014" s="127">
        <f>IF(SUMIFS('[1]2025年已发货'!$E:$E,'[1]2025年已发货'!$F:$F,C4014,'[1]2025年已发货'!$C:$C,F4014,'[1]2025年已发货'!$G:$G,I4014,'[1]2025年已发货'!$H:$H,J4014)=0,"未发货",SUMIFS('[1]2025年已发货'!$E:$E,'[1]2025年已发货'!$F:$F,C4014,'[1]2025年已发货'!$C:$C,F4014,'[1]2025年已发货'!$G:$G,I4014,'[1]2025年已发货'!$H:$H,J4014))</f>
        <v>18</v>
      </c>
      <c r="I4014" s="113" t="str">
        <f>VLOOKUP(B4014,辅助信息!E:I,3,FALSE)</f>
        <v>(乐山市校地共建产教融合基地建设项目二标段)四川省乐山市市中区苏稽镇</v>
      </c>
      <c r="J4014" s="113" t="str">
        <f>VLOOKUP(B4014,辅助信息!E:I,4,FALSE)</f>
        <v>彭江涛</v>
      </c>
      <c r="K4014" s="113">
        <f>VLOOKUP(J4014,辅助信息!H:I,2,FALSE)</f>
        <v>13990276572</v>
      </c>
      <c r="L4014" s="115" t="str">
        <f>VLOOKUP(B4014,辅助信息!E:J,6,FALSE)</f>
        <v>联系实际收货人（彭江涛13990276572）现场要求炉批号控制2个以下，超2个不给予签收。提前联系到场规格及数量</v>
      </c>
      <c r="M4014" s="141">
        <v>45929</v>
      </c>
      <c r="O4014" s="55">
        <f ca="1" t="shared" si="208"/>
        <v>0</v>
      </c>
      <c r="P4014" s="55">
        <f ca="1" t="shared" si="209"/>
        <v>28</v>
      </c>
      <c r="Q4014" s="22" t="str">
        <f>VLOOKUP(B4014,辅助信息!E:M,9,FALSE)</f>
        <v>ZTWM-CDGS-XS-2025-0126-四川机司-乐山市校地共建产教融合基地配套设施项目施工二标段钢筋采购合同</v>
      </c>
      <c r="R4014" s="22" t="str">
        <f>_xlfn._xlws.FILTER(辅助信息!D:D,辅助信息!E:E=B4014)</f>
        <v>乐山市校地共建产教融合基地建设项目二标段</v>
      </c>
    </row>
    <row r="4015" hidden="1" spans="2:18">
      <c r="B4015" s="129" t="s">
        <v>186</v>
      </c>
      <c r="C4015" s="63">
        <v>45929</v>
      </c>
      <c r="D4015" s="113" t="str">
        <f>VLOOKUP(B4015,辅助信息!E:K,7,FALSE)</f>
        <v>JWDDCD2025072900123</v>
      </c>
      <c r="E4015" s="113" t="str">
        <f>VLOOKUP(F4015,辅助信息!A:B,2,FALSE)</f>
        <v>螺纹钢</v>
      </c>
      <c r="F4015" s="113" t="s">
        <v>141</v>
      </c>
      <c r="G4015" s="114">
        <v>8</v>
      </c>
      <c r="H4015" s="127">
        <f>IF(SUMIFS('[1]2025年已发货'!$E:$E,'[1]2025年已发货'!$F:$F,C4015,'[1]2025年已发货'!$C:$C,F4015,'[1]2025年已发货'!$G:$G,I4015,'[1]2025年已发货'!$H:$H,J4015)=0,"未发货",SUMIFS('[1]2025年已发货'!$E:$E,'[1]2025年已发货'!$F:$F,C4015,'[1]2025年已发货'!$C:$C,F4015,'[1]2025年已发货'!$G:$G,I4015,'[1]2025年已发货'!$H:$H,J4015))</f>
        <v>8</v>
      </c>
      <c r="I4015" s="113" t="str">
        <f>VLOOKUP(B4015,辅助信息!E:I,3,FALSE)</f>
        <v>(乐山市校地共建产教融合基地建设项目二标段)四川省乐山市市中区苏稽镇</v>
      </c>
      <c r="J4015" s="113" t="str">
        <f>VLOOKUP(B4015,辅助信息!E:I,4,FALSE)</f>
        <v>彭江涛</v>
      </c>
      <c r="K4015" s="113">
        <f>VLOOKUP(J4015,辅助信息!H:I,2,FALSE)</f>
        <v>13990276572</v>
      </c>
      <c r="L4015" s="115" t="str">
        <f>VLOOKUP(B4015,辅助信息!E:J,6,FALSE)</f>
        <v>联系实际收货人（彭江涛13990276572）现场要求炉批号控制2个以下，超2个不给予签收。提前联系到场规格及数量</v>
      </c>
      <c r="M4015" s="141">
        <v>45929</v>
      </c>
      <c r="O4015" s="55">
        <f ca="1" t="shared" si="208"/>
        <v>0</v>
      </c>
      <c r="P4015" s="55">
        <f ca="1" t="shared" si="209"/>
        <v>28</v>
      </c>
      <c r="Q4015" s="22" t="str">
        <f>VLOOKUP(B4015,辅助信息!E:M,9,FALSE)</f>
        <v>ZTWM-CDGS-XS-2025-0126-四川机司-乐山市校地共建产教融合基地配套设施项目施工二标段钢筋采购合同</v>
      </c>
      <c r="R4015" s="22" t="str">
        <f>_xlfn._xlws.FILTER(辅助信息!D:D,辅助信息!E:E=B4015)</f>
        <v>乐山市校地共建产教融合基地建设项目二标段</v>
      </c>
    </row>
    <row r="4016" hidden="1" spans="2:18">
      <c r="B4016" s="129" t="s">
        <v>186</v>
      </c>
      <c r="C4016" s="63">
        <v>45929</v>
      </c>
      <c r="D4016" s="113" t="str">
        <f>VLOOKUP(B4016,辅助信息!E:K,7,FALSE)</f>
        <v>JWDDCD2025072900123</v>
      </c>
      <c r="E4016" s="113" t="str">
        <f>VLOOKUP(F4016,辅助信息!A:B,2,FALSE)</f>
        <v>螺纹钢</v>
      </c>
      <c r="F4016" s="113" t="s">
        <v>22</v>
      </c>
      <c r="G4016" s="114">
        <v>35</v>
      </c>
      <c r="H4016" s="127">
        <f>IF(SUMIFS('[1]2025年已发货'!$E:$E,'[1]2025年已发货'!$F:$F,C4016,'[1]2025年已发货'!$C:$C,F4016,'[1]2025年已发货'!$G:$G,I4016,'[1]2025年已发货'!$H:$H,J4016)=0,"未发货",SUMIFS('[1]2025年已发货'!$E:$E,'[1]2025年已发货'!$F:$F,C4016,'[1]2025年已发货'!$C:$C,F4016,'[1]2025年已发货'!$G:$G,I4016,'[1]2025年已发货'!$H:$H,J4016))</f>
        <v>35</v>
      </c>
      <c r="I4016" s="113" t="str">
        <f>VLOOKUP(B4016,辅助信息!E:I,3,FALSE)</f>
        <v>(乐山市校地共建产教融合基地建设项目二标段)四川省乐山市市中区苏稽镇</v>
      </c>
      <c r="J4016" s="113" t="str">
        <f>VLOOKUP(B4016,辅助信息!E:I,4,FALSE)</f>
        <v>彭江涛</v>
      </c>
      <c r="K4016" s="113">
        <f>VLOOKUP(J4016,辅助信息!H:I,2,FALSE)</f>
        <v>13990276572</v>
      </c>
      <c r="L4016" s="115" t="str">
        <f>VLOOKUP(B4016,辅助信息!E:J,6,FALSE)</f>
        <v>联系实际收货人（彭江涛13990276572）现场要求炉批号控制2个以下，超2个不给予签收。提前联系到场规格及数量</v>
      </c>
      <c r="M4016" s="141">
        <v>45929</v>
      </c>
      <c r="O4016" s="55">
        <f ca="1" t="shared" si="208"/>
        <v>0</v>
      </c>
      <c r="P4016" s="55">
        <f ca="1" t="shared" si="209"/>
        <v>28</v>
      </c>
      <c r="Q4016" s="22" t="str">
        <f>VLOOKUP(B4016,辅助信息!E:M,9,FALSE)</f>
        <v>ZTWM-CDGS-XS-2025-0126-四川机司-乐山市校地共建产教融合基地配套设施项目施工二标段钢筋采购合同</v>
      </c>
      <c r="R4016" s="22" t="str">
        <f>_xlfn._xlws.FILTER(辅助信息!D:D,辅助信息!E:E=B4016)</f>
        <v>乐山市校地共建产教融合基地建设项目二标段</v>
      </c>
    </row>
    <row r="4017" hidden="1" spans="2:18">
      <c r="B4017" s="129" t="s">
        <v>186</v>
      </c>
      <c r="C4017" s="63">
        <v>45929</v>
      </c>
      <c r="D4017" s="113" t="str">
        <f>VLOOKUP(B4017,辅助信息!E:K,7,FALSE)</f>
        <v>JWDDCD2025072900123</v>
      </c>
      <c r="E4017" s="113" t="str">
        <f>VLOOKUP(F4017,辅助信息!A:B,2,FALSE)</f>
        <v>螺纹钢</v>
      </c>
      <c r="F4017" s="113" t="s">
        <v>142</v>
      </c>
      <c r="G4017" s="114">
        <v>35</v>
      </c>
      <c r="H4017" s="127">
        <f>IF(SUMIFS('[1]2025年已发货'!$E:$E,'[1]2025年已发货'!$F:$F,C4017,'[1]2025年已发货'!$C:$C,F4017,'[1]2025年已发货'!$G:$G,I4017,'[1]2025年已发货'!$H:$H,J4017)=0,"未发货",SUMIFS('[1]2025年已发货'!$E:$E,'[1]2025年已发货'!$F:$F,C4017,'[1]2025年已发货'!$C:$C,F4017,'[1]2025年已发货'!$G:$G,I4017,'[1]2025年已发货'!$H:$H,J4017))</f>
        <v>35</v>
      </c>
      <c r="I4017" s="113" t="str">
        <f>VLOOKUP(B4017,辅助信息!E:I,3,FALSE)</f>
        <v>(乐山市校地共建产教融合基地建设项目二标段)四川省乐山市市中区苏稽镇</v>
      </c>
      <c r="J4017" s="113" t="str">
        <f>VLOOKUP(B4017,辅助信息!E:I,4,FALSE)</f>
        <v>彭江涛</v>
      </c>
      <c r="K4017" s="113">
        <f>VLOOKUP(J4017,辅助信息!H:I,2,FALSE)</f>
        <v>13990276572</v>
      </c>
      <c r="L4017" s="115" t="str">
        <f>VLOOKUP(B4017,辅助信息!E:J,6,FALSE)</f>
        <v>联系实际收货人（彭江涛13990276572）现场要求炉批号控制2个以下，超2个不给予签收。提前联系到场规格及数量</v>
      </c>
      <c r="M4017" s="141">
        <v>45929</v>
      </c>
      <c r="O4017" s="55">
        <f ca="1" t="shared" si="208"/>
        <v>0</v>
      </c>
      <c r="P4017" s="55">
        <f ca="1" t="shared" si="209"/>
        <v>28</v>
      </c>
      <c r="Q4017" s="22" t="str">
        <f>VLOOKUP(B4017,辅助信息!E:M,9,FALSE)</f>
        <v>ZTWM-CDGS-XS-2025-0126-四川机司-乐山市校地共建产教融合基地配套设施项目施工二标段钢筋采购合同</v>
      </c>
      <c r="R4017" s="22" t="str">
        <f>_xlfn._xlws.FILTER(辅助信息!D:D,辅助信息!E:E=B4017)</f>
        <v>乐山市校地共建产教融合基地建设项目二标段</v>
      </c>
    </row>
    <row r="4018" hidden="1" spans="2:18">
      <c r="B4018" s="129" t="s">
        <v>186</v>
      </c>
      <c r="C4018" s="63">
        <v>45929</v>
      </c>
      <c r="D4018" s="113" t="str">
        <f>VLOOKUP(B4018,辅助信息!E:K,7,FALSE)</f>
        <v>JWDDCD2025072900123</v>
      </c>
      <c r="E4018" s="113" t="str">
        <f>VLOOKUP(F4018,辅助信息!A:B,2,FALSE)</f>
        <v>螺纹钢</v>
      </c>
      <c r="F4018" s="113" t="s">
        <v>181</v>
      </c>
      <c r="G4018" s="114">
        <v>5</v>
      </c>
      <c r="H4018" s="127">
        <f>IF(SUMIFS('[1]2025年已发货'!$E:$E,'[1]2025年已发货'!$F:$F,C4018,'[1]2025年已发货'!$C:$C,F4018,'[1]2025年已发货'!$G:$G,I4018,'[1]2025年已发货'!$H:$H,J4018)=0,"未发货",SUMIFS('[1]2025年已发货'!$E:$E,'[1]2025年已发货'!$F:$F,C4018,'[1]2025年已发货'!$C:$C,F4018,'[1]2025年已发货'!$G:$G,I4018,'[1]2025年已发货'!$H:$H,J4018))</f>
        <v>5</v>
      </c>
      <c r="I4018" s="113" t="str">
        <f>VLOOKUP(B4018,辅助信息!E:I,3,FALSE)</f>
        <v>(乐山市校地共建产教融合基地建设项目二标段)四川省乐山市市中区苏稽镇</v>
      </c>
      <c r="J4018" s="113" t="str">
        <f>VLOOKUP(B4018,辅助信息!E:I,4,FALSE)</f>
        <v>彭江涛</v>
      </c>
      <c r="K4018" s="113">
        <f>VLOOKUP(J4018,辅助信息!H:I,2,FALSE)</f>
        <v>13990276572</v>
      </c>
      <c r="L4018" s="115" t="str">
        <f>VLOOKUP(B4018,辅助信息!E:J,6,FALSE)</f>
        <v>联系实际收货人（彭江涛13990276572）现场要求炉批号控制2个以下，超2个不给予签收。提前联系到场规格及数量</v>
      </c>
      <c r="M4018" s="141">
        <v>45929</v>
      </c>
      <c r="O4018" s="55">
        <f ca="1" t="shared" si="208"/>
        <v>0</v>
      </c>
      <c r="P4018" s="55">
        <f ca="1" t="shared" si="209"/>
        <v>28</v>
      </c>
      <c r="Q4018" s="22" t="str">
        <f>VLOOKUP(B4018,辅助信息!E:M,9,FALSE)</f>
        <v>ZTWM-CDGS-XS-2025-0126-四川机司-乐山市校地共建产教融合基地配套设施项目施工二标段钢筋采购合同</v>
      </c>
      <c r="R4018" s="22" t="str">
        <f>_xlfn._xlws.FILTER(辅助信息!D:D,辅助信息!E:E=B4018)</f>
        <v>乐山市校地共建产教融合基地建设项目二标段</v>
      </c>
    </row>
    <row r="4019" hidden="1" spans="2:18">
      <c r="B4019" s="129" t="s">
        <v>186</v>
      </c>
      <c r="C4019" s="63">
        <v>45929</v>
      </c>
      <c r="D4019" s="113" t="str">
        <f>VLOOKUP(B4019,辅助信息!E:K,7,FALSE)</f>
        <v>JWDDCD2025072900123</v>
      </c>
      <c r="E4019" s="113" t="str">
        <f>VLOOKUP(F4019,辅助信息!A:B,2,FALSE)</f>
        <v>螺纹钢</v>
      </c>
      <c r="F4019" s="113" t="s">
        <v>200</v>
      </c>
      <c r="G4019" s="114">
        <v>10</v>
      </c>
      <c r="H4019" s="127">
        <f>IF(SUMIFS('[1]2025年已发货'!$E:$E,'[1]2025年已发货'!$F:$F,C4019,'[1]2025年已发货'!$C:$C,F4019,'[1]2025年已发货'!$G:$G,I4019,'[1]2025年已发货'!$H:$H,J4019)=0,"未发货",SUMIFS('[1]2025年已发货'!$E:$E,'[1]2025年已发货'!$F:$F,C4019,'[1]2025年已发货'!$C:$C,F4019,'[1]2025年已发货'!$G:$G,I4019,'[1]2025年已发货'!$H:$H,J4019))</f>
        <v>11</v>
      </c>
      <c r="I4019" s="113" t="str">
        <f>VLOOKUP(B4019,辅助信息!E:I,3,FALSE)</f>
        <v>(乐山市校地共建产教融合基地建设项目二标段)四川省乐山市市中区苏稽镇</v>
      </c>
      <c r="J4019" s="113" t="str">
        <f>VLOOKUP(B4019,辅助信息!E:I,4,FALSE)</f>
        <v>彭江涛</v>
      </c>
      <c r="K4019" s="113">
        <f>VLOOKUP(J4019,辅助信息!H:I,2,FALSE)</f>
        <v>13990276572</v>
      </c>
      <c r="L4019" s="115" t="str">
        <f>VLOOKUP(B4019,辅助信息!E:J,6,FALSE)</f>
        <v>联系实际收货人（彭江涛13990276572）现场要求炉批号控制2个以下，超2个不给予签收。提前联系到场规格及数量</v>
      </c>
      <c r="M4019" s="141">
        <v>45929</v>
      </c>
      <c r="O4019" s="55">
        <f ca="1" t="shared" si="208"/>
        <v>0</v>
      </c>
      <c r="P4019" s="55">
        <f ca="1" t="shared" si="209"/>
        <v>28</v>
      </c>
      <c r="Q4019" s="22" t="str">
        <f>VLOOKUP(B4019,辅助信息!E:M,9,FALSE)</f>
        <v>ZTWM-CDGS-XS-2025-0126-四川机司-乐山市校地共建产教融合基地配套设施项目施工二标段钢筋采购合同</v>
      </c>
      <c r="R4019" s="22" t="str">
        <f>_xlfn._xlws.FILTER(辅助信息!D:D,辅助信息!E:E=B4019)</f>
        <v>乐山市校地共建产教融合基地建设项目二标段</v>
      </c>
    </row>
    <row r="4020" hidden="1" spans="2:18">
      <c r="B4020" s="129" t="s">
        <v>186</v>
      </c>
      <c r="C4020" s="63">
        <v>45929</v>
      </c>
      <c r="D4020" s="113" t="str">
        <f>VLOOKUP(B4020,辅助信息!E:K,7,FALSE)</f>
        <v>JWDDCD2025072900123</v>
      </c>
      <c r="E4020" s="113" t="str">
        <f>VLOOKUP(F4020,辅助信息!A:B,2,FALSE)</f>
        <v>盘螺</v>
      </c>
      <c r="F4020" s="113" t="s">
        <v>41</v>
      </c>
      <c r="G4020" s="114">
        <v>35</v>
      </c>
      <c r="H4020" s="127">
        <f>IF(SUMIFS('[1]2025年已发货'!$E:$E,'[1]2025年已发货'!$F:$F,C4020,'[1]2025年已发货'!$C:$C,F4020,'[1]2025年已发货'!$G:$G,I4020,'[1]2025年已发货'!$H:$H,J4020)=0,"未发货",SUMIFS('[1]2025年已发货'!$E:$E,'[1]2025年已发货'!$F:$F,C4020,'[1]2025年已发货'!$C:$C,F4020,'[1]2025年已发货'!$G:$G,I4020,'[1]2025年已发货'!$H:$H,J4020))</f>
        <v>35</v>
      </c>
      <c r="I4020" s="113" t="str">
        <f>VLOOKUP(B4020,辅助信息!E:I,3,FALSE)</f>
        <v>(乐山市校地共建产教融合基地建设项目二标段)四川省乐山市市中区苏稽镇</v>
      </c>
      <c r="J4020" s="113" t="str">
        <f>VLOOKUP(B4020,辅助信息!E:I,4,FALSE)</f>
        <v>彭江涛</v>
      </c>
      <c r="K4020" s="113">
        <f>VLOOKUP(J4020,辅助信息!H:I,2,FALSE)</f>
        <v>13990276572</v>
      </c>
      <c r="L4020" s="115" t="str">
        <f>VLOOKUP(B4020,辅助信息!E:J,6,FALSE)</f>
        <v>联系实际收货人（彭江涛13990276572）现场要求炉批号控制2个以下，超2个不给予签收。提前联系到场规格及数量</v>
      </c>
      <c r="M4020" s="141">
        <v>45929</v>
      </c>
      <c r="O4020" s="55">
        <f ca="1" t="shared" si="208"/>
        <v>0</v>
      </c>
      <c r="P4020" s="55">
        <f ca="1" t="shared" si="209"/>
        <v>28</v>
      </c>
      <c r="Q4020" s="22" t="str">
        <f>VLOOKUP(B4020,辅助信息!E:M,9,FALSE)</f>
        <v>ZTWM-CDGS-XS-2025-0126-四川机司-乐山市校地共建产教融合基地配套设施项目施工二标段钢筋采购合同</v>
      </c>
      <c r="R4020" s="22" t="str">
        <f>_xlfn._xlws.FILTER(辅助信息!D:D,辅助信息!E:E=B4020)</f>
        <v>乐山市校地共建产教融合基地建设项目二标段</v>
      </c>
    </row>
    <row r="4021" hidden="1" spans="2:18">
      <c r="B4021" s="129" t="s">
        <v>186</v>
      </c>
      <c r="C4021" s="63">
        <v>45929</v>
      </c>
      <c r="D4021" s="113" t="str">
        <f>VLOOKUP(B4021,辅助信息!E:K,7,FALSE)</f>
        <v>JWDDCD2025072900123</v>
      </c>
      <c r="E4021" s="113" t="str">
        <f>VLOOKUP(F4021,辅助信息!A:B,2,FALSE)</f>
        <v>盘螺</v>
      </c>
      <c r="F4021" s="113" t="s">
        <v>26</v>
      </c>
      <c r="G4021" s="114">
        <v>20</v>
      </c>
      <c r="H4021" s="127">
        <f>IF(SUMIFS('[1]2025年已发货'!$E:$E,'[1]2025年已发货'!$F:$F,C4021,'[1]2025年已发货'!$C:$C,F4021,'[1]2025年已发货'!$G:$G,I4021,'[1]2025年已发货'!$H:$H,J4021)=0,"未发货",SUMIFS('[1]2025年已发货'!$E:$E,'[1]2025年已发货'!$F:$F,C4021,'[1]2025年已发货'!$C:$C,F4021,'[1]2025年已发货'!$G:$G,I4021,'[1]2025年已发货'!$H:$H,J4021))</f>
        <v>20</v>
      </c>
      <c r="I4021" s="113" t="str">
        <f>VLOOKUP(B4021,辅助信息!E:I,3,FALSE)</f>
        <v>(乐山市校地共建产教融合基地建设项目二标段)四川省乐山市市中区苏稽镇</v>
      </c>
      <c r="J4021" s="113" t="str">
        <f>VLOOKUP(B4021,辅助信息!E:I,4,FALSE)</f>
        <v>彭江涛</v>
      </c>
      <c r="K4021" s="113">
        <f>VLOOKUP(J4021,辅助信息!H:I,2,FALSE)</f>
        <v>13990276572</v>
      </c>
      <c r="L4021" s="115" t="str">
        <f>VLOOKUP(B4021,辅助信息!E:J,6,FALSE)</f>
        <v>联系实际收货人（彭江涛13990276572）现场要求炉批号控制2个以下，超2个不给予签收。提前联系到场规格及数量</v>
      </c>
      <c r="M4021" s="141">
        <v>45929</v>
      </c>
      <c r="O4021" s="55">
        <f ca="1" t="shared" si="208"/>
        <v>0</v>
      </c>
      <c r="P4021" s="55">
        <f ca="1" t="shared" si="209"/>
        <v>28</v>
      </c>
      <c r="Q4021" s="22" t="str">
        <f>VLOOKUP(B4021,辅助信息!E:M,9,FALSE)</f>
        <v>ZTWM-CDGS-XS-2025-0126-四川机司-乐山市校地共建产教融合基地配套设施项目施工二标段钢筋采购合同</v>
      </c>
      <c r="R4021" s="22" t="str">
        <f>_xlfn._xlws.FILTER(辅助信息!D:D,辅助信息!E:E=B4021)</f>
        <v>乐山市校地共建产教融合基地建设项目二标段</v>
      </c>
    </row>
    <row r="4022" hidden="1" spans="2:18">
      <c r="B4022" s="129" t="s">
        <v>186</v>
      </c>
      <c r="C4022" s="63">
        <v>45929</v>
      </c>
      <c r="D4022" s="113" t="str">
        <f>VLOOKUP(B4022,辅助信息!E:K,7,FALSE)</f>
        <v>JWDDCD2025072900123</v>
      </c>
      <c r="E4022" s="113" t="str">
        <f>VLOOKUP(F4022,辅助信息!A:B,2,FALSE)</f>
        <v>盘螺</v>
      </c>
      <c r="F4022" s="113" t="s">
        <v>40</v>
      </c>
      <c r="G4022" s="114">
        <v>35</v>
      </c>
      <c r="H4022" s="127">
        <f>IF(SUMIFS('[1]2025年已发货'!$E:$E,'[1]2025年已发货'!$F:$F,C4022,'[1]2025年已发货'!$C:$C,F4022,'[1]2025年已发货'!$G:$G,I4022,'[1]2025年已发货'!$H:$H,J4022)=0,"未发货",SUMIFS('[1]2025年已发货'!$E:$E,'[1]2025年已发货'!$F:$F,C4022,'[1]2025年已发货'!$C:$C,F4022,'[1]2025年已发货'!$G:$G,I4022,'[1]2025年已发货'!$H:$H,J4022))</f>
        <v>35</v>
      </c>
      <c r="I4022" s="113" t="str">
        <f>VLOOKUP(B4022,辅助信息!E:I,3,FALSE)</f>
        <v>(乐山市校地共建产教融合基地建设项目二标段)四川省乐山市市中区苏稽镇</v>
      </c>
      <c r="J4022" s="113" t="str">
        <f>VLOOKUP(B4022,辅助信息!E:I,4,FALSE)</f>
        <v>彭江涛</v>
      </c>
      <c r="K4022" s="113">
        <f>VLOOKUP(J4022,辅助信息!H:I,2,FALSE)</f>
        <v>13990276572</v>
      </c>
      <c r="L4022" s="115" t="str">
        <f>VLOOKUP(B4022,辅助信息!E:J,6,FALSE)</f>
        <v>联系实际收货人（彭江涛13990276572）现场要求炉批号控制2个以下，超2个不给予签收。提前联系到场规格及数量</v>
      </c>
      <c r="M4022" s="141">
        <v>45929</v>
      </c>
      <c r="O4022" s="55">
        <f ca="1" t="shared" si="208"/>
        <v>0</v>
      </c>
      <c r="P4022" s="55">
        <f ca="1" t="shared" si="209"/>
        <v>28</v>
      </c>
      <c r="Q4022" s="22" t="str">
        <f>VLOOKUP(B4022,辅助信息!E:M,9,FALSE)</f>
        <v>ZTWM-CDGS-XS-2025-0126-四川机司-乐山市校地共建产教融合基地配套设施项目施工二标段钢筋采购合同</v>
      </c>
      <c r="R4022" s="22" t="str">
        <f>_xlfn._xlws.FILTER(辅助信息!D:D,辅助信息!E:E=B4022)</f>
        <v>乐山市校地共建产教融合基地建设项目二标段</v>
      </c>
    </row>
    <row r="4023" hidden="1" spans="2:18">
      <c r="B4023" s="129" t="s">
        <v>187</v>
      </c>
      <c r="C4023" s="63">
        <v>45929</v>
      </c>
      <c r="D4023" s="113" t="str">
        <f>VLOOKUP(B4023,辅助信息!E:K,7,FALSE)</f>
        <v>JWDDCD2025072900121</v>
      </c>
      <c r="E4023" s="113" t="str">
        <f>VLOOKUP(F4023,辅助信息!A:B,2,FALSE)</f>
        <v>螺纹钢</v>
      </c>
      <c r="F4023" s="113" t="s">
        <v>22</v>
      </c>
      <c r="G4023" s="114">
        <v>7</v>
      </c>
      <c r="H4023" s="127">
        <f>IF(SUMIFS('[1]2025年已发货'!$E:$E,'[1]2025年已发货'!$F:$F,C4023,'[1]2025年已发货'!$C:$C,F4023,'[1]2025年已发货'!$G:$G,I4023,'[1]2025年已发货'!$H:$H,J4023)=0,"未发货",SUMIFS('[1]2025年已发货'!$E:$E,'[1]2025年已发货'!$F:$F,C4023,'[1]2025年已发货'!$C:$C,F4023,'[1]2025年已发货'!$G:$G,I4023,'[1]2025年已发货'!$H:$H,J4023))</f>
        <v>25</v>
      </c>
      <c r="I4023" s="113" t="str">
        <f>VLOOKUP(B4023,辅助信息!E:I,3,FALSE)</f>
        <v>(乐山市校地共建产教融合基地建设项目一标段)四川省乐山市市中区苏稽镇周山嘴</v>
      </c>
      <c r="J4023" s="113" t="str">
        <f>VLOOKUP(B4023,辅助信息!E:I,4,FALSE)</f>
        <v>范增云</v>
      </c>
      <c r="K4023" s="113">
        <f>VLOOKUP(J4023,辅助信息!H:I,2,FALSE)</f>
        <v>13668153241</v>
      </c>
      <c r="L4023" s="115" t="str">
        <f>VLOOKUP(B4023,辅助信息!E:J,6,FALSE)</f>
        <v>联系实际收货人（范增云13668153241）现场要求炉批号控制2个以下，超2个不给予签收。提前联系到场规格及数量</v>
      </c>
      <c r="M4023" s="141">
        <v>45929</v>
      </c>
      <c r="O4023" s="55">
        <f ca="1" t="shared" si="208"/>
        <v>0</v>
      </c>
      <c r="P4023" s="55">
        <f ca="1" t="shared" si="209"/>
        <v>28</v>
      </c>
      <c r="Q4023" s="22" t="str">
        <f>VLOOKUP(B4023,辅助信息!E:M,9,FALSE)</f>
        <v>ZTWM-CDGS-XS-2025-0125-四川机司-乐山市校地共建产教融合基地配套设施项目施工一标段钢筋采购合同</v>
      </c>
      <c r="R4023" s="22" t="str">
        <f>_xlfn._xlws.FILTER(辅助信息!D:D,辅助信息!E:E=B4023)</f>
        <v>乐山市校地共建产教融合基地建设项目一标段</v>
      </c>
    </row>
    <row r="4024" hidden="1" spans="2:18">
      <c r="B4024" s="129" t="s">
        <v>187</v>
      </c>
      <c r="C4024" s="63">
        <v>45929</v>
      </c>
      <c r="D4024" s="113" t="str">
        <f>VLOOKUP(B4024,辅助信息!E:K,7,FALSE)</f>
        <v>JWDDCD2025072900121</v>
      </c>
      <c r="E4024" s="113" t="str">
        <f>VLOOKUP(F4024,辅助信息!A:B,2,FALSE)</f>
        <v>盘螺</v>
      </c>
      <c r="F4024" s="113" t="s">
        <v>41</v>
      </c>
      <c r="G4024" s="114">
        <v>20</v>
      </c>
      <c r="H4024" s="127">
        <f>IF(SUMIFS('[1]2025年已发货'!$E:$E,'[1]2025年已发货'!$F:$F,C4024,'[1]2025年已发货'!$C:$C,F4024,'[1]2025年已发货'!$G:$G,I4024,'[1]2025年已发货'!$H:$H,J4024)=0,"未发货",SUMIFS('[1]2025年已发货'!$E:$E,'[1]2025年已发货'!$F:$F,C4024,'[1]2025年已发货'!$C:$C,F4024,'[1]2025年已发货'!$G:$G,I4024,'[1]2025年已发货'!$H:$H,J4024))</f>
        <v>20</v>
      </c>
      <c r="I4024" s="113" t="str">
        <f>VLOOKUP(B4024,辅助信息!E:I,3,FALSE)</f>
        <v>(乐山市校地共建产教融合基地建设项目一标段)四川省乐山市市中区苏稽镇周山嘴</v>
      </c>
      <c r="J4024" s="113" t="str">
        <f>VLOOKUP(B4024,辅助信息!E:I,4,FALSE)</f>
        <v>范增云</v>
      </c>
      <c r="K4024" s="113">
        <f>VLOOKUP(J4024,辅助信息!H:I,2,FALSE)</f>
        <v>13668153241</v>
      </c>
      <c r="L4024" s="115" t="str">
        <f>VLOOKUP(B4024,辅助信息!E:J,6,FALSE)</f>
        <v>联系实际收货人（范增云13668153241）现场要求炉批号控制2个以下，超2个不给予签收。提前联系到场规格及数量</v>
      </c>
      <c r="M4024" s="141">
        <v>45929</v>
      </c>
      <c r="O4024" s="55">
        <f ca="1" t="shared" si="208"/>
        <v>0</v>
      </c>
      <c r="P4024" s="55">
        <f ca="1" t="shared" si="209"/>
        <v>28</v>
      </c>
      <c r="Q4024" s="22" t="str">
        <f>VLOOKUP(B4024,辅助信息!E:M,9,FALSE)</f>
        <v>ZTWM-CDGS-XS-2025-0125-四川机司-乐山市校地共建产教融合基地配套设施项目施工一标段钢筋采购合同</v>
      </c>
      <c r="R4024" s="22" t="str">
        <f>_xlfn._xlws.FILTER(辅助信息!D:D,辅助信息!E:E=B4024)</f>
        <v>乐山市校地共建产教融合基地建设项目一标段</v>
      </c>
    </row>
    <row r="4025" hidden="1" spans="2:18">
      <c r="B4025" s="129" t="s">
        <v>187</v>
      </c>
      <c r="C4025" s="63">
        <v>45929</v>
      </c>
      <c r="D4025" s="113" t="str">
        <f>VLOOKUP(B4025,辅助信息!E:K,7,FALSE)</f>
        <v>JWDDCD2025072900121</v>
      </c>
      <c r="E4025" s="113" t="str">
        <f>VLOOKUP(F4025,辅助信息!A:B,2,FALSE)</f>
        <v>盘螺</v>
      </c>
      <c r="F4025" s="113" t="s">
        <v>26</v>
      </c>
      <c r="G4025" s="114">
        <v>20</v>
      </c>
      <c r="H4025" s="127">
        <f>IF(SUMIFS('[1]2025年已发货'!$E:$E,'[1]2025年已发货'!$F:$F,C4025,'[1]2025年已发货'!$C:$C,F4025,'[1]2025年已发货'!$G:$G,I4025,'[1]2025年已发货'!$H:$H,J4025)=0,"未发货",SUMIFS('[1]2025年已发货'!$E:$E,'[1]2025年已发货'!$F:$F,C4025,'[1]2025年已发货'!$C:$C,F4025,'[1]2025年已发货'!$G:$G,I4025,'[1]2025年已发货'!$H:$H,J4025))</f>
        <v>20</v>
      </c>
      <c r="I4025" s="113" t="str">
        <f>VLOOKUP(B4025,辅助信息!E:I,3,FALSE)</f>
        <v>(乐山市校地共建产教融合基地建设项目一标段)四川省乐山市市中区苏稽镇周山嘴</v>
      </c>
      <c r="J4025" s="113" t="str">
        <f>VLOOKUP(B4025,辅助信息!E:I,4,FALSE)</f>
        <v>范增云</v>
      </c>
      <c r="K4025" s="113">
        <f>VLOOKUP(J4025,辅助信息!H:I,2,FALSE)</f>
        <v>13668153241</v>
      </c>
      <c r="L4025" s="115" t="str">
        <f>VLOOKUP(B4025,辅助信息!E:J,6,FALSE)</f>
        <v>联系实际收货人（范增云13668153241）现场要求炉批号控制2个以下，超2个不给予签收。提前联系到场规格及数量</v>
      </c>
      <c r="M4025" s="141">
        <v>45929</v>
      </c>
      <c r="O4025" s="55">
        <f ca="1" t="shared" si="208"/>
        <v>0</v>
      </c>
      <c r="P4025" s="55">
        <f ca="1" t="shared" si="209"/>
        <v>28</v>
      </c>
      <c r="Q4025" s="22" t="str">
        <f>VLOOKUP(B4025,辅助信息!E:M,9,FALSE)</f>
        <v>ZTWM-CDGS-XS-2025-0125-四川机司-乐山市校地共建产教融合基地配套设施项目施工一标段钢筋采购合同</v>
      </c>
      <c r="R4025" s="22" t="str">
        <f>_xlfn._xlws.FILTER(辅助信息!D:D,辅助信息!E:E=B4025)</f>
        <v>乐山市校地共建产教融合基地建设项目一标段</v>
      </c>
    </row>
    <row r="4026" hidden="1" spans="2:18">
      <c r="B4026" s="129" t="s">
        <v>187</v>
      </c>
      <c r="C4026" s="63">
        <v>45929</v>
      </c>
      <c r="D4026" s="113" t="str">
        <f>VLOOKUP(B4026,辅助信息!E:K,7,FALSE)</f>
        <v>JWDDCD2025072900121</v>
      </c>
      <c r="E4026" s="113" t="str">
        <f>VLOOKUP(F4026,辅助信息!A:B,2,FALSE)</f>
        <v>盘螺</v>
      </c>
      <c r="F4026" s="113" t="s">
        <v>49</v>
      </c>
      <c r="G4026" s="114">
        <v>10</v>
      </c>
      <c r="H4026" s="127">
        <f>IF(SUMIFS('[1]2025年已发货'!$E:$E,'[1]2025年已发货'!$F:$F,C4026,'[1]2025年已发货'!$C:$C,F4026,'[1]2025年已发货'!$G:$G,I4026,'[1]2025年已发货'!$H:$H,J4026)=0,"未发货",SUMIFS('[1]2025年已发货'!$E:$E,'[1]2025年已发货'!$F:$F,C4026,'[1]2025年已发货'!$C:$C,F4026,'[1]2025年已发货'!$G:$G,I4026,'[1]2025年已发货'!$H:$H,J4026))</f>
        <v>10</v>
      </c>
      <c r="I4026" s="113" t="str">
        <f>VLOOKUP(B4026,辅助信息!E:I,3,FALSE)</f>
        <v>(乐山市校地共建产教融合基地建设项目一标段)四川省乐山市市中区苏稽镇周山嘴</v>
      </c>
      <c r="J4026" s="113" t="str">
        <f>VLOOKUP(B4026,辅助信息!E:I,4,FALSE)</f>
        <v>范增云</v>
      </c>
      <c r="K4026" s="113">
        <f>VLOOKUP(J4026,辅助信息!H:I,2,FALSE)</f>
        <v>13668153241</v>
      </c>
      <c r="L4026" s="115" t="str">
        <f>VLOOKUP(B4026,辅助信息!E:J,6,FALSE)</f>
        <v>联系实际收货人（范增云13668153241）现场要求炉批号控制2个以下，超2个不给予签收。提前联系到场规格及数量</v>
      </c>
      <c r="M4026" s="141">
        <v>45929</v>
      </c>
      <c r="O4026" s="55">
        <f ca="1" t="shared" si="208"/>
        <v>0</v>
      </c>
      <c r="P4026" s="55">
        <f ca="1" t="shared" si="209"/>
        <v>28</v>
      </c>
      <c r="Q4026" s="22" t="str">
        <f>VLOOKUP(B4026,辅助信息!E:M,9,FALSE)</f>
        <v>ZTWM-CDGS-XS-2025-0125-四川机司-乐山市校地共建产教融合基地配套设施项目施工一标段钢筋采购合同</v>
      </c>
      <c r="R4026" s="22" t="str">
        <f>_xlfn._xlws.FILTER(辅助信息!D:D,辅助信息!E:E=B4026)</f>
        <v>乐山市校地共建产教融合基地建设项目一标段</v>
      </c>
    </row>
    <row r="4027" hidden="1" spans="2:18">
      <c r="B4027" s="129" t="s">
        <v>187</v>
      </c>
      <c r="C4027" s="63">
        <v>45929</v>
      </c>
      <c r="D4027" s="113" t="str">
        <f>VLOOKUP(B4027,辅助信息!E:K,7,FALSE)</f>
        <v>JWDDCD2025072900121</v>
      </c>
      <c r="E4027" s="113" t="str">
        <f>VLOOKUP(F4027,辅助信息!A:B,2,FALSE)</f>
        <v>盘螺</v>
      </c>
      <c r="F4027" s="113" t="s">
        <v>40</v>
      </c>
      <c r="G4027" s="114">
        <v>25</v>
      </c>
      <c r="H4027" s="127">
        <f>IF(SUMIFS('[1]2025年已发货'!$E:$E,'[1]2025年已发货'!$F:$F,C4027,'[1]2025年已发货'!$C:$C,F4027,'[1]2025年已发货'!$G:$G,I4027,'[1]2025年已发货'!$H:$H,J4027)=0,"未发货",SUMIFS('[1]2025年已发货'!$E:$E,'[1]2025年已发货'!$F:$F,C4027,'[1]2025年已发货'!$C:$C,F4027,'[1]2025年已发货'!$G:$G,I4027,'[1]2025年已发货'!$H:$H,J4027))</f>
        <v>25</v>
      </c>
      <c r="I4027" s="113" t="str">
        <f>VLOOKUP(B4027,辅助信息!E:I,3,FALSE)</f>
        <v>(乐山市校地共建产教融合基地建设项目一标段)四川省乐山市市中区苏稽镇周山嘴</v>
      </c>
      <c r="J4027" s="113" t="str">
        <f>VLOOKUP(B4027,辅助信息!E:I,4,FALSE)</f>
        <v>范增云</v>
      </c>
      <c r="K4027" s="113">
        <f>VLOOKUP(J4027,辅助信息!H:I,2,FALSE)</f>
        <v>13668153241</v>
      </c>
      <c r="L4027" s="115" t="str">
        <f>VLOOKUP(B4027,辅助信息!E:J,6,FALSE)</f>
        <v>联系实际收货人（范增云13668153241）现场要求炉批号控制2个以下，超2个不给予签收。提前联系到场规格及数量</v>
      </c>
      <c r="M4027" s="141">
        <v>45929</v>
      </c>
      <c r="O4027" s="55">
        <f ca="1" t="shared" si="208"/>
        <v>0</v>
      </c>
      <c r="P4027" s="55">
        <f ca="1" t="shared" si="209"/>
        <v>28</v>
      </c>
      <c r="Q4027" s="22" t="str">
        <f>VLOOKUP(B4027,辅助信息!E:M,9,FALSE)</f>
        <v>ZTWM-CDGS-XS-2025-0125-四川机司-乐山市校地共建产教融合基地配套设施项目施工一标段钢筋采购合同</v>
      </c>
      <c r="R4027" s="22" t="str">
        <f>_xlfn._xlws.FILTER(辅助信息!D:D,辅助信息!E:E=B4027)</f>
        <v>乐山市校地共建产教融合基地建设项目一标段</v>
      </c>
    </row>
    <row r="4028" hidden="1" spans="2:18">
      <c r="B4028" s="129" t="s">
        <v>179</v>
      </c>
      <c r="C4028" s="63">
        <v>45929</v>
      </c>
      <c r="D4028" s="113" t="str">
        <f>VLOOKUP(B4028,辅助信息!E:K,7,FALSE)</f>
        <v>JWDDCD2025052800131</v>
      </c>
      <c r="E4028" s="113" t="str">
        <f>VLOOKUP(F4028,辅助信息!A:B,2,FALSE)</f>
        <v>螺纹钢</v>
      </c>
      <c r="F4028" s="113" t="s">
        <v>66</v>
      </c>
      <c r="G4028" s="114">
        <v>6</v>
      </c>
      <c r="H4028" s="127"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13" t="str">
        <f>VLOOKUP(B4028,辅助信息!E:I,3,FALSE)</f>
        <v>（商投建工达州中医药科技园-4工区-3号楼）达州市通川区达州中医药职业学院犀牛大道北段</v>
      </c>
      <c r="J4028" s="113" t="str">
        <f>VLOOKUP(B4028,辅助信息!E:I,4,FALSE)</f>
        <v>张扬</v>
      </c>
      <c r="K4028" s="113">
        <f>VLOOKUP(J4028,辅助信息!H:I,2,FALSE)</f>
        <v>18381904567</v>
      </c>
      <c r="L4028" s="115" t="str">
        <f>VLOOKUP(B4028,辅助信息!E:J,6,FALSE)</f>
        <v>控制炉批号！多了现场不收！,优先安排达钢,提前联系到场规格及数量</v>
      </c>
      <c r="M4028" s="141">
        <v>45929</v>
      </c>
      <c r="O4028" s="55">
        <f ca="1" t="shared" si="208"/>
        <v>0</v>
      </c>
      <c r="P4028" s="55">
        <f ca="1" t="shared" si="209"/>
        <v>28</v>
      </c>
      <c r="Q4028" s="22" t="str">
        <f>VLOOKUP(B4028,辅助信息!E:M,9,FALSE)</f>
        <v>ZTWM-CDGS-XS-2024-0134-商投建工达州中医药科技成果示范园项目</v>
      </c>
      <c r="R4028" s="22" t="str">
        <f>_xlfn._xlws.FILTER(辅助信息!D:D,辅助信息!E:E=B4028)</f>
        <v>商投建工达州中医药科技园</v>
      </c>
    </row>
    <row r="4029" hidden="1" spans="2:18">
      <c r="B4029" s="129" t="s">
        <v>179</v>
      </c>
      <c r="C4029" s="63">
        <v>45929</v>
      </c>
      <c r="D4029" s="113" t="str">
        <f>VLOOKUP(B4029,辅助信息!E:K,7,FALSE)</f>
        <v>JWDDCD2025052800131</v>
      </c>
      <c r="E4029" s="113" t="str">
        <f>VLOOKUP(F4029,辅助信息!A:B,2,FALSE)</f>
        <v>螺纹钢</v>
      </c>
      <c r="F4029" s="113" t="s">
        <v>21</v>
      </c>
      <c r="G4029" s="114">
        <v>6</v>
      </c>
      <c r="H4029" s="127"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13" t="str">
        <f>VLOOKUP(B4029,辅助信息!E:I,3,FALSE)</f>
        <v>（商投建工达州中医药科技园-4工区-3号楼）达州市通川区达州中医药职业学院犀牛大道北段</v>
      </c>
      <c r="J4029" s="113" t="str">
        <f>VLOOKUP(B4029,辅助信息!E:I,4,FALSE)</f>
        <v>张扬</v>
      </c>
      <c r="K4029" s="113">
        <f>VLOOKUP(J4029,辅助信息!H:I,2,FALSE)</f>
        <v>18381904567</v>
      </c>
      <c r="L4029" s="115" t="str">
        <f>VLOOKUP(B4029,辅助信息!E:J,6,FALSE)</f>
        <v>控制炉批号！多了现场不收！,优先安排达钢,提前联系到场规格及数量</v>
      </c>
      <c r="M4029" s="141">
        <v>45929</v>
      </c>
      <c r="O4029" s="55">
        <f ca="1" t="shared" si="208"/>
        <v>0</v>
      </c>
      <c r="P4029" s="55">
        <f ca="1" t="shared" si="209"/>
        <v>28</v>
      </c>
      <c r="Q4029" s="22" t="str">
        <f>VLOOKUP(B4029,辅助信息!E:M,9,FALSE)</f>
        <v>ZTWM-CDGS-XS-2024-0134-商投建工达州中医药科技成果示范园项目</v>
      </c>
      <c r="R4029" s="22" t="str">
        <f>_xlfn._xlws.FILTER(辅助信息!D:D,辅助信息!E:E=B4029)</f>
        <v>商投建工达州中医药科技园</v>
      </c>
    </row>
    <row r="4030" hidden="1" spans="2:18">
      <c r="B4030" s="129" t="s">
        <v>179</v>
      </c>
      <c r="C4030" s="63">
        <v>45929</v>
      </c>
      <c r="D4030" s="113" t="str">
        <f>VLOOKUP(B4030,辅助信息!E:K,7,FALSE)</f>
        <v>JWDDCD2025052800131</v>
      </c>
      <c r="E4030" s="113" t="str">
        <f>VLOOKUP(F4030,辅助信息!A:B,2,FALSE)</f>
        <v>螺纹钢</v>
      </c>
      <c r="F4030" s="113" t="s">
        <v>58</v>
      </c>
      <c r="G4030" s="114">
        <v>15</v>
      </c>
      <c r="H4030" s="127"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13" t="str">
        <f>VLOOKUP(B4030,辅助信息!E:I,3,FALSE)</f>
        <v>（商投建工达州中医药科技园-4工区-3号楼）达州市通川区达州中医药职业学院犀牛大道北段</v>
      </c>
      <c r="J4030" s="113" t="str">
        <f>VLOOKUP(B4030,辅助信息!E:I,4,FALSE)</f>
        <v>张扬</v>
      </c>
      <c r="K4030" s="113">
        <f>VLOOKUP(J4030,辅助信息!H:I,2,FALSE)</f>
        <v>18381904567</v>
      </c>
      <c r="L4030" s="115" t="str">
        <f>VLOOKUP(B4030,辅助信息!E:J,6,FALSE)</f>
        <v>控制炉批号！多了现场不收！,优先安排达钢,提前联系到场规格及数量</v>
      </c>
      <c r="M4030" s="141">
        <v>45929</v>
      </c>
      <c r="O4030" s="55">
        <f ca="1" t="shared" si="208"/>
        <v>0</v>
      </c>
      <c r="P4030" s="55">
        <f ca="1" t="shared" si="209"/>
        <v>28</v>
      </c>
      <c r="Q4030" s="22" t="str">
        <f>VLOOKUP(B4030,辅助信息!E:M,9,FALSE)</f>
        <v>ZTWM-CDGS-XS-2024-0134-商投建工达州中医药科技成果示范园项目</v>
      </c>
      <c r="R4030" s="22" t="str">
        <f>_xlfn._xlws.FILTER(辅助信息!D:D,辅助信息!E:E=B4030)</f>
        <v>商投建工达州中医药科技园</v>
      </c>
    </row>
    <row r="4031" hidden="1" spans="2:18">
      <c r="B4031" s="129" t="s">
        <v>179</v>
      </c>
      <c r="C4031" s="63">
        <v>45929</v>
      </c>
      <c r="D4031" s="113" t="str">
        <f>VLOOKUP(B4031,辅助信息!E:K,7,FALSE)</f>
        <v>JWDDCD2025052800131</v>
      </c>
      <c r="E4031" s="113" t="str">
        <f>VLOOKUP(F4031,辅助信息!A:B,2,FALSE)</f>
        <v>螺纹钢</v>
      </c>
      <c r="F4031" s="113" t="s">
        <v>46</v>
      </c>
      <c r="G4031" s="114">
        <v>10</v>
      </c>
      <c r="H4031" s="127"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13" t="str">
        <f>VLOOKUP(B4031,辅助信息!E:I,3,FALSE)</f>
        <v>（商投建工达州中医药科技园-4工区-3号楼）达州市通川区达州中医药职业学院犀牛大道北段</v>
      </c>
      <c r="J4031" s="113" t="str">
        <f>VLOOKUP(B4031,辅助信息!E:I,4,FALSE)</f>
        <v>张扬</v>
      </c>
      <c r="K4031" s="113">
        <f>VLOOKUP(J4031,辅助信息!H:I,2,FALSE)</f>
        <v>18381904567</v>
      </c>
      <c r="L4031" s="115" t="str">
        <f>VLOOKUP(B4031,辅助信息!E:J,6,FALSE)</f>
        <v>控制炉批号！多了现场不收！,优先安排达钢,提前联系到场规格及数量</v>
      </c>
      <c r="M4031" s="141">
        <v>45928</v>
      </c>
      <c r="O4031" s="55">
        <f ca="1" t="shared" si="208"/>
        <v>0</v>
      </c>
      <c r="P4031" s="55">
        <f ca="1" t="shared" si="209"/>
        <v>29</v>
      </c>
      <c r="Q4031" s="22" t="str">
        <f>VLOOKUP(B4031,辅助信息!E:M,9,FALSE)</f>
        <v>ZTWM-CDGS-XS-2024-0134-商投建工达州中医药科技成果示范园项目</v>
      </c>
      <c r="R4031" s="22" t="str">
        <f>_xlfn._xlws.FILTER(辅助信息!D:D,辅助信息!E:E=B4031)</f>
        <v>商投建工达州中医药科技园</v>
      </c>
    </row>
    <row r="4032" hidden="1" spans="2:18">
      <c r="B4032" s="129" t="s">
        <v>179</v>
      </c>
      <c r="C4032" s="63">
        <v>45929</v>
      </c>
      <c r="D4032" s="113" t="str">
        <f>VLOOKUP(B4032,辅助信息!E:K,7,FALSE)</f>
        <v>JWDDCD2025052800131</v>
      </c>
      <c r="E4032" s="113" t="str">
        <f>VLOOKUP(F4032,辅助信息!A:B,2,FALSE)</f>
        <v>盘螺</v>
      </c>
      <c r="F4032" s="113" t="s">
        <v>41</v>
      </c>
      <c r="G4032" s="114">
        <v>9</v>
      </c>
      <c r="H4032" s="127"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13" t="str">
        <f>VLOOKUP(B4032,辅助信息!E:I,3,FALSE)</f>
        <v>（商投建工达州中医药科技园-4工区-3号楼）达州市通川区达州中医药职业学院犀牛大道北段</v>
      </c>
      <c r="J4032" s="113" t="str">
        <f>VLOOKUP(B4032,辅助信息!E:I,4,FALSE)</f>
        <v>张扬</v>
      </c>
      <c r="K4032" s="113">
        <f>VLOOKUP(J4032,辅助信息!H:I,2,FALSE)</f>
        <v>18381904567</v>
      </c>
      <c r="L4032" s="115" t="str">
        <f>VLOOKUP(B4032,辅助信息!E:J,6,FALSE)</f>
        <v>控制炉批号！多了现场不收！,优先安排达钢,提前联系到场规格及数量</v>
      </c>
      <c r="M4032" s="141">
        <v>45928</v>
      </c>
      <c r="O4032" s="55">
        <f ca="1" t="shared" si="208"/>
        <v>0</v>
      </c>
      <c r="P4032" s="55">
        <f ca="1" t="shared" si="209"/>
        <v>29</v>
      </c>
      <c r="Q4032" s="22" t="str">
        <f>VLOOKUP(B4032,辅助信息!E:M,9,FALSE)</f>
        <v>ZTWM-CDGS-XS-2024-0134-商投建工达州中医药科技成果示范园项目</v>
      </c>
      <c r="R4032" s="22" t="str">
        <f>_xlfn._xlws.FILTER(辅助信息!D:D,辅助信息!E:E=B4032)</f>
        <v>商投建工达州中医药科技园</v>
      </c>
    </row>
    <row r="4033" hidden="1" spans="2:18">
      <c r="B4033" s="129" t="s">
        <v>179</v>
      </c>
      <c r="C4033" s="63">
        <v>45929</v>
      </c>
      <c r="D4033" s="113" t="str">
        <f>VLOOKUP(B4033,辅助信息!E:K,7,FALSE)</f>
        <v>JWDDCD2025052800131</v>
      </c>
      <c r="E4033" s="113" t="str">
        <f>VLOOKUP(F4033,辅助信息!A:B,2,FALSE)</f>
        <v>盘螺</v>
      </c>
      <c r="F4033" s="113" t="s">
        <v>49</v>
      </c>
      <c r="G4033" s="114">
        <v>6</v>
      </c>
      <c r="H4033" s="127"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13" t="str">
        <f>VLOOKUP(B4033,辅助信息!E:I,3,FALSE)</f>
        <v>（商投建工达州中医药科技园-4工区-3号楼）达州市通川区达州中医药职业学院犀牛大道北段</v>
      </c>
      <c r="J4033" s="113" t="str">
        <f>VLOOKUP(B4033,辅助信息!E:I,4,FALSE)</f>
        <v>张扬</v>
      </c>
      <c r="K4033" s="113">
        <f>VLOOKUP(J4033,辅助信息!H:I,2,FALSE)</f>
        <v>18381904567</v>
      </c>
      <c r="L4033" s="115" t="str">
        <f>VLOOKUP(B4033,辅助信息!E:J,6,FALSE)</f>
        <v>控制炉批号！多了现场不收！,优先安排达钢,提前联系到场规格及数量</v>
      </c>
      <c r="M4033" s="141">
        <v>45929</v>
      </c>
      <c r="O4033" s="55">
        <f ca="1" t="shared" si="208"/>
        <v>0</v>
      </c>
      <c r="P4033" s="55">
        <f ca="1" t="shared" si="209"/>
        <v>28</v>
      </c>
      <c r="Q4033" s="22" t="str">
        <f>VLOOKUP(B4033,辅助信息!E:M,9,FALSE)</f>
        <v>ZTWM-CDGS-XS-2024-0134-商投建工达州中医药科技成果示范园项目</v>
      </c>
      <c r="R4033" s="22" t="str">
        <f>_xlfn._xlws.FILTER(辅助信息!D:D,辅助信息!E:E=B4033)</f>
        <v>商投建工达州中医药科技园</v>
      </c>
    </row>
    <row r="4034" hidden="1" spans="2:18">
      <c r="B4034" s="129" t="s">
        <v>179</v>
      </c>
      <c r="C4034" s="63">
        <v>45929</v>
      </c>
      <c r="D4034" s="113" t="str">
        <f>VLOOKUP(B4034,辅助信息!E:K,7,FALSE)</f>
        <v>JWDDCD2025052800131</v>
      </c>
      <c r="E4034" s="113" t="str">
        <f>VLOOKUP(F4034,辅助信息!A:B,2,FALSE)</f>
        <v>盘螺</v>
      </c>
      <c r="F4034" s="113" t="s">
        <v>40</v>
      </c>
      <c r="G4034" s="114">
        <v>21</v>
      </c>
      <c r="H4034" s="127"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13" t="str">
        <f>VLOOKUP(B4034,辅助信息!E:I,3,FALSE)</f>
        <v>（商投建工达州中医药科技园-4工区-3号楼）达州市通川区达州中医药职业学院犀牛大道北段</v>
      </c>
      <c r="J4034" s="113" t="str">
        <f>VLOOKUP(B4034,辅助信息!E:I,4,FALSE)</f>
        <v>张扬</v>
      </c>
      <c r="K4034" s="113">
        <f>VLOOKUP(J4034,辅助信息!H:I,2,FALSE)</f>
        <v>18381904567</v>
      </c>
      <c r="L4034" s="115" t="str">
        <f>VLOOKUP(B4034,辅助信息!E:J,6,FALSE)</f>
        <v>控制炉批号！多了现场不收！,优先安排达钢,提前联系到场规格及数量</v>
      </c>
      <c r="M4034" s="141">
        <v>45929</v>
      </c>
      <c r="O4034" s="55">
        <f ca="1" t="shared" si="208"/>
        <v>0</v>
      </c>
      <c r="P4034" s="55">
        <f ca="1" t="shared" si="209"/>
        <v>28</v>
      </c>
      <c r="Q4034" s="22" t="str">
        <f>VLOOKUP(B4034,辅助信息!E:M,9,FALSE)</f>
        <v>ZTWM-CDGS-XS-2024-0134-商投建工达州中医药科技成果示范园项目</v>
      </c>
      <c r="R4034" s="22" t="str">
        <f>_xlfn._xlws.FILTER(辅助信息!D:D,辅助信息!E:E=B4034)</f>
        <v>商投建工达州中医药科技园</v>
      </c>
    </row>
    <row r="4035" hidden="1" spans="2:18">
      <c r="B4035" s="129" t="s">
        <v>226</v>
      </c>
      <c r="C4035" s="63">
        <v>45929</v>
      </c>
      <c r="D4035" s="113" t="str">
        <f>VLOOKUP(B4035,辅助信息!E:K,7,FALSE)</f>
        <v>JWDDCD2025092400211</v>
      </c>
      <c r="E4035" s="113" t="str">
        <f>VLOOKUP(F4035,辅助信息!A:B,2,FALSE)</f>
        <v>螺纹钢</v>
      </c>
      <c r="F4035" s="113" t="s">
        <v>46</v>
      </c>
      <c r="G4035" s="114">
        <f>32-15</f>
        <v>17</v>
      </c>
      <c r="H4035" s="127">
        <f>IF(SUMIFS('[1]2025年已发货'!$E:$E,'[1]2025年已发货'!$F:$F,C4035,'[1]2025年已发货'!$C:$C,F4035,'[1]2025年已发货'!$G:$G,I4035,'[1]2025年已发货'!$H:$H,J4035)=0,"未发货",SUMIFS('[1]2025年已发货'!$E:$E,'[1]2025年已发货'!$F:$F,C4035,'[1]2025年已发货'!$C:$C,F4035,'[1]2025年已发货'!$G:$G,I4035,'[1]2025年已发货'!$H:$H,J4035))</f>
        <v>17</v>
      </c>
      <c r="I4035" s="113" t="str">
        <f>VLOOKUP(B4035,辅助信息!E:I,3,FALSE)</f>
        <v>(五冶钢构龙泉东洪片区85亩住宅、商业及配套工程项目二标段)成都市龙泉驿外东洪路地铁2号线惠王陵地铁C口</v>
      </c>
      <c r="J4035" s="113" t="str">
        <f>VLOOKUP(B4035,辅助信息!E:I,4,FALSE)</f>
        <v>李渊</v>
      </c>
      <c r="K4035" s="113">
        <f>VLOOKUP(J4035,辅助信息!H:I,2,FALSE)</f>
        <v>18381013849</v>
      </c>
      <c r="L4035" s="115">
        <f>VLOOKUP(B4035,辅助信息!E:J,6,FALSE)</f>
        <v>0</v>
      </c>
      <c r="M4035" s="141">
        <v>45929</v>
      </c>
      <c r="O4035" s="55">
        <f ca="1" t="shared" si="208"/>
        <v>0</v>
      </c>
      <c r="P4035" s="55">
        <f ca="1" t="shared" si="209"/>
        <v>28</v>
      </c>
      <c r="Q4035" s="22" t="str">
        <f>VLOOKUP(B4035,辅助信息!E:M,9,FALSE)</f>
        <v>ZTWM-CDGS-XS-2025-0156-五冶钢构-2025年九月第一批次钢筋采购合同(三圣乡项目)-中铁物贸成都公司</v>
      </c>
      <c r="R4035" s="22" t="str">
        <f>_xlfn._xlws.FILTER(辅助信息!D:D,辅助信息!E:E=B4035)</f>
        <v>五冶钢构龙泉东洪片区85亩住宅、商业及配套工程项目二标段</v>
      </c>
    </row>
    <row r="4036" hidden="1" spans="2:18">
      <c r="B4036" s="129" t="s">
        <v>226</v>
      </c>
      <c r="C4036" s="63">
        <v>45929</v>
      </c>
      <c r="D4036" s="113" t="str">
        <f>VLOOKUP(B4036,辅助信息!E:K,7,FALSE)</f>
        <v>JWDDCD2025092400211</v>
      </c>
      <c r="E4036" s="113" t="str">
        <f>VLOOKUP(F4036,辅助信息!A:B,2,FALSE)</f>
        <v>盘螺</v>
      </c>
      <c r="F4036" s="113" t="s">
        <v>40</v>
      </c>
      <c r="G4036" s="114">
        <f>123-105</f>
        <v>18</v>
      </c>
      <c r="H4036" s="127">
        <f>IF(SUMIFS('[1]2025年已发货'!$E:$E,'[1]2025年已发货'!$F:$F,C4036,'[1]2025年已发货'!$C:$C,F4036,'[1]2025年已发货'!$G:$G,I4036,'[1]2025年已发货'!$H:$H,J4036)=0,"未发货",SUMIFS('[1]2025年已发货'!$E:$E,'[1]2025年已发货'!$F:$F,C4036,'[1]2025年已发货'!$C:$C,F4036,'[1]2025年已发货'!$G:$G,I4036,'[1]2025年已发货'!$H:$H,J4036))</f>
        <v>18</v>
      </c>
      <c r="I4036" s="113" t="str">
        <f>VLOOKUP(B4036,辅助信息!E:I,3,FALSE)</f>
        <v>(五冶钢构龙泉东洪片区85亩住宅、商业及配套工程项目二标段)成都市龙泉驿外东洪路地铁2号线惠王陵地铁C口</v>
      </c>
      <c r="J4036" s="113" t="str">
        <f>VLOOKUP(B4036,辅助信息!E:I,4,FALSE)</f>
        <v>李渊</v>
      </c>
      <c r="K4036" s="113">
        <f>VLOOKUP(J4036,辅助信息!H:I,2,FALSE)</f>
        <v>18381013849</v>
      </c>
      <c r="L4036" s="115">
        <f>VLOOKUP(B4036,辅助信息!E:J,6,FALSE)</f>
        <v>0</v>
      </c>
      <c r="M4036" s="141">
        <v>45929</v>
      </c>
      <c r="O4036" s="55">
        <f ca="1" t="shared" si="208"/>
        <v>0</v>
      </c>
      <c r="P4036" s="55">
        <f ca="1" t="shared" si="209"/>
        <v>28</v>
      </c>
      <c r="Q4036" s="22" t="str">
        <f>VLOOKUP(B4036,辅助信息!E:M,9,FALSE)</f>
        <v>ZTWM-CDGS-XS-2025-0156-五冶钢构-2025年九月第一批次钢筋采购合同(三圣乡项目)-中铁物贸成都公司</v>
      </c>
      <c r="R4036" s="22" t="str">
        <f>_xlfn._xlws.FILTER(辅助信息!D:D,辅助信息!E:E=B4036)</f>
        <v>五冶钢构龙泉东洪片区85亩住宅、商业及配套工程项目二标段</v>
      </c>
    </row>
    <row r="4037" hidden="1" spans="2:18">
      <c r="B4037" s="129" t="s">
        <v>225</v>
      </c>
      <c r="C4037" s="63">
        <v>45929</v>
      </c>
      <c r="D4037" s="113" t="str">
        <f>VLOOKUP(B4037,辅助信息!E:K,7,FALSE)</f>
        <v>JWDDCD2025092400210</v>
      </c>
      <c r="E4037" s="113" t="str">
        <f>VLOOKUP(F4037,辅助信息!A:B,2,FALSE)</f>
        <v>高线</v>
      </c>
      <c r="F4037" s="113" t="s">
        <v>53</v>
      </c>
      <c r="G4037" s="114">
        <v>15</v>
      </c>
      <c r="H4037" s="127">
        <f>IF(SUMIFS('[1]2025年已发货'!$E:$E,'[1]2025年已发货'!$F:$F,C4037,'[1]2025年已发货'!$C:$C,F4037,'[1]2025年已发货'!$G:$G,I4037,'[1]2025年已发货'!$H:$H,J4037)=0,"未发货",SUMIFS('[1]2025年已发货'!$E:$E,'[1]2025年已发货'!$F:$F,C4037,'[1]2025年已发货'!$C:$C,F4037,'[1]2025年已发货'!$G:$G,I4037,'[1]2025年已发货'!$H:$H,J4037))</f>
        <v>15</v>
      </c>
      <c r="I4037" s="113" t="str">
        <f>VLOOKUP(B4037,辅助信息!E:I,3,FALSE)</f>
        <v>(五冶钢构龙泉东洪片区85亩住宅、商业及配套工程项目一标段)成都市龙泉驿外东洪路地铁2号线惠王陵地铁C口</v>
      </c>
      <c r="J4037" s="113" t="str">
        <f>VLOOKUP(B4037,辅助信息!E:I,4,FALSE)</f>
        <v>岳工</v>
      </c>
      <c r="K4037" s="113">
        <f>VLOOKUP(J4037,辅助信息!H:I,2,FALSE)</f>
        <v>18599951655</v>
      </c>
      <c r="L4037" s="115">
        <f>VLOOKUP(B4037,辅助信息!E:J,6,FALSE)</f>
        <v>0</v>
      </c>
      <c r="M4037" s="141">
        <v>45929</v>
      </c>
      <c r="O4037" s="55">
        <f ca="1" t="shared" si="208"/>
        <v>0</v>
      </c>
      <c r="P4037" s="55">
        <f ca="1" t="shared" si="209"/>
        <v>28</v>
      </c>
      <c r="Q4037" s="22" t="str">
        <f>VLOOKUP(B4037,辅助信息!E:M,9,FALSE)</f>
        <v>ZTWM-CDGS-XS-2025-0156-五冶钢构-2025年九月第一批次钢筋采购合同(三圣乡项目)-中铁物贸成都公司</v>
      </c>
      <c r="R4037" s="22" t="str">
        <f>_xlfn._xlws.FILTER(辅助信息!D:D,辅助信息!E:E=B4037)</f>
        <v>五冶钢构龙泉东洪片区85亩住宅、商业及配套工程项目一标段</v>
      </c>
    </row>
    <row r="4038" hidden="1" spans="2:18">
      <c r="B4038" s="129" t="s">
        <v>225</v>
      </c>
      <c r="C4038" s="63">
        <v>45929</v>
      </c>
      <c r="D4038" s="113" t="str">
        <f>VLOOKUP(B4038,辅助信息!E:K,7,FALSE)</f>
        <v>JWDDCD2025092400210</v>
      </c>
      <c r="E4038" s="113" t="str">
        <f>VLOOKUP(F4038,辅助信息!A:B,2,FALSE)</f>
        <v>螺纹钢</v>
      </c>
      <c r="F4038" s="113" t="s">
        <v>28</v>
      </c>
      <c r="G4038" s="114">
        <v>20</v>
      </c>
      <c r="H4038" s="127">
        <f>IF(SUMIFS('[1]2025年已发货'!$E:$E,'[1]2025年已发货'!$F:$F,C4038,'[1]2025年已发货'!$C:$C,F4038,'[1]2025年已发货'!$G:$G,I4038,'[1]2025年已发货'!$H:$H,J4038)=0,"未发货",SUMIFS('[1]2025年已发货'!$E:$E,'[1]2025年已发货'!$F:$F,C4038,'[1]2025年已发货'!$C:$C,F4038,'[1]2025年已发货'!$G:$G,I4038,'[1]2025年已发货'!$H:$H,J4038))</f>
        <v>20</v>
      </c>
      <c r="I4038" s="113" t="str">
        <f>VLOOKUP(B4038,辅助信息!E:I,3,FALSE)</f>
        <v>(五冶钢构龙泉东洪片区85亩住宅、商业及配套工程项目一标段)成都市龙泉驿外东洪路地铁2号线惠王陵地铁C口</v>
      </c>
      <c r="J4038" s="113" t="str">
        <f>VLOOKUP(B4038,辅助信息!E:I,4,FALSE)</f>
        <v>岳工</v>
      </c>
      <c r="K4038" s="113">
        <f>VLOOKUP(J4038,辅助信息!H:I,2,FALSE)</f>
        <v>18599951655</v>
      </c>
      <c r="L4038" s="115">
        <f>VLOOKUP(B4038,辅助信息!E:J,6,FALSE)</f>
        <v>0</v>
      </c>
      <c r="M4038" s="141">
        <v>45929</v>
      </c>
      <c r="O4038" s="55">
        <f ca="1" t="shared" si="208"/>
        <v>0</v>
      </c>
      <c r="P4038" s="55">
        <f ca="1" t="shared" si="209"/>
        <v>28</v>
      </c>
      <c r="Q4038" s="22" t="str">
        <f>VLOOKUP(B4038,辅助信息!E:M,9,FALSE)</f>
        <v>ZTWM-CDGS-XS-2025-0156-五冶钢构-2025年九月第一批次钢筋采购合同(三圣乡项目)-中铁物贸成都公司</v>
      </c>
      <c r="R4038" s="22" t="str">
        <f>_xlfn._xlws.FILTER(辅助信息!D:D,辅助信息!E:E=B4038)</f>
        <v>五冶钢构龙泉东洪片区85亩住宅、商业及配套工程项目一标段</v>
      </c>
    </row>
    <row r="4039" hidden="1" spans="2:18">
      <c r="B4039" s="129" t="s">
        <v>230</v>
      </c>
      <c r="C4039" s="63">
        <v>45929</v>
      </c>
      <c r="D4039" s="113" t="str">
        <f>VLOOKUP(B4039,辅助信息!E:K,7,FALSE)</f>
        <v>JWDDCD2025102100481</v>
      </c>
      <c r="E4039" s="113" t="str">
        <f>VLOOKUP(F4039,辅助信息!A:B,2,FALSE)</f>
        <v>螺纹钢</v>
      </c>
      <c r="F4039" s="113" t="s">
        <v>18</v>
      </c>
      <c r="G4039" s="114">
        <v>9</v>
      </c>
      <c r="H4039" s="127"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13" t="str">
        <f>VLOOKUP(B4039,辅助信息!E:I,3,FALSE)</f>
        <v>(五冶建设成都盐道街中学初中部改扩建工程-二标)四川省成都市锦江区春熙路街道盐道街4号（盐道街中学初中部）</v>
      </c>
      <c r="J4039" s="113" t="str">
        <f>VLOOKUP(B4039,辅助信息!E:I,4,FALSE)</f>
        <v>谢鑫</v>
      </c>
      <c r="K4039" s="113">
        <f>VLOOKUP(J4039,辅助信息!H:I,2,FALSE)</f>
        <v>18228465067</v>
      </c>
      <c r="L4039" s="115" t="str">
        <f>VLOOKUP(B4039,辅助信息!E:J,6,FALSE)</f>
        <v>联系实际收货人（易前刚18228465067）五冶建设送货单,6份材质书,锈货不收，装货前联系收货人核实到场规格,没提前告知进场规格现场不给予接收</v>
      </c>
      <c r="M4039" s="141">
        <v>45929</v>
      </c>
      <c r="O4039" s="55">
        <f ca="1" t="shared" si="208"/>
        <v>0</v>
      </c>
      <c r="P4039" s="55">
        <f ca="1" t="shared" si="209"/>
        <v>28</v>
      </c>
      <c r="Q4039" s="22" t="str">
        <f>VLOOKUP(B4039,辅助信息!E:M,9,FALSE)</f>
        <v>ZTWM-CDGS-XS-2025-0073-五冶天府-成都怡心湖片区及龙泉驿医院等项目</v>
      </c>
      <c r="R4039" s="22" t="str">
        <f>_xlfn._xlws.FILTER(辅助信息!D:D,辅助信息!E:E=B4039)</f>
        <v>五冶建设成都盐道街中学初中部改扩建工程-二标</v>
      </c>
    </row>
    <row r="4040" hidden="1" spans="2:18">
      <c r="B4040" s="129" t="s">
        <v>230</v>
      </c>
      <c r="C4040" s="63">
        <v>45929</v>
      </c>
      <c r="D4040" s="113" t="str">
        <f>VLOOKUP(B4040,辅助信息!E:K,7,FALSE)</f>
        <v>JWDDCD2025102100481</v>
      </c>
      <c r="E4040" s="113" t="str">
        <f>VLOOKUP(F4040,辅助信息!A:B,2,FALSE)</f>
        <v>盘螺</v>
      </c>
      <c r="F4040" s="113" t="s">
        <v>41</v>
      </c>
      <c r="G4040" s="114">
        <v>2</v>
      </c>
      <c r="H4040" s="127"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13" t="str">
        <f>VLOOKUP(B4040,辅助信息!E:I,3,FALSE)</f>
        <v>(五冶建设成都盐道街中学初中部改扩建工程-二标)四川省成都市锦江区春熙路街道盐道街4号（盐道街中学初中部）</v>
      </c>
      <c r="J4040" s="113" t="str">
        <f>VLOOKUP(B4040,辅助信息!E:I,4,FALSE)</f>
        <v>谢鑫</v>
      </c>
      <c r="K4040" s="113">
        <f>VLOOKUP(J4040,辅助信息!H:I,2,FALSE)</f>
        <v>18228465067</v>
      </c>
      <c r="L4040" s="115" t="str">
        <f>VLOOKUP(B4040,辅助信息!E:J,6,FALSE)</f>
        <v>联系实际收货人（易前刚18228465067）五冶建设送货单,6份材质书,锈货不收，装货前联系收货人核实到场规格,没提前告知进场规格现场不给予接收</v>
      </c>
      <c r="M4040" s="141">
        <v>45929</v>
      </c>
      <c r="O4040" s="55">
        <f ca="1" t="shared" si="208"/>
        <v>0</v>
      </c>
      <c r="P4040" s="55">
        <f ca="1" t="shared" si="209"/>
        <v>28</v>
      </c>
      <c r="Q4040" s="22" t="str">
        <f>VLOOKUP(B4040,辅助信息!E:M,9,FALSE)</f>
        <v>ZTWM-CDGS-XS-2025-0073-五冶天府-成都怡心湖片区及龙泉驿医院等项目</v>
      </c>
      <c r="R4040" s="22" t="str">
        <f>_xlfn._xlws.FILTER(辅助信息!D:D,辅助信息!E:E=B4040)</f>
        <v>五冶建设成都盐道街中学初中部改扩建工程-二标</v>
      </c>
    </row>
    <row r="4041" hidden="1" spans="2:18">
      <c r="B4041" s="129" t="s">
        <v>230</v>
      </c>
      <c r="C4041" s="63">
        <v>45929</v>
      </c>
      <c r="D4041" s="113" t="str">
        <f>VLOOKUP(B4041,辅助信息!E:K,7,FALSE)</f>
        <v>JWDDCD2025102100481</v>
      </c>
      <c r="E4041" s="113" t="str">
        <f>VLOOKUP(F4041,辅助信息!A:B,2,FALSE)</f>
        <v>盘螺</v>
      </c>
      <c r="F4041" s="113" t="s">
        <v>40</v>
      </c>
      <c r="G4041" s="114">
        <v>2</v>
      </c>
      <c r="H4041" s="127"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13" t="str">
        <f>VLOOKUP(B4041,辅助信息!E:I,3,FALSE)</f>
        <v>(五冶建设成都盐道街中学初中部改扩建工程-二标)四川省成都市锦江区春熙路街道盐道街4号（盐道街中学初中部）</v>
      </c>
      <c r="J4041" s="113" t="str">
        <f>VLOOKUP(B4041,辅助信息!E:I,4,FALSE)</f>
        <v>谢鑫</v>
      </c>
      <c r="K4041" s="113">
        <f>VLOOKUP(J4041,辅助信息!H:I,2,FALSE)</f>
        <v>18228465067</v>
      </c>
      <c r="L4041" s="115" t="str">
        <f>VLOOKUP(B4041,辅助信息!E:J,6,FALSE)</f>
        <v>联系实际收货人（易前刚18228465067）五冶建设送货单,6份材质书,锈货不收，装货前联系收货人核实到场规格,没提前告知进场规格现场不给予接收</v>
      </c>
      <c r="M4041" s="141">
        <v>45929</v>
      </c>
      <c r="O4041" s="55">
        <f ca="1" t="shared" si="208"/>
        <v>0</v>
      </c>
      <c r="P4041" s="55">
        <f ca="1" t="shared" si="209"/>
        <v>28</v>
      </c>
      <c r="Q4041" s="22" t="str">
        <f>VLOOKUP(B4041,辅助信息!E:M,9,FALSE)</f>
        <v>ZTWM-CDGS-XS-2025-0073-五冶天府-成都怡心湖片区及龙泉驿医院等项目</v>
      </c>
      <c r="R4041" s="22" t="str">
        <f>_xlfn._xlws.FILTER(辅助信息!D:D,辅助信息!E:E=B4041)</f>
        <v>五冶建设成都盐道街中学初中部改扩建工程-二标</v>
      </c>
    </row>
    <row r="4042" hidden="1" spans="2:18">
      <c r="B4042" s="129" t="s">
        <v>231</v>
      </c>
      <c r="C4042" s="63">
        <v>45929</v>
      </c>
      <c r="D4042" s="113" t="str">
        <f>VLOOKUP(B4042,辅助信息!E:K,7,FALSE)</f>
        <v>JWDDCD2025102100481</v>
      </c>
      <c r="E4042" s="113" t="str">
        <f>VLOOKUP(F4042,辅助信息!A:B,2,FALSE)</f>
        <v>螺纹钢</v>
      </c>
      <c r="F4042" s="113" t="s">
        <v>19</v>
      </c>
      <c r="G4042" s="114">
        <v>24</v>
      </c>
      <c r="H4042" s="127"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13" t="str">
        <f>VLOOKUP(B4042,辅助信息!E:I,3,FALSE)</f>
        <v>(五冶建设成都盐道街中学初中部改扩建工程-一标)四川省成都市锦江区春熙路街道盐道街4号（盐道街中学初中部）</v>
      </c>
      <c r="J4042" s="113" t="str">
        <f>VLOOKUP(B4042,辅助信息!E:I,4,FALSE)</f>
        <v>谢鑫</v>
      </c>
      <c r="K4042" s="113">
        <f>VLOOKUP(J4042,辅助信息!H:I,2,FALSE)</f>
        <v>18228465067</v>
      </c>
      <c r="L4042" s="115" t="str">
        <f>VLOOKUP(B4042,辅助信息!E:J,6,FALSE)</f>
        <v>联系实际收货人（易前刚18228465067）五冶建设送货单,6份材质书,锈货不收，装货前联系收货人核实到场规格,没提前告知进场规格现场不给予接收</v>
      </c>
      <c r="M4042" s="141">
        <v>45929</v>
      </c>
      <c r="O4042" s="55">
        <f ca="1" t="shared" si="208"/>
        <v>0</v>
      </c>
      <c r="P4042" s="55">
        <f ca="1" t="shared" si="209"/>
        <v>28</v>
      </c>
      <c r="Q4042" s="22" t="str">
        <f>VLOOKUP(B4042,辅助信息!E:M,9,FALSE)</f>
        <v>ZTWM-CDGS-XS-2025-0073-五冶天府-成都怡心湖片区及龙泉驿医院等项目</v>
      </c>
      <c r="R4042" s="22" t="str">
        <f>_xlfn._xlws.FILTER(辅助信息!D:D,辅助信息!E:E=B4042)</f>
        <v>五冶建设成都盐道街中学初中部改扩建工程-一标</v>
      </c>
    </row>
    <row r="4043" hidden="1" spans="2:18">
      <c r="B4043" s="129" t="s">
        <v>231</v>
      </c>
      <c r="C4043" s="63">
        <v>45929</v>
      </c>
      <c r="D4043" s="113" t="str">
        <f>VLOOKUP(B4043,辅助信息!E:K,7,FALSE)</f>
        <v>JWDDCD2025102100481</v>
      </c>
      <c r="E4043" s="113" t="str">
        <f>VLOOKUP(F4043,辅助信息!A:B,2,FALSE)</f>
        <v>螺纹钢</v>
      </c>
      <c r="F4043" s="113" t="s">
        <v>32</v>
      </c>
      <c r="G4043" s="114">
        <v>6</v>
      </c>
      <c r="H4043" s="127"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13" t="str">
        <f>VLOOKUP(B4043,辅助信息!E:I,3,FALSE)</f>
        <v>(五冶建设成都盐道街中学初中部改扩建工程-一标)四川省成都市锦江区春熙路街道盐道街4号（盐道街中学初中部）</v>
      </c>
      <c r="J4043" s="113" t="str">
        <f>VLOOKUP(B4043,辅助信息!E:I,4,FALSE)</f>
        <v>谢鑫</v>
      </c>
      <c r="K4043" s="113">
        <f>VLOOKUP(J4043,辅助信息!H:I,2,FALSE)</f>
        <v>18228465067</v>
      </c>
      <c r="L4043" s="115" t="str">
        <f>VLOOKUP(B4043,辅助信息!E:J,6,FALSE)</f>
        <v>联系实际收货人（易前刚18228465067）五冶建设送货单,6份材质书,锈货不收，装货前联系收货人核实到场规格,没提前告知进场规格现场不给予接收</v>
      </c>
      <c r="M4043" s="141">
        <v>45929</v>
      </c>
      <c r="O4043" s="55">
        <f ca="1" t="shared" si="208"/>
        <v>0</v>
      </c>
      <c r="P4043" s="55">
        <f ca="1" t="shared" si="209"/>
        <v>28</v>
      </c>
      <c r="Q4043" s="22" t="str">
        <f>VLOOKUP(B4043,辅助信息!E:M,9,FALSE)</f>
        <v>ZTWM-CDGS-XS-2025-0073-五冶天府-成都怡心湖片区及龙泉驿医院等项目</v>
      </c>
      <c r="R4043" s="22" t="str">
        <f>_xlfn._xlws.FILTER(辅助信息!D:D,辅助信息!E:E=B4043)</f>
        <v>五冶建设成都盐道街中学初中部改扩建工程-一标</v>
      </c>
    </row>
    <row r="4044" hidden="1" spans="2:18">
      <c r="B4044" s="129" t="s">
        <v>231</v>
      </c>
      <c r="C4044" s="63">
        <v>45929</v>
      </c>
      <c r="D4044" s="113" t="str">
        <f>VLOOKUP(B4044,辅助信息!E:K,7,FALSE)</f>
        <v>JWDDCD2025102100481</v>
      </c>
      <c r="E4044" s="113" t="str">
        <f>VLOOKUP(F4044,辅助信息!A:B,2,FALSE)</f>
        <v>螺纹钢</v>
      </c>
      <c r="F4044" s="113" t="s">
        <v>28</v>
      </c>
      <c r="G4044" s="114">
        <v>64</v>
      </c>
      <c r="H4044" s="127"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13" t="str">
        <f>VLOOKUP(B4044,辅助信息!E:I,3,FALSE)</f>
        <v>(五冶建设成都盐道街中学初中部改扩建工程-一标)四川省成都市锦江区春熙路街道盐道街4号（盐道街中学初中部）</v>
      </c>
      <c r="J4044" s="113" t="str">
        <f>VLOOKUP(B4044,辅助信息!E:I,4,FALSE)</f>
        <v>谢鑫</v>
      </c>
      <c r="K4044" s="113">
        <f>VLOOKUP(J4044,辅助信息!H:I,2,FALSE)</f>
        <v>18228465067</v>
      </c>
      <c r="L4044" s="115" t="str">
        <f>VLOOKUP(B4044,辅助信息!E:J,6,FALSE)</f>
        <v>联系实际收货人（易前刚18228465067）五冶建设送货单,6份材质书,锈货不收，装货前联系收货人核实到场规格,没提前告知进场规格现场不给予接收</v>
      </c>
      <c r="M4044" s="141">
        <v>45929</v>
      </c>
      <c r="O4044" s="55">
        <f ca="1" t="shared" si="208"/>
        <v>0</v>
      </c>
      <c r="P4044" s="55">
        <f ca="1" t="shared" si="209"/>
        <v>28</v>
      </c>
      <c r="Q4044" s="22" t="str">
        <f>VLOOKUP(B4044,辅助信息!E:M,9,FALSE)</f>
        <v>ZTWM-CDGS-XS-2025-0073-五冶天府-成都怡心湖片区及龙泉驿医院等项目</v>
      </c>
      <c r="R4044" s="22" t="str">
        <f>_xlfn._xlws.FILTER(辅助信息!D:D,辅助信息!E:E=B4044)</f>
        <v>五冶建设成都盐道街中学初中部改扩建工程-一标</v>
      </c>
    </row>
    <row r="4045" hidden="1" spans="2:18">
      <c r="B4045" s="129" t="s">
        <v>231</v>
      </c>
      <c r="C4045" s="63">
        <v>45929</v>
      </c>
      <c r="D4045" s="113" t="str">
        <f>VLOOKUP(B4045,辅助信息!E:K,7,FALSE)</f>
        <v>JWDDCD2025102100481</v>
      </c>
      <c r="E4045" s="113" t="str">
        <f>VLOOKUP(F4045,辅助信息!A:B,2,FALSE)</f>
        <v>盘螺</v>
      </c>
      <c r="F4045" s="113" t="s">
        <v>49</v>
      </c>
      <c r="G4045" s="114">
        <v>2</v>
      </c>
      <c r="H4045" s="127"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13" t="str">
        <f>VLOOKUP(B4045,辅助信息!E:I,3,FALSE)</f>
        <v>(五冶建设成都盐道街中学初中部改扩建工程-一标)四川省成都市锦江区春熙路街道盐道街4号（盐道街中学初中部）</v>
      </c>
      <c r="J4045" s="113" t="str">
        <f>VLOOKUP(B4045,辅助信息!E:I,4,FALSE)</f>
        <v>谢鑫</v>
      </c>
      <c r="K4045" s="113">
        <f>VLOOKUP(J4045,辅助信息!H:I,2,FALSE)</f>
        <v>18228465067</v>
      </c>
      <c r="L4045" s="115" t="str">
        <f>VLOOKUP(B4045,辅助信息!E:J,6,FALSE)</f>
        <v>联系实际收货人（易前刚18228465067）五冶建设送货单,6份材质书,锈货不收，装货前联系收货人核实到场规格,没提前告知进场规格现场不给予接收</v>
      </c>
      <c r="M4045" s="141">
        <v>45929</v>
      </c>
      <c r="O4045" s="55">
        <f ca="1" t="shared" si="208"/>
        <v>0</v>
      </c>
      <c r="P4045" s="55">
        <f ca="1" t="shared" si="209"/>
        <v>28</v>
      </c>
      <c r="Q4045" s="22" t="str">
        <f>VLOOKUP(B4045,辅助信息!E:M,9,FALSE)</f>
        <v>ZTWM-CDGS-XS-2025-0073-五冶天府-成都怡心湖片区及龙泉驿医院等项目</v>
      </c>
      <c r="R4045" s="22" t="str">
        <f>_xlfn._xlws.FILTER(辅助信息!D:D,辅助信息!E:E=B4045)</f>
        <v>五冶建设成都盐道街中学初中部改扩建工程-一标</v>
      </c>
    </row>
    <row r="4046" hidden="1" spans="2:18">
      <c r="B4046" s="129" t="s">
        <v>167</v>
      </c>
      <c r="C4046" s="63">
        <v>45929</v>
      </c>
      <c r="D4046" s="113" t="str">
        <f>VLOOKUP(B4046,辅助信息!E:K,7,FALSE)</f>
        <v>JWDDCD2025102100473</v>
      </c>
      <c r="E4046" s="113" t="str">
        <f>VLOOKUP(F4046,辅助信息!A:B,2,FALSE)</f>
        <v>螺纹钢</v>
      </c>
      <c r="F4046" s="113" t="s">
        <v>21</v>
      </c>
      <c r="G4046" s="114">
        <v>5</v>
      </c>
      <c r="H4046" s="127"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13" t="str">
        <f>VLOOKUP(B4046,辅助信息!E:I,3,FALSE)</f>
        <v>(五冶建设扩建艺体中学二期工程)四川省成都市双流区光荣路成都艺体中学南200米</v>
      </c>
      <c r="J4046" s="113" t="str">
        <f>VLOOKUP(B4046,辅助信息!E:I,4,FALSE)</f>
        <v>谢序强</v>
      </c>
      <c r="K4046" s="113">
        <f>VLOOKUP(J4046,辅助信息!H:I,2,FALSE)</f>
        <v>13458588232</v>
      </c>
      <c r="L4046" s="115"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1">
        <v>45929</v>
      </c>
      <c r="O4046" s="55">
        <f ca="1" t="shared" si="208"/>
        <v>0</v>
      </c>
      <c r="P4046" s="55">
        <f ca="1" t="shared" si="209"/>
        <v>28</v>
      </c>
      <c r="Q4046" s="22" t="str">
        <f>VLOOKUP(B4046,辅助信息!E:M,9,FALSE)</f>
        <v>ZTWM-CDGS-XS-2025-0073-五冶天府-成都怡心湖片区及龙泉驿医院等项目</v>
      </c>
      <c r="R4046" s="22" t="str">
        <f>_xlfn._xlws.FILTER(辅助信息!D:D,辅助信息!E:E=B4046)</f>
        <v>五冶建设扩建艺体中学二期工程</v>
      </c>
    </row>
    <row r="4047" hidden="1" spans="2:18">
      <c r="B4047" s="129" t="s">
        <v>167</v>
      </c>
      <c r="C4047" s="63">
        <v>45929</v>
      </c>
      <c r="D4047" s="113" t="str">
        <f>VLOOKUP(B4047,辅助信息!E:K,7,FALSE)</f>
        <v>JWDDCD2025102100473</v>
      </c>
      <c r="E4047" s="113" t="str">
        <f>VLOOKUP(F4047,辅助信息!A:B,2,FALSE)</f>
        <v>螺纹钢</v>
      </c>
      <c r="F4047" s="113" t="s">
        <v>46</v>
      </c>
      <c r="G4047" s="114">
        <v>5</v>
      </c>
      <c r="H4047" s="127"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13" t="str">
        <f>VLOOKUP(B4047,辅助信息!E:I,3,FALSE)</f>
        <v>(五冶建设扩建艺体中学二期工程)四川省成都市双流区光荣路成都艺体中学南200米</v>
      </c>
      <c r="J4047" s="113" t="str">
        <f>VLOOKUP(B4047,辅助信息!E:I,4,FALSE)</f>
        <v>谢序强</v>
      </c>
      <c r="K4047" s="113">
        <f>VLOOKUP(J4047,辅助信息!H:I,2,FALSE)</f>
        <v>13458588232</v>
      </c>
      <c r="L4047" s="115"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1">
        <v>45929</v>
      </c>
      <c r="O4047" s="55">
        <f ca="1" t="shared" si="208"/>
        <v>0</v>
      </c>
      <c r="P4047" s="55">
        <f ca="1" t="shared" si="209"/>
        <v>28</v>
      </c>
      <c r="Q4047" s="22" t="str">
        <f>VLOOKUP(B4047,辅助信息!E:M,9,FALSE)</f>
        <v>ZTWM-CDGS-XS-2025-0073-五冶天府-成都怡心湖片区及龙泉驿医院等项目</v>
      </c>
      <c r="R4047" s="22" t="str">
        <f>_xlfn._xlws.FILTER(辅助信息!D:D,辅助信息!E:E=B4047)</f>
        <v>五冶建设扩建艺体中学二期工程</v>
      </c>
    </row>
    <row r="4048" hidden="1" spans="2:18">
      <c r="B4048" s="129" t="s">
        <v>167</v>
      </c>
      <c r="C4048" s="63">
        <v>45929</v>
      </c>
      <c r="D4048" s="113" t="str">
        <f>VLOOKUP(B4048,辅助信息!E:K,7,FALSE)</f>
        <v>JWDDCD2025102100473</v>
      </c>
      <c r="E4048" s="113" t="str">
        <f>VLOOKUP(F4048,辅助信息!A:B,2,FALSE)</f>
        <v>螺纹钢</v>
      </c>
      <c r="F4048" s="113" t="s">
        <v>22</v>
      </c>
      <c r="G4048" s="114">
        <v>35</v>
      </c>
      <c r="H4048" s="127"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13" t="str">
        <f>VLOOKUP(B4048,辅助信息!E:I,3,FALSE)</f>
        <v>(五冶建设扩建艺体中学二期工程)四川省成都市双流区光荣路成都艺体中学南200米</v>
      </c>
      <c r="J4048" s="113" t="str">
        <f>VLOOKUP(B4048,辅助信息!E:I,4,FALSE)</f>
        <v>谢序强</v>
      </c>
      <c r="K4048" s="113">
        <f>VLOOKUP(J4048,辅助信息!H:I,2,FALSE)</f>
        <v>13458588232</v>
      </c>
      <c r="L4048" s="115"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1">
        <v>45929</v>
      </c>
      <c r="O4048" s="55">
        <f ca="1" t="shared" si="208"/>
        <v>0</v>
      </c>
      <c r="P4048" s="55">
        <f ca="1" t="shared" si="209"/>
        <v>28</v>
      </c>
      <c r="Q4048" s="22" t="str">
        <f>VLOOKUP(B4048,辅助信息!E:M,9,FALSE)</f>
        <v>ZTWM-CDGS-XS-2025-0073-五冶天府-成都怡心湖片区及龙泉驿医院等项目</v>
      </c>
      <c r="R4048" s="22" t="str">
        <f>_xlfn._xlws.FILTER(辅助信息!D:D,辅助信息!E:E=B4048)</f>
        <v>五冶建设扩建艺体中学二期工程</v>
      </c>
    </row>
    <row r="4049" hidden="1" spans="2:18">
      <c r="B4049" s="129" t="s">
        <v>167</v>
      </c>
      <c r="C4049" s="63">
        <v>45929</v>
      </c>
      <c r="D4049" s="113" t="str">
        <f>VLOOKUP(B4049,辅助信息!E:K,7,FALSE)</f>
        <v>JWDDCD2025102100473</v>
      </c>
      <c r="E4049" s="113" t="str">
        <f>VLOOKUP(F4049,辅助信息!A:B,2,FALSE)</f>
        <v>螺纹钢</v>
      </c>
      <c r="F4049" s="113" t="s">
        <v>181</v>
      </c>
      <c r="G4049" s="114">
        <v>10</v>
      </c>
      <c r="H4049" s="127"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13" t="str">
        <f>VLOOKUP(B4049,辅助信息!E:I,3,FALSE)</f>
        <v>(五冶建设扩建艺体中学二期工程)四川省成都市双流区光荣路成都艺体中学南200米</v>
      </c>
      <c r="J4049" s="113" t="str">
        <f>VLOOKUP(B4049,辅助信息!E:I,4,FALSE)</f>
        <v>谢序强</v>
      </c>
      <c r="K4049" s="113">
        <f>VLOOKUP(J4049,辅助信息!H:I,2,FALSE)</f>
        <v>13458588232</v>
      </c>
      <c r="L4049" s="115"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1">
        <v>45929</v>
      </c>
      <c r="O4049" s="55">
        <f ca="1" t="shared" si="208"/>
        <v>0</v>
      </c>
      <c r="P4049" s="55">
        <f ca="1" t="shared" si="209"/>
        <v>28</v>
      </c>
      <c r="Q4049" s="22" t="str">
        <f>VLOOKUP(B4049,辅助信息!E:M,9,FALSE)</f>
        <v>ZTWM-CDGS-XS-2025-0073-五冶天府-成都怡心湖片区及龙泉驿医院等项目</v>
      </c>
      <c r="R4049" s="22" t="str">
        <f>_xlfn._xlws.FILTER(辅助信息!D:D,辅助信息!E:E=B4049)</f>
        <v>五冶建设扩建艺体中学二期工程</v>
      </c>
    </row>
    <row r="4050" hidden="1" spans="2:18">
      <c r="B4050" s="129" t="s">
        <v>167</v>
      </c>
      <c r="C4050" s="63">
        <v>45929</v>
      </c>
      <c r="D4050" s="113" t="str">
        <f>VLOOKUP(B4050,辅助信息!E:K,7,FALSE)</f>
        <v>JWDDCD2025102100473</v>
      </c>
      <c r="E4050" s="113" t="str">
        <f>VLOOKUP(F4050,辅助信息!A:B,2,FALSE)</f>
        <v>螺纹钢</v>
      </c>
      <c r="F4050" s="113" t="s">
        <v>182</v>
      </c>
      <c r="G4050" s="114">
        <f>43-28</f>
        <v>15</v>
      </c>
      <c r="H4050" s="127"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13" t="str">
        <f>VLOOKUP(B4050,辅助信息!E:I,3,FALSE)</f>
        <v>(五冶建设扩建艺体中学二期工程)四川省成都市双流区光荣路成都艺体中学南200米</v>
      </c>
      <c r="J4050" s="113" t="str">
        <f>VLOOKUP(B4050,辅助信息!E:I,4,FALSE)</f>
        <v>谢序强</v>
      </c>
      <c r="K4050" s="113">
        <f>VLOOKUP(J4050,辅助信息!H:I,2,FALSE)</f>
        <v>13458588232</v>
      </c>
      <c r="L4050" s="115"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1">
        <v>45929</v>
      </c>
      <c r="O4050" s="55">
        <f ca="1" t="shared" si="208"/>
        <v>0</v>
      </c>
      <c r="P4050" s="55">
        <f ca="1" t="shared" si="209"/>
        <v>28</v>
      </c>
      <c r="Q4050" s="22" t="str">
        <f>VLOOKUP(B4050,辅助信息!E:M,9,FALSE)</f>
        <v>ZTWM-CDGS-XS-2025-0073-五冶天府-成都怡心湖片区及龙泉驿医院等项目</v>
      </c>
      <c r="R4050" s="22" t="str">
        <f>_xlfn._xlws.FILTER(辅助信息!D:D,辅助信息!E:E=B4050)</f>
        <v>五冶建设扩建艺体中学二期工程</v>
      </c>
    </row>
    <row r="4051" hidden="1" spans="2:18">
      <c r="B4051" s="129" t="s">
        <v>167</v>
      </c>
      <c r="C4051" s="63">
        <v>45929</v>
      </c>
      <c r="D4051" s="113" t="str">
        <f>VLOOKUP(B4051,辅助信息!E:K,7,FALSE)</f>
        <v>JWDDCD2025102100473</v>
      </c>
      <c r="E4051" s="113" t="str">
        <f>VLOOKUP(F4051,辅助信息!A:B,2,FALSE)</f>
        <v>盘螺</v>
      </c>
      <c r="F4051" s="113" t="s">
        <v>41</v>
      </c>
      <c r="G4051" s="114">
        <v>20</v>
      </c>
      <c r="H4051" s="127"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13" t="str">
        <f>VLOOKUP(B4051,辅助信息!E:I,3,FALSE)</f>
        <v>(五冶建设扩建艺体中学二期工程)四川省成都市双流区光荣路成都艺体中学南200米</v>
      </c>
      <c r="J4051" s="113" t="str">
        <f>VLOOKUP(B4051,辅助信息!E:I,4,FALSE)</f>
        <v>谢序强</v>
      </c>
      <c r="K4051" s="113">
        <f>VLOOKUP(J4051,辅助信息!H:I,2,FALSE)</f>
        <v>13458588232</v>
      </c>
      <c r="L4051" s="115"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1">
        <v>45929</v>
      </c>
      <c r="O4051" s="55">
        <f ca="1" t="shared" si="208"/>
        <v>0</v>
      </c>
      <c r="P4051" s="55">
        <f ca="1" t="shared" si="209"/>
        <v>28</v>
      </c>
      <c r="Q4051" s="22" t="str">
        <f>VLOOKUP(B4051,辅助信息!E:M,9,FALSE)</f>
        <v>ZTWM-CDGS-XS-2025-0073-五冶天府-成都怡心湖片区及龙泉驿医院等项目</v>
      </c>
      <c r="R4051" s="22" t="str">
        <f>_xlfn._xlws.FILTER(辅助信息!D:D,辅助信息!E:E=B4051)</f>
        <v>五冶建设扩建艺体中学二期工程</v>
      </c>
    </row>
    <row r="4052" hidden="1" spans="2:18">
      <c r="B4052" s="129" t="s">
        <v>167</v>
      </c>
      <c r="C4052" s="63">
        <v>45929</v>
      </c>
      <c r="D4052" s="113" t="str">
        <f>VLOOKUP(B4052,辅助信息!E:K,7,FALSE)</f>
        <v>JWDDCD2025102100473</v>
      </c>
      <c r="E4052" s="113" t="str">
        <f>VLOOKUP(F4052,辅助信息!A:B,2,FALSE)</f>
        <v>盘螺</v>
      </c>
      <c r="F4052" s="113" t="s">
        <v>40</v>
      </c>
      <c r="G4052" s="114">
        <v>10</v>
      </c>
      <c r="H4052" s="127"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13" t="str">
        <f>VLOOKUP(B4052,辅助信息!E:I,3,FALSE)</f>
        <v>(五冶建设扩建艺体中学二期工程)四川省成都市双流区光荣路成都艺体中学南200米</v>
      </c>
      <c r="J4052" s="113" t="str">
        <f>VLOOKUP(B4052,辅助信息!E:I,4,FALSE)</f>
        <v>谢序强</v>
      </c>
      <c r="K4052" s="113">
        <f>VLOOKUP(J4052,辅助信息!H:I,2,FALSE)</f>
        <v>13458588232</v>
      </c>
      <c r="L4052" s="115"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1">
        <v>45929</v>
      </c>
      <c r="O4052" s="55">
        <f ca="1" t="shared" si="208"/>
        <v>0</v>
      </c>
      <c r="P4052" s="55">
        <f ca="1" t="shared" si="209"/>
        <v>28</v>
      </c>
      <c r="Q4052" s="22" t="str">
        <f>VLOOKUP(B4052,辅助信息!E:M,9,FALSE)</f>
        <v>ZTWM-CDGS-XS-2025-0073-五冶天府-成都怡心湖片区及龙泉驿医院等项目</v>
      </c>
      <c r="R4052" s="22" t="str">
        <f>_xlfn._xlws.FILTER(辅助信息!D:D,辅助信息!E:E=B4052)</f>
        <v>五冶建设扩建艺体中学二期工程</v>
      </c>
    </row>
    <row r="4053" hidden="1" spans="2:18">
      <c r="B4053" s="129" t="s">
        <v>215</v>
      </c>
      <c r="C4053" s="63">
        <v>45929</v>
      </c>
      <c r="D4053" s="113" t="str">
        <f>VLOOKUP(B4053,辅助信息!E:K,7,FALSE)</f>
        <v>JWDDCD2025102100486</v>
      </c>
      <c r="E4053" s="113" t="str">
        <f>VLOOKUP(F4053,辅助信息!A:B,2,FALSE)</f>
        <v>螺纹钢</v>
      </c>
      <c r="F4053" s="113" t="s">
        <v>27</v>
      </c>
      <c r="G4053" s="114">
        <v>15</v>
      </c>
      <c r="H4053" s="127">
        <f>IF(SUMIFS('[1]2025年已发货'!$E:$E,'[1]2025年已发货'!$F:$F,C4053,'[1]2025年已发货'!$C:$C,F4053,'[1]2025年已发货'!$G:$G,I4053,'[1]2025年已发货'!$H:$H,J4053)=0,"未发货",SUMIFS('[1]2025年已发货'!$E:$E,'[1]2025年已发货'!$F:$F,C4053,'[1]2025年已发货'!$C:$C,F4053,'[1]2025年已发货'!$G:$G,I4053,'[1]2025年已发货'!$H:$H,J4053))</f>
        <v>15</v>
      </c>
      <c r="I4053" s="113" t="str">
        <f>VLOOKUP(B4053,辅助信息!E:I,3,FALSE)</f>
        <v>(五冶建设龙泉驿一医院配套建设工程)成都市龙泉驿区董朗路69号龙泉驿一医院5号门</v>
      </c>
      <c r="J4053" s="113" t="str">
        <f>VLOOKUP(B4053,辅助信息!E:I,4,FALSE)</f>
        <v>孙敏</v>
      </c>
      <c r="K4053" s="113">
        <f>VLOOKUP(J4053,辅助信息!H:I,2,FALSE)</f>
        <v>13617695006</v>
      </c>
      <c r="L4053" s="115" t="str">
        <f>VLOOKUP(B4053,辅助信息!E:J,6,FALSE)</f>
        <v>联系实际收货人（孙敏13617695006）五冶建设送货单,6份材质书,锈货不收，装货前联系收货人核实到场规格,没提前告知进场规格现场不给予接收</v>
      </c>
      <c r="O4053" s="55" t="str">
        <f ca="1" t="shared" si="208"/>
        <v/>
      </c>
      <c r="P4053" s="55" t="str">
        <f ca="1" t="shared" si="209"/>
        <v/>
      </c>
      <c r="Q4053" s="22" t="str">
        <f>VLOOKUP(B4053,辅助信息!E:M,9,FALSE)</f>
        <v>ZTWM-CDGS-XS-2025-0073-五冶天府-成都怡心湖片区及龙泉驿医院等项目</v>
      </c>
      <c r="R4053" s="22" t="str">
        <f>_xlfn._xlws.FILTER(辅助信息!D:D,辅助信息!E:E=B4053)</f>
        <v>五冶建设龙泉驿一医院配套建设工程</v>
      </c>
    </row>
    <row r="4054" hidden="1" spans="2:18">
      <c r="B4054" s="129" t="s">
        <v>215</v>
      </c>
      <c r="C4054" s="63">
        <v>45929</v>
      </c>
      <c r="D4054" s="113" t="str">
        <f>VLOOKUP(B4054,辅助信息!E:K,7,FALSE)</f>
        <v>JWDDCD2025102100486</v>
      </c>
      <c r="E4054" s="113" t="str">
        <f>VLOOKUP(F4054,辅助信息!A:B,2,FALSE)</f>
        <v>螺纹钢</v>
      </c>
      <c r="F4054" s="113" t="s">
        <v>28</v>
      </c>
      <c r="G4054" s="114">
        <v>5</v>
      </c>
      <c r="H4054" s="127">
        <f>IF(SUMIFS('[1]2025年已发货'!$E:$E,'[1]2025年已发货'!$F:$F,C4054,'[1]2025年已发货'!$C:$C,F4054,'[1]2025年已发货'!$G:$G,I4054,'[1]2025年已发货'!$H:$H,J4054)=0,"未发货",SUMIFS('[1]2025年已发货'!$E:$E,'[1]2025年已发货'!$F:$F,C4054,'[1]2025年已发货'!$C:$C,F4054,'[1]2025年已发货'!$G:$G,I4054,'[1]2025年已发货'!$H:$H,J4054))</f>
        <v>5</v>
      </c>
      <c r="I4054" s="113" t="str">
        <f>VLOOKUP(B4054,辅助信息!E:I,3,FALSE)</f>
        <v>(五冶建设龙泉驿一医院配套建设工程)成都市龙泉驿区董朗路69号龙泉驿一医院5号门</v>
      </c>
      <c r="J4054" s="113" t="str">
        <f>VLOOKUP(B4054,辅助信息!E:I,4,FALSE)</f>
        <v>孙敏</v>
      </c>
      <c r="K4054" s="113">
        <f>VLOOKUP(J4054,辅助信息!H:I,2,FALSE)</f>
        <v>13617695006</v>
      </c>
      <c r="L4054" s="115" t="str">
        <f>VLOOKUP(B4054,辅助信息!E:J,6,FALSE)</f>
        <v>联系实际收货人（孙敏13617695006）五冶建设送货单,6份材质书,锈货不收，装货前联系收货人核实到场规格,没提前告知进场规格现场不给予接收</v>
      </c>
      <c r="O4054" s="55" t="str">
        <f ca="1" t="shared" si="208"/>
        <v/>
      </c>
      <c r="P4054" s="55" t="str">
        <f ca="1" t="shared" si="209"/>
        <v/>
      </c>
      <c r="Q4054" s="22" t="str">
        <f>VLOOKUP(B4054,辅助信息!E:M,9,FALSE)</f>
        <v>ZTWM-CDGS-XS-2025-0073-五冶天府-成都怡心湖片区及龙泉驿医院等项目</v>
      </c>
      <c r="R4054" s="22" t="str">
        <f>_xlfn._xlws.FILTER(辅助信息!D:D,辅助信息!E:E=B4054)</f>
        <v>五冶建设龙泉驿一医院配套建设工程</v>
      </c>
    </row>
    <row r="4055" hidden="1" spans="2:18">
      <c r="B4055" s="129" t="s">
        <v>215</v>
      </c>
      <c r="C4055" s="63">
        <v>45929</v>
      </c>
      <c r="D4055" s="113" t="str">
        <f>VLOOKUP(B4055,辅助信息!E:K,7,FALSE)</f>
        <v>JWDDCD2025102100486</v>
      </c>
      <c r="E4055" s="113" t="str">
        <f>VLOOKUP(F4055,辅助信息!A:B,2,FALSE)</f>
        <v>螺纹钢</v>
      </c>
      <c r="F4055" s="113" t="s">
        <v>18</v>
      </c>
      <c r="G4055" s="114">
        <v>6</v>
      </c>
      <c r="H4055" s="127">
        <f>IF(SUMIFS('[1]2025年已发货'!$E:$E,'[1]2025年已发货'!$F:$F,C4055,'[1]2025年已发货'!$C:$C,F4055,'[1]2025年已发货'!$G:$G,I4055,'[1]2025年已发货'!$H:$H,J4055)=0,"未发货",SUMIFS('[1]2025年已发货'!$E:$E,'[1]2025年已发货'!$F:$F,C4055,'[1]2025年已发货'!$C:$C,F4055,'[1]2025年已发货'!$G:$G,I4055,'[1]2025年已发货'!$H:$H,J4055))</f>
        <v>6</v>
      </c>
      <c r="I4055" s="113" t="str">
        <f>VLOOKUP(B4055,辅助信息!E:I,3,FALSE)</f>
        <v>(五冶建设龙泉驿一医院配套建设工程)成都市龙泉驿区董朗路69号龙泉驿一医院5号门</v>
      </c>
      <c r="J4055" s="113" t="str">
        <f>VLOOKUP(B4055,辅助信息!E:I,4,FALSE)</f>
        <v>孙敏</v>
      </c>
      <c r="K4055" s="113">
        <f>VLOOKUP(J4055,辅助信息!H:I,2,FALSE)</f>
        <v>13617695006</v>
      </c>
      <c r="L4055" s="115" t="str">
        <f>VLOOKUP(B4055,辅助信息!E:J,6,FALSE)</f>
        <v>联系实际收货人（孙敏13617695006）五冶建设送货单,6份材质书,锈货不收，装货前联系收货人核实到场规格,没提前告知进场规格现场不给予接收</v>
      </c>
      <c r="O4055" s="55" t="str">
        <f ca="1" t="shared" si="208"/>
        <v/>
      </c>
      <c r="P4055" s="55" t="str">
        <f ca="1" t="shared" si="209"/>
        <v/>
      </c>
      <c r="Q4055" s="22" t="str">
        <f>VLOOKUP(B4055,辅助信息!E:M,9,FALSE)</f>
        <v>ZTWM-CDGS-XS-2025-0073-五冶天府-成都怡心湖片区及龙泉驿医院等项目</v>
      </c>
      <c r="R4055" s="22" t="str">
        <f>_xlfn._xlws.FILTER(辅助信息!D:D,辅助信息!E:E=B4055)</f>
        <v>五冶建设龙泉驿一医院配套建设工程</v>
      </c>
    </row>
    <row r="4056" hidden="1" spans="2:18">
      <c r="B4056" s="129" t="s">
        <v>215</v>
      </c>
      <c r="C4056" s="63">
        <v>45929</v>
      </c>
      <c r="D4056" s="113" t="str">
        <f>VLOOKUP(B4056,辅助信息!E:K,7,FALSE)</f>
        <v>JWDDCD2025102100486</v>
      </c>
      <c r="E4056" s="113" t="str">
        <f>VLOOKUP(F4056,辅助信息!A:B,2,FALSE)</f>
        <v>螺纹钢</v>
      </c>
      <c r="F4056" s="113" t="s">
        <v>22</v>
      </c>
      <c r="G4056" s="114">
        <v>9</v>
      </c>
      <c r="H4056" s="127">
        <f>IF(SUMIFS('[1]2025年已发货'!$E:$E,'[1]2025年已发货'!$F:$F,C4056,'[1]2025年已发货'!$C:$C,F4056,'[1]2025年已发货'!$G:$G,I4056,'[1]2025年已发货'!$H:$H,J4056)=0,"未发货",SUMIFS('[1]2025年已发货'!$E:$E,'[1]2025年已发货'!$F:$F,C4056,'[1]2025年已发货'!$C:$C,F4056,'[1]2025年已发货'!$G:$G,I4056,'[1]2025年已发货'!$H:$H,J4056))</f>
        <v>9</v>
      </c>
      <c r="I4056" s="113" t="str">
        <f>VLOOKUP(B4056,辅助信息!E:I,3,FALSE)</f>
        <v>(五冶建设龙泉驿一医院配套建设工程)成都市龙泉驿区董朗路69号龙泉驿一医院5号门</v>
      </c>
      <c r="J4056" s="113" t="str">
        <f>VLOOKUP(B4056,辅助信息!E:I,4,FALSE)</f>
        <v>孙敏</v>
      </c>
      <c r="K4056" s="113">
        <f>VLOOKUP(J4056,辅助信息!H:I,2,FALSE)</f>
        <v>13617695006</v>
      </c>
      <c r="L4056" s="115" t="str">
        <f>VLOOKUP(B4056,辅助信息!E:J,6,FALSE)</f>
        <v>联系实际收货人（孙敏13617695006）五冶建设送货单,6份材质书,锈货不收，装货前联系收货人核实到场规格,没提前告知进场规格现场不给予接收</v>
      </c>
      <c r="O4056" s="55" t="str">
        <f ca="1" t="shared" si="208"/>
        <v/>
      </c>
      <c r="P4056" s="55" t="str">
        <f ca="1" t="shared" si="209"/>
        <v/>
      </c>
      <c r="Q4056" s="22" t="str">
        <f>VLOOKUP(B4056,辅助信息!E:M,9,FALSE)</f>
        <v>ZTWM-CDGS-XS-2025-0073-五冶天府-成都怡心湖片区及龙泉驿医院等项目</v>
      </c>
      <c r="R4056" s="22" t="str">
        <f>_xlfn._xlws.FILTER(辅助信息!D:D,辅助信息!E:E=B4056)</f>
        <v>五冶建设龙泉驿一医院配套建设工程</v>
      </c>
    </row>
    <row r="4057" hidden="1" spans="2:18">
      <c r="B4057" s="129" t="s">
        <v>204</v>
      </c>
      <c r="C4057" s="63">
        <v>45929</v>
      </c>
      <c r="D4057" s="113" t="str">
        <f>VLOOKUP(B4057,辅助信息!E:K,7,FALSE)</f>
        <v>JWDDCD2025062200016</v>
      </c>
      <c r="E4057" s="113" t="str">
        <f>VLOOKUP(F4057,辅助信息!A:B,2,FALSE)</f>
        <v>螺纹钢</v>
      </c>
      <c r="F4057" s="113" t="s">
        <v>30</v>
      </c>
      <c r="G4057" s="114">
        <v>32</v>
      </c>
      <c r="H4057" s="127"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13" t="str">
        <f>VLOOKUP(B4057,辅助信息!E:I,3,FALSE)</f>
        <v>(武汉电气化局成达万高铁强电项目-达州主城区-达州南站)四川省达州市达川区达州南站</v>
      </c>
      <c r="J4057" s="113" t="str">
        <f>VLOOKUP(B4057,辅助信息!E:I,4,FALSE)</f>
        <v>杨人志</v>
      </c>
      <c r="K4057" s="113">
        <f>VLOOKUP(J4057,辅助信息!H:I,2,FALSE)</f>
        <v>18782679099</v>
      </c>
      <c r="L4057" s="115" t="str">
        <f>VLOOKUP(B4057,辅助信息!E:J,6,FALSE)</f>
        <v>锈货不收！！下雨天钢筋没盖篷布不收！！，装货前联系收货人核实到场规格,没提前告知进场规格现场不给予接收</v>
      </c>
      <c r="O4057" s="55" t="str">
        <f ca="1" t="shared" si="208"/>
        <v/>
      </c>
      <c r="P4057" s="55" t="str">
        <f ca="1" t="shared" si="209"/>
        <v/>
      </c>
      <c r="Q4057" s="22" t="str">
        <f>VLOOKUP(B4057,辅助信息!E:M,9,FALSE)</f>
        <v>ZTWM-CDGS-XS-2025-0033-中铁武汉电气化局集团有限公司成达万高速铁路强电工程项目</v>
      </c>
      <c r="R4057" s="22" t="str">
        <f>_xlfn._xlws.FILTER(辅助信息!D:D,辅助信息!E:E=B4057)</f>
        <v>武汉电气化局成达万高铁强电项目</v>
      </c>
    </row>
    <row r="4058" hidden="1" spans="2:18">
      <c r="B4058" s="129" t="s">
        <v>204</v>
      </c>
      <c r="C4058" s="63">
        <v>45929</v>
      </c>
      <c r="D4058" s="113" t="str">
        <f>VLOOKUP(B4058,辅助信息!E:K,7,FALSE)</f>
        <v>JWDDCD2025062200016</v>
      </c>
      <c r="E4058" s="113" t="str">
        <f>VLOOKUP(F4058,辅助信息!A:B,2,FALSE)</f>
        <v>螺纹钢</v>
      </c>
      <c r="F4058" s="113" t="s">
        <v>28</v>
      </c>
      <c r="G4058" s="114">
        <v>3</v>
      </c>
      <c r="H4058" s="127"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13" t="str">
        <f>VLOOKUP(B4058,辅助信息!E:I,3,FALSE)</f>
        <v>(武汉电气化局成达万高铁强电项目-达州主城区-达州南站)四川省达州市达川区达州南站</v>
      </c>
      <c r="J4058" s="113" t="str">
        <f>VLOOKUP(B4058,辅助信息!E:I,4,FALSE)</f>
        <v>杨人志</v>
      </c>
      <c r="K4058" s="113">
        <f>VLOOKUP(J4058,辅助信息!H:I,2,FALSE)</f>
        <v>18782679099</v>
      </c>
      <c r="L4058" s="115" t="str">
        <f>VLOOKUP(B4058,辅助信息!E:J,6,FALSE)</f>
        <v>锈货不收！！下雨天钢筋没盖篷布不收！！，装货前联系收货人核实到场规格,没提前告知进场规格现场不给予接收</v>
      </c>
      <c r="O4058" s="55" t="str">
        <f ca="1" t="shared" si="208"/>
        <v/>
      </c>
      <c r="P4058" s="55" t="str">
        <f ca="1" t="shared" si="209"/>
        <v/>
      </c>
      <c r="Q4058" s="22" t="str">
        <f>VLOOKUP(B4058,辅助信息!E:M,9,FALSE)</f>
        <v>ZTWM-CDGS-XS-2025-0033-中铁武汉电气化局集团有限公司成达万高速铁路强电工程项目</v>
      </c>
      <c r="R4058" s="22" t="str">
        <f>_xlfn._xlws.FILTER(辅助信息!D:D,辅助信息!E:E=B4058)</f>
        <v>武汉电气化局成达万高铁强电项目</v>
      </c>
    </row>
    <row r="4059" hidden="1" spans="2:18">
      <c r="B4059" s="129" t="s">
        <v>150</v>
      </c>
      <c r="C4059" s="63">
        <v>45929</v>
      </c>
      <c r="D4059" s="113" t="str">
        <f>VLOOKUP(B4059,辅助信息!E:K,7,FALSE)</f>
        <v>JWDDCD2025050800101</v>
      </c>
      <c r="E4059" s="113" t="str">
        <f>VLOOKUP(F4059,辅助信息!A:B,2,FALSE)</f>
        <v>盘螺</v>
      </c>
      <c r="F4059" s="113" t="s">
        <v>41</v>
      </c>
      <c r="G4059" s="114">
        <v>10</v>
      </c>
      <c r="H4059" s="127">
        <f>IF(SUMIFS('[1]2025年已发货'!$E:$E,'[1]2025年已发货'!$F:$F,C4059,'[1]2025年已发货'!$C:$C,F4059,'[1]2025年已发货'!$G:$G,I4059,'[1]2025年已发货'!$H:$H,J4059)=0,"未发货",SUMIFS('[1]2025年已发货'!$E:$E,'[1]2025年已发货'!$F:$F,C4059,'[1]2025年已发货'!$C:$C,F4059,'[1]2025年已发货'!$G:$G,I4059,'[1]2025年已发货'!$H:$H,J4059))</f>
        <v>10</v>
      </c>
      <c r="I4059" s="113" t="str">
        <f>VLOOKUP(B4059,辅助信息!E:I,3,FALSE)</f>
        <v>(中铁科研院宜宾泥溪项目)中铁科研院集团有限公司宜宾市泥溪东互通式立交下穿成贵客专铁路工程项目钢筋加工厂</v>
      </c>
      <c r="J4059" s="113" t="str">
        <f>VLOOKUP(B4059,辅助信息!E:I,4,FALSE)</f>
        <v>蔡鹏</v>
      </c>
      <c r="K4059" s="113">
        <f>VLOOKUP(J4059,辅助信息!H:I,2,FALSE)</f>
        <v>19130850820</v>
      </c>
      <c r="L4059" s="115" t="str">
        <f>VLOOKUP(B4059,辅助信息!E:J,6,FALSE)</f>
        <v>装货前联系收货人核实到场规格，货物最下面用方木垫下方便卸货</v>
      </c>
      <c r="O4059" s="55" t="str">
        <f ca="1" t="shared" si="208"/>
        <v/>
      </c>
      <c r="P4059" s="55" t="str">
        <f ca="1" t="shared" si="209"/>
        <v/>
      </c>
      <c r="Q4059" s="22" t="str">
        <f>VLOOKUP(B4059,辅助信息!E:M,9,FALSE)</f>
        <v>ZTWM-CDGS-XS-2025-0050-中铁科研院-宜宾泥溪项目</v>
      </c>
      <c r="R4059" s="22" t="str">
        <f>_xlfn._xlws.FILTER(辅助信息!D:D,辅助信息!E:E=B4059)</f>
        <v>中铁科研院宜宾泥溪项目</v>
      </c>
    </row>
    <row r="4060" hidden="1" spans="2:18">
      <c r="B4060" s="129" t="s">
        <v>150</v>
      </c>
      <c r="C4060" s="63">
        <v>45929</v>
      </c>
      <c r="D4060" s="113" t="str">
        <f>VLOOKUP(B4060,辅助信息!E:K,7,FALSE)</f>
        <v>JWDDCD2025050800101</v>
      </c>
      <c r="E4060" s="113" t="str">
        <f>VLOOKUP(F4060,辅助信息!A:B,2,FALSE)</f>
        <v>盘螺</v>
      </c>
      <c r="F4060" s="113" t="s">
        <v>26</v>
      </c>
      <c r="G4060" s="114">
        <v>25</v>
      </c>
      <c r="H4060" s="127">
        <f>IF(SUMIFS('[1]2025年已发货'!$E:$E,'[1]2025年已发货'!$F:$F,C4060,'[1]2025年已发货'!$C:$C,F4060,'[1]2025年已发货'!$G:$G,I4060,'[1]2025年已发货'!$H:$H,J4060)=0,"未发货",SUMIFS('[1]2025年已发货'!$E:$E,'[1]2025年已发货'!$F:$F,C4060,'[1]2025年已发货'!$C:$C,F4060,'[1]2025年已发货'!$G:$G,I4060,'[1]2025年已发货'!$H:$H,J4060))</f>
        <v>25</v>
      </c>
      <c r="I4060" s="113" t="str">
        <f>VLOOKUP(B4060,辅助信息!E:I,3,FALSE)</f>
        <v>(中铁科研院宜宾泥溪项目)中铁科研院集团有限公司宜宾市泥溪东互通式立交下穿成贵客专铁路工程项目钢筋加工厂</v>
      </c>
      <c r="J4060" s="113" t="str">
        <f>VLOOKUP(B4060,辅助信息!E:I,4,FALSE)</f>
        <v>蔡鹏</v>
      </c>
      <c r="K4060" s="113">
        <f>VLOOKUP(J4060,辅助信息!H:I,2,FALSE)</f>
        <v>19130850820</v>
      </c>
      <c r="L4060" s="115" t="str">
        <f>VLOOKUP(B4060,辅助信息!E:J,6,FALSE)</f>
        <v>装货前联系收货人核实到场规格，货物最下面用方木垫下方便卸货</v>
      </c>
      <c r="O4060" s="55" t="str">
        <f ca="1" t="shared" si="208"/>
        <v/>
      </c>
      <c r="P4060" s="55" t="str">
        <f ca="1" t="shared" si="209"/>
        <v/>
      </c>
      <c r="Q4060" s="22" t="str">
        <f>VLOOKUP(B4060,辅助信息!E:M,9,FALSE)</f>
        <v>ZTWM-CDGS-XS-2025-0050-中铁科研院-宜宾泥溪项目</v>
      </c>
      <c r="R4060" s="22" t="str">
        <f>_xlfn._xlws.FILTER(辅助信息!D:D,辅助信息!E:E=B4060)</f>
        <v>中铁科研院宜宾泥溪项目</v>
      </c>
    </row>
    <row r="4061" hidden="1" spans="2:18">
      <c r="B4061" s="128" t="s">
        <v>228</v>
      </c>
      <c r="C4061" s="63">
        <v>45929</v>
      </c>
      <c r="D4061" s="33" t="str">
        <f>VLOOKUP(B4061,辅助信息!E:K,7,FALSE)</f>
        <v>JWDDCD2025092400190</v>
      </c>
      <c r="E4061" s="33" t="str">
        <f>VLOOKUP(F4061,辅助信息!A:B,2,FALSE)</f>
        <v>螺纹钢</v>
      </c>
      <c r="F4061" s="33" t="s">
        <v>27</v>
      </c>
      <c r="G4061" s="29">
        <v>3</v>
      </c>
      <c r="H4061" s="127">
        <f>IF(SUMIFS('[1]2025年已发货'!$E:$E,'[1]2025年已发货'!$F:$F,C4061,'[1]2025年已发货'!$C:$C,F4061,'[1]2025年已发货'!$G:$G,I4061,'[1]2025年已发货'!$H:$H,J4061)=0,"未发货",SUMIFS('[1]2025年已发货'!$E:$E,'[1]2025年已发货'!$F:$F,C4061,'[1]2025年已发货'!$C:$C,F4061,'[1]2025年已发货'!$G:$G,I4061,'[1]2025年已发货'!$H:$H,J4061))</f>
        <v>3</v>
      </c>
      <c r="I4061" s="33" t="str">
        <f>VLOOKUP(B4061,辅助信息!E:I,3,FALSE)</f>
        <v>(五冶钢构龙泉东洪片区70亩住宅、商业及配套工程项目二标段)成都市龙泉驿外东洪路地铁2号线惠王陵地铁C口</v>
      </c>
      <c r="J4061" s="33" t="str">
        <f>VLOOKUP(B4061,辅助信息!E:I,4,FALSE)</f>
        <v>蒋嗣伟</v>
      </c>
      <c r="K4061" s="33">
        <f>VLOOKUP(J4061,辅助信息!H:I,2,FALSE)</f>
        <v>15014331252</v>
      </c>
      <c r="L4061" s="102">
        <f>VLOOKUP(B4061,辅助信息!E:J,6,FALSE)</f>
        <v>0</v>
      </c>
      <c r="O4061" s="55" t="str">
        <f ca="1" t="shared" si="208"/>
        <v/>
      </c>
      <c r="P4061" s="55" t="str">
        <f ca="1" t="shared" si="209"/>
        <v/>
      </c>
      <c r="Q4061" s="22" t="str">
        <f>VLOOKUP(B4061,辅助信息!E:M,9,FALSE)</f>
        <v>ZTWM-CDGS-XS-2025-0156-五冶钢构-2025年九月第一批次钢筋采购合同(三圣乡项目)-中铁物贸成都公司</v>
      </c>
      <c r="R4061" s="22" t="str">
        <f>_xlfn._xlws.FILTER(辅助信息!D:D,辅助信息!E:E=B4061)</f>
        <v>五冶钢构龙泉东洪片区70亩住宅、商业及配套工程项目二标段</v>
      </c>
    </row>
    <row r="4062" hidden="1" spans="2:18">
      <c r="B4062" s="128" t="s">
        <v>228</v>
      </c>
      <c r="C4062" s="63">
        <v>45929</v>
      </c>
      <c r="D4062" s="33" t="str">
        <f>VLOOKUP(B4062,辅助信息!E:K,7,FALSE)</f>
        <v>JWDDCD2025092400190</v>
      </c>
      <c r="E4062" s="33" t="str">
        <f>VLOOKUP(F4062,辅助信息!A:B,2,FALSE)</f>
        <v>螺纹钢</v>
      </c>
      <c r="F4062" s="33" t="s">
        <v>30</v>
      </c>
      <c r="G4062" s="29">
        <v>12</v>
      </c>
      <c r="H4062" s="127">
        <f>IF(SUMIFS('[1]2025年已发货'!$E:$E,'[1]2025年已发货'!$F:$F,C4062,'[1]2025年已发货'!$C:$C,F4062,'[1]2025年已发货'!$G:$G,I4062,'[1]2025年已发货'!$H:$H,J4062)=0,"未发货",SUMIFS('[1]2025年已发货'!$E:$E,'[1]2025年已发货'!$F:$F,C4062,'[1]2025年已发货'!$C:$C,F4062,'[1]2025年已发货'!$G:$G,I4062,'[1]2025年已发货'!$H:$H,J4062))</f>
        <v>12</v>
      </c>
      <c r="I4062" s="33" t="str">
        <f>VLOOKUP(B4062,辅助信息!E:I,3,FALSE)</f>
        <v>(五冶钢构龙泉东洪片区70亩住宅、商业及配套工程项目二标段)成都市龙泉驿外东洪路地铁2号线惠王陵地铁C口</v>
      </c>
      <c r="J4062" s="33" t="str">
        <f>VLOOKUP(B4062,辅助信息!E:I,4,FALSE)</f>
        <v>蒋嗣伟</v>
      </c>
      <c r="K4062" s="33">
        <f>VLOOKUP(J4062,辅助信息!H:I,2,FALSE)</f>
        <v>15014331252</v>
      </c>
      <c r="L4062" s="102">
        <f>VLOOKUP(B4062,辅助信息!E:J,6,FALSE)</f>
        <v>0</v>
      </c>
      <c r="O4062" s="55" t="str">
        <f ca="1" t="shared" si="208"/>
        <v/>
      </c>
      <c r="P4062" s="55" t="str">
        <f ca="1" t="shared" si="209"/>
        <v/>
      </c>
      <c r="Q4062" s="22" t="str">
        <f>VLOOKUP(B4062,辅助信息!E:M,9,FALSE)</f>
        <v>ZTWM-CDGS-XS-2025-0156-五冶钢构-2025年九月第一批次钢筋采购合同(三圣乡项目)-中铁物贸成都公司</v>
      </c>
      <c r="R4062" s="22" t="str">
        <f>_xlfn._xlws.FILTER(辅助信息!D:D,辅助信息!E:E=B4062)</f>
        <v>五冶钢构龙泉东洪片区70亩住宅、商业及配套工程项目二标段</v>
      </c>
    </row>
    <row r="4063" hidden="1" spans="2:18">
      <c r="B4063" s="128" t="s">
        <v>228</v>
      </c>
      <c r="C4063" s="63">
        <v>45929</v>
      </c>
      <c r="D4063" s="33" t="str">
        <f>VLOOKUP(B4063,辅助信息!E:K,7,FALSE)</f>
        <v>JWDDCD2025092400190</v>
      </c>
      <c r="E4063" s="33" t="str">
        <f>VLOOKUP(F4063,辅助信息!A:B,2,FALSE)</f>
        <v>螺纹钢</v>
      </c>
      <c r="F4063" s="33" t="s">
        <v>33</v>
      </c>
      <c r="G4063" s="29">
        <v>12</v>
      </c>
      <c r="H4063" s="127">
        <f>IF(SUMIFS('[1]2025年已发货'!$E:$E,'[1]2025年已发货'!$F:$F,C4063,'[1]2025年已发货'!$C:$C,F4063,'[1]2025年已发货'!$G:$G,I4063,'[1]2025年已发货'!$H:$H,J4063)=0,"未发货",SUMIFS('[1]2025年已发货'!$E:$E,'[1]2025年已发货'!$F:$F,C4063,'[1]2025年已发货'!$C:$C,F4063,'[1]2025年已发货'!$G:$G,I4063,'[1]2025年已发货'!$H:$H,J4063))</f>
        <v>12</v>
      </c>
      <c r="I4063" s="33" t="str">
        <f>VLOOKUP(B4063,辅助信息!E:I,3,FALSE)</f>
        <v>(五冶钢构龙泉东洪片区70亩住宅、商业及配套工程项目二标段)成都市龙泉驿外东洪路地铁2号线惠王陵地铁C口</v>
      </c>
      <c r="J4063" s="33" t="str">
        <f>VLOOKUP(B4063,辅助信息!E:I,4,FALSE)</f>
        <v>蒋嗣伟</v>
      </c>
      <c r="K4063" s="33">
        <f>VLOOKUP(J4063,辅助信息!H:I,2,FALSE)</f>
        <v>15014331252</v>
      </c>
      <c r="L4063" s="102">
        <f>VLOOKUP(B4063,辅助信息!E:J,6,FALSE)</f>
        <v>0</v>
      </c>
      <c r="O4063" s="55" t="str">
        <f ca="1" t="shared" si="208"/>
        <v/>
      </c>
      <c r="P4063" s="55" t="str">
        <f ca="1" t="shared" si="209"/>
        <v/>
      </c>
      <c r="Q4063" s="22" t="str">
        <f>VLOOKUP(B4063,辅助信息!E:M,9,FALSE)</f>
        <v>ZTWM-CDGS-XS-2025-0156-五冶钢构-2025年九月第一批次钢筋采购合同(三圣乡项目)-中铁物贸成都公司</v>
      </c>
      <c r="R4063" s="22" t="str">
        <f>_xlfn._xlws.FILTER(辅助信息!D:D,辅助信息!E:E=B4063)</f>
        <v>五冶钢构龙泉东洪片区70亩住宅、商业及配套工程项目二标段</v>
      </c>
    </row>
    <row r="4064" hidden="1" spans="2:18">
      <c r="B4064" s="128" t="s">
        <v>228</v>
      </c>
      <c r="C4064" s="63">
        <v>45929</v>
      </c>
      <c r="D4064" s="33" t="str">
        <f>VLOOKUP(B4064,辅助信息!E:K,7,FALSE)</f>
        <v>JWDDCD2025092400190</v>
      </c>
      <c r="E4064" s="33" t="str">
        <f>VLOOKUP(F4064,辅助信息!A:B,2,FALSE)</f>
        <v>螺纹钢</v>
      </c>
      <c r="F4064" s="33" t="s">
        <v>18</v>
      </c>
      <c r="G4064" s="29">
        <v>9</v>
      </c>
      <c r="H4064" s="127">
        <f>IF(SUMIFS('[1]2025年已发货'!$E:$E,'[1]2025年已发货'!$F:$F,C4064,'[1]2025年已发货'!$C:$C,F4064,'[1]2025年已发货'!$G:$G,I4064,'[1]2025年已发货'!$H:$H,J4064)=0,"未发货",SUMIFS('[1]2025年已发货'!$E:$E,'[1]2025年已发货'!$F:$F,C4064,'[1]2025年已发货'!$C:$C,F4064,'[1]2025年已发货'!$G:$G,I4064,'[1]2025年已发货'!$H:$H,J4064))</f>
        <v>9</v>
      </c>
      <c r="I4064" s="33" t="str">
        <f>VLOOKUP(B4064,辅助信息!E:I,3,FALSE)</f>
        <v>(五冶钢构龙泉东洪片区70亩住宅、商业及配套工程项目二标段)成都市龙泉驿外东洪路地铁2号线惠王陵地铁C口</v>
      </c>
      <c r="J4064" s="33" t="str">
        <f>VLOOKUP(B4064,辅助信息!E:I,4,FALSE)</f>
        <v>蒋嗣伟</v>
      </c>
      <c r="K4064" s="33">
        <f>VLOOKUP(J4064,辅助信息!H:I,2,FALSE)</f>
        <v>15014331252</v>
      </c>
      <c r="L4064" s="102">
        <f>VLOOKUP(B4064,辅助信息!E:J,6,FALSE)</f>
        <v>0</v>
      </c>
      <c r="O4064" s="55" t="str">
        <f ca="1" t="shared" ref="O4064:O4127" si="210">IF(OR(M4064="",N4064&lt;&gt;""),"",MAX(M4064-TODAY(),0))</f>
        <v/>
      </c>
      <c r="P4064" s="55" t="str">
        <f ca="1" t="shared" ref="P4064:P4127" si="211">IF(M4064="","",IF(N4064&lt;&gt;"",MAX(N4064-M4064,0),IF(TODAY()&gt;M4064,TODAY()-M4064,0)))</f>
        <v/>
      </c>
      <c r="Q4064" s="22" t="str">
        <f>VLOOKUP(B4064,辅助信息!E:M,9,FALSE)</f>
        <v>ZTWM-CDGS-XS-2025-0156-五冶钢构-2025年九月第一批次钢筋采购合同(三圣乡项目)-中铁物贸成都公司</v>
      </c>
      <c r="R4064" s="22" t="str">
        <f>_xlfn._xlws.FILTER(辅助信息!D:D,辅助信息!E:E=B4064)</f>
        <v>五冶钢构龙泉东洪片区70亩住宅、商业及配套工程项目二标段</v>
      </c>
    </row>
    <row r="4065" hidden="1" spans="2:18">
      <c r="B4065" s="128" t="s">
        <v>169</v>
      </c>
      <c r="C4065" s="63">
        <v>45929</v>
      </c>
      <c r="D4065" s="33" t="str">
        <f>VLOOKUP(B4065,辅助信息!E:K,7,FALSE)</f>
        <v>JWDDCD2025051800044</v>
      </c>
      <c r="E4065" s="33" t="str">
        <f>VLOOKUP(F4065,辅助信息!A:B,2,FALSE)</f>
        <v>高线</v>
      </c>
      <c r="F4065" s="33" t="s">
        <v>51</v>
      </c>
      <c r="G4065" s="29">
        <v>35</v>
      </c>
      <c r="H4065" s="127"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33" t="str">
        <f>VLOOKUP(B4065,辅助信息!E:I,3,FALSE)</f>
        <v>(五冶建设龙泉芙蓉花语项目-1,3地块)龙泉驿区北川路双堰塘钓鱼东100米(北川路)</v>
      </c>
      <c r="J4065" s="33" t="str">
        <f>VLOOKUP(B4065,辅助信息!E:I,4,FALSE)</f>
        <v>祝斯阳</v>
      </c>
      <c r="K4065" s="33">
        <f>VLOOKUP(J4065,辅助信息!H:I,2,FALSE)</f>
        <v>15583590797</v>
      </c>
      <c r="L4065" s="102"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55" t="str">
        <f ca="1" t="shared" si="210"/>
        <v/>
      </c>
      <c r="P4065" s="55" t="str">
        <f ca="1" t="shared" si="211"/>
        <v/>
      </c>
      <c r="Q4065" s="22" t="str">
        <f>VLOOKUP(B4065,辅助信息!E:M,9,FALSE)</f>
        <v>ZTWM-CDGS-XS-2025-0073-五冶天府-成都怡心湖片区及龙泉驿医院等项目</v>
      </c>
      <c r="R4065" s="22" t="str">
        <f>_xlfn._xlws.FILTER(辅助信息!D:D,辅助信息!E:E=B4065)</f>
        <v>五冶建设龙泉芙蓉花语项目</v>
      </c>
    </row>
    <row r="4066" hidden="1" spans="2:18">
      <c r="B4066" s="128" t="s">
        <v>169</v>
      </c>
      <c r="C4066" s="63">
        <v>45929</v>
      </c>
      <c r="D4066" s="33" t="str">
        <f>VLOOKUP(B4066,辅助信息!E:K,7,FALSE)</f>
        <v>JWDDCD2025051800044</v>
      </c>
      <c r="E4066" s="33" t="str">
        <f>VLOOKUP(F4066,辅助信息!A:B,2,FALSE)</f>
        <v>螺纹钢</v>
      </c>
      <c r="F4066" s="33" t="s">
        <v>28</v>
      </c>
      <c r="G4066" s="29">
        <v>105</v>
      </c>
      <c r="H4066" s="127"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33" t="str">
        <f>VLOOKUP(B4066,辅助信息!E:I,3,FALSE)</f>
        <v>(五冶建设龙泉芙蓉花语项目-1,3地块)龙泉驿区北川路双堰塘钓鱼东100米(北川路)</v>
      </c>
      <c r="J4066" s="33" t="str">
        <f>VLOOKUP(B4066,辅助信息!E:I,4,FALSE)</f>
        <v>祝斯阳</v>
      </c>
      <c r="K4066" s="33">
        <f>VLOOKUP(J4066,辅助信息!H:I,2,FALSE)</f>
        <v>15583590797</v>
      </c>
      <c r="L4066" s="102"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55" t="str">
        <f ca="1" t="shared" si="210"/>
        <v/>
      </c>
      <c r="P4066" s="55" t="str">
        <f ca="1" t="shared" si="211"/>
        <v/>
      </c>
      <c r="Q4066" s="22" t="str">
        <f>VLOOKUP(B4066,辅助信息!E:M,9,FALSE)</f>
        <v>ZTWM-CDGS-XS-2025-0073-五冶天府-成都怡心湖片区及龙泉驿医院等项目</v>
      </c>
      <c r="R4066" s="22" t="str">
        <f>_xlfn._xlws.FILTER(辅助信息!D:D,辅助信息!E:E=B4066)</f>
        <v>五冶建设龙泉芙蓉花语项目</v>
      </c>
    </row>
    <row r="4067" hidden="1" spans="2:18">
      <c r="B4067" s="129" t="s">
        <v>81</v>
      </c>
      <c r="C4067" s="63">
        <v>45930</v>
      </c>
      <c r="D4067" s="113" t="str">
        <f>VLOOKUP(B4067,辅助信息!E:K,7,FALSE)</f>
        <v>JWDDCD2025060900080</v>
      </c>
      <c r="E4067" s="113" t="str">
        <f>VLOOKUP(F4067,辅助信息!A:B,2,FALSE)</f>
        <v>螺纹钢</v>
      </c>
      <c r="F4067" s="113" t="s">
        <v>32</v>
      </c>
      <c r="G4067" s="114">
        <v>10</v>
      </c>
      <c r="H4067" s="127">
        <f>IF(SUMIFS('[1]2025年已发货'!$E:$E,'[1]2025年已发货'!$F:$F,C4067,'[1]2025年已发货'!$C:$C,F4067,'[1]2025年已发货'!$G:$G,I4067,'[1]2025年已发货'!$H:$H,J4067)=0,"未发货",SUMIFS('[1]2025年已发货'!$E:$E,'[1]2025年已发货'!$F:$F,C4067,'[1]2025年已发货'!$C:$C,F4067,'[1]2025年已发货'!$G:$G,I4067,'[1]2025年已发货'!$H:$H,J4067))</f>
        <v>5</v>
      </c>
      <c r="I4067" s="113" t="str">
        <f>VLOOKUP(B4067,辅助信息!E:I,3,FALSE)</f>
        <v>（华西简阳西城嘉苑）四川省成都市简阳市简城街道高屋村</v>
      </c>
      <c r="J4067" s="113" t="str">
        <f>VLOOKUP(B4067,辅助信息!E:I,4,FALSE)</f>
        <v>张瀚镭</v>
      </c>
      <c r="K4067" s="113">
        <f>VLOOKUP(J4067,辅助信息!H:I,2,FALSE)</f>
        <v>15884666220</v>
      </c>
      <c r="L4067" s="115" t="str">
        <f>VLOOKUP(B4067,辅助信息!E:J,6,FALSE)</f>
        <v>现场禁止使用氢能源挂车！优先威钢发货,我方卸车,新老国标钢厂不加价可直发，因陕钢多次出现磅差，项目拒绝使用</v>
      </c>
      <c r="M4067" s="141">
        <v>45929</v>
      </c>
      <c r="O4067" s="55">
        <f ca="1" t="shared" si="210"/>
        <v>0</v>
      </c>
      <c r="P4067" s="55">
        <f ca="1" t="shared" si="211"/>
        <v>28</v>
      </c>
      <c r="Q4067" s="22" t="str">
        <f>VLOOKUP(B4067,辅助信息!E:M,9,FALSE)</f>
        <v>ZTWM-CDGS-XS-2024-0030-华西集采-简州大道</v>
      </c>
      <c r="R4067" s="22" t="str">
        <f>_xlfn._xlws.FILTER(辅助信息!D:D,辅助信息!E:E=B4067)</f>
        <v>华西简阳西城嘉苑</v>
      </c>
    </row>
    <row r="4068" hidden="1" spans="2:18">
      <c r="B4068" s="129" t="s">
        <v>81</v>
      </c>
      <c r="C4068" s="63">
        <v>45930</v>
      </c>
      <c r="D4068" s="113" t="str">
        <f>VLOOKUP(B4068,辅助信息!E:K,7,FALSE)</f>
        <v>JWDDCD2025060900080</v>
      </c>
      <c r="E4068" s="113" t="str">
        <f>VLOOKUP(F4068,辅助信息!A:B,2,FALSE)</f>
        <v>螺纹钢</v>
      </c>
      <c r="F4068" s="113" t="s">
        <v>22</v>
      </c>
      <c r="G4068" s="114">
        <v>30</v>
      </c>
      <c r="H4068" s="127">
        <f>IF(SUMIFS('[1]2025年已发货'!$E:$E,'[1]2025年已发货'!$F:$F,C4068,'[1]2025年已发货'!$C:$C,F4068,'[1]2025年已发货'!$G:$G,I4068,'[1]2025年已发货'!$H:$H,J4068)=0,"未发货",SUMIFS('[1]2025年已发货'!$E:$E,'[1]2025年已发货'!$F:$F,C4068,'[1]2025年已发货'!$C:$C,F4068,'[1]2025年已发货'!$G:$G,I4068,'[1]2025年已发货'!$H:$H,J4068))</f>
        <v>30</v>
      </c>
      <c r="I4068" s="113" t="str">
        <f>VLOOKUP(B4068,辅助信息!E:I,3,FALSE)</f>
        <v>（华西简阳西城嘉苑）四川省成都市简阳市简城街道高屋村</v>
      </c>
      <c r="J4068" s="113" t="str">
        <f>VLOOKUP(B4068,辅助信息!E:I,4,FALSE)</f>
        <v>张瀚镭</v>
      </c>
      <c r="K4068" s="113">
        <f>VLOOKUP(J4068,辅助信息!H:I,2,FALSE)</f>
        <v>15884666220</v>
      </c>
      <c r="L4068" s="115" t="str">
        <f>VLOOKUP(B4068,辅助信息!E:J,6,FALSE)</f>
        <v>现场禁止使用氢能源挂车！优先威钢发货,我方卸车,新老国标钢厂不加价可直发，因陕钢多次出现磅差，项目拒绝使用</v>
      </c>
      <c r="O4068" s="55" t="str">
        <f ca="1" t="shared" si="210"/>
        <v/>
      </c>
      <c r="P4068" s="55" t="str">
        <f ca="1" t="shared" si="211"/>
        <v/>
      </c>
      <c r="Q4068" s="22" t="str">
        <f>VLOOKUP(B4068,辅助信息!E:M,9,FALSE)</f>
        <v>ZTWM-CDGS-XS-2024-0030-华西集采-简州大道</v>
      </c>
      <c r="R4068" s="22" t="str">
        <f>_xlfn._xlws.FILTER(辅助信息!D:D,辅助信息!E:E=B4068)</f>
        <v>华西简阳西城嘉苑</v>
      </c>
    </row>
    <row r="4069" hidden="1" spans="2:18">
      <c r="B4069" s="129" t="s">
        <v>81</v>
      </c>
      <c r="C4069" s="63">
        <v>45930</v>
      </c>
      <c r="D4069" s="113" t="str">
        <f>VLOOKUP(B4069,辅助信息!E:K,7,FALSE)</f>
        <v>JWDDCD2025060900080</v>
      </c>
      <c r="E4069" s="113" t="str">
        <f>VLOOKUP(F4069,辅助信息!A:B,2,FALSE)</f>
        <v>盘螺</v>
      </c>
      <c r="F4069" s="113" t="s">
        <v>41</v>
      </c>
      <c r="G4069" s="114">
        <v>20</v>
      </c>
      <c r="H4069" s="127"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13" t="str">
        <f>VLOOKUP(B4069,辅助信息!E:I,3,FALSE)</f>
        <v>（华西简阳西城嘉苑）四川省成都市简阳市简城街道高屋村</v>
      </c>
      <c r="J4069" s="113" t="str">
        <f>VLOOKUP(B4069,辅助信息!E:I,4,FALSE)</f>
        <v>张瀚镭</v>
      </c>
      <c r="K4069" s="113">
        <f>VLOOKUP(J4069,辅助信息!H:I,2,FALSE)</f>
        <v>15884666220</v>
      </c>
      <c r="L4069" s="115" t="str">
        <f>VLOOKUP(B4069,辅助信息!E:J,6,FALSE)</f>
        <v>现场禁止使用氢能源挂车！优先威钢发货,我方卸车,新老国标钢厂不加价可直发，因陕钢多次出现磅差，项目拒绝使用</v>
      </c>
      <c r="O4069" s="55" t="str">
        <f ca="1" t="shared" si="210"/>
        <v/>
      </c>
      <c r="P4069" s="55" t="str">
        <f ca="1" t="shared" si="211"/>
        <v/>
      </c>
      <c r="Q4069" s="22" t="str">
        <f>VLOOKUP(B4069,辅助信息!E:M,9,FALSE)</f>
        <v>ZTWM-CDGS-XS-2024-0030-华西集采-简州大道</v>
      </c>
      <c r="R4069" s="22" t="str">
        <f>_xlfn._xlws.FILTER(辅助信息!D:D,辅助信息!E:E=B4069)</f>
        <v>华西简阳西城嘉苑</v>
      </c>
    </row>
    <row r="4070" hidden="1" spans="2:18">
      <c r="B4070" s="129" t="s">
        <v>81</v>
      </c>
      <c r="C4070" s="63">
        <v>45930</v>
      </c>
      <c r="D4070" s="113" t="str">
        <f>VLOOKUP(B4070,辅助信息!E:K,7,FALSE)</f>
        <v>JWDDCD2025060900080</v>
      </c>
      <c r="E4070" s="113" t="str">
        <f>VLOOKUP(F4070,辅助信息!A:B,2,FALSE)</f>
        <v>盘螺</v>
      </c>
      <c r="F4070" s="113" t="s">
        <v>26</v>
      </c>
      <c r="G4070" s="114">
        <v>10</v>
      </c>
      <c r="H4070" s="127"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13" t="str">
        <f>VLOOKUP(B4070,辅助信息!E:I,3,FALSE)</f>
        <v>（华西简阳西城嘉苑）四川省成都市简阳市简城街道高屋村</v>
      </c>
      <c r="J4070" s="113" t="str">
        <f>VLOOKUP(B4070,辅助信息!E:I,4,FALSE)</f>
        <v>张瀚镭</v>
      </c>
      <c r="K4070" s="113">
        <f>VLOOKUP(J4070,辅助信息!H:I,2,FALSE)</f>
        <v>15884666220</v>
      </c>
      <c r="L4070" s="115" t="str">
        <f>VLOOKUP(B4070,辅助信息!E:J,6,FALSE)</f>
        <v>现场禁止使用氢能源挂车！优先威钢发货,我方卸车,新老国标钢厂不加价可直发，因陕钢多次出现磅差，项目拒绝使用</v>
      </c>
      <c r="O4070" s="55" t="str">
        <f ca="1" t="shared" si="210"/>
        <v/>
      </c>
      <c r="P4070" s="55" t="str">
        <f ca="1" t="shared" si="211"/>
        <v/>
      </c>
      <c r="Q4070" s="22" t="str">
        <f>VLOOKUP(B4070,辅助信息!E:M,9,FALSE)</f>
        <v>ZTWM-CDGS-XS-2024-0030-华西集采-简州大道</v>
      </c>
      <c r="R4070" s="22" t="str">
        <f>_xlfn._xlws.FILTER(辅助信息!D:D,辅助信息!E:E=B4070)</f>
        <v>华西简阳西城嘉苑</v>
      </c>
    </row>
    <row r="4071" hidden="1" spans="2:18">
      <c r="B4071" s="129" t="s">
        <v>81</v>
      </c>
      <c r="C4071" s="63">
        <v>45930</v>
      </c>
      <c r="D4071" s="113" t="str">
        <f>VLOOKUP(B4071,辅助信息!E:K,7,FALSE)</f>
        <v>JWDDCD2025060900080</v>
      </c>
      <c r="E4071" s="113" t="str">
        <f>VLOOKUP(F4071,辅助信息!A:B,2,FALSE)</f>
        <v>盘螺</v>
      </c>
      <c r="F4071" s="113" t="s">
        <v>49</v>
      </c>
      <c r="G4071" s="114">
        <v>25</v>
      </c>
      <c r="H4071" s="127"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13" t="str">
        <f>VLOOKUP(B4071,辅助信息!E:I,3,FALSE)</f>
        <v>（华西简阳西城嘉苑）四川省成都市简阳市简城街道高屋村</v>
      </c>
      <c r="J4071" s="113" t="str">
        <f>VLOOKUP(B4071,辅助信息!E:I,4,FALSE)</f>
        <v>张瀚镭</v>
      </c>
      <c r="K4071" s="113">
        <f>VLOOKUP(J4071,辅助信息!H:I,2,FALSE)</f>
        <v>15884666220</v>
      </c>
      <c r="L4071" s="115" t="str">
        <f>VLOOKUP(B4071,辅助信息!E:J,6,FALSE)</f>
        <v>现场禁止使用氢能源挂车！优先威钢发货,我方卸车,新老国标钢厂不加价可直发，因陕钢多次出现磅差，项目拒绝使用</v>
      </c>
      <c r="O4071" s="55" t="str">
        <f ca="1" t="shared" si="210"/>
        <v/>
      </c>
      <c r="P4071" s="55" t="str">
        <f ca="1" t="shared" si="211"/>
        <v/>
      </c>
      <c r="Q4071" s="22" t="str">
        <f>VLOOKUP(B4071,辅助信息!E:M,9,FALSE)</f>
        <v>ZTWM-CDGS-XS-2024-0030-华西集采-简州大道</v>
      </c>
      <c r="R4071" s="22" t="str">
        <f>_xlfn._xlws.FILTER(辅助信息!D:D,辅助信息!E:E=B4071)</f>
        <v>华西简阳西城嘉苑</v>
      </c>
    </row>
    <row r="4072" hidden="1" spans="2:18">
      <c r="B4072" s="129" t="s">
        <v>81</v>
      </c>
      <c r="C4072" s="63">
        <v>45930</v>
      </c>
      <c r="D4072" s="113" t="str">
        <f>VLOOKUP(B4072,辅助信息!E:K,7,FALSE)</f>
        <v>JWDDCD2025060900080</v>
      </c>
      <c r="E4072" s="113" t="str">
        <f>VLOOKUP(F4072,辅助信息!A:B,2,FALSE)</f>
        <v>盘螺</v>
      </c>
      <c r="F4072" s="113" t="s">
        <v>40</v>
      </c>
      <c r="G4072" s="114">
        <v>10</v>
      </c>
      <c r="H4072" s="127"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13" t="str">
        <f>VLOOKUP(B4072,辅助信息!E:I,3,FALSE)</f>
        <v>（华西简阳西城嘉苑）四川省成都市简阳市简城街道高屋村</v>
      </c>
      <c r="J4072" s="113" t="str">
        <f>VLOOKUP(B4072,辅助信息!E:I,4,FALSE)</f>
        <v>张瀚镭</v>
      </c>
      <c r="K4072" s="113">
        <f>VLOOKUP(J4072,辅助信息!H:I,2,FALSE)</f>
        <v>15884666220</v>
      </c>
      <c r="L4072" s="115" t="str">
        <f>VLOOKUP(B4072,辅助信息!E:J,6,FALSE)</f>
        <v>现场禁止使用氢能源挂车！优先威钢发货,我方卸车,新老国标钢厂不加价可直发，因陕钢多次出现磅差，项目拒绝使用</v>
      </c>
      <c r="M4072" s="141">
        <v>45929</v>
      </c>
      <c r="O4072" s="55">
        <f ca="1" t="shared" si="210"/>
        <v>0</v>
      </c>
      <c r="P4072" s="55">
        <f ca="1" t="shared" si="211"/>
        <v>28</v>
      </c>
      <c r="Q4072" s="22" t="str">
        <f>VLOOKUP(B4072,辅助信息!E:M,9,FALSE)</f>
        <v>ZTWM-CDGS-XS-2024-0030-华西集采-简州大道</v>
      </c>
      <c r="R4072" s="22" t="str">
        <f>_xlfn._xlws.FILTER(辅助信息!D:D,辅助信息!E:E=B4072)</f>
        <v>华西简阳西城嘉苑</v>
      </c>
    </row>
    <row r="4073" hidden="1" spans="2:18">
      <c r="B4073" s="129" t="s">
        <v>179</v>
      </c>
      <c r="C4073" s="63">
        <v>45930</v>
      </c>
      <c r="D4073" s="113" t="str">
        <f>VLOOKUP(B4073,辅助信息!E:K,7,FALSE)</f>
        <v>JWDDCD2025052800131</v>
      </c>
      <c r="E4073" s="113" t="str">
        <f>VLOOKUP(F4073,辅助信息!A:B,2,FALSE)</f>
        <v>螺纹钢</v>
      </c>
      <c r="F4073" s="113" t="s">
        <v>66</v>
      </c>
      <c r="G4073" s="114">
        <v>6</v>
      </c>
      <c r="H4073" s="127">
        <f>IF(SUMIFS('[1]2025年已发货'!$E:$E,'[1]2025年已发货'!$F:$F,C4073,'[1]2025年已发货'!$C:$C,F4073,'[1]2025年已发货'!$G:$G,I4073,'[1]2025年已发货'!$H:$H,J4073)=0,"未发货",SUMIFS('[1]2025年已发货'!$E:$E,'[1]2025年已发货'!$F:$F,C4073,'[1]2025年已发货'!$C:$C,F4073,'[1]2025年已发货'!$G:$G,I4073,'[1]2025年已发货'!$H:$H,J4073))</f>
        <v>6</v>
      </c>
      <c r="I4073" s="113" t="str">
        <f>VLOOKUP(B4073,辅助信息!E:I,3,FALSE)</f>
        <v>（商投建工达州中医药科技园-4工区-3号楼）达州市通川区达州中医药职业学院犀牛大道北段</v>
      </c>
      <c r="J4073" s="113" t="str">
        <f>VLOOKUP(B4073,辅助信息!E:I,4,FALSE)</f>
        <v>张扬</v>
      </c>
      <c r="K4073" s="113">
        <f>VLOOKUP(J4073,辅助信息!H:I,2,FALSE)</f>
        <v>18381904567</v>
      </c>
      <c r="L4073" s="115" t="str">
        <f>VLOOKUP(B4073,辅助信息!E:J,6,FALSE)</f>
        <v>控制炉批号！多了现场不收！,优先安排达钢,提前联系到场规格及数量</v>
      </c>
      <c r="M4073" s="141">
        <v>45929</v>
      </c>
      <c r="O4073" s="55">
        <f ca="1" t="shared" si="210"/>
        <v>0</v>
      </c>
      <c r="P4073" s="55">
        <f ca="1" t="shared" si="211"/>
        <v>28</v>
      </c>
      <c r="Q4073" s="22" t="str">
        <f>VLOOKUP(B4073,辅助信息!E:M,9,FALSE)</f>
        <v>ZTWM-CDGS-XS-2024-0134-商投建工达州中医药科技成果示范园项目</v>
      </c>
      <c r="R4073" s="22" t="str">
        <f>_xlfn._xlws.FILTER(辅助信息!D:D,辅助信息!E:E=B4073)</f>
        <v>商投建工达州中医药科技园</v>
      </c>
    </row>
    <row r="4074" hidden="1" spans="2:18">
      <c r="B4074" s="129" t="s">
        <v>179</v>
      </c>
      <c r="C4074" s="63">
        <v>45930</v>
      </c>
      <c r="D4074" s="113" t="str">
        <f>VLOOKUP(B4074,辅助信息!E:K,7,FALSE)</f>
        <v>JWDDCD2025052800131</v>
      </c>
      <c r="E4074" s="113" t="str">
        <f>VLOOKUP(F4074,辅助信息!A:B,2,FALSE)</f>
        <v>螺纹钢</v>
      </c>
      <c r="F4074" s="113" t="s">
        <v>21</v>
      </c>
      <c r="G4074" s="114">
        <v>6</v>
      </c>
      <c r="H4074" s="127"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13" t="str">
        <f>VLOOKUP(B4074,辅助信息!E:I,3,FALSE)</f>
        <v>（商投建工达州中医药科技园-4工区-3号楼）达州市通川区达州中医药职业学院犀牛大道北段</v>
      </c>
      <c r="J4074" s="113" t="str">
        <f>VLOOKUP(B4074,辅助信息!E:I,4,FALSE)</f>
        <v>张扬</v>
      </c>
      <c r="K4074" s="113">
        <f>VLOOKUP(J4074,辅助信息!H:I,2,FALSE)</f>
        <v>18381904567</v>
      </c>
      <c r="L4074" s="115" t="str">
        <f>VLOOKUP(B4074,辅助信息!E:J,6,FALSE)</f>
        <v>控制炉批号！多了现场不收！,优先安排达钢,提前联系到场规格及数量</v>
      </c>
      <c r="M4074" s="141">
        <v>45929</v>
      </c>
      <c r="O4074" s="55">
        <f ca="1" t="shared" si="210"/>
        <v>0</v>
      </c>
      <c r="P4074" s="55">
        <f ca="1" t="shared" si="211"/>
        <v>28</v>
      </c>
      <c r="Q4074" s="22" t="str">
        <f>VLOOKUP(B4074,辅助信息!E:M,9,FALSE)</f>
        <v>ZTWM-CDGS-XS-2024-0134-商投建工达州中医药科技成果示范园项目</v>
      </c>
      <c r="R4074" s="22" t="str">
        <f>_xlfn._xlws.FILTER(辅助信息!D:D,辅助信息!E:E=B4074)</f>
        <v>商投建工达州中医药科技园</v>
      </c>
    </row>
    <row r="4075" hidden="1" spans="2:18">
      <c r="B4075" s="129" t="s">
        <v>179</v>
      </c>
      <c r="C4075" s="63">
        <v>45930</v>
      </c>
      <c r="D4075" s="113" t="str">
        <f>VLOOKUP(B4075,辅助信息!E:K,7,FALSE)</f>
        <v>JWDDCD2025052800131</v>
      </c>
      <c r="E4075" s="113" t="str">
        <f>VLOOKUP(F4075,辅助信息!A:B,2,FALSE)</f>
        <v>螺纹钢</v>
      </c>
      <c r="F4075" s="113" t="s">
        <v>58</v>
      </c>
      <c r="G4075" s="114">
        <v>15</v>
      </c>
      <c r="H4075" s="127">
        <f>IF(SUMIFS('[1]2025年已发货'!$E:$E,'[1]2025年已发货'!$F:$F,C4075,'[1]2025年已发货'!$C:$C,F4075,'[1]2025年已发货'!$G:$G,I4075,'[1]2025年已发货'!$H:$H,J4075)=0,"未发货",SUMIFS('[1]2025年已发货'!$E:$E,'[1]2025年已发货'!$F:$F,C4075,'[1]2025年已发货'!$C:$C,F4075,'[1]2025年已发货'!$G:$G,I4075,'[1]2025年已发货'!$H:$H,J4075))</f>
        <v>15</v>
      </c>
      <c r="I4075" s="113" t="str">
        <f>VLOOKUP(B4075,辅助信息!E:I,3,FALSE)</f>
        <v>（商投建工达州中医药科技园-4工区-3号楼）达州市通川区达州中医药职业学院犀牛大道北段</v>
      </c>
      <c r="J4075" s="113" t="str">
        <f>VLOOKUP(B4075,辅助信息!E:I,4,FALSE)</f>
        <v>张扬</v>
      </c>
      <c r="K4075" s="113">
        <f>VLOOKUP(J4075,辅助信息!H:I,2,FALSE)</f>
        <v>18381904567</v>
      </c>
      <c r="L4075" s="115" t="str">
        <f>VLOOKUP(B4075,辅助信息!E:J,6,FALSE)</f>
        <v>控制炉批号！多了现场不收！,优先安排达钢,提前联系到场规格及数量</v>
      </c>
      <c r="M4075" s="141">
        <v>45929</v>
      </c>
      <c r="O4075" s="55">
        <f ca="1" t="shared" si="210"/>
        <v>0</v>
      </c>
      <c r="P4075" s="55">
        <f ca="1" t="shared" si="211"/>
        <v>28</v>
      </c>
      <c r="Q4075" s="22" t="str">
        <f>VLOOKUP(B4075,辅助信息!E:M,9,FALSE)</f>
        <v>ZTWM-CDGS-XS-2024-0134-商投建工达州中医药科技成果示范园项目</v>
      </c>
      <c r="R4075" s="22" t="str">
        <f>_xlfn._xlws.FILTER(辅助信息!D:D,辅助信息!E:E=B4075)</f>
        <v>商投建工达州中医药科技园</v>
      </c>
    </row>
    <row r="4076" hidden="1" spans="2:18">
      <c r="B4076" s="129" t="s">
        <v>179</v>
      </c>
      <c r="C4076" s="63">
        <v>45930</v>
      </c>
      <c r="D4076" s="113" t="str">
        <f>VLOOKUP(B4076,辅助信息!E:K,7,FALSE)</f>
        <v>JWDDCD2025052800131</v>
      </c>
      <c r="E4076" s="113" t="str">
        <f>VLOOKUP(F4076,辅助信息!A:B,2,FALSE)</f>
        <v>螺纹钢</v>
      </c>
      <c r="F4076" s="113" t="s">
        <v>22</v>
      </c>
      <c r="G4076" s="114">
        <v>10</v>
      </c>
      <c r="H4076" s="127"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13" t="str">
        <f>VLOOKUP(B4076,辅助信息!E:I,3,FALSE)</f>
        <v>（商投建工达州中医药科技园-4工区-3号楼）达州市通川区达州中医药职业学院犀牛大道北段</v>
      </c>
      <c r="J4076" s="113" t="str">
        <f>VLOOKUP(B4076,辅助信息!E:I,4,FALSE)</f>
        <v>张扬</v>
      </c>
      <c r="K4076" s="113">
        <f>VLOOKUP(J4076,辅助信息!H:I,2,FALSE)</f>
        <v>18381904567</v>
      </c>
      <c r="L4076" s="115" t="str">
        <f>VLOOKUP(B4076,辅助信息!E:J,6,FALSE)</f>
        <v>控制炉批号！多了现场不收！,优先安排达钢,提前联系到场规格及数量</v>
      </c>
      <c r="M4076" s="141">
        <v>45928</v>
      </c>
      <c r="O4076" s="55">
        <f ca="1" t="shared" si="210"/>
        <v>0</v>
      </c>
      <c r="P4076" s="55">
        <f ca="1" t="shared" si="211"/>
        <v>29</v>
      </c>
      <c r="Q4076" s="22" t="str">
        <f>VLOOKUP(B4076,辅助信息!E:M,9,FALSE)</f>
        <v>ZTWM-CDGS-XS-2024-0134-商投建工达州中医药科技成果示范园项目</v>
      </c>
      <c r="R4076" s="22" t="str">
        <f>_xlfn._xlws.FILTER(辅助信息!D:D,辅助信息!E:E=B4076)</f>
        <v>商投建工达州中医药科技园</v>
      </c>
    </row>
    <row r="4077" hidden="1" spans="2:18">
      <c r="B4077" s="129" t="s">
        <v>179</v>
      </c>
      <c r="C4077" s="63">
        <v>45930</v>
      </c>
      <c r="D4077" s="113" t="str">
        <f>VLOOKUP(B4077,辅助信息!E:K,7,FALSE)</f>
        <v>JWDDCD2025052800131</v>
      </c>
      <c r="E4077" s="113" t="str">
        <f>VLOOKUP(F4077,辅助信息!A:B,2,FALSE)</f>
        <v>盘螺</v>
      </c>
      <c r="F4077" s="113" t="s">
        <v>41</v>
      </c>
      <c r="G4077" s="114">
        <v>9</v>
      </c>
      <c r="H4077" s="127">
        <f>IF(SUMIFS('[1]2025年已发货'!$E:$E,'[1]2025年已发货'!$F:$F,C4077,'[1]2025年已发货'!$C:$C,F4077,'[1]2025年已发货'!$G:$G,I4077,'[1]2025年已发货'!$H:$H,J4077)=0,"未发货",SUMIFS('[1]2025年已发货'!$E:$E,'[1]2025年已发货'!$F:$F,C4077,'[1]2025年已发货'!$C:$C,F4077,'[1]2025年已发货'!$G:$G,I4077,'[1]2025年已发货'!$H:$H,J4077))</f>
        <v>9</v>
      </c>
      <c r="I4077" s="113" t="str">
        <f>VLOOKUP(B4077,辅助信息!E:I,3,FALSE)</f>
        <v>（商投建工达州中医药科技园-4工区-3号楼）达州市通川区达州中医药职业学院犀牛大道北段</v>
      </c>
      <c r="J4077" s="113" t="str">
        <f>VLOOKUP(B4077,辅助信息!E:I,4,FALSE)</f>
        <v>张扬</v>
      </c>
      <c r="K4077" s="113">
        <f>VLOOKUP(J4077,辅助信息!H:I,2,FALSE)</f>
        <v>18381904567</v>
      </c>
      <c r="L4077" s="115" t="str">
        <f>VLOOKUP(B4077,辅助信息!E:J,6,FALSE)</f>
        <v>控制炉批号！多了现场不收！,优先安排达钢,提前联系到场规格及数量</v>
      </c>
      <c r="M4077" s="141">
        <v>45928</v>
      </c>
      <c r="O4077" s="55">
        <f ca="1" t="shared" si="210"/>
        <v>0</v>
      </c>
      <c r="P4077" s="55">
        <f ca="1" t="shared" si="211"/>
        <v>29</v>
      </c>
      <c r="Q4077" s="22" t="str">
        <f>VLOOKUP(B4077,辅助信息!E:M,9,FALSE)</f>
        <v>ZTWM-CDGS-XS-2024-0134-商投建工达州中医药科技成果示范园项目</v>
      </c>
      <c r="R4077" s="22" t="str">
        <f>_xlfn._xlws.FILTER(辅助信息!D:D,辅助信息!E:E=B4077)</f>
        <v>商投建工达州中医药科技园</v>
      </c>
    </row>
    <row r="4078" hidden="1" spans="2:18">
      <c r="B4078" s="129" t="s">
        <v>179</v>
      </c>
      <c r="C4078" s="63">
        <v>45930</v>
      </c>
      <c r="D4078" s="113" t="str">
        <f>VLOOKUP(B4078,辅助信息!E:K,7,FALSE)</f>
        <v>JWDDCD2025052800131</v>
      </c>
      <c r="E4078" s="113" t="str">
        <f>VLOOKUP(F4078,辅助信息!A:B,2,FALSE)</f>
        <v>盘螺</v>
      </c>
      <c r="F4078" s="113" t="s">
        <v>49</v>
      </c>
      <c r="G4078" s="114">
        <v>6</v>
      </c>
      <c r="H4078" s="127"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13" t="str">
        <f>VLOOKUP(B4078,辅助信息!E:I,3,FALSE)</f>
        <v>（商投建工达州中医药科技园-4工区-3号楼）达州市通川区达州中医药职业学院犀牛大道北段</v>
      </c>
      <c r="J4078" s="113" t="str">
        <f>VLOOKUP(B4078,辅助信息!E:I,4,FALSE)</f>
        <v>张扬</v>
      </c>
      <c r="K4078" s="113">
        <f>VLOOKUP(J4078,辅助信息!H:I,2,FALSE)</f>
        <v>18381904567</v>
      </c>
      <c r="L4078" s="115" t="str">
        <f>VLOOKUP(B4078,辅助信息!E:J,6,FALSE)</f>
        <v>控制炉批号！多了现场不收！,优先安排达钢,提前联系到场规格及数量</v>
      </c>
      <c r="M4078" s="141">
        <v>45929</v>
      </c>
      <c r="O4078" s="55">
        <f ca="1" t="shared" si="210"/>
        <v>0</v>
      </c>
      <c r="P4078" s="55">
        <f ca="1" t="shared" si="211"/>
        <v>28</v>
      </c>
      <c r="Q4078" s="22" t="str">
        <f>VLOOKUP(B4078,辅助信息!E:M,9,FALSE)</f>
        <v>ZTWM-CDGS-XS-2024-0134-商投建工达州中医药科技成果示范园项目</v>
      </c>
      <c r="R4078" s="22" t="str">
        <f>_xlfn._xlws.FILTER(辅助信息!D:D,辅助信息!E:E=B4078)</f>
        <v>商投建工达州中医药科技园</v>
      </c>
    </row>
    <row r="4079" hidden="1" spans="2:18">
      <c r="B4079" s="129" t="s">
        <v>179</v>
      </c>
      <c r="C4079" s="63">
        <v>45930</v>
      </c>
      <c r="D4079" s="113" t="str">
        <f>VLOOKUP(B4079,辅助信息!E:K,7,FALSE)</f>
        <v>JWDDCD2025052800131</v>
      </c>
      <c r="E4079" s="113" t="str">
        <f>VLOOKUP(F4079,辅助信息!A:B,2,FALSE)</f>
        <v>盘螺</v>
      </c>
      <c r="F4079" s="113" t="s">
        <v>40</v>
      </c>
      <c r="G4079" s="114">
        <v>21</v>
      </c>
      <c r="H4079" s="127">
        <f>IF(SUMIFS('[1]2025年已发货'!$E:$E,'[1]2025年已发货'!$F:$F,C4079,'[1]2025年已发货'!$C:$C,F4079,'[1]2025年已发货'!$G:$G,I4079,'[1]2025年已发货'!$H:$H,J4079)=0,"未发货",SUMIFS('[1]2025年已发货'!$E:$E,'[1]2025年已发货'!$F:$F,C4079,'[1]2025年已发货'!$C:$C,F4079,'[1]2025年已发货'!$G:$G,I4079,'[1]2025年已发货'!$H:$H,J4079))</f>
        <v>21</v>
      </c>
      <c r="I4079" s="113" t="str">
        <f>VLOOKUP(B4079,辅助信息!E:I,3,FALSE)</f>
        <v>（商投建工达州中医药科技园-4工区-3号楼）达州市通川区达州中医药职业学院犀牛大道北段</v>
      </c>
      <c r="J4079" s="113" t="str">
        <f>VLOOKUP(B4079,辅助信息!E:I,4,FALSE)</f>
        <v>张扬</v>
      </c>
      <c r="K4079" s="113">
        <f>VLOOKUP(J4079,辅助信息!H:I,2,FALSE)</f>
        <v>18381904567</v>
      </c>
      <c r="L4079" s="115" t="str">
        <f>VLOOKUP(B4079,辅助信息!E:J,6,FALSE)</f>
        <v>控制炉批号！多了现场不收！,优先安排达钢,提前联系到场规格及数量</v>
      </c>
      <c r="M4079" s="141">
        <v>45929</v>
      </c>
      <c r="O4079" s="55">
        <f ca="1" t="shared" si="210"/>
        <v>0</v>
      </c>
      <c r="P4079" s="55">
        <f ca="1" t="shared" si="211"/>
        <v>28</v>
      </c>
      <c r="Q4079" s="22" t="str">
        <f>VLOOKUP(B4079,辅助信息!E:M,9,FALSE)</f>
        <v>ZTWM-CDGS-XS-2024-0134-商投建工达州中医药科技成果示范园项目</v>
      </c>
      <c r="R4079" s="22" t="str">
        <f>_xlfn._xlws.FILTER(辅助信息!D:D,辅助信息!E:E=B4079)</f>
        <v>商投建工达州中医药科技园</v>
      </c>
    </row>
    <row r="4080" hidden="1" spans="2:18">
      <c r="B4080" s="129" t="s">
        <v>230</v>
      </c>
      <c r="C4080" s="63">
        <v>45930</v>
      </c>
      <c r="D4080" s="113" t="str">
        <f>VLOOKUP(B4080,辅助信息!E:K,7,FALSE)</f>
        <v>JWDDCD2025102100481</v>
      </c>
      <c r="E4080" s="113" t="str">
        <f>VLOOKUP(F4080,辅助信息!A:B,2,FALSE)</f>
        <v>螺纹钢</v>
      </c>
      <c r="F4080" s="113" t="s">
        <v>18</v>
      </c>
      <c r="G4080" s="114">
        <v>9</v>
      </c>
      <c r="H4080" s="127">
        <f>IF(SUMIFS('[1]2025年已发货'!$E:$E,'[1]2025年已发货'!$F:$F,C4080,'[1]2025年已发货'!$C:$C,F4080,'[1]2025年已发货'!$G:$G,I4080,'[1]2025年已发货'!$H:$H,J4080)=0,"未发货",SUMIFS('[1]2025年已发货'!$E:$E,'[1]2025年已发货'!$F:$F,C4080,'[1]2025年已发货'!$C:$C,F4080,'[1]2025年已发货'!$G:$G,I4080,'[1]2025年已发货'!$H:$H,J4080))</f>
        <v>9</v>
      </c>
      <c r="I4080" s="113" t="str">
        <f>VLOOKUP(B4080,辅助信息!E:I,3,FALSE)</f>
        <v>(五冶建设成都盐道街中学初中部改扩建工程-二标)四川省成都市锦江区春熙路街道盐道街4号（盐道街中学初中部）</v>
      </c>
      <c r="J4080" s="113" t="str">
        <f>VLOOKUP(B4080,辅助信息!E:I,4,FALSE)</f>
        <v>谢鑫</v>
      </c>
      <c r="K4080" s="113">
        <f>VLOOKUP(J4080,辅助信息!H:I,2,FALSE)</f>
        <v>18228465067</v>
      </c>
      <c r="L4080" s="115" t="str">
        <f>VLOOKUP(B4080,辅助信息!E:J,6,FALSE)</f>
        <v>联系实际收货人（易前刚18228465067）五冶建设送货单,6份材质书,锈货不收，装货前联系收货人核实到场规格,没提前告知进场规格现场不给予接收</v>
      </c>
      <c r="M4080" s="141">
        <v>45929</v>
      </c>
      <c r="O4080" s="55">
        <f ca="1" t="shared" si="210"/>
        <v>0</v>
      </c>
      <c r="P4080" s="55">
        <f ca="1" t="shared" si="211"/>
        <v>28</v>
      </c>
      <c r="Q4080" s="22" t="str">
        <f>VLOOKUP(B4080,辅助信息!E:M,9,FALSE)</f>
        <v>ZTWM-CDGS-XS-2025-0073-五冶天府-成都怡心湖片区及龙泉驿医院等项目</v>
      </c>
      <c r="R4080" s="22" t="str">
        <f>_xlfn._xlws.FILTER(辅助信息!D:D,辅助信息!E:E=B4080)</f>
        <v>五冶建设成都盐道街中学初中部改扩建工程-二标</v>
      </c>
    </row>
    <row r="4081" hidden="1" spans="2:18">
      <c r="B4081" s="129" t="s">
        <v>230</v>
      </c>
      <c r="C4081" s="63">
        <v>45930</v>
      </c>
      <c r="D4081" s="113" t="str">
        <f>VLOOKUP(B4081,辅助信息!E:K,7,FALSE)</f>
        <v>JWDDCD2025102100481</v>
      </c>
      <c r="E4081" s="113" t="str">
        <f>VLOOKUP(F4081,辅助信息!A:B,2,FALSE)</f>
        <v>盘螺</v>
      </c>
      <c r="F4081" s="113" t="s">
        <v>41</v>
      </c>
      <c r="G4081" s="114">
        <v>2</v>
      </c>
      <c r="H4081" s="127">
        <f>IF(SUMIFS('[1]2025年已发货'!$E:$E,'[1]2025年已发货'!$F:$F,C4081,'[1]2025年已发货'!$C:$C,F4081,'[1]2025年已发货'!$G:$G,I4081,'[1]2025年已发货'!$H:$H,J4081)=0,"未发货",SUMIFS('[1]2025年已发货'!$E:$E,'[1]2025年已发货'!$F:$F,C4081,'[1]2025年已发货'!$C:$C,F4081,'[1]2025年已发货'!$G:$G,I4081,'[1]2025年已发货'!$H:$H,J4081))</f>
        <v>2</v>
      </c>
      <c r="I4081" s="113" t="str">
        <f>VLOOKUP(B4081,辅助信息!E:I,3,FALSE)</f>
        <v>(五冶建设成都盐道街中学初中部改扩建工程-二标)四川省成都市锦江区春熙路街道盐道街4号（盐道街中学初中部）</v>
      </c>
      <c r="J4081" s="113" t="str">
        <f>VLOOKUP(B4081,辅助信息!E:I,4,FALSE)</f>
        <v>谢鑫</v>
      </c>
      <c r="K4081" s="113">
        <f>VLOOKUP(J4081,辅助信息!H:I,2,FALSE)</f>
        <v>18228465067</v>
      </c>
      <c r="L4081" s="115" t="str">
        <f>VLOOKUP(B4081,辅助信息!E:J,6,FALSE)</f>
        <v>联系实际收货人（易前刚18228465067）五冶建设送货单,6份材质书,锈货不收，装货前联系收货人核实到场规格,没提前告知进场规格现场不给予接收</v>
      </c>
      <c r="M4081" s="141">
        <v>45929</v>
      </c>
      <c r="O4081" s="55">
        <f ca="1" t="shared" si="210"/>
        <v>0</v>
      </c>
      <c r="P4081" s="55">
        <f ca="1" t="shared" si="211"/>
        <v>28</v>
      </c>
      <c r="Q4081" s="22" t="str">
        <f>VLOOKUP(B4081,辅助信息!E:M,9,FALSE)</f>
        <v>ZTWM-CDGS-XS-2025-0073-五冶天府-成都怡心湖片区及龙泉驿医院等项目</v>
      </c>
      <c r="R4081" s="22" t="str">
        <f>_xlfn._xlws.FILTER(辅助信息!D:D,辅助信息!E:E=B4081)</f>
        <v>五冶建设成都盐道街中学初中部改扩建工程-二标</v>
      </c>
    </row>
    <row r="4082" hidden="1" spans="2:18">
      <c r="B4082" s="129" t="s">
        <v>230</v>
      </c>
      <c r="C4082" s="63">
        <v>45930</v>
      </c>
      <c r="D4082" s="113" t="str">
        <f>VLOOKUP(B4082,辅助信息!E:K,7,FALSE)</f>
        <v>JWDDCD2025102100481</v>
      </c>
      <c r="E4082" s="113" t="str">
        <f>VLOOKUP(F4082,辅助信息!A:B,2,FALSE)</f>
        <v>盘螺</v>
      </c>
      <c r="F4082" s="113" t="s">
        <v>40</v>
      </c>
      <c r="G4082" s="114">
        <v>2</v>
      </c>
      <c r="H4082" s="127">
        <f>IF(SUMIFS('[1]2025年已发货'!$E:$E,'[1]2025年已发货'!$F:$F,C4082,'[1]2025年已发货'!$C:$C,F4082,'[1]2025年已发货'!$G:$G,I4082,'[1]2025年已发货'!$H:$H,J4082)=0,"未发货",SUMIFS('[1]2025年已发货'!$E:$E,'[1]2025年已发货'!$F:$F,C4082,'[1]2025年已发货'!$C:$C,F4082,'[1]2025年已发货'!$G:$G,I4082,'[1]2025年已发货'!$H:$H,J4082))</f>
        <v>2</v>
      </c>
      <c r="I4082" s="113" t="str">
        <f>VLOOKUP(B4082,辅助信息!E:I,3,FALSE)</f>
        <v>(五冶建设成都盐道街中学初中部改扩建工程-二标)四川省成都市锦江区春熙路街道盐道街4号（盐道街中学初中部）</v>
      </c>
      <c r="J4082" s="113" t="str">
        <f>VLOOKUP(B4082,辅助信息!E:I,4,FALSE)</f>
        <v>谢鑫</v>
      </c>
      <c r="K4082" s="113">
        <f>VLOOKUP(J4082,辅助信息!H:I,2,FALSE)</f>
        <v>18228465067</v>
      </c>
      <c r="L4082" s="115" t="str">
        <f>VLOOKUP(B4082,辅助信息!E:J,6,FALSE)</f>
        <v>联系实际收货人（易前刚18228465067）五冶建设送货单,6份材质书,锈货不收，装货前联系收货人核实到场规格,没提前告知进场规格现场不给予接收</v>
      </c>
      <c r="M4082" s="141">
        <v>45929</v>
      </c>
      <c r="O4082" s="55">
        <f ca="1" t="shared" si="210"/>
        <v>0</v>
      </c>
      <c r="P4082" s="55">
        <f ca="1" t="shared" si="211"/>
        <v>28</v>
      </c>
      <c r="Q4082" s="22" t="str">
        <f>VLOOKUP(B4082,辅助信息!E:M,9,FALSE)</f>
        <v>ZTWM-CDGS-XS-2025-0073-五冶天府-成都怡心湖片区及龙泉驿医院等项目</v>
      </c>
      <c r="R4082" s="22" t="str">
        <f>_xlfn._xlws.FILTER(辅助信息!D:D,辅助信息!E:E=B4082)</f>
        <v>五冶建设成都盐道街中学初中部改扩建工程-二标</v>
      </c>
    </row>
    <row r="4083" hidden="1" spans="2:18">
      <c r="B4083" s="129" t="s">
        <v>231</v>
      </c>
      <c r="C4083" s="136">
        <v>45930</v>
      </c>
      <c r="D4083" s="129" t="str">
        <f>VLOOKUP(B4083,辅助信息!E:K,7,FALSE)</f>
        <v>JWDDCD2025102100481</v>
      </c>
      <c r="E4083" s="129" t="str">
        <f>VLOOKUP(F4083,辅助信息!A:B,2,FALSE)</f>
        <v>螺纹钢</v>
      </c>
      <c r="F4083" s="129" t="s">
        <v>19</v>
      </c>
      <c r="G4083" s="127">
        <v>24</v>
      </c>
      <c r="H4083" s="127">
        <f>IF(SUMIFS('[1]2025年已发货'!$E:$E,'[1]2025年已发货'!$F:$F,C4083,'[1]2025年已发货'!$C:$C,F4083,'[1]2025年已发货'!$G:$G,I4083,'[1]2025年已发货'!$H:$H,J4083)=0,"未发货",SUMIFS('[1]2025年已发货'!$E:$E,'[1]2025年已发货'!$F:$F,C4083,'[1]2025年已发货'!$C:$C,F4083,'[1]2025年已发货'!$G:$G,I4083,'[1]2025年已发货'!$H:$H,J4083))</f>
        <v>24</v>
      </c>
      <c r="I4083" s="113" t="str">
        <f>VLOOKUP(B4083,辅助信息!E:I,3,FALSE)</f>
        <v>(五冶建设成都盐道街中学初中部改扩建工程-一标)四川省成都市锦江区春熙路街道盐道街4号（盐道街中学初中部）</v>
      </c>
      <c r="J4083" s="113" t="str">
        <f>VLOOKUP(B4083,辅助信息!E:I,4,FALSE)</f>
        <v>谢鑫</v>
      </c>
      <c r="K4083" s="113">
        <f>VLOOKUP(J4083,辅助信息!H:I,2,FALSE)</f>
        <v>18228465067</v>
      </c>
      <c r="L4083" s="115" t="str">
        <f>VLOOKUP(B4083,辅助信息!E:J,6,FALSE)</f>
        <v>联系实际收货人（易前刚18228465067）五冶建设送货单,6份材质书,锈货不收，装货前联系收货人核实到场规格,没提前告知进场规格现场不给予接收</v>
      </c>
      <c r="M4083" s="141">
        <v>45929</v>
      </c>
      <c r="O4083" s="55">
        <f ca="1" t="shared" si="210"/>
        <v>0</v>
      </c>
      <c r="P4083" s="55">
        <f ca="1" t="shared" si="211"/>
        <v>28</v>
      </c>
      <c r="Q4083" s="22" t="str">
        <f>VLOOKUP(B4083,辅助信息!E:M,9,FALSE)</f>
        <v>ZTWM-CDGS-XS-2025-0073-五冶天府-成都怡心湖片区及龙泉驿医院等项目</v>
      </c>
      <c r="R4083" s="22" t="str">
        <f>_xlfn._xlws.FILTER(辅助信息!D:D,辅助信息!E:E=B4083)</f>
        <v>五冶建设成都盐道街中学初中部改扩建工程-一标</v>
      </c>
    </row>
    <row r="4084" hidden="1" spans="2:18">
      <c r="B4084" s="129" t="s">
        <v>231</v>
      </c>
      <c r="C4084" s="63">
        <v>45930</v>
      </c>
      <c r="D4084" s="113" t="str">
        <f>VLOOKUP(B4084,辅助信息!E:K,7,FALSE)</f>
        <v>JWDDCD2025102100481</v>
      </c>
      <c r="E4084" s="113" t="str">
        <f>VLOOKUP(F4084,辅助信息!A:B,2,FALSE)</f>
        <v>螺纹钢</v>
      </c>
      <c r="F4084" s="113" t="s">
        <v>32</v>
      </c>
      <c r="G4084" s="114">
        <v>6</v>
      </c>
      <c r="H4084" s="127">
        <f>IF(SUMIFS('[1]2025年已发货'!$E:$E,'[1]2025年已发货'!$F:$F,C4084,'[1]2025年已发货'!$C:$C,F4084,'[1]2025年已发货'!$G:$G,I4084,'[1]2025年已发货'!$H:$H,J4084)=0,"未发货",SUMIFS('[1]2025年已发货'!$E:$E,'[1]2025年已发货'!$F:$F,C4084,'[1]2025年已发货'!$C:$C,F4084,'[1]2025年已发货'!$G:$G,I4084,'[1]2025年已发货'!$H:$H,J4084))</f>
        <v>6</v>
      </c>
      <c r="I4084" s="113" t="str">
        <f>VLOOKUP(B4084,辅助信息!E:I,3,FALSE)</f>
        <v>(五冶建设成都盐道街中学初中部改扩建工程-一标)四川省成都市锦江区春熙路街道盐道街4号（盐道街中学初中部）</v>
      </c>
      <c r="J4084" s="113" t="str">
        <f>VLOOKUP(B4084,辅助信息!E:I,4,FALSE)</f>
        <v>谢鑫</v>
      </c>
      <c r="K4084" s="113">
        <f>VLOOKUP(J4084,辅助信息!H:I,2,FALSE)</f>
        <v>18228465067</v>
      </c>
      <c r="L4084" s="115" t="str">
        <f>VLOOKUP(B4084,辅助信息!E:J,6,FALSE)</f>
        <v>联系实际收货人（易前刚18228465067）五冶建设送货单,6份材质书,锈货不收，装货前联系收货人核实到场规格,没提前告知进场规格现场不给予接收</v>
      </c>
      <c r="M4084" s="141">
        <v>45929</v>
      </c>
      <c r="O4084" s="55">
        <f ca="1" t="shared" si="210"/>
        <v>0</v>
      </c>
      <c r="P4084" s="55">
        <f ca="1" t="shared" si="211"/>
        <v>28</v>
      </c>
      <c r="Q4084" s="22" t="str">
        <f>VLOOKUP(B4084,辅助信息!E:M,9,FALSE)</f>
        <v>ZTWM-CDGS-XS-2025-0073-五冶天府-成都怡心湖片区及龙泉驿医院等项目</v>
      </c>
      <c r="R4084" s="22" t="str">
        <f>_xlfn._xlws.FILTER(辅助信息!D:D,辅助信息!E:E=B4084)</f>
        <v>五冶建设成都盐道街中学初中部改扩建工程-一标</v>
      </c>
    </row>
    <row r="4085" hidden="1" spans="2:18">
      <c r="B4085" s="129" t="s">
        <v>231</v>
      </c>
      <c r="C4085" s="63">
        <v>45930</v>
      </c>
      <c r="D4085" s="113" t="str">
        <f>VLOOKUP(B4085,辅助信息!E:K,7,FALSE)</f>
        <v>JWDDCD2025102100481</v>
      </c>
      <c r="E4085" s="113" t="str">
        <f>VLOOKUP(F4085,辅助信息!A:B,2,FALSE)</f>
        <v>螺纹钢</v>
      </c>
      <c r="F4085" s="113" t="s">
        <v>28</v>
      </c>
      <c r="G4085" s="114">
        <v>64</v>
      </c>
      <c r="H4085" s="127">
        <f>IF(SUMIFS('[1]2025年已发货'!$E:$E,'[1]2025年已发货'!$F:$F,C4085,'[1]2025年已发货'!$C:$C,F4085,'[1]2025年已发货'!$G:$G,I4085,'[1]2025年已发货'!$H:$H,J4085)=0,"未发货",SUMIFS('[1]2025年已发货'!$E:$E,'[1]2025年已发货'!$F:$F,C4085,'[1]2025年已发货'!$C:$C,F4085,'[1]2025年已发货'!$G:$G,I4085,'[1]2025年已发货'!$H:$H,J4085))</f>
        <v>64</v>
      </c>
      <c r="I4085" s="113" t="str">
        <f>VLOOKUP(B4085,辅助信息!E:I,3,FALSE)</f>
        <v>(五冶建设成都盐道街中学初中部改扩建工程-一标)四川省成都市锦江区春熙路街道盐道街4号（盐道街中学初中部）</v>
      </c>
      <c r="J4085" s="113" t="str">
        <f>VLOOKUP(B4085,辅助信息!E:I,4,FALSE)</f>
        <v>谢鑫</v>
      </c>
      <c r="K4085" s="113">
        <f>VLOOKUP(J4085,辅助信息!H:I,2,FALSE)</f>
        <v>18228465067</v>
      </c>
      <c r="L4085" s="115" t="str">
        <f>VLOOKUP(B4085,辅助信息!E:J,6,FALSE)</f>
        <v>联系实际收货人（易前刚18228465067）五冶建设送货单,6份材质书,锈货不收，装货前联系收货人核实到场规格,没提前告知进场规格现场不给予接收</v>
      </c>
      <c r="M4085" s="141">
        <v>45929</v>
      </c>
      <c r="O4085" s="55">
        <f ca="1" t="shared" si="210"/>
        <v>0</v>
      </c>
      <c r="P4085" s="55">
        <f ca="1" t="shared" si="211"/>
        <v>28</v>
      </c>
      <c r="Q4085" s="22" t="str">
        <f>VLOOKUP(B4085,辅助信息!E:M,9,FALSE)</f>
        <v>ZTWM-CDGS-XS-2025-0073-五冶天府-成都怡心湖片区及龙泉驿医院等项目</v>
      </c>
      <c r="R4085" s="22" t="str">
        <f>_xlfn._xlws.FILTER(辅助信息!D:D,辅助信息!E:E=B4085)</f>
        <v>五冶建设成都盐道街中学初中部改扩建工程-一标</v>
      </c>
    </row>
    <row r="4086" hidden="1" spans="2:18">
      <c r="B4086" s="129" t="s">
        <v>231</v>
      </c>
      <c r="C4086" s="63">
        <v>45930</v>
      </c>
      <c r="D4086" s="113" t="str">
        <f>VLOOKUP(B4086,辅助信息!E:K,7,FALSE)</f>
        <v>JWDDCD2025102100481</v>
      </c>
      <c r="E4086" s="113" t="str">
        <f>VLOOKUP(F4086,辅助信息!A:B,2,FALSE)</f>
        <v>盘螺</v>
      </c>
      <c r="F4086" s="113" t="s">
        <v>49</v>
      </c>
      <c r="G4086" s="114">
        <v>2</v>
      </c>
      <c r="H4086" s="127">
        <f>IF(SUMIFS('[1]2025年已发货'!$E:$E,'[1]2025年已发货'!$F:$F,C4086,'[1]2025年已发货'!$C:$C,F4086,'[1]2025年已发货'!$G:$G,I4086,'[1]2025年已发货'!$H:$H,J4086)=0,"未发货",SUMIFS('[1]2025年已发货'!$E:$E,'[1]2025年已发货'!$F:$F,C4086,'[1]2025年已发货'!$C:$C,F4086,'[1]2025年已发货'!$G:$G,I4086,'[1]2025年已发货'!$H:$H,J4086))</f>
        <v>2</v>
      </c>
      <c r="I4086" s="113" t="str">
        <f>VLOOKUP(B4086,辅助信息!E:I,3,FALSE)</f>
        <v>(五冶建设成都盐道街中学初中部改扩建工程-一标)四川省成都市锦江区春熙路街道盐道街4号（盐道街中学初中部）</v>
      </c>
      <c r="J4086" s="113" t="str">
        <f>VLOOKUP(B4086,辅助信息!E:I,4,FALSE)</f>
        <v>谢鑫</v>
      </c>
      <c r="K4086" s="113">
        <f>VLOOKUP(J4086,辅助信息!H:I,2,FALSE)</f>
        <v>18228465067</v>
      </c>
      <c r="L4086" s="115" t="str">
        <f>VLOOKUP(B4086,辅助信息!E:J,6,FALSE)</f>
        <v>联系实际收货人（易前刚18228465067）五冶建设送货单,6份材质书,锈货不收，装货前联系收货人核实到场规格,没提前告知进场规格现场不给予接收</v>
      </c>
      <c r="M4086" s="141">
        <v>45929</v>
      </c>
      <c r="O4086" s="55">
        <f ca="1" t="shared" si="210"/>
        <v>0</v>
      </c>
      <c r="P4086" s="55">
        <f ca="1" t="shared" si="211"/>
        <v>28</v>
      </c>
      <c r="Q4086" s="22" t="str">
        <f>VLOOKUP(B4086,辅助信息!E:M,9,FALSE)</f>
        <v>ZTWM-CDGS-XS-2025-0073-五冶天府-成都怡心湖片区及龙泉驿医院等项目</v>
      </c>
      <c r="R4086" s="22" t="str">
        <f>_xlfn._xlws.FILTER(辅助信息!D:D,辅助信息!E:E=B4086)</f>
        <v>五冶建设成都盐道街中学初中部改扩建工程-一标</v>
      </c>
    </row>
    <row r="4087" hidden="1" spans="2:18">
      <c r="B4087" s="129" t="s">
        <v>167</v>
      </c>
      <c r="C4087" s="63">
        <v>45930</v>
      </c>
      <c r="D4087" s="113" t="str">
        <f>VLOOKUP(B4087,辅助信息!E:K,7,FALSE)</f>
        <v>JWDDCD2025102100473</v>
      </c>
      <c r="E4087" s="113" t="str">
        <f>VLOOKUP(F4087,辅助信息!A:B,2,FALSE)</f>
        <v>螺纹钢</v>
      </c>
      <c r="F4087" s="113" t="s">
        <v>21</v>
      </c>
      <c r="G4087" s="114">
        <v>5</v>
      </c>
      <c r="H4087" s="127">
        <f>IF(SUMIFS('[1]2025年已发货'!$E:$E,'[1]2025年已发货'!$F:$F,C4087,'[1]2025年已发货'!$C:$C,F4087,'[1]2025年已发货'!$G:$G,I4087,'[1]2025年已发货'!$H:$H,J4087)=0,"未发货",SUMIFS('[1]2025年已发货'!$E:$E,'[1]2025年已发货'!$F:$F,C4087,'[1]2025年已发货'!$C:$C,F4087,'[1]2025年已发货'!$G:$G,I4087,'[1]2025年已发货'!$H:$H,J4087))</f>
        <v>5</v>
      </c>
      <c r="I4087" s="113" t="str">
        <f>VLOOKUP(B4087,辅助信息!E:I,3,FALSE)</f>
        <v>(五冶建设扩建艺体中学二期工程)四川省成都市双流区光荣路成都艺体中学南200米</v>
      </c>
      <c r="J4087" s="113" t="str">
        <f>VLOOKUP(B4087,辅助信息!E:I,4,FALSE)</f>
        <v>谢序强</v>
      </c>
      <c r="K4087" s="113">
        <f>VLOOKUP(J4087,辅助信息!H:I,2,FALSE)</f>
        <v>13458588232</v>
      </c>
      <c r="L4087" s="115"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1">
        <v>45929</v>
      </c>
      <c r="O4087" s="55">
        <f ca="1" t="shared" si="210"/>
        <v>0</v>
      </c>
      <c r="P4087" s="55">
        <f ca="1" t="shared" si="211"/>
        <v>28</v>
      </c>
      <c r="Q4087" s="22" t="str">
        <f>VLOOKUP(B4087,辅助信息!E:M,9,FALSE)</f>
        <v>ZTWM-CDGS-XS-2025-0073-五冶天府-成都怡心湖片区及龙泉驿医院等项目</v>
      </c>
      <c r="R4087" s="22" t="str">
        <f>_xlfn._xlws.FILTER(辅助信息!D:D,辅助信息!E:E=B4087)</f>
        <v>五冶建设扩建艺体中学二期工程</v>
      </c>
    </row>
    <row r="4088" hidden="1" spans="2:18">
      <c r="B4088" s="129" t="s">
        <v>167</v>
      </c>
      <c r="C4088" s="63">
        <v>45930</v>
      </c>
      <c r="D4088" s="113" t="str">
        <f>VLOOKUP(B4088,辅助信息!E:K,7,FALSE)</f>
        <v>JWDDCD2025102100473</v>
      </c>
      <c r="E4088" s="113" t="str">
        <f>VLOOKUP(F4088,辅助信息!A:B,2,FALSE)</f>
        <v>螺纹钢</v>
      </c>
      <c r="F4088" s="113" t="s">
        <v>58</v>
      </c>
      <c r="G4088" s="114">
        <v>5</v>
      </c>
      <c r="H4088" s="127">
        <f>IF(SUMIFS('[1]2025年已发货'!$E:$E,'[1]2025年已发货'!$F:$F,C4088,'[1]2025年已发货'!$C:$C,F4088,'[1]2025年已发货'!$G:$G,I4088,'[1]2025年已发货'!$H:$H,J4088)=0,"未发货",SUMIFS('[1]2025年已发货'!$E:$E,'[1]2025年已发货'!$F:$F,C4088,'[1]2025年已发货'!$C:$C,F4088,'[1]2025年已发货'!$G:$G,I4088,'[1]2025年已发货'!$H:$H,J4088))</f>
        <v>5</v>
      </c>
      <c r="I4088" s="113" t="str">
        <f>VLOOKUP(B4088,辅助信息!E:I,3,FALSE)</f>
        <v>(五冶建设扩建艺体中学二期工程)四川省成都市双流区光荣路成都艺体中学南200米</v>
      </c>
      <c r="J4088" s="113" t="str">
        <f>VLOOKUP(B4088,辅助信息!E:I,4,FALSE)</f>
        <v>谢序强</v>
      </c>
      <c r="K4088" s="113">
        <f>VLOOKUP(J4088,辅助信息!H:I,2,FALSE)</f>
        <v>13458588232</v>
      </c>
      <c r="L4088" s="115"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1"/>
      <c r="O4088" s="55" t="str">
        <f ca="1" t="shared" si="210"/>
        <v/>
      </c>
      <c r="P4088" s="55" t="str">
        <f ca="1" t="shared" si="211"/>
        <v/>
      </c>
      <c r="Q4088" s="22" t="str">
        <f>VLOOKUP(B4088,辅助信息!E:M,9,FALSE)</f>
        <v>ZTWM-CDGS-XS-2025-0073-五冶天府-成都怡心湖片区及龙泉驿医院等项目</v>
      </c>
      <c r="R4088" s="22" t="str">
        <f>_xlfn._xlws.FILTER(辅助信息!D:D,辅助信息!E:E=B4088)</f>
        <v>五冶建设扩建艺体中学二期工程</v>
      </c>
    </row>
    <row r="4089" hidden="1" spans="2:18">
      <c r="B4089" s="129" t="s">
        <v>167</v>
      </c>
      <c r="C4089" s="63">
        <v>45930</v>
      </c>
      <c r="D4089" s="113" t="str">
        <f>VLOOKUP(B4089,辅助信息!E:K,7,FALSE)</f>
        <v>JWDDCD2025102100473</v>
      </c>
      <c r="E4089" s="113" t="str">
        <f>VLOOKUP(F4089,辅助信息!A:B,2,FALSE)</f>
        <v>螺纹钢</v>
      </c>
      <c r="F4089" s="113" t="s">
        <v>46</v>
      </c>
      <c r="G4089" s="114">
        <v>5</v>
      </c>
      <c r="H4089" s="127">
        <f>IF(SUMIFS('[1]2025年已发货'!$E:$E,'[1]2025年已发货'!$F:$F,C4089,'[1]2025年已发货'!$C:$C,F4089,'[1]2025年已发货'!$G:$G,I4089,'[1]2025年已发货'!$H:$H,J4089)=0,"未发货",SUMIFS('[1]2025年已发货'!$E:$E,'[1]2025年已发货'!$F:$F,C4089,'[1]2025年已发货'!$C:$C,F4089,'[1]2025年已发货'!$G:$G,I4089,'[1]2025年已发货'!$H:$H,J4089))</f>
        <v>5</v>
      </c>
      <c r="I4089" s="113" t="str">
        <f>VLOOKUP(B4089,辅助信息!E:I,3,FALSE)</f>
        <v>(五冶建设扩建艺体中学二期工程)四川省成都市双流区光荣路成都艺体中学南200米</v>
      </c>
      <c r="J4089" s="113" t="str">
        <f>VLOOKUP(B4089,辅助信息!E:I,4,FALSE)</f>
        <v>谢序强</v>
      </c>
      <c r="K4089" s="113">
        <f>VLOOKUP(J4089,辅助信息!H:I,2,FALSE)</f>
        <v>13458588232</v>
      </c>
      <c r="L4089" s="115"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1">
        <v>45929</v>
      </c>
      <c r="O4089" s="55">
        <f ca="1" t="shared" si="210"/>
        <v>0</v>
      </c>
      <c r="P4089" s="55">
        <f ca="1" t="shared" si="211"/>
        <v>28</v>
      </c>
      <c r="Q4089" s="22" t="str">
        <f>VLOOKUP(B4089,辅助信息!E:M,9,FALSE)</f>
        <v>ZTWM-CDGS-XS-2025-0073-五冶天府-成都怡心湖片区及龙泉驿医院等项目</v>
      </c>
      <c r="R4089" s="22" t="str">
        <f>_xlfn._xlws.FILTER(辅助信息!D:D,辅助信息!E:E=B4089)</f>
        <v>五冶建设扩建艺体中学二期工程</v>
      </c>
    </row>
    <row r="4090" hidden="1" spans="2:18">
      <c r="B4090" s="129" t="s">
        <v>167</v>
      </c>
      <c r="C4090" s="63">
        <v>45930</v>
      </c>
      <c r="D4090" s="113" t="str">
        <f>VLOOKUP(B4090,辅助信息!E:K,7,FALSE)</f>
        <v>JWDDCD2025102100473</v>
      </c>
      <c r="E4090" s="113" t="str">
        <f>VLOOKUP(F4090,辅助信息!A:B,2,FALSE)</f>
        <v>螺纹钢</v>
      </c>
      <c r="F4090" s="113" t="s">
        <v>22</v>
      </c>
      <c r="G4090" s="114">
        <v>35</v>
      </c>
      <c r="H4090" s="127">
        <f>IF(SUMIFS('[1]2025年已发货'!$E:$E,'[1]2025年已发货'!$F:$F,C4090,'[1]2025年已发货'!$C:$C,F4090,'[1]2025年已发货'!$G:$G,I4090,'[1]2025年已发货'!$H:$H,J4090)=0,"未发货",SUMIFS('[1]2025年已发货'!$E:$E,'[1]2025年已发货'!$F:$F,C4090,'[1]2025年已发货'!$C:$C,F4090,'[1]2025年已发货'!$G:$G,I4090,'[1]2025年已发货'!$H:$H,J4090))</f>
        <v>35</v>
      </c>
      <c r="I4090" s="113" t="str">
        <f>VLOOKUP(B4090,辅助信息!E:I,3,FALSE)</f>
        <v>(五冶建设扩建艺体中学二期工程)四川省成都市双流区光荣路成都艺体中学南200米</v>
      </c>
      <c r="J4090" s="113" t="str">
        <f>VLOOKUP(B4090,辅助信息!E:I,4,FALSE)</f>
        <v>谢序强</v>
      </c>
      <c r="K4090" s="113">
        <f>VLOOKUP(J4090,辅助信息!H:I,2,FALSE)</f>
        <v>13458588232</v>
      </c>
      <c r="L4090" s="115"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1">
        <v>45929</v>
      </c>
      <c r="O4090" s="55">
        <f ca="1" t="shared" si="210"/>
        <v>0</v>
      </c>
      <c r="P4090" s="55">
        <f ca="1" t="shared" si="211"/>
        <v>28</v>
      </c>
      <c r="Q4090" s="22" t="str">
        <f>VLOOKUP(B4090,辅助信息!E:M,9,FALSE)</f>
        <v>ZTWM-CDGS-XS-2025-0073-五冶天府-成都怡心湖片区及龙泉驿医院等项目</v>
      </c>
      <c r="R4090" s="22" t="str">
        <f>_xlfn._xlws.FILTER(辅助信息!D:D,辅助信息!E:E=B4090)</f>
        <v>五冶建设扩建艺体中学二期工程</v>
      </c>
    </row>
    <row r="4091" hidden="1" spans="2:18">
      <c r="B4091" s="129" t="s">
        <v>167</v>
      </c>
      <c r="C4091" s="63">
        <v>45930</v>
      </c>
      <c r="D4091" s="113" t="str">
        <f>VLOOKUP(B4091,辅助信息!E:K,7,FALSE)</f>
        <v>JWDDCD2025102100473</v>
      </c>
      <c r="E4091" s="113" t="str">
        <f>VLOOKUP(F4091,辅助信息!A:B,2,FALSE)</f>
        <v>螺纹钢</v>
      </c>
      <c r="F4091" s="113" t="s">
        <v>181</v>
      </c>
      <c r="G4091" s="114">
        <v>10</v>
      </c>
      <c r="H4091" s="127">
        <f>IF(SUMIFS('[1]2025年已发货'!$E:$E,'[1]2025年已发货'!$F:$F,C4091,'[1]2025年已发货'!$C:$C,F4091,'[1]2025年已发货'!$G:$G,I4091,'[1]2025年已发货'!$H:$H,J4091)=0,"未发货",SUMIFS('[1]2025年已发货'!$E:$E,'[1]2025年已发货'!$F:$F,C4091,'[1]2025年已发货'!$C:$C,F4091,'[1]2025年已发货'!$G:$G,I4091,'[1]2025年已发货'!$H:$H,J4091))</f>
        <v>10</v>
      </c>
      <c r="I4091" s="113" t="str">
        <f>VLOOKUP(B4091,辅助信息!E:I,3,FALSE)</f>
        <v>(五冶建设扩建艺体中学二期工程)四川省成都市双流区光荣路成都艺体中学南200米</v>
      </c>
      <c r="J4091" s="113" t="str">
        <f>VLOOKUP(B4091,辅助信息!E:I,4,FALSE)</f>
        <v>谢序强</v>
      </c>
      <c r="K4091" s="113">
        <f>VLOOKUP(J4091,辅助信息!H:I,2,FALSE)</f>
        <v>13458588232</v>
      </c>
      <c r="L4091" s="115"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1">
        <v>45929</v>
      </c>
      <c r="O4091" s="55">
        <f ca="1" t="shared" si="210"/>
        <v>0</v>
      </c>
      <c r="P4091" s="55">
        <f ca="1" t="shared" si="211"/>
        <v>28</v>
      </c>
      <c r="Q4091" s="22" t="str">
        <f>VLOOKUP(B4091,辅助信息!E:M,9,FALSE)</f>
        <v>ZTWM-CDGS-XS-2025-0073-五冶天府-成都怡心湖片区及龙泉驿医院等项目</v>
      </c>
      <c r="R4091" s="22" t="str">
        <f>_xlfn._xlws.FILTER(辅助信息!D:D,辅助信息!E:E=B4091)</f>
        <v>五冶建设扩建艺体中学二期工程</v>
      </c>
    </row>
    <row r="4092" hidden="1" spans="2:18">
      <c r="B4092" s="129" t="s">
        <v>167</v>
      </c>
      <c r="C4092" s="63">
        <v>45930</v>
      </c>
      <c r="D4092" s="113" t="str">
        <f>VLOOKUP(B4092,辅助信息!E:K,7,FALSE)</f>
        <v>JWDDCD2025102100473</v>
      </c>
      <c r="E4092" s="113" t="str">
        <f>VLOOKUP(F4092,辅助信息!A:B,2,FALSE)</f>
        <v>螺纹钢</v>
      </c>
      <c r="F4092" s="113" t="s">
        <v>182</v>
      </c>
      <c r="G4092" s="114">
        <f>43-28</f>
        <v>15</v>
      </c>
      <c r="H4092" s="127">
        <f>IF(SUMIFS('[1]2025年已发货'!$E:$E,'[1]2025年已发货'!$F:$F,C4092,'[1]2025年已发货'!$C:$C,F4092,'[1]2025年已发货'!$G:$G,I4092,'[1]2025年已发货'!$H:$H,J4092)=0,"未发货",SUMIFS('[1]2025年已发货'!$E:$E,'[1]2025年已发货'!$F:$F,C4092,'[1]2025年已发货'!$C:$C,F4092,'[1]2025年已发货'!$G:$G,I4092,'[1]2025年已发货'!$H:$H,J4092))</f>
        <v>15</v>
      </c>
      <c r="I4092" s="113" t="str">
        <f>VLOOKUP(B4092,辅助信息!E:I,3,FALSE)</f>
        <v>(五冶建设扩建艺体中学二期工程)四川省成都市双流区光荣路成都艺体中学南200米</v>
      </c>
      <c r="J4092" s="113" t="str">
        <f>VLOOKUP(B4092,辅助信息!E:I,4,FALSE)</f>
        <v>谢序强</v>
      </c>
      <c r="K4092" s="113">
        <f>VLOOKUP(J4092,辅助信息!H:I,2,FALSE)</f>
        <v>13458588232</v>
      </c>
      <c r="L4092" s="115"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1">
        <v>45929</v>
      </c>
      <c r="O4092" s="55">
        <f ca="1" t="shared" si="210"/>
        <v>0</v>
      </c>
      <c r="P4092" s="55">
        <f ca="1" t="shared" si="211"/>
        <v>28</v>
      </c>
      <c r="Q4092" s="22" t="str">
        <f>VLOOKUP(B4092,辅助信息!E:M,9,FALSE)</f>
        <v>ZTWM-CDGS-XS-2025-0073-五冶天府-成都怡心湖片区及龙泉驿医院等项目</v>
      </c>
      <c r="R4092" s="22" t="str">
        <f>_xlfn._xlws.FILTER(辅助信息!D:D,辅助信息!E:E=B4092)</f>
        <v>五冶建设扩建艺体中学二期工程</v>
      </c>
    </row>
    <row r="4093" hidden="1" spans="2:18">
      <c r="B4093" s="129" t="s">
        <v>167</v>
      </c>
      <c r="C4093" s="63">
        <v>45930</v>
      </c>
      <c r="D4093" s="113" t="str">
        <f>VLOOKUP(B4093,辅助信息!E:K,7,FALSE)</f>
        <v>JWDDCD2025102100473</v>
      </c>
      <c r="E4093" s="113" t="str">
        <f>VLOOKUP(F4093,辅助信息!A:B,2,FALSE)</f>
        <v>盘螺</v>
      </c>
      <c r="F4093" s="113" t="s">
        <v>41</v>
      </c>
      <c r="G4093" s="114">
        <v>20</v>
      </c>
      <c r="H4093" s="127">
        <f>IF(SUMIFS('[1]2025年已发货'!$E:$E,'[1]2025年已发货'!$F:$F,C4093,'[1]2025年已发货'!$C:$C,F4093,'[1]2025年已发货'!$G:$G,I4093,'[1]2025年已发货'!$H:$H,J4093)=0,"未发货",SUMIFS('[1]2025年已发货'!$E:$E,'[1]2025年已发货'!$F:$F,C4093,'[1]2025年已发货'!$C:$C,F4093,'[1]2025年已发货'!$G:$G,I4093,'[1]2025年已发货'!$H:$H,J4093))</f>
        <v>20</v>
      </c>
      <c r="I4093" s="113" t="str">
        <f>VLOOKUP(B4093,辅助信息!E:I,3,FALSE)</f>
        <v>(五冶建设扩建艺体中学二期工程)四川省成都市双流区光荣路成都艺体中学南200米</v>
      </c>
      <c r="J4093" s="113" t="str">
        <f>VLOOKUP(B4093,辅助信息!E:I,4,FALSE)</f>
        <v>谢序强</v>
      </c>
      <c r="K4093" s="113">
        <f>VLOOKUP(J4093,辅助信息!H:I,2,FALSE)</f>
        <v>13458588232</v>
      </c>
      <c r="L4093" s="115"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1">
        <v>45929</v>
      </c>
      <c r="O4093" s="55">
        <f ca="1" t="shared" si="210"/>
        <v>0</v>
      </c>
      <c r="P4093" s="55">
        <f ca="1" t="shared" si="211"/>
        <v>28</v>
      </c>
      <c r="Q4093" s="22" t="str">
        <f>VLOOKUP(B4093,辅助信息!E:M,9,FALSE)</f>
        <v>ZTWM-CDGS-XS-2025-0073-五冶天府-成都怡心湖片区及龙泉驿医院等项目</v>
      </c>
      <c r="R4093" s="22" t="str">
        <f>_xlfn._xlws.FILTER(辅助信息!D:D,辅助信息!E:E=B4093)</f>
        <v>五冶建设扩建艺体中学二期工程</v>
      </c>
    </row>
    <row r="4094" hidden="1" spans="2:18">
      <c r="B4094" s="129" t="s">
        <v>167</v>
      </c>
      <c r="C4094" s="63">
        <v>45930</v>
      </c>
      <c r="D4094" s="113" t="str">
        <f>VLOOKUP(B4094,辅助信息!E:K,7,FALSE)</f>
        <v>JWDDCD2025102100473</v>
      </c>
      <c r="E4094" s="113" t="str">
        <f>VLOOKUP(F4094,辅助信息!A:B,2,FALSE)</f>
        <v>盘螺</v>
      </c>
      <c r="F4094" s="113" t="s">
        <v>40</v>
      </c>
      <c r="G4094" s="114">
        <v>10</v>
      </c>
      <c r="H4094" s="127">
        <f>IF(SUMIFS('[1]2025年已发货'!$E:$E,'[1]2025年已发货'!$F:$F,C4094,'[1]2025年已发货'!$C:$C,F4094,'[1]2025年已发货'!$G:$G,I4094,'[1]2025年已发货'!$H:$H,J4094)=0,"未发货",SUMIFS('[1]2025年已发货'!$E:$E,'[1]2025年已发货'!$F:$F,C4094,'[1]2025年已发货'!$C:$C,F4094,'[1]2025年已发货'!$G:$G,I4094,'[1]2025年已发货'!$H:$H,J4094))</f>
        <v>10</v>
      </c>
      <c r="I4094" s="113" t="str">
        <f>VLOOKUP(B4094,辅助信息!E:I,3,FALSE)</f>
        <v>(五冶建设扩建艺体中学二期工程)四川省成都市双流区光荣路成都艺体中学南200米</v>
      </c>
      <c r="J4094" s="113" t="str">
        <f>VLOOKUP(B4094,辅助信息!E:I,4,FALSE)</f>
        <v>谢序强</v>
      </c>
      <c r="K4094" s="113">
        <f>VLOOKUP(J4094,辅助信息!H:I,2,FALSE)</f>
        <v>13458588232</v>
      </c>
      <c r="L4094" s="115"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1">
        <v>45929</v>
      </c>
      <c r="O4094" s="55">
        <f ca="1" t="shared" si="210"/>
        <v>0</v>
      </c>
      <c r="P4094" s="55">
        <f ca="1" t="shared" si="211"/>
        <v>28</v>
      </c>
      <c r="Q4094" s="22" t="str">
        <f>VLOOKUP(B4094,辅助信息!E:M,9,FALSE)</f>
        <v>ZTWM-CDGS-XS-2025-0073-五冶天府-成都怡心湖片区及龙泉驿医院等项目</v>
      </c>
      <c r="R4094" s="22" t="str">
        <f>_xlfn._xlws.FILTER(辅助信息!D:D,辅助信息!E:E=B4094)</f>
        <v>五冶建设扩建艺体中学二期工程</v>
      </c>
    </row>
    <row r="4095" hidden="1" spans="2:18">
      <c r="B4095" s="129" t="s">
        <v>204</v>
      </c>
      <c r="C4095" s="63">
        <v>45930</v>
      </c>
      <c r="D4095" s="113" t="str">
        <f>VLOOKUP(B4095,辅助信息!E:K,7,FALSE)</f>
        <v>JWDDCD2025062200016</v>
      </c>
      <c r="E4095" s="113" t="str">
        <f>VLOOKUP(F4095,辅助信息!A:B,2,FALSE)</f>
        <v>螺纹钢</v>
      </c>
      <c r="F4095" s="113" t="s">
        <v>30</v>
      </c>
      <c r="G4095" s="114">
        <v>32</v>
      </c>
      <c r="H4095" s="127"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13" t="str">
        <f>VLOOKUP(B4095,辅助信息!E:I,3,FALSE)</f>
        <v>(武汉电气化局成达万高铁强电项目-达州主城区-达州南站)四川省达州市达川区达州南站</v>
      </c>
      <c r="J4095" s="113" t="str">
        <f>VLOOKUP(B4095,辅助信息!E:I,4,FALSE)</f>
        <v>杨人志</v>
      </c>
      <c r="K4095" s="113">
        <f>VLOOKUP(J4095,辅助信息!H:I,2,FALSE)</f>
        <v>18782679099</v>
      </c>
      <c r="L4095" s="115" t="str">
        <f>VLOOKUP(B4095,辅助信息!E:J,6,FALSE)</f>
        <v>锈货不收！！下雨天钢筋没盖篷布不收！！，装货前联系收货人核实到场规格,没提前告知进场规格现场不给予接收</v>
      </c>
      <c r="O4095" s="55" t="str">
        <f ca="1" t="shared" si="210"/>
        <v/>
      </c>
      <c r="P4095" s="55" t="str">
        <f ca="1" t="shared" si="211"/>
        <v/>
      </c>
      <c r="Q4095" s="22" t="str">
        <f>VLOOKUP(B4095,辅助信息!E:M,9,FALSE)</f>
        <v>ZTWM-CDGS-XS-2025-0033-中铁武汉电气化局集团有限公司成达万高速铁路强电工程项目</v>
      </c>
      <c r="R4095" s="22" t="str">
        <f>_xlfn._xlws.FILTER(辅助信息!D:D,辅助信息!E:E=B4095)</f>
        <v>武汉电气化局成达万高铁强电项目</v>
      </c>
    </row>
    <row r="4096" hidden="1" spans="2:18">
      <c r="B4096" s="129" t="s">
        <v>204</v>
      </c>
      <c r="C4096" s="63">
        <v>45930</v>
      </c>
      <c r="D4096" s="113" t="str">
        <f>VLOOKUP(B4096,辅助信息!E:K,7,FALSE)</f>
        <v>JWDDCD2025062200016</v>
      </c>
      <c r="E4096" s="113" t="str">
        <f>VLOOKUP(F4096,辅助信息!A:B,2,FALSE)</f>
        <v>螺纹钢</v>
      </c>
      <c r="F4096" s="113" t="s">
        <v>28</v>
      </c>
      <c r="G4096" s="114">
        <v>3</v>
      </c>
      <c r="H4096" s="127"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13" t="str">
        <f>VLOOKUP(B4096,辅助信息!E:I,3,FALSE)</f>
        <v>(武汉电气化局成达万高铁强电项目-达州主城区-达州南站)四川省达州市达川区达州南站</v>
      </c>
      <c r="J4096" s="113" t="str">
        <f>VLOOKUP(B4096,辅助信息!E:I,4,FALSE)</f>
        <v>杨人志</v>
      </c>
      <c r="K4096" s="113">
        <f>VLOOKUP(J4096,辅助信息!H:I,2,FALSE)</f>
        <v>18782679099</v>
      </c>
      <c r="L4096" s="115" t="str">
        <f>VLOOKUP(B4096,辅助信息!E:J,6,FALSE)</f>
        <v>锈货不收！！下雨天钢筋没盖篷布不收！！，装货前联系收货人核实到场规格,没提前告知进场规格现场不给予接收</v>
      </c>
      <c r="O4096" s="55" t="str">
        <f ca="1" t="shared" si="210"/>
        <v/>
      </c>
      <c r="P4096" s="55" t="str">
        <f ca="1" t="shared" si="211"/>
        <v/>
      </c>
      <c r="Q4096" s="22" t="str">
        <f>VLOOKUP(B4096,辅助信息!E:M,9,FALSE)</f>
        <v>ZTWM-CDGS-XS-2025-0033-中铁武汉电气化局集团有限公司成达万高速铁路强电工程项目</v>
      </c>
      <c r="R4096" s="22" t="str">
        <f>_xlfn._xlws.FILTER(辅助信息!D:D,辅助信息!E:E=B4096)</f>
        <v>武汉电气化局成达万高铁强电项目</v>
      </c>
    </row>
    <row r="4097" hidden="1" spans="2:18">
      <c r="B4097" s="129" t="s">
        <v>169</v>
      </c>
      <c r="C4097" s="63">
        <v>45930</v>
      </c>
      <c r="D4097" s="113" t="str">
        <f>VLOOKUP(B4097,辅助信息!E:K,7,FALSE)</f>
        <v>JWDDCD2025051800044</v>
      </c>
      <c r="E4097" s="113" t="str">
        <f>VLOOKUP(F4097,辅助信息!A:B,2,FALSE)</f>
        <v>高线</v>
      </c>
      <c r="F4097" s="113" t="s">
        <v>51</v>
      </c>
      <c r="G4097" s="114">
        <v>35</v>
      </c>
      <c r="H4097" s="127">
        <f>IF(SUMIFS('[1]2025年已发货'!$E:$E,'[1]2025年已发货'!$F:$F,C4097,'[1]2025年已发货'!$C:$C,F4097,'[1]2025年已发货'!$G:$G,I4097,'[1]2025年已发货'!$H:$H,J4097)=0,"未发货",SUMIFS('[1]2025年已发货'!$E:$E,'[1]2025年已发货'!$F:$F,C4097,'[1]2025年已发货'!$C:$C,F4097,'[1]2025年已发货'!$G:$G,I4097,'[1]2025年已发货'!$H:$H,J4097))</f>
        <v>35</v>
      </c>
      <c r="I4097" s="113" t="str">
        <f>VLOOKUP(B4097,辅助信息!E:I,3,FALSE)</f>
        <v>(五冶建设龙泉芙蓉花语项目-1,3地块)龙泉驿区北川路双堰塘钓鱼东100米(北川路)</v>
      </c>
      <c r="J4097" s="113" t="str">
        <f>VLOOKUP(B4097,辅助信息!E:I,4,FALSE)</f>
        <v>祝斯阳</v>
      </c>
      <c r="K4097" s="113">
        <f>VLOOKUP(J4097,辅助信息!H:I,2,FALSE)</f>
        <v>15583590797</v>
      </c>
      <c r="L4097" s="115"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55" t="str">
        <f ca="1" t="shared" si="210"/>
        <v/>
      </c>
      <c r="P4097" s="55" t="str">
        <f ca="1" t="shared" si="211"/>
        <v/>
      </c>
      <c r="Q4097" s="22" t="str">
        <f>VLOOKUP(B4097,辅助信息!E:M,9,FALSE)</f>
        <v>ZTWM-CDGS-XS-2025-0073-五冶天府-成都怡心湖片区及龙泉驿医院等项目</v>
      </c>
      <c r="R4097" s="22" t="str">
        <f>_xlfn._xlws.FILTER(辅助信息!D:D,辅助信息!E:E=B4097)</f>
        <v>五冶建设龙泉芙蓉花语项目</v>
      </c>
    </row>
    <row r="4098" hidden="1" spans="2:18">
      <c r="B4098" s="129" t="s">
        <v>169</v>
      </c>
      <c r="C4098" s="63">
        <v>45930</v>
      </c>
      <c r="D4098" s="113" t="str">
        <f>VLOOKUP(B4098,辅助信息!E:K,7,FALSE)</f>
        <v>JWDDCD2025051800044</v>
      </c>
      <c r="E4098" s="113" t="str">
        <f>VLOOKUP(F4098,辅助信息!A:B,2,FALSE)</f>
        <v>螺纹钢</v>
      </c>
      <c r="F4098" s="113" t="s">
        <v>28</v>
      </c>
      <c r="G4098" s="114">
        <v>105</v>
      </c>
      <c r="H4098" s="127">
        <f>IF(SUMIFS('[1]2025年已发货'!$E:$E,'[1]2025年已发货'!$F:$F,C4098,'[1]2025年已发货'!$C:$C,F4098,'[1]2025年已发货'!$G:$G,I4098,'[1]2025年已发货'!$H:$H,J4098)=0,"未发货",SUMIFS('[1]2025年已发货'!$E:$E,'[1]2025年已发货'!$F:$F,C4098,'[1]2025年已发货'!$C:$C,F4098,'[1]2025年已发货'!$G:$G,I4098,'[1]2025年已发货'!$H:$H,J4098))</f>
        <v>105</v>
      </c>
      <c r="I4098" s="113" t="str">
        <f>VLOOKUP(B4098,辅助信息!E:I,3,FALSE)</f>
        <v>(五冶建设龙泉芙蓉花语项目-1,3地块)龙泉驿区北川路双堰塘钓鱼东100米(北川路)</v>
      </c>
      <c r="J4098" s="113" t="str">
        <f>VLOOKUP(B4098,辅助信息!E:I,4,FALSE)</f>
        <v>祝斯阳</v>
      </c>
      <c r="K4098" s="113">
        <f>VLOOKUP(J4098,辅助信息!H:I,2,FALSE)</f>
        <v>15583590797</v>
      </c>
      <c r="L4098" s="115"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55" t="str">
        <f ca="1" t="shared" si="210"/>
        <v/>
      </c>
      <c r="P4098" s="55" t="str">
        <f ca="1" t="shared" si="211"/>
        <v/>
      </c>
      <c r="Q4098" s="22" t="str">
        <f>VLOOKUP(B4098,辅助信息!E:M,9,FALSE)</f>
        <v>ZTWM-CDGS-XS-2025-0073-五冶天府-成都怡心湖片区及龙泉驿医院等项目</v>
      </c>
      <c r="R4098" s="22" t="str">
        <f>_xlfn._xlws.FILTER(辅助信息!D:D,辅助信息!E:E=B4098)</f>
        <v>五冶建设龙泉芙蓉花语项目</v>
      </c>
    </row>
    <row r="4099" hidden="1" spans="2:18">
      <c r="B4099" s="128" t="s">
        <v>163</v>
      </c>
      <c r="C4099" s="63">
        <v>45930</v>
      </c>
      <c r="D4099" s="33" t="str">
        <f>VLOOKUP(B4099,辅助信息!E:K,7,FALSE)</f>
        <v>JWDDCD2025052800131</v>
      </c>
      <c r="E4099" s="33" t="str">
        <f>VLOOKUP(F4099,辅助信息!A:B,2,FALSE)</f>
        <v>盘螺</v>
      </c>
      <c r="F4099" s="33" t="s">
        <v>49</v>
      </c>
      <c r="G4099" s="29">
        <v>10</v>
      </c>
      <c r="H4099" s="127"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33" t="str">
        <f>VLOOKUP(B4099,辅助信息!E:I,3,FALSE)</f>
        <v>（商投建工达州中医药科技园-4工区-9号楼）达州市通川区达州中医药职业学院犀牛大道北段</v>
      </c>
      <c r="J4099" s="33" t="str">
        <f>VLOOKUP(B4099,辅助信息!E:I,4,FALSE)</f>
        <v>张扬</v>
      </c>
      <c r="K4099" s="33">
        <f>VLOOKUP(J4099,辅助信息!H:I,2,FALSE)</f>
        <v>18381904567</v>
      </c>
      <c r="L4099" s="102" t="str">
        <f>VLOOKUP(B4099,辅助信息!E:J,6,FALSE)</f>
        <v>控制炉批号！多了现场不收！,优先安排达钢,提前联系到场规格及数量</v>
      </c>
      <c r="O4099" s="55" t="str">
        <f ca="1" t="shared" si="210"/>
        <v/>
      </c>
      <c r="P4099" s="55" t="str">
        <f ca="1" t="shared" si="211"/>
        <v/>
      </c>
      <c r="Q4099" s="22" t="str">
        <f>VLOOKUP(B4099,辅助信息!E:M,9,FALSE)</f>
        <v>ZTWM-CDGS-XS-2024-0134-商投建工达州中医药科技成果示范园项目</v>
      </c>
      <c r="R4099" s="22" t="str">
        <f>_xlfn._xlws.FILTER(辅助信息!D:D,辅助信息!E:E=B4099)</f>
        <v>商投建工达州中医药科技园</v>
      </c>
    </row>
    <row r="4100" hidden="1" spans="2:18">
      <c r="B4100" s="128" t="s">
        <v>163</v>
      </c>
      <c r="C4100" s="63">
        <v>45930</v>
      </c>
      <c r="D4100" s="33" t="str">
        <f>VLOOKUP(B4100,辅助信息!E:K,7,FALSE)</f>
        <v>JWDDCD2025052800131</v>
      </c>
      <c r="E4100" s="33" t="str">
        <f>VLOOKUP(F4100,辅助信息!A:B,2,FALSE)</f>
        <v>盘螺</v>
      </c>
      <c r="F4100" s="33" t="s">
        <v>40</v>
      </c>
      <c r="G4100" s="29">
        <v>40</v>
      </c>
      <c r="H4100" s="127"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33" t="str">
        <f>VLOOKUP(B4100,辅助信息!E:I,3,FALSE)</f>
        <v>（商投建工达州中医药科技园-4工区-9号楼）达州市通川区达州中医药职业学院犀牛大道北段</v>
      </c>
      <c r="J4100" s="33" t="str">
        <f>VLOOKUP(B4100,辅助信息!E:I,4,FALSE)</f>
        <v>张扬</v>
      </c>
      <c r="K4100" s="33">
        <f>VLOOKUP(J4100,辅助信息!H:I,2,FALSE)</f>
        <v>18381904567</v>
      </c>
      <c r="L4100" s="102" t="str">
        <f>VLOOKUP(B4100,辅助信息!E:J,6,FALSE)</f>
        <v>控制炉批号！多了现场不收！,优先安排达钢,提前联系到场规格及数量</v>
      </c>
      <c r="O4100" s="55" t="str">
        <f ca="1" t="shared" si="210"/>
        <v/>
      </c>
      <c r="P4100" s="55" t="str">
        <f ca="1" t="shared" si="211"/>
        <v/>
      </c>
      <c r="Q4100" s="22" t="str">
        <f>VLOOKUP(B4100,辅助信息!E:M,9,FALSE)</f>
        <v>ZTWM-CDGS-XS-2024-0134-商投建工达州中医药科技成果示范园项目</v>
      </c>
      <c r="R4100" s="22" t="str">
        <f>_xlfn._xlws.FILTER(辅助信息!D:D,辅助信息!E:E=B4100)</f>
        <v>商投建工达州中医药科技园</v>
      </c>
    </row>
    <row r="4101" hidden="1" spans="2:18">
      <c r="B4101" s="128" t="s">
        <v>163</v>
      </c>
      <c r="C4101" s="63">
        <v>45930</v>
      </c>
      <c r="D4101" s="33" t="str">
        <f>VLOOKUP(B4101,辅助信息!E:K,7,FALSE)</f>
        <v>JWDDCD2025052800131</v>
      </c>
      <c r="E4101" s="33" t="str">
        <f>VLOOKUP(F4101,辅助信息!A:B,2,FALSE)</f>
        <v>盘螺</v>
      </c>
      <c r="F4101" s="33" t="s">
        <v>41</v>
      </c>
      <c r="G4101" s="29">
        <v>20</v>
      </c>
      <c r="H4101" s="127"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33" t="str">
        <f>VLOOKUP(B4101,辅助信息!E:I,3,FALSE)</f>
        <v>（商投建工达州中医药科技园-4工区-9号楼）达州市通川区达州中医药职业学院犀牛大道北段</v>
      </c>
      <c r="J4101" s="33" t="str">
        <f>VLOOKUP(B4101,辅助信息!E:I,4,FALSE)</f>
        <v>张扬</v>
      </c>
      <c r="K4101" s="33">
        <f>VLOOKUP(J4101,辅助信息!H:I,2,FALSE)</f>
        <v>18381904567</v>
      </c>
      <c r="L4101" s="102" t="str">
        <f>VLOOKUP(B4101,辅助信息!E:J,6,FALSE)</f>
        <v>控制炉批号！多了现场不收！,优先安排达钢,提前联系到场规格及数量</v>
      </c>
      <c r="O4101" s="55" t="str">
        <f ca="1" t="shared" si="210"/>
        <v/>
      </c>
      <c r="P4101" s="55" t="str">
        <f ca="1" t="shared" si="211"/>
        <v/>
      </c>
      <c r="Q4101" s="22" t="str">
        <f>VLOOKUP(B4101,辅助信息!E:M,9,FALSE)</f>
        <v>ZTWM-CDGS-XS-2024-0134-商投建工达州中医药科技成果示范园项目</v>
      </c>
      <c r="R4101" s="22" t="str">
        <f>_xlfn._xlws.FILTER(辅助信息!D:D,辅助信息!E:E=B4101)</f>
        <v>商投建工达州中医药科技园</v>
      </c>
    </row>
    <row r="4102" hidden="1" spans="2:18">
      <c r="B4102" s="128" t="s">
        <v>163</v>
      </c>
      <c r="C4102" s="63">
        <v>45930</v>
      </c>
      <c r="D4102" s="33" t="str">
        <f>VLOOKUP(B4102,辅助信息!E:K,7,FALSE)</f>
        <v>JWDDCD2025052800131</v>
      </c>
      <c r="E4102" s="33" t="str">
        <f>VLOOKUP(F4102,辅助信息!A:B,2,FALSE)</f>
        <v>螺纹钢</v>
      </c>
      <c r="F4102" s="33" t="s">
        <v>66</v>
      </c>
      <c r="G4102" s="29">
        <v>6</v>
      </c>
      <c r="H4102" s="127"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33" t="str">
        <f>VLOOKUP(B4102,辅助信息!E:I,3,FALSE)</f>
        <v>（商投建工达州中医药科技园-4工区-9号楼）达州市通川区达州中医药职业学院犀牛大道北段</v>
      </c>
      <c r="J4102" s="33" t="str">
        <f>VLOOKUP(B4102,辅助信息!E:I,4,FALSE)</f>
        <v>张扬</v>
      </c>
      <c r="K4102" s="33">
        <f>VLOOKUP(J4102,辅助信息!H:I,2,FALSE)</f>
        <v>18381904567</v>
      </c>
      <c r="L4102" s="102" t="str">
        <f>VLOOKUP(B4102,辅助信息!E:J,6,FALSE)</f>
        <v>控制炉批号！多了现场不收！,优先安排达钢,提前联系到场规格及数量</v>
      </c>
      <c r="O4102" s="55" t="str">
        <f ca="1" t="shared" si="210"/>
        <v/>
      </c>
      <c r="P4102" s="55" t="str">
        <f ca="1" t="shared" si="211"/>
        <v/>
      </c>
      <c r="Q4102" s="22" t="str">
        <f>VLOOKUP(B4102,辅助信息!E:M,9,FALSE)</f>
        <v>ZTWM-CDGS-XS-2024-0134-商投建工达州中医药科技成果示范园项目</v>
      </c>
      <c r="R4102" s="22" t="str">
        <f>_xlfn._xlws.FILTER(辅助信息!D:D,辅助信息!E:E=B4102)</f>
        <v>商投建工达州中医药科技园</v>
      </c>
    </row>
    <row r="4103" hidden="1" spans="2:18">
      <c r="B4103" s="128" t="s">
        <v>163</v>
      </c>
      <c r="C4103" s="63">
        <v>45930</v>
      </c>
      <c r="D4103" s="33" t="str">
        <f>VLOOKUP(B4103,辅助信息!E:K,7,FALSE)</f>
        <v>JWDDCD2025052800131</v>
      </c>
      <c r="E4103" s="33" t="str">
        <f>VLOOKUP(F4103,辅助信息!A:B,2,FALSE)</f>
        <v>螺纹钢</v>
      </c>
      <c r="F4103" s="33" t="s">
        <v>58</v>
      </c>
      <c r="G4103" s="29">
        <v>15</v>
      </c>
      <c r="H4103" s="127"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33" t="str">
        <f>VLOOKUP(B4103,辅助信息!E:I,3,FALSE)</f>
        <v>（商投建工达州中医药科技园-4工区-9号楼）达州市通川区达州中医药职业学院犀牛大道北段</v>
      </c>
      <c r="J4103" s="33" t="str">
        <f>VLOOKUP(B4103,辅助信息!E:I,4,FALSE)</f>
        <v>张扬</v>
      </c>
      <c r="K4103" s="33">
        <f>VLOOKUP(J4103,辅助信息!H:I,2,FALSE)</f>
        <v>18381904567</v>
      </c>
      <c r="L4103" s="102" t="str">
        <f>VLOOKUP(B4103,辅助信息!E:J,6,FALSE)</f>
        <v>控制炉批号！多了现场不收！,优先安排达钢,提前联系到场规格及数量</v>
      </c>
      <c r="O4103" s="55" t="str">
        <f ca="1" t="shared" si="210"/>
        <v/>
      </c>
      <c r="P4103" s="55" t="str">
        <f ca="1" t="shared" si="211"/>
        <v/>
      </c>
      <c r="Q4103" s="22" t="str">
        <f>VLOOKUP(B4103,辅助信息!E:M,9,FALSE)</f>
        <v>ZTWM-CDGS-XS-2024-0134-商投建工达州中医药科技成果示范园项目</v>
      </c>
      <c r="R4103" s="22" t="str">
        <f>_xlfn._xlws.FILTER(辅助信息!D:D,辅助信息!E:E=B4103)</f>
        <v>商投建工达州中医药科技园</v>
      </c>
    </row>
    <row r="4104" hidden="1" spans="2:18">
      <c r="B4104" s="128" t="s">
        <v>163</v>
      </c>
      <c r="C4104" s="63">
        <v>45930</v>
      </c>
      <c r="D4104" s="33" t="str">
        <f>VLOOKUP(B4104,辅助信息!E:K,7,FALSE)</f>
        <v>JWDDCD2025052800131</v>
      </c>
      <c r="E4104" s="33" t="str">
        <f>VLOOKUP(F4104,辅助信息!A:B,2,FALSE)</f>
        <v>螺纹钢</v>
      </c>
      <c r="F4104" s="33" t="s">
        <v>22</v>
      </c>
      <c r="G4104" s="29">
        <v>15</v>
      </c>
      <c r="H4104" s="127"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33" t="str">
        <f>VLOOKUP(B4104,辅助信息!E:I,3,FALSE)</f>
        <v>（商投建工达州中医药科技园-4工区-9号楼）达州市通川区达州中医药职业学院犀牛大道北段</v>
      </c>
      <c r="J4104" s="33" t="str">
        <f>VLOOKUP(B4104,辅助信息!E:I,4,FALSE)</f>
        <v>张扬</v>
      </c>
      <c r="K4104" s="33">
        <f>VLOOKUP(J4104,辅助信息!H:I,2,FALSE)</f>
        <v>18381904567</v>
      </c>
      <c r="L4104" s="102" t="str">
        <f>VLOOKUP(B4104,辅助信息!E:J,6,FALSE)</f>
        <v>控制炉批号！多了现场不收！,优先安排达钢,提前联系到场规格及数量</v>
      </c>
      <c r="O4104" s="55" t="str">
        <f ca="1" t="shared" si="210"/>
        <v/>
      </c>
      <c r="P4104" s="55" t="str">
        <f ca="1" t="shared" si="211"/>
        <v/>
      </c>
      <c r="Q4104" s="22" t="str">
        <f>VLOOKUP(B4104,辅助信息!E:M,9,FALSE)</f>
        <v>ZTWM-CDGS-XS-2024-0134-商投建工达州中医药科技成果示范园项目</v>
      </c>
      <c r="R4104" s="22" t="str">
        <f>_xlfn._xlws.FILTER(辅助信息!D:D,辅助信息!E:E=B4104)</f>
        <v>商投建工达州中医药科技园</v>
      </c>
    </row>
    <row r="4105" hidden="1" spans="2:18">
      <c r="B4105" s="128" t="s">
        <v>112</v>
      </c>
      <c r="C4105" s="63">
        <v>45937</v>
      </c>
      <c r="D4105" s="33" t="str">
        <f>VLOOKUP(B4105,辅助信息!E:K,7,FALSE)</f>
        <v>JWDDCD2025052800131</v>
      </c>
      <c r="E4105" s="33" t="str">
        <f>VLOOKUP(F4105,辅助信息!A:B,2,FALSE)</f>
        <v>盘螺</v>
      </c>
      <c r="F4105" s="33" t="s">
        <v>40</v>
      </c>
      <c r="G4105" s="29">
        <v>24</v>
      </c>
      <c r="H4105" s="127">
        <f>IF(SUMIFS('[1]2025年已发货'!$E:$E,'[1]2025年已发货'!$F:$F,C4105,'[1]2025年已发货'!$C:$C,F4105,'[1]2025年已发货'!$G:$G,I4105,'[1]2025年已发货'!$H:$H,J4105)=0,"未发货",SUMIFS('[1]2025年已发货'!$E:$E,'[1]2025年已发货'!$F:$F,C4105,'[1]2025年已发货'!$C:$C,F4105,'[1]2025年已发货'!$G:$G,I4105,'[1]2025年已发货'!$H:$H,J4105))</f>
        <v>24</v>
      </c>
      <c r="I4105" s="33" t="str">
        <f>VLOOKUP(B4105,辅助信息!E:I,3,FALSE)</f>
        <v>（商投建工达州中医药科技园-4工区-10号楼）达州市通川区达州中医药职业学院犀牛大道北段</v>
      </c>
      <c r="J4105" s="33" t="str">
        <f>VLOOKUP(B4105,辅助信息!E:I,4,FALSE)</f>
        <v>张扬</v>
      </c>
      <c r="K4105" s="33">
        <f>VLOOKUP(J4105,辅助信息!H:I,2,FALSE)</f>
        <v>18381904567</v>
      </c>
      <c r="L4105" s="102" t="str">
        <f>VLOOKUP(B4105,辅助信息!E:J,6,FALSE)</f>
        <v>控制炉批号！多了现场不收！,优先安排达钢,提前联系到场规格及数量</v>
      </c>
      <c r="O4105" s="55" t="str">
        <f ca="1" t="shared" si="210"/>
        <v/>
      </c>
      <c r="P4105" s="55" t="str">
        <f ca="1" t="shared" si="211"/>
        <v/>
      </c>
      <c r="Q4105" s="22" t="str">
        <f>VLOOKUP(B4105,辅助信息!E:M,9,FALSE)</f>
        <v>ZTWM-CDGS-XS-2024-0134-商投建工达州中医药科技成果示范园项目</v>
      </c>
      <c r="R4105" s="22" t="str">
        <f>_xlfn._xlws.FILTER(辅助信息!D:D,辅助信息!E:E=B4105)</f>
        <v>商投建工达州中医药科技园</v>
      </c>
    </row>
    <row r="4106" hidden="1" spans="2:18">
      <c r="B4106" s="128" t="s">
        <v>112</v>
      </c>
      <c r="C4106" s="63">
        <v>45937</v>
      </c>
      <c r="D4106" s="33" t="str">
        <f>VLOOKUP(B4106,辅助信息!E:K,7,FALSE)</f>
        <v>JWDDCD2025052800131</v>
      </c>
      <c r="E4106" s="33" t="str">
        <f>VLOOKUP(F4106,辅助信息!A:B,2,FALSE)</f>
        <v>盘螺</v>
      </c>
      <c r="F4106" s="33" t="s">
        <v>41</v>
      </c>
      <c r="G4106" s="29">
        <v>6</v>
      </c>
      <c r="H4106" s="127">
        <f>IF(SUMIFS('[1]2025年已发货'!$E:$E,'[1]2025年已发货'!$F:$F,C4106,'[1]2025年已发货'!$C:$C,F4106,'[1]2025年已发货'!$G:$G,I4106,'[1]2025年已发货'!$H:$H,J4106)=0,"未发货",SUMIFS('[1]2025年已发货'!$E:$E,'[1]2025年已发货'!$F:$F,C4106,'[1]2025年已发货'!$C:$C,F4106,'[1]2025年已发货'!$G:$G,I4106,'[1]2025年已发货'!$H:$H,J4106))</f>
        <v>6</v>
      </c>
      <c r="I4106" s="33" t="str">
        <f>VLOOKUP(B4106,辅助信息!E:I,3,FALSE)</f>
        <v>（商投建工达州中医药科技园-4工区-10号楼）达州市通川区达州中医药职业学院犀牛大道北段</v>
      </c>
      <c r="J4106" s="33" t="str">
        <f>VLOOKUP(B4106,辅助信息!E:I,4,FALSE)</f>
        <v>张扬</v>
      </c>
      <c r="K4106" s="33">
        <f>VLOOKUP(J4106,辅助信息!H:I,2,FALSE)</f>
        <v>18381904567</v>
      </c>
      <c r="L4106" s="102" t="str">
        <f>VLOOKUP(B4106,辅助信息!E:J,6,FALSE)</f>
        <v>控制炉批号！多了现场不收！,优先安排达钢,提前联系到场规格及数量</v>
      </c>
      <c r="O4106" s="55" t="str">
        <f ca="1" t="shared" si="210"/>
        <v/>
      </c>
      <c r="P4106" s="55" t="str">
        <f ca="1" t="shared" si="211"/>
        <v/>
      </c>
      <c r="Q4106" s="22" t="str">
        <f>VLOOKUP(B4106,辅助信息!E:M,9,FALSE)</f>
        <v>ZTWM-CDGS-XS-2024-0134-商投建工达州中医药科技成果示范园项目</v>
      </c>
      <c r="R4106" s="22" t="str">
        <f>_xlfn._xlws.FILTER(辅助信息!D:D,辅助信息!E:E=B4106)</f>
        <v>商投建工达州中医药科技园</v>
      </c>
    </row>
    <row r="4107" hidden="1" spans="2:18">
      <c r="B4107" s="128" t="s">
        <v>112</v>
      </c>
      <c r="C4107" s="63">
        <v>45937</v>
      </c>
      <c r="D4107" s="33" t="str">
        <f>VLOOKUP(B4107,辅助信息!E:K,7,FALSE)</f>
        <v>JWDDCD2025052800131</v>
      </c>
      <c r="E4107" s="33" t="str">
        <f>VLOOKUP(F4107,辅助信息!A:B,2,FALSE)</f>
        <v>螺纹钢</v>
      </c>
      <c r="F4107" s="33" t="s">
        <v>27</v>
      </c>
      <c r="G4107" s="29">
        <v>6</v>
      </c>
      <c r="H4107" s="127">
        <f>IF(SUMIFS('[1]2025年已发货'!$E:$E,'[1]2025年已发货'!$F:$F,C4107,'[1]2025年已发货'!$C:$C,F4107,'[1]2025年已发货'!$G:$G,I4107,'[1]2025年已发货'!$H:$H,J4107)=0,"未发货",SUMIFS('[1]2025年已发货'!$E:$E,'[1]2025年已发货'!$F:$F,C4107,'[1]2025年已发货'!$C:$C,F4107,'[1]2025年已发货'!$G:$G,I4107,'[1]2025年已发货'!$H:$H,J4107))</f>
        <v>6</v>
      </c>
      <c r="I4107" s="33" t="str">
        <f>VLOOKUP(B4107,辅助信息!E:I,3,FALSE)</f>
        <v>（商投建工达州中医药科技园-4工区-10号楼）达州市通川区达州中医药职业学院犀牛大道北段</v>
      </c>
      <c r="J4107" s="33" t="str">
        <f>VLOOKUP(B4107,辅助信息!E:I,4,FALSE)</f>
        <v>张扬</v>
      </c>
      <c r="K4107" s="33">
        <f>VLOOKUP(J4107,辅助信息!H:I,2,FALSE)</f>
        <v>18381904567</v>
      </c>
      <c r="L4107" s="102" t="str">
        <f>VLOOKUP(B4107,辅助信息!E:J,6,FALSE)</f>
        <v>控制炉批号！多了现场不收！,优先安排达钢,提前联系到场规格及数量</v>
      </c>
      <c r="O4107" s="55" t="str">
        <f ca="1" t="shared" si="210"/>
        <v/>
      </c>
      <c r="P4107" s="55" t="str">
        <f ca="1" t="shared" si="211"/>
        <v/>
      </c>
      <c r="Q4107" s="22" t="str">
        <f>VLOOKUP(B4107,辅助信息!E:M,9,FALSE)</f>
        <v>ZTWM-CDGS-XS-2024-0134-商投建工达州中医药科技成果示范园项目</v>
      </c>
      <c r="R4107" s="22" t="str">
        <f>_xlfn._xlws.FILTER(辅助信息!D:D,辅助信息!E:E=B4107)</f>
        <v>商投建工达州中医药科技园</v>
      </c>
    </row>
    <row r="4108" hidden="1" spans="2:18">
      <c r="B4108" s="128" t="s">
        <v>112</v>
      </c>
      <c r="C4108" s="63">
        <v>45937</v>
      </c>
      <c r="D4108" s="33" t="str">
        <f>VLOOKUP(B4108,辅助信息!E:K,7,FALSE)</f>
        <v>JWDDCD2025052800131</v>
      </c>
      <c r="E4108" s="33" t="str">
        <f>VLOOKUP(F4108,辅助信息!A:B,2,FALSE)</f>
        <v>螺纹钢</v>
      </c>
      <c r="F4108" s="33" t="s">
        <v>32</v>
      </c>
      <c r="G4108" s="29">
        <v>3</v>
      </c>
      <c r="H4108" s="127">
        <f>IF(SUMIFS('[1]2025年已发货'!$E:$E,'[1]2025年已发货'!$F:$F,C4108,'[1]2025年已发货'!$C:$C,F4108,'[1]2025年已发货'!$G:$G,I4108,'[1]2025年已发货'!$H:$H,J4108)=0,"未发货",SUMIFS('[1]2025年已发货'!$E:$E,'[1]2025年已发货'!$F:$F,C4108,'[1]2025年已发货'!$C:$C,F4108,'[1]2025年已发货'!$G:$G,I4108,'[1]2025年已发货'!$H:$H,J4108))</f>
        <v>3</v>
      </c>
      <c r="I4108" s="33" t="str">
        <f>VLOOKUP(B4108,辅助信息!E:I,3,FALSE)</f>
        <v>（商投建工达州中医药科技园-4工区-10号楼）达州市通川区达州中医药职业学院犀牛大道北段</v>
      </c>
      <c r="J4108" s="33" t="str">
        <f>VLOOKUP(B4108,辅助信息!E:I,4,FALSE)</f>
        <v>张扬</v>
      </c>
      <c r="K4108" s="33">
        <f>VLOOKUP(J4108,辅助信息!H:I,2,FALSE)</f>
        <v>18381904567</v>
      </c>
      <c r="L4108" s="102" t="str">
        <f>VLOOKUP(B4108,辅助信息!E:J,6,FALSE)</f>
        <v>控制炉批号！多了现场不收！,优先安排达钢,提前联系到场规格及数量</v>
      </c>
      <c r="O4108" s="55" t="str">
        <f ca="1" t="shared" si="210"/>
        <v/>
      </c>
      <c r="P4108" s="55" t="str">
        <f ca="1" t="shared" si="211"/>
        <v/>
      </c>
      <c r="Q4108" s="22" t="str">
        <f>VLOOKUP(B4108,辅助信息!E:M,9,FALSE)</f>
        <v>ZTWM-CDGS-XS-2024-0134-商投建工达州中医药科技成果示范园项目</v>
      </c>
      <c r="R4108" s="22" t="str">
        <f>_xlfn._xlws.FILTER(辅助信息!D:D,辅助信息!E:E=B4108)</f>
        <v>商投建工达州中医药科技园</v>
      </c>
    </row>
    <row r="4109" hidden="1" spans="2:18">
      <c r="B4109" s="128" t="s">
        <v>112</v>
      </c>
      <c r="C4109" s="63">
        <v>45937</v>
      </c>
      <c r="D4109" s="33" t="str">
        <f>VLOOKUP(B4109,辅助信息!E:K,7,FALSE)</f>
        <v>JWDDCD2025052800131</v>
      </c>
      <c r="E4109" s="33" t="str">
        <f>VLOOKUP(F4109,辅助信息!A:B,2,FALSE)</f>
        <v>螺纹钢</v>
      </c>
      <c r="F4109" s="33" t="s">
        <v>58</v>
      </c>
      <c r="G4109" s="29">
        <v>6</v>
      </c>
      <c r="H4109" s="127">
        <f>IF(SUMIFS('[1]2025年已发货'!$E:$E,'[1]2025年已发货'!$F:$F,C4109,'[1]2025年已发货'!$C:$C,F4109,'[1]2025年已发货'!$G:$G,I4109,'[1]2025年已发货'!$H:$H,J4109)=0,"未发货",SUMIFS('[1]2025年已发货'!$E:$E,'[1]2025年已发货'!$F:$F,C4109,'[1]2025年已发货'!$C:$C,F4109,'[1]2025年已发货'!$G:$G,I4109,'[1]2025年已发货'!$H:$H,J4109))</f>
        <v>6</v>
      </c>
      <c r="I4109" s="33" t="str">
        <f>VLOOKUP(B4109,辅助信息!E:I,3,FALSE)</f>
        <v>（商投建工达州中医药科技园-4工区-10号楼）达州市通川区达州中医药职业学院犀牛大道北段</v>
      </c>
      <c r="J4109" s="33" t="str">
        <f>VLOOKUP(B4109,辅助信息!E:I,4,FALSE)</f>
        <v>张扬</v>
      </c>
      <c r="K4109" s="33">
        <f>VLOOKUP(J4109,辅助信息!H:I,2,FALSE)</f>
        <v>18381904567</v>
      </c>
      <c r="L4109" s="102" t="str">
        <f>VLOOKUP(B4109,辅助信息!E:J,6,FALSE)</f>
        <v>控制炉批号！多了现场不收！,优先安排达钢,提前联系到场规格及数量</v>
      </c>
      <c r="O4109" s="55" t="str">
        <f ca="1" t="shared" si="210"/>
        <v/>
      </c>
      <c r="P4109" s="55" t="str">
        <f ca="1" t="shared" si="211"/>
        <v/>
      </c>
      <c r="Q4109" s="22" t="str">
        <f>VLOOKUP(B4109,辅助信息!E:M,9,FALSE)</f>
        <v>ZTWM-CDGS-XS-2024-0134-商投建工达州中医药科技成果示范园项目</v>
      </c>
      <c r="R4109" s="22" t="str">
        <f>_xlfn._xlws.FILTER(辅助信息!D:D,辅助信息!E:E=B4109)</f>
        <v>商投建工达州中医药科技园</v>
      </c>
    </row>
    <row r="4110" hidden="1" spans="2:18">
      <c r="B4110" s="128" t="s">
        <v>163</v>
      </c>
      <c r="C4110" s="63">
        <v>45937</v>
      </c>
      <c r="D4110" s="33" t="str">
        <f>VLOOKUP(B4110,辅助信息!E:K,7,FALSE)</f>
        <v>JWDDCD2025052800131</v>
      </c>
      <c r="E4110" s="33" t="str">
        <f>VLOOKUP(F4110,辅助信息!A:B,2,FALSE)</f>
        <v>螺纹钢</v>
      </c>
      <c r="F4110" s="33" t="s">
        <v>66</v>
      </c>
      <c r="G4110" s="29">
        <v>6</v>
      </c>
      <c r="H4110" s="127">
        <f>IF(SUMIFS('[1]2025年已发货'!$E:$E,'[1]2025年已发货'!$F:$F,C4110,'[1]2025年已发货'!$C:$C,F4110,'[1]2025年已发货'!$G:$G,I4110,'[1]2025年已发货'!$H:$H,J4110)=0,"未发货",SUMIFS('[1]2025年已发货'!$E:$E,'[1]2025年已发货'!$F:$F,C4110,'[1]2025年已发货'!$C:$C,F4110,'[1]2025年已发货'!$G:$G,I4110,'[1]2025年已发货'!$H:$H,J4110))</f>
        <v>6</v>
      </c>
      <c r="I4110" s="33" t="str">
        <f>VLOOKUP(B4110,辅助信息!E:I,3,FALSE)</f>
        <v>（商投建工达州中医药科技园-4工区-9号楼）达州市通川区达州中医药职业学院犀牛大道北段</v>
      </c>
      <c r="J4110" s="33" t="str">
        <f>VLOOKUP(B4110,辅助信息!E:I,4,FALSE)</f>
        <v>张扬</v>
      </c>
      <c r="K4110" s="33">
        <f>VLOOKUP(J4110,辅助信息!H:I,2,FALSE)</f>
        <v>18381904567</v>
      </c>
      <c r="L4110" s="102" t="str">
        <f>VLOOKUP(B4110,辅助信息!E:J,6,FALSE)</f>
        <v>控制炉批号！多了现场不收！,优先安排达钢,提前联系到场规格及数量</v>
      </c>
      <c r="O4110" s="55" t="str">
        <f ca="1" t="shared" si="210"/>
        <v/>
      </c>
      <c r="P4110" s="55" t="str">
        <f ca="1" t="shared" si="211"/>
        <v/>
      </c>
      <c r="Q4110" s="22" t="str">
        <f>VLOOKUP(B4110,辅助信息!E:M,9,FALSE)</f>
        <v>ZTWM-CDGS-XS-2024-0134-商投建工达州中医药科技成果示范园项目</v>
      </c>
      <c r="R4110" s="22" t="str">
        <f>_xlfn._xlws.FILTER(辅助信息!D:D,辅助信息!E:E=B4110)</f>
        <v>商投建工达州中医药科技园</v>
      </c>
    </row>
    <row r="4111" hidden="1" spans="2:18">
      <c r="B4111" s="128" t="s">
        <v>163</v>
      </c>
      <c r="C4111" s="63">
        <v>45937</v>
      </c>
      <c r="D4111" s="33" t="str">
        <f>VLOOKUP(B4111,辅助信息!E:K,7,FALSE)</f>
        <v>JWDDCD2025052800131</v>
      </c>
      <c r="E4111" s="33" t="str">
        <f>VLOOKUP(F4111,辅助信息!A:B,2,FALSE)</f>
        <v>螺纹钢</v>
      </c>
      <c r="F4111" s="33" t="s">
        <v>45</v>
      </c>
      <c r="G4111" s="29">
        <v>9</v>
      </c>
      <c r="H4111" s="127">
        <f>IF(SUMIFS('[1]2025年已发货'!$E:$E,'[1]2025年已发货'!$F:$F,C4111,'[1]2025年已发货'!$C:$C,F4111,'[1]2025年已发货'!$G:$G,I4111,'[1]2025年已发货'!$H:$H,J4111)=0,"未发货",SUMIFS('[1]2025年已发货'!$E:$E,'[1]2025年已发货'!$F:$F,C4111,'[1]2025年已发货'!$C:$C,F4111,'[1]2025年已发货'!$G:$G,I4111,'[1]2025年已发货'!$H:$H,J4111))</f>
        <v>9</v>
      </c>
      <c r="I4111" s="33" t="str">
        <f>VLOOKUP(B4111,辅助信息!E:I,3,FALSE)</f>
        <v>（商投建工达州中医药科技园-4工区-9号楼）达州市通川区达州中医药职业学院犀牛大道北段</v>
      </c>
      <c r="J4111" s="33" t="str">
        <f>VLOOKUP(B4111,辅助信息!E:I,4,FALSE)</f>
        <v>张扬</v>
      </c>
      <c r="K4111" s="33">
        <f>VLOOKUP(J4111,辅助信息!H:I,2,FALSE)</f>
        <v>18381904567</v>
      </c>
      <c r="L4111" s="102" t="str">
        <f>VLOOKUP(B4111,辅助信息!E:J,6,FALSE)</f>
        <v>控制炉批号！多了现场不收！,优先安排达钢,提前联系到场规格及数量</v>
      </c>
      <c r="O4111" s="55" t="str">
        <f ca="1" t="shared" si="210"/>
        <v/>
      </c>
      <c r="P4111" s="55" t="str">
        <f ca="1" t="shared" si="211"/>
        <v/>
      </c>
      <c r="Q4111" s="22" t="str">
        <f>VLOOKUP(B4111,辅助信息!E:M,9,FALSE)</f>
        <v>ZTWM-CDGS-XS-2024-0134-商投建工达州中医药科技成果示范园项目</v>
      </c>
      <c r="R4111" s="22" t="str">
        <f>_xlfn._xlws.FILTER(辅助信息!D:D,辅助信息!E:E=B4111)</f>
        <v>商投建工达州中医药科技园</v>
      </c>
    </row>
    <row r="4112" hidden="1" spans="2:18">
      <c r="B4112" s="128" t="s">
        <v>163</v>
      </c>
      <c r="C4112" s="63">
        <v>45937</v>
      </c>
      <c r="D4112" s="33" t="str">
        <f>VLOOKUP(B4112,辅助信息!E:K,7,FALSE)</f>
        <v>JWDDCD2025052800131</v>
      </c>
      <c r="E4112" s="33" t="str">
        <f>VLOOKUP(F4112,辅助信息!A:B,2,FALSE)</f>
        <v>螺纹钢</v>
      </c>
      <c r="F4112" s="33" t="s">
        <v>21</v>
      </c>
      <c r="G4112" s="29">
        <v>18</v>
      </c>
      <c r="H4112" s="127">
        <f>IF(SUMIFS('[1]2025年已发货'!$E:$E,'[1]2025年已发货'!$F:$F,C4112,'[1]2025年已发货'!$C:$C,F4112,'[1]2025年已发货'!$G:$G,I4112,'[1]2025年已发货'!$H:$H,J4112)=0,"未发货",SUMIFS('[1]2025年已发货'!$E:$E,'[1]2025年已发货'!$F:$F,C4112,'[1]2025年已发货'!$C:$C,F4112,'[1]2025年已发货'!$G:$G,I4112,'[1]2025年已发货'!$H:$H,J4112))</f>
        <v>18</v>
      </c>
      <c r="I4112" s="33" t="str">
        <f>VLOOKUP(B4112,辅助信息!E:I,3,FALSE)</f>
        <v>（商投建工达州中医药科技园-4工区-9号楼）达州市通川区达州中医药职业学院犀牛大道北段</v>
      </c>
      <c r="J4112" s="33" t="str">
        <f>VLOOKUP(B4112,辅助信息!E:I,4,FALSE)</f>
        <v>张扬</v>
      </c>
      <c r="K4112" s="33">
        <f>VLOOKUP(J4112,辅助信息!H:I,2,FALSE)</f>
        <v>18381904567</v>
      </c>
      <c r="L4112" s="102" t="str">
        <f>VLOOKUP(B4112,辅助信息!E:J,6,FALSE)</f>
        <v>控制炉批号！多了现场不收！,优先安排达钢,提前联系到场规格及数量</v>
      </c>
      <c r="O4112" s="55" t="str">
        <f ca="1" t="shared" si="210"/>
        <v/>
      </c>
      <c r="P4112" s="55" t="str">
        <f ca="1" t="shared" si="211"/>
        <v/>
      </c>
      <c r="Q4112" s="22" t="str">
        <f>VLOOKUP(B4112,辅助信息!E:M,9,FALSE)</f>
        <v>ZTWM-CDGS-XS-2024-0134-商投建工达州中医药科技成果示范园项目</v>
      </c>
      <c r="R4112" s="22" t="str">
        <f>_xlfn._xlws.FILTER(辅助信息!D:D,辅助信息!E:E=B4112)</f>
        <v>商投建工达州中医药科技园</v>
      </c>
    </row>
    <row r="4113" hidden="1" spans="2:18">
      <c r="B4113" s="128" t="s">
        <v>208</v>
      </c>
      <c r="C4113" s="63">
        <v>45937</v>
      </c>
      <c r="D4113" s="33" t="str">
        <f>VLOOKUP(B4113,辅助信息!E:K,7,FALSE)</f>
        <v>JWDDCD2025102100480</v>
      </c>
      <c r="E4113" s="33" t="str">
        <f>VLOOKUP(F4113,辅助信息!A:B,2,FALSE)</f>
        <v>螺纹钢</v>
      </c>
      <c r="F4113" s="33" t="s">
        <v>19</v>
      </c>
      <c r="G4113" s="29">
        <v>5.4</v>
      </c>
      <c r="H4113" s="127"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33" t="str">
        <f>VLOOKUP(B4113,辅助信息!E:I,3,FALSE)</f>
        <v>(五冶建设锦江区林家坝片区20号地块商业项目)锦江区泰昌路锦江28亩项目部</v>
      </c>
      <c r="J4113" s="33" t="str">
        <f>VLOOKUP(B4113,辅助信息!E:I,4,FALSE)</f>
        <v>陶杰</v>
      </c>
      <c r="K4113" s="33">
        <f>VLOOKUP(J4113,辅助信息!H:I,2,FALSE)</f>
        <v>13980247952</v>
      </c>
      <c r="L4113" s="102" t="str">
        <f>VLOOKUP(B4113,辅助信息!E:J,6,FALSE)</f>
        <v>联系实际收货人（陶杰13980247952）五冶建设送货单,6份材质书,锈货不收，装货前联系收货人核实到场规格,没提前告知进场规格现场不给予接收</v>
      </c>
      <c r="O4113" s="55" t="str">
        <f ca="1" t="shared" si="210"/>
        <v/>
      </c>
      <c r="P4113" s="55" t="str">
        <f ca="1" t="shared" si="211"/>
        <v/>
      </c>
      <c r="Q4113" s="22" t="str">
        <f>VLOOKUP(B4113,辅助信息!E:M,9,FALSE)</f>
        <v>ZTWM-CDGS-XS-2025-0073-五冶天府-成都怡心湖片区及龙泉驿医院等项目</v>
      </c>
      <c r="R4113" s="22" t="str">
        <f>_xlfn._xlws.FILTER(辅助信息!D:D,辅助信息!E:E=B4113)</f>
        <v>五冶建设锦江区林家坝片区20号地块商业项目</v>
      </c>
    </row>
    <row r="4114" hidden="1" spans="2:18">
      <c r="B4114" s="128" t="s">
        <v>208</v>
      </c>
      <c r="C4114" s="63">
        <v>45937</v>
      </c>
      <c r="D4114" s="33" t="str">
        <f>VLOOKUP(B4114,辅助信息!E:K,7,FALSE)</f>
        <v>JWDDCD2025102100480</v>
      </c>
      <c r="E4114" s="33" t="str">
        <f>VLOOKUP(F4114,辅助信息!A:B,2,FALSE)</f>
        <v>螺纹钢</v>
      </c>
      <c r="F4114" s="33" t="s">
        <v>32</v>
      </c>
      <c r="G4114" s="29">
        <v>11</v>
      </c>
      <c r="H4114" s="127"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33" t="str">
        <f>VLOOKUP(B4114,辅助信息!E:I,3,FALSE)</f>
        <v>(五冶建设锦江区林家坝片区20号地块商业项目)锦江区泰昌路锦江28亩项目部</v>
      </c>
      <c r="J4114" s="33" t="str">
        <f>VLOOKUP(B4114,辅助信息!E:I,4,FALSE)</f>
        <v>陶杰</v>
      </c>
      <c r="K4114" s="33">
        <f>VLOOKUP(J4114,辅助信息!H:I,2,FALSE)</f>
        <v>13980247952</v>
      </c>
      <c r="L4114" s="102" t="str">
        <f>VLOOKUP(B4114,辅助信息!E:J,6,FALSE)</f>
        <v>联系实际收货人（陶杰13980247952）五冶建设送货单,6份材质书,锈货不收，装货前联系收货人核实到场规格,没提前告知进场规格现场不给予接收</v>
      </c>
      <c r="O4114" s="55" t="str">
        <f ca="1" t="shared" si="210"/>
        <v/>
      </c>
      <c r="P4114" s="55" t="str">
        <f ca="1" t="shared" si="211"/>
        <v/>
      </c>
      <c r="Q4114" s="22" t="str">
        <f>VLOOKUP(B4114,辅助信息!E:M,9,FALSE)</f>
        <v>ZTWM-CDGS-XS-2025-0073-五冶天府-成都怡心湖片区及龙泉驿医院等项目</v>
      </c>
      <c r="R4114" s="22" t="str">
        <f>_xlfn._xlws.FILTER(辅助信息!D:D,辅助信息!E:E=B4114)</f>
        <v>五冶建设锦江区林家坝片区20号地块商业项目</v>
      </c>
    </row>
    <row r="4115" hidden="1" spans="2:18">
      <c r="B4115" s="128" t="s">
        <v>208</v>
      </c>
      <c r="C4115" s="63">
        <v>45937</v>
      </c>
      <c r="D4115" s="33" t="str">
        <f>VLOOKUP(B4115,辅助信息!E:K,7,FALSE)</f>
        <v>JWDDCD2025102100480</v>
      </c>
      <c r="E4115" s="33" t="str">
        <f>VLOOKUP(F4115,辅助信息!A:B,2,FALSE)</f>
        <v>螺纹钢</v>
      </c>
      <c r="F4115" s="33" t="s">
        <v>30</v>
      </c>
      <c r="G4115" s="29">
        <v>11</v>
      </c>
      <c r="H4115" s="127"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33" t="str">
        <f>VLOOKUP(B4115,辅助信息!E:I,3,FALSE)</f>
        <v>(五冶建设锦江区林家坝片区20号地块商业项目)锦江区泰昌路锦江28亩项目部</v>
      </c>
      <c r="J4115" s="33" t="str">
        <f>VLOOKUP(B4115,辅助信息!E:I,4,FALSE)</f>
        <v>陶杰</v>
      </c>
      <c r="K4115" s="33">
        <f>VLOOKUP(J4115,辅助信息!H:I,2,FALSE)</f>
        <v>13980247952</v>
      </c>
      <c r="L4115" s="102" t="str">
        <f>VLOOKUP(B4115,辅助信息!E:J,6,FALSE)</f>
        <v>联系实际收货人（陶杰13980247952）五冶建设送货单,6份材质书,锈货不收，装货前联系收货人核实到场规格,没提前告知进场规格现场不给予接收</v>
      </c>
      <c r="O4115" s="55" t="str">
        <f ca="1" t="shared" si="210"/>
        <v/>
      </c>
      <c r="P4115" s="55" t="str">
        <f ca="1" t="shared" si="211"/>
        <v/>
      </c>
      <c r="Q4115" s="22" t="str">
        <f>VLOOKUP(B4115,辅助信息!E:M,9,FALSE)</f>
        <v>ZTWM-CDGS-XS-2025-0073-五冶天府-成都怡心湖片区及龙泉驿医院等项目</v>
      </c>
      <c r="R4115" s="22" t="str">
        <f>_xlfn._xlws.FILTER(辅助信息!D:D,辅助信息!E:E=B4115)</f>
        <v>五冶建设锦江区林家坝片区20号地块商业项目</v>
      </c>
    </row>
    <row r="4116" hidden="1" spans="2:18">
      <c r="B4116" s="128" t="s">
        <v>208</v>
      </c>
      <c r="C4116" s="63">
        <v>45937</v>
      </c>
      <c r="D4116" s="33" t="str">
        <f>VLOOKUP(B4116,辅助信息!E:K,7,FALSE)</f>
        <v>JWDDCD2025102100480</v>
      </c>
      <c r="E4116" s="33" t="str">
        <f>VLOOKUP(F4116,辅助信息!A:B,2,FALSE)</f>
        <v>螺纹钢</v>
      </c>
      <c r="F4116" s="33" t="s">
        <v>18</v>
      </c>
      <c r="G4116" s="29">
        <v>8.1</v>
      </c>
      <c r="H4116" s="127"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33" t="str">
        <f>VLOOKUP(B4116,辅助信息!E:I,3,FALSE)</f>
        <v>(五冶建设锦江区林家坝片区20号地块商业项目)锦江区泰昌路锦江28亩项目部</v>
      </c>
      <c r="J4116" s="33" t="str">
        <f>VLOOKUP(B4116,辅助信息!E:I,4,FALSE)</f>
        <v>陶杰</v>
      </c>
      <c r="K4116" s="33">
        <f>VLOOKUP(J4116,辅助信息!H:I,2,FALSE)</f>
        <v>13980247952</v>
      </c>
      <c r="L4116" s="102" t="str">
        <f>VLOOKUP(B4116,辅助信息!E:J,6,FALSE)</f>
        <v>联系实际收货人（陶杰13980247952）五冶建设送货单,6份材质书,锈货不收，装货前联系收货人核实到场规格,没提前告知进场规格现场不给予接收</v>
      </c>
      <c r="O4116" s="55" t="str">
        <f ca="1" t="shared" si="210"/>
        <v/>
      </c>
      <c r="P4116" s="55" t="str">
        <f ca="1" t="shared" si="211"/>
        <v/>
      </c>
      <c r="Q4116" s="22" t="str">
        <f>VLOOKUP(B4116,辅助信息!E:M,9,FALSE)</f>
        <v>ZTWM-CDGS-XS-2025-0073-五冶天府-成都怡心湖片区及龙泉驿医院等项目</v>
      </c>
      <c r="R4116" s="22" t="str">
        <f>_xlfn._xlws.FILTER(辅助信息!D:D,辅助信息!E:E=B4116)</f>
        <v>五冶建设锦江区林家坝片区20号地块商业项目</v>
      </c>
    </row>
    <row r="4117" hidden="1" spans="2:18">
      <c r="B4117" s="128" t="s">
        <v>68</v>
      </c>
      <c r="C4117" s="63">
        <v>45937</v>
      </c>
      <c r="D4117" s="33" t="str">
        <f>VLOOKUP(B4117,辅助信息!E:K,7,FALSE)</f>
        <v>JWDDCD2025052800131</v>
      </c>
      <c r="E4117" s="33" t="str">
        <f>VLOOKUP(F4117,辅助信息!A:B,2,FALSE)</f>
        <v>螺纹钢</v>
      </c>
      <c r="F4117" s="33" t="s">
        <v>27</v>
      </c>
      <c r="G4117" s="29">
        <v>15</v>
      </c>
      <c r="H4117" s="127">
        <f>IF(SUMIFS('[1]2025年已发货'!$E:$E,'[1]2025年已发货'!$F:$F,C4117,'[1]2025年已发货'!$C:$C,F4117,'[1]2025年已发货'!$G:$G,I4117,'[1]2025年已发货'!$H:$H,J4117)=0,"未发货",SUMIFS('[1]2025年已发货'!$E:$E,'[1]2025年已发货'!$F:$F,C4117,'[1]2025年已发货'!$C:$C,F4117,'[1]2025年已发货'!$G:$G,I4117,'[1]2025年已发货'!$H:$H,J4117))</f>
        <v>15</v>
      </c>
      <c r="I4117" s="33" t="str">
        <f>VLOOKUP(B4117,辅助信息!E:I,3,FALSE)</f>
        <v>（商投建工达州中医药科技园-2工区-景观桥）达州市通川区达州中医药职业学院犀牛大道北段</v>
      </c>
      <c r="J4117" s="33" t="str">
        <f>VLOOKUP(B4117,辅助信息!E:I,4,FALSE)</f>
        <v>李波</v>
      </c>
      <c r="K4117" s="33">
        <f>VLOOKUP(J4117,辅助信息!H:I,2,FALSE)</f>
        <v>18381899787</v>
      </c>
      <c r="L4117" s="102" t="str">
        <f>VLOOKUP(B4117,辅助信息!E:J,6,FALSE)</f>
        <v>控制炉批号！多了现场不收！,优先安排达钢,提前联系到场规格及数量</v>
      </c>
      <c r="O4117" s="55" t="str">
        <f ca="1" t="shared" si="210"/>
        <v/>
      </c>
      <c r="P4117" s="55" t="str">
        <f ca="1" t="shared" si="211"/>
        <v/>
      </c>
      <c r="Q4117" s="22" t="str">
        <f>VLOOKUP(B4117,辅助信息!E:M,9,FALSE)</f>
        <v>ZTWM-CDGS-XS-2024-0134-商投建工达州中医药科技成果示范园项目</v>
      </c>
      <c r="R4117" s="22" t="str">
        <f>_xlfn._xlws.FILTER(辅助信息!D:D,辅助信息!E:E=B4117)</f>
        <v>商投建工达州中医药科技园</v>
      </c>
    </row>
    <row r="4118" hidden="1" spans="2:18">
      <c r="B4118" s="128" t="s">
        <v>68</v>
      </c>
      <c r="C4118" s="63">
        <v>45937</v>
      </c>
      <c r="D4118" s="33" t="str">
        <f>VLOOKUP(B4118,辅助信息!E:K,7,FALSE)</f>
        <v>JWDDCD2025052800131</v>
      </c>
      <c r="E4118" s="33" t="str">
        <f>VLOOKUP(F4118,辅助信息!A:B,2,FALSE)</f>
        <v>螺纹钢</v>
      </c>
      <c r="F4118" s="33" t="s">
        <v>32</v>
      </c>
      <c r="G4118" s="29">
        <v>40</v>
      </c>
      <c r="H4118" s="127">
        <f>IF(SUMIFS('[1]2025年已发货'!$E:$E,'[1]2025年已发货'!$F:$F,C4118,'[1]2025年已发货'!$C:$C,F4118,'[1]2025年已发货'!$G:$G,I4118,'[1]2025年已发货'!$H:$H,J4118)=0,"未发货",SUMIFS('[1]2025年已发货'!$E:$E,'[1]2025年已发货'!$F:$F,C4118,'[1]2025年已发货'!$C:$C,F4118,'[1]2025年已发货'!$G:$G,I4118,'[1]2025年已发货'!$H:$H,J4118))</f>
        <v>39</v>
      </c>
      <c r="I4118" s="33" t="str">
        <f>VLOOKUP(B4118,辅助信息!E:I,3,FALSE)</f>
        <v>（商投建工达州中医药科技园-2工区-景观桥）达州市通川区达州中医药职业学院犀牛大道北段</v>
      </c>
      <c r="J4118" s="33" t="str">
        <f>VLOOKUP(B4118,辅助信息!E:I,4,FALSE)</f>
        <v>李波</v>
      </c>
      <c r="K4118" s="33">
        <f>VLOOKUP(J4118,辅助信息!H:I,2,FALSE)</f>
        <v>18381899787</v>
      </c>
      <c r="L4118" s="102" t="str">
        <f>VLOOKUP(B4118,辅助信息!E:J,6,FALSE)</f>
        <v>控制炉批号！多了现场不收！,优先安排达钢,提前联系到场规格及数量</v>
      </c>
      <c r="O4118" s="55" t="str">
        <f ca="1" t="shared" si="210"/>
        <v/>
      </c>
      <c r="P4118" s="55" t="str">
        <f ca="1" t="shared" si="211"/>
        <v/>
      </c>
      <c r="Q4118" s="22" t="str">
        <f>VLOOKUP(B4118,辅助信息!E:M,9,FALSE)</f>
        <v>ZTWM-CDGS-XS-2024-0134-商投建工达州中医药科技成果示范园项目</v>
      </c>
      <c r="R4118" s="22" t="str">
        <f>_xlfn._xlws.FILTER(辅助信息!D:D,辅助信息!E:E=B4118)</f>
        <v>商投建工达州中医药科技园</v>
      </c>
    </row>
    <row r="4119" hidden="1" spans="2:18">
      <c r="B4119" s="128" t="s">
        <v>68</v>
      </c>
      <c r="C4119" s="63">
        <v>45937</v>
      </c>
      <c r="D4119" s="33" t="str">
        <f>VLOOKUP(B4119,辅助信息!E:K,7,FALSE)</f>
        <v>JWDDCD2025052800131</v>
      </c>
      <c r="E4119" s="33" t="str">
        <f>VLOOKUP(F4119,辅助信息!A:B,2,FALSE)</f>
        <v>螺纹钢</v>
      </c>
      <c r="F4119" s="33" t="s">
        <v>33</v>
      </c>
      <c r="G4119" s="29">
        <v>12</v>
      </c>
      <c r="H4119" s="127"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33" t="str">
        <f>VLOOKUP(B4119,辅助信息!E:I,3,FALSE)</f>
        <v>（商投建工达州中医药科技园-2工区-景观桥）达州市通川区达州中医药职业学院犀牛大道北段</v>
      </c>
      <c r="J4119" s="33" t="str">
        <f>VLOOKUP(B4119,辅助信息!E:I,4,FALSE)</f>
        <v>李波</v>
      </c>
      <c r="K4119" s="33">
        <f>VLOOKUP(J4119,辅助信息!H:I,2,FALSE)</f>
        <v>18381899787</v>
      </c>
      <c r="L4119" s="102" t="str">
        <f>VLOOKUP(B4119,辅助信息!E:J,6,FALSE)</f>
        <v>控制炉批号！多了现场不收！,优先安排达钢,提前联系到场规格及数量</v>
      </c>
      <c r="O4119" s="55" t="str">
        <f ca="1" t="shared" si="210"/>
        <v/>
      </c>
      <c r="P4119" s="55" t="str">
        <f ca="1" t="shared" si="211"/>
        <v/>
      </c>
      <c r="Q4119" s="22" t="str">
        <f>VLOOKUP(B4119,辅助信息!E:M,9,FALSE)</f>
        <v>ZTWM-CDGS-XS-2024-0134-商投建工达州中医药科技成果示范园项目</v>
      </c>
      <c r="R4119" s="22" t="str">
        <f>_xlfn._xlws.FILTER(辅助信息!D:D,辅助信息!E:E=B4119)</f>
        <v>商投建工达州中医药科技园</v>
      </c>
    </row>
    <row r="4120" hidden="1" spans="2:18">
      <c r="B4120" s="128" t="s">
        <v>68</v>
      </c>
      <c r="C4120" s="63">
        <v>45937</v>
      </c>
      <c r="D4120" s="33" t="str">
        <f>VLOOKUP(B4120,辅助信息!E:K,7,FALSE)</f>
        <v>JWDDCD2025052800131</v>
      </c>
      <c r="E4120" s="33" t="str">
        <f>VLOOKUP(F4120,辅助信息!A:B,2,FALSE)</f>
        <v>螺纹钢</v>
      </c>
      <c r="F4120" s="33" t="s">
        <v>65</v>
      </c>
      <c r="G4120" s="29">
        <v>90</v>
      </c>
      <c r="H4120" s="127">
        <f>IF(SUMIFS('[1]2025年已发货'!$E:$E,'[1]2025年已发货'!$F:$F,C4120,'[1]2025年已发货'!$C:$C,F4120,'[1]2025年已发货'!$G:$G,I4120,'[1]2025年已发货'!$H:$H,J4120)=0,"未发货",SUMIFS('[1]2025年已发货'!$E:$E,'[1]2025年已发货'!$F:$F,C4120,'[1]2025年已发货'!$C:$C,F4120,'[1]2025年已发货'!$G:$G,I4120,'[1]2025年已发货'!$H:$H,J4120))</f>
        <v>90</v>
      </c>
      <c r="I4120" s="33" t="str">
        <f>VLOOKUP(B4120,辅助信息!E:I,3,FALSE)</f>
        <v>（商投建工达州中医药科技园-2工区-景观桥）达州市通川区达州中医药职业学院犀牛大道北段</v>
      </c>
      <c r="J4120" s="33" t="str">
        <f>VLOOKUP(B4120,辅助信息!E:I,4,FALSE)</f>
        <v>李波</v>
      </c>
      <c r="K4120" s="33">
        <f>VLOOKUP(J4120,辅助信息!H:I,2,FALSE)</f>
        <v>18381899787</v>
      </c>
      <c r="L4120" s="102" t="str">
        <f>VLOOKUP(B4120,辅助信息!E:J,6,FALSE)</f>
        <v>控制炉批号！多了现场不收！,优先安排达钢,提前联系到场规格及数量</v>
      </c>
      <c r="O4120" s="55" t="str">
        <f ca="1" t="shared" si="210"/>
        <v/>
      </c>
      <c r="P4120" s="55" t="str">
        <f ca="1" t="shared" si="211"/>
        <v/>
      </c>
      <c r="Q4120" s="22" t="str">
        <f>VLOOKUP(B4120,辅助信息!E:M,9,FALSE)</f>
        <v>ZTWM-CDGS-XS-2024-0134-商投建工达州中医药科技成果示范园项目</v>
      </c>
      <c r="R4120" s="22" t="str">
        <f>_xlfn._xlws.FILTER(辅助信息!D:D,辅助信息!E:E=B4120)</f>
        <v>商投建工达州中医药科技园</v>
      </c>
    </row>
    <row r="4121" hidden="1" spans="2:18">
      <c r="B4121" s="128" t="s">
        <v>167</v>
      </c>
      <c r="C4121" s="63">
        <v>45937</v>
      </c>
      <c r="D4121" s="33" t="str">
        <f>VLOOKUP(B4121,辅助信息!E:K,7,FALSE)</f>
        <v>JWDDCD2025102100473</v>
      </c>
      <c r="E4121" s="33" t="str">
        <f>VLOOKUP(F4121,辅助信息!A:B,2,FALSE)</f>
        <v>盘螺</v>
      </c>
      <c r="F4121" s="33" t="s">
        <v>40</v>
      </c>
      <c r="G4121" s="29">
        <v>16</v>
      </c>
      <c r="H4121" s="127">
        <f>IF(SUMIFS('[1]2025年已发货'!$E:$E,'[1]2025年已发货'!$F:$F,C4121,'[1]2025年已发货'!$C:$C,F4121,'[1]2025年已发货'!$G:$G,I4121,'[1]2025年已发货'!$H:$H,J4121)=0,"未发货",SUMIFS('[1]2025年已发货'!$E:$E,'[1]2025年已发货'!$F:$F,C4121,'[1]2025年已发货'!$C:$C,F4121,'[1]2025年已发货'!$G:$G,I4121,'[1]2025年已发货'!$H:$H,J4121))</f>
        <v>16</v>
      </c>
      <c r="I4121" s="33" t="str">
        <f>VLOOKUP(B4121,辅助信息!E:I,3,FALSE)</f>
        <v>(五冶建设扩建艺体中学二期工程)四川省成都市双流区光荣路成都艺体中学南200米</v>
      </c>
      <c r="J4121" s="33" t="str">
        <f>VLOOKUP(B4121,辅助信息!E:I,4,FALSE)</f>
        <v>谢序强</v>
      </c>
      <c r="K4121" s="33">
        <f>VLOOKUP(J4121,辅助信息!H:I,2,FALSE)</f>
        <v>13458588232</v>
      </c>
      <c r="L4121" s="102"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55" t="str">
        <f ca="1" t="shared" si="210"/>
        <v/>
      </c>
      <c r="P4121" s="55" t="str">
        <f ca="1" t="shared" si="211"/>
        <v/>
      </c>
      <c r="Q4121" s="22" t="str">
        <f>VLOOKUP(B4121,辅助信息!E:M,9,FALSE)</f>
        <v>ZTWM-CDGS-XS-2025-0073-五冶天府-成都怡心湖片区及龙泉驿医院等项目</v>
      </c>
      <c r="R4121" s="22" t="str">
        <f>_xlfn._xlws.FILTER(辅助信息!D:D,辅助信息!E:E=B4121)</f>
        <v>五冶建设扩建艺体中学二期工程</v>
      </c>
    </row>
    <row r="4122" hidden="1" spans="2:18">
      <c r="B4122" s="128" t="s">
        <v>167</v>
      </c>
      <c r="C4122" s="63">
        <v>45937</v>
      </c>
      <c r="D4122" s="33" t="str">
        <f>VLOOKUP(B4122,辅助信息!E:K,7,FALSE)</f>
        <v>JWDDCD2025102100473</v>
      </c>
      <c r="E4122" s="33" t="str">
        <f>VLOOKUP(F4122,辅助信息!A:B,2,FALSE)</f>
        <v>盘螺</v>
      </c>
      <c r="F4122" s="33" t="s">
        <v>41</v>
      </c>
      <c r="G4122" s="29">
        <v>20</v>
      </c>
      <c r="H4122" s="127">
        <f>IF(SUMIFS('[1]2025年已发货'!$E:$E,'[1]2025年已发货'!$F:$F,C4122,'[1]2025年已发货'!$C:$C,F4122,'[1]2025年已发货'!$G:$G,I4122,'[1]2025年已发货'!$H:$H,J4122)=0,"未发货",SUMIFS('[1]2025年已发货'!$E:$E,'[1]2025年已发货'!$F:$F,C4122,'[1]2025年已发货'!$C:$C,F4122,'[1]2025年已发货'!$G:$G,I4122,'[1]2025年已发货'!$H:$H,J4122))</f>
        <v>20</v>
      </c>
      <c r="I4122" s="33" t="str">
        <f>VLOOKUP(B4122,辅助信息!E:I,3,FALSE)</f>
        <v>(五冶建设扩建艺体中学二期工程)四川省成都市双流区光荣路成都艺体中学南200米</v>
      </c>
      <c r="J4122" s="33" t="str">
        <f>VLOOKUP(B4122,辅助信息!E:I,4,FALSE)</f>
        <v>谢序强</v>
      </c>
      <c r="K4122" s="33">
        <f>VLOOKUP(J4122,辅助信息!H:I,2,FALSE)</f>
        <v>13458588232</v>
      </c>
      <c r="L4122" s="102"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55" t="str">
        <f ca="1" t="shared" si="210"/>
        <v/>
      </c>
      <c r="P4122" s="55" t="str">
        <f ca="1" t="shared" si="211"/>
        <v/>
      </c>
      <c r="Q4122" s="22" t="str">
        <f>VLOOKUP(B4122,辅助信息!E:M,9,FALSE)</f>
        <v>ZTWM-CDGS-XS-2025-0073-五冶天府-成都怡心湖片区及龙泉驿医院等项目</v>
      </c>
      <c r="R4122" s="22" t="str">
        <f>_xlfn._xlws.FILTER(辅助信息!D:D,辅助信息!E:E=B4122)</f>
        <v>五冶建设扩建艺体中学二期工程</v>
      </c>
    </row>
    <row r="4123" hidden="1" spans="2:18">
      <c r="B4123" s="128" t="s">
        <v>167</v>
      </c>
      <c r="C4123" s="63">
        <v>45937</v>
      </c>
      <c r="D4123" s="33" t="str">
        <f>VLOOKUP(B4123,辅助信息!E:K,7,FALSE)</f>
        <v>JWDDCD2025102100473</v>
      </c>
      <c r="E4123" s="33" t="str">
        <f>VLOOKUP(F4123,辅助信息!A:B,2,FALSE)</f>
        <v>螺纹钢</v>
      </c>
      <c r="F4123" s="33" t="s">
        <v>27</v>
      </c>
      <c r="G4123" s="29">
        <v>32</v>
      </c>
      <c r="H4123" s="127">
        <f>IF(SUMIFS('[1]2025年已发货'!$E:$E,'[1]2025年已发货'!$F:$F,C4123,'[1]2025年已发货'!$C:$C,F4123,'[1]2025年已发货'!$G:$G,I4123,'[1]2025年已发货'!$H:$H,J4123)=0,"未发货",SUMIFS('[1]2025年已发货'!$E:$E,'[1]2025年已发货'!$F:$F,C4123,'[1]2025年已发货'!$C:$C,F4123,'[1]2025年已发货'!$G:$G,I4123,'[1]2025年已发货'!$H:$H,J4123))</f>
        <v>32</v>
      </c>
      <c r="I4123" s="33" t="str">
        <f>VLOOKUP(B4123,辅助信息!E:I,3,FALSE)</f>
        <v>(五冶建设扩建艺体中学二期工程)四川省成都市双流区光荣路成都艺体中学南200米</v>
      </c>
      <c r="J4123" s="33" t="str">
        <f>VLOOKUP(B4123,辅助信息!E:I,4,FALSE)</f>
        <v>谢序强</v>
      </c>
      <c r="K4123" s="33">
        <f>VLOOKUP(J4123,辅助信息!H:I,2,FALSE)</f>
        <v>13458588232</v>
      </c>
      <c r="L4123" s="102"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55" t="str">
        <f ca="1" t="shared" si="210"/>
        <v/>
      </c>
      <c r="P4123" s="55" t="str">
        <f ca="1" t="shared" si="211"/>
        <v/>
      </c>
      <c r="Q4123" s="22" t="str">
        <f>VLOOKUP(B4123,辅助信息!E:M,9,FALSE)</f>
        <v>ZTWM-CDGS-XS-2025-0073-五冶天府-成都怡心湖片区及龙泉驿医院等项目</v>
      </c>
      <c r="R4123" s="22" t="str">
        <f>_xlfn._xlws.FILTER(辅助信息!D:D,辅助信息!E:E=B4123)</f>
        <v>五冶建设扩建艺体中学二期工程</v>
      </c>
    </row>
    <row r="4124" hidden="1" spans="2:18">
      <c r="B4124" s="128" t="s">
        <v>167</v>
      </c>
      <c r="C4124" s="63">
        <v>45937</v>
      </c>
      <c r="D4124" s="33" t="str">
        <f>VLOOKUP(B4124,辅助信息!E:K,7,FALSE)</f>
        <v>JWDDCD2025102100473</v>
      </c>
      <c r="E4124" s="33" t="str">
        <f>VLOOKUP(F4124,辅助信息!A:B,2,FALSE)</f>
        <v>螺纹钢</v>
      </c>
      <c r="F4124" s="33" t="s">
        <v>58</v>
      </c>
      <c r="G4124" s="29">
        <v>6</v>
      </c>
      <c r="H4124" s="127">
        <f>IF(SUMIFS('[1]2025年已发货'!$E:$E,'[1]2025年已发货'!$F:$F,C4124,'[1]2025年已发货'!$C:$C,F4124,'[1]2025年已发货'!$G:$G,I4124,'[1]2025年已发货'!$H:$H,J4124)=0,"未发货",SUMIFS('[1]2025年已发货'!$E:$E,'[1]2025年已发货'!$F:$F,C4124,'[1]2025年已发货'!$C:$C,F4124,'[1]2025年已发货'!$G:$G,I4124,'[1]2025年已发货'!$H:$H,J4124))</f>
        <v>6</v>
      </c>
      <c r="I4124" s="33" t="str">
        <f>VLOOKUP(B4124,辅助信息!E:I,3,FALSE)</f>
        <v>(五冶建设扩建艺体中学二期工程)四川省成都市双流区光荣路成都艺体中学南200米</v>
      </c>
      <c r="J4124" s="33" t="str">
        <f>VLOOKUP(B4124,辅助信息!E:I,4,FALSE)</f>
        <v>谢序强</v>
      </c>
      <c r="K4124" s="33">
        <f>VLOOKUP(J4124,辅助信息!H:I,2,FALSE)</f>
        <v>13458588232</v>
      </c>
      <c r="L4124" s="102"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55" t="str">
        <f ca="1" t="shared" si="210"/>
        <v/>
      </c>
      <c r="P4124" s="55" t="str">
        <f ca="1" t="shared" si="211"/>
        <v/>
      </c>
      <c r="Q4124" s="22" t="str">
        <f>VLOOKUP(B4124,辅助信息!E:M,9,FALSE)</f>
        <v>ZTWM-CDGS-XS-2025-0073-五冶天府-成都怡心湖片区及龙泉驿医院等项目</v>
      </c>
      <c r="R4124" s="22" t="str">
        <f>_xlfn._xlws.FILTER(辅助信息!D:D,辅助信息!E:E=B4124)</f>
        <v>五冶建设扩建艺体中学二期工程</v>
      </c>
    </row>
    <row r="4125" hidden="1" spans="2:18">
      <c r="B4125" s="128" t="s">
        <v>167</v>
      </c>
      <c r="C4125" s="63">
        <v>45937</v>
      </c>
      <c r="D4125" s="33" t="str">
        <f>VLOOKUP(B4125,辅助信息!E:K,7,FALSE)</f>
        <v>JWDDCD2025102100473</v>
      </c>
      <c r="E4125" s="33" t="str">
        <f>VLOOKUP(F4125,辅助信息!A:B,2,FALSE)</f>
        <v>螺纹钢</v>
      </c>
      <c r="F4125" s="33" t="s">
        <v>46</v>
      </c>
      <c r="G4125" s="29">
        <v>6</v>
      </c>
      <c r="H4125" s="127">
        <f>IF(SUMIFS('[1]2025年已发货'!$E:$E,'[1]2025年已发货'!$F:$F,C4125,'[1]2025年已发货'!$C:$C,F4125,'[1]2025年已发货'!$G:$G,I4125,'[1]2025年已发货'!$H:$H,J4125)=0,"未发货",SUMIFS('[1]2025年已发货'!$E:$E,'[1]2025年已发货'!$F:$F,C4125,'[1]2025年已发货'!$C:$C,F4125,'[1]2025年已发货'!$G:$G,I4125,'[1]2025年已发货'!$H:$H,J4125))</f>
        <v>6</v>
      </c>
      <c r="I4125" s="33" t="str">
        <f>VLOOKUP(B4125,辅助信息!E:I,3,FALSE)</f>
        <v>(五冶建设扩建艺体中学二期工程)四川省成都市双流区光荣路成都艺体中学南200米</v>
      </c>
      <c r="J4125" s="33" t="str">
        <f>VLOOKUP(B4125,辅助信息!E:I,4,FALSE)</f>
        <v>谢序强</v>
      </c>
      <c r="K4125" s="33">
        <f>VLOOKUP(J4125,辅助信息!H:I,2,FALSE)</f>
        <v>13458588232</v>
      </c>
      <c r="L4125" s="102"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55" t="str">
        <f ca="1" t="shared" si="210"/>
        <v/>
      </c>
      <c r="P4125" s="55" t="str">
        <f ca="1" t="shared" si="211"/>
        <v/>
      </c>
      <c r="Q4125" s="22" t="str">
        <f>VLOOKUP(B4125,辅助信息!E:M,9,FALSE)</f>
        <v>ZTWM-CDGS-XS-2025-0073-五冶天府-成都怡心湖片区及龙泉驿医院等项目</v>
      </c>
      <c r="R4125" s="22" t="str">
        <f>_xlfn._xlws.FILTER(辅助信息!D:D,辅助信息!E:E=B4125)</f>
        <v>五冶建设扩建艺体中学二期工程</v>
      </c>
    </row>
    <row r="4126" hidden="1" spans="2:18">
      <c r="B4126" s="128" t="s">
        <v>167</v>
      </c>
      <c r="C4126" s="63">
        <v>45937</v>
      </c>
      <c r="D4126" s="33" t="str">
        <f>VLOOKUP(B4126,辅助信息!E:K,7,FALSE)</f>
        <v>JWDDCD2025102100473</v>
      </c>
      <c r="E4126" s="33" t="str">
        <f>VLOOKUP(F4126,辅助信息!A:B,2,FALSE)</f>
        <v>螺纹钢</v>
      </c>
      <c r="F4126" s="33" t="s">
        <v>22</v>
      </c>
      <c r="G4126" s="29">
        <v>48</v>
      </c>
      <c r="H4126" s="127">
        <f>IF(SUMIFS('[1]2025年已发货'!$E:$E,'[1]2025年已发货'!$F:$F,C4126,'[1]2025年已发货'!$C:$C,F4126,'[1]2025年已发货'!$G:$G,I4126,'[1]2025年已发货'!$H:$H,J4126)=0,"未发货",SUMIFS('[1]2025年已发货'!$E:$E,'[1]2025年已发货'!$F:$F,C4126,'[1]2025年已发货'!$C:$C,F4126,'[1]2025年已发货'!$G:$G,I4126,'[1]2025年已发货'!$H:$H,J4126))</f>
        <v>48</v>
      </c>
      <c r="I4126" s="33" t="str">
        <f>VLOOKUP(B4126,辅助信息!E:I,3,FALSE)</f>
        <v>(五冶建设扩建艺体中学二期工程)四川省成都市双流区光荣路成都艺体中学南200米</v>
      </c>
      <c r="J4126" s="33" t="str">
        <f>VLOOKUP(B4126,辅助信息!E:I,4,FALSE)</f>
        <v>谢序强</v>
      </c>
      <c r="K4126" s="33">
        <f>VLOOKUP(J4126,辅助信息!H:I,2,FALSE)</f>
        <v>13458588232</v>
      </c>
      <c r="L4126" s="102"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55" t="str">
        <f ca="1" t="shared" si="210"/>
        <v/>
      </c>
      <c r="P4126" s="55" t="str">
        <f ca="1" t="shared" si="211"/>
        <v/>
      </c>
      <c r="Q4126" s="22" t="str">
        <f>VLOOKUP(B4126,辅助信息!E:M,9,FALSE)</f>
        <v>ZTWM-CDGS-XS-2025-0073-五冶天府-成都怡心湖片区及龙泉驿医院等项目</v>
      </c>
      <c r="R4126" s="22" t="str">
        <f>_xlfn._xlws.FILTER(辅助信息!D:D,辅助信息!E:E=B4126)</f>
        <v>五冶建设扩建艺体中学二期工程</v>
      </c>
    </row>
    <row r="4127" hidden="1" spans="2:18">
      <c r="B4127" s="128" t="s">
        <v>167</v>
      </c>
      <c r="C4127" s="63">
        <v>45937</v>
      </c>
      <c r="D4127" s="33" t="str">
        <f>VLOOKUP(B4127,辅助信息!E:K,7,FALSE)</f>
        <v>JWDDCD2025102100473</v>
      </c>
      <c r="E4127" s="33" t="str">
        <f>VLOOKUP(F4127,辅助信息!A:B,2,FALSE)</f>
        <v>螺纹钢</v>
      </c>
      <c r="F4127" s="33" t="s">
        <v>142</v>
      </c>
      <c r="G4127" s="29">
        <v>12</v>
      </c>
      <c r="H4127" s="127">
        <f>IF(SUMIFS('[1]2025年已发货'!$E:$E,'[1]2025年已发货'!$F:$F,C4127,'[1]2025年已发货'!$C:$C,F4127,'[1]2025年已发货'!$G:$G,I4127,'[1]2025年已发货'!$H:$H,J4127)=0,"未发货",SUMIFS('[1]2025年已发货'!$E:$E,'[1]2025年已发货'!$F:$F,C4127,'[1]2025年已发货'!$C:$C,F4127,'[1]2025年已发货'!$G:$G,I4127,'[1]2025年已发货'!$H:$H,J4127))</f>
        <v>12</v>
      </c>
      <c r="I4127" s="33" t="str">
        <f>VLOOKUP(B4127,辅助信息!E:I,3,FALSE)</f>
        <v>(五冶建设扩建艺体中学二期工程)四川省成都市双流区光荣路成都艺体中学南200米</v>
      </c>
      <c r="J4127" s="33" t="str">
        <f>VLOOKUP(B4127,辅助信息!E:I,4,FALSE)</f>
        <v>谢序强</v>
      </c>
      <c r="K4127" s="33">
        <f>VLOOKUP(J4127,辅助信息!H:I,2,FALSE)</f>
        <v>13458588232</v>
      </c>
      <c r="L4127" s="102"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55" t="str">
        <f ca="1" t="shared" si="210"/>
        <v/>
      </c>
      <c r="P4127" s="55" t="str">
        <f ca="1" t="shared" si="211"/>
        <v/>
      </c>
      <c r="Q4127" s="22" t="str">
        <f>VLOOKUP(B4127,辅助信息!E:M,9,FALSE)</f>
        <v>ZTWM-CDGS-XS-2025-0073-五冶天府-成都怡心湖片区及龙泉驿医院等项目</v>
      </c>
      <c r="R4127" s="22" t="str">
        <f>_xlfn._xlws.FILTER(辅助信息!D:D,辅助信息!E:E=B4127)</f>
        <v>五冶建设扩建艺体中学二期工程</v>
      </c>
    </row>
    <row r="4128" hidden="1" spans="2:18">
      <c r="B4128" s="128" t="s">
        <v>225</v>
      </c>
      <c r="C4128" s="63">
        <v>45937</v>
      </c>
      <c r="D4128" s="33" t="str">
        <f>VLOOKUP(B4128,辅助信息!E:K,7,FALSE)</f>
        <v>JWDDCD2025092400210</v>
      </c>
      <c r="E4128" s="33" t="str">
        <f>VLOOKUP(F4128,辅助信息!A:B,2,FALSE)</f>
        <v>盘螺</v>
      </c>
      <c r="F4128" s="33" t="s">
        <v>40</v>
      </c>
      <c r="G4128" s="29">
        <v>70</v>
      </c>
      <c r="H4128" s="127">
        <f>IF(SUMIFS('[1]2025年已发货'!$E:$E,'[1]2025年已发货'!$F:$F,C4128,'[1]2025年已发货'!$C:$C,F4128,'[1]2025年已发货'!$G:$G,I4128,'[1]2025年已发货'!$H:$H,J4128)=0,"未发货",SUMIFS('[1]2025年已发货'!$E:$E,'[1]2025年已发货'!$F:$F,C4128,'[1]2025年已发货'!$C:$C,F4128,'[1]2025年已发货'!$G:$G,I4128,'[1]2025年已发货'!$H:$H,J4128))</f>
        <v>70</v>
      </c>
      <c r="I4128" s="33" t="str">
        <f>VLOOKUP(B4128,辅助信息!E:I,3,FALSE)</f>
        <v>(五冶钢构龙泉东洪片区85亩住宅、商业及配套工程项目一标段)成都市龙泉驿外东洪路地铁2号线惠王陵地铁C口</v>
      </c>
      <c r="J4128" s="33" t="str">
        <f>VLOOKUP(B4128,辅助信息!E:I,4,FALSE)</f>
        <v>岳工</v>
      </c>
      <c r="K4128" s="33">
        <f>VLOOKUP(J4128,辅助信息!H:I,2,FALSE)</f>
        <v>18599951655</v>
      </c>
      <c r="L4128" s="102">
        <f>VLOOKUP(B4128,辅助信息!E:J,6,FALSE)</f>
        <v>0</v>
      </c>
      <c r="O4128" s="55" t="str">
        <f ca="1" t="shared" ref="O4128:O4191" si="212">IF(OR(M4128="",N4128&lt;&gt;""),"",MAX(M4128-TODAY(),0))</f>
        <v/>
      </c>
      <c r="P4128" s="55" t="str">
        <f ca="1" t="shared" ref="P4128:P4191" si="213">IF(M4128="","",IF(N4128&lt;&gt;"",MAX(N4128-M4128,0),IF(TODAY()&gt;M4128,TODAY()-M4128,0)))</f>
        <v/>
      </c>
      <c r="Q4128" s="22" t="str">
        <f>VLOOKUP(B4128,辅助信息!E:M,9,FALSE)</f>
        <v>ZTWM-CDGS-XS-2025-0156-五冶钢构-2025年九月第一批次钢筋采购合同(三圣乡项目)-中铁物贸成都公司</v>
      </c>
      <c r="R4128" s="22" t="str">
        <f>_xlfn._xlws.FILTER(辅助信息!D:D,辅助信息!E:E=B4128)</f>
        <v>五冶钢构龙泉东洪片区85亩住宅、商业及配套工程项目一标段</v>
      </c>
    </row>
    <row r="4129" hidden="1" spans="2:18">
      <c r="B4129" s="128" t="s">
        <v>232</v>
      </c>
      <c r="C4129" s="63">
        <v>45937</v>
      </c>
      <c r="D4129" s="33" t="str">
        <f>VLOOKUP(B4129,辅助信息!E:K,7,FALSE)</f>
        <v>JWDDCD2025052800131</v>
      </c>
      <c r="E4129" s="33" t="str">
        <f>VLOOKUP(F4129,辅助信息!A:B,2,FALSE)</f>
        <v>盘螺</v>
      </c>
      <c r="F4129" s="33" t="s">
        <v>49</v>
      </c>
      <c r="G4129" s="29">
        <v>15</v>
      </c>
      <c r="H4129" s="127">
        <f>IF(SUMIFS('[1]2025年已发货'!$E:$E,'[1]2025年已发货'!$F:$F,C4129,'[1]2025年已发货'!$C:$C,F4129,'[1]2025年已发货'!$G:$G,I4129,'[1]2025年已发货'!$H:$H,J4129)=0,"未发货",SUMIFS('[1]2025年已发货'!$E:$E,'[1]2025年已发货'!$F:$F,C4129,'[1]2025年已发货'!$C:$C,F4129,'[1]2025年已发货'!$G:$G,I4129,'[1]2025年已发货'!$H:$H,J4129))</f>
        <v>15</v>
      </c>
      <c r="I4129" s="33" t="str">
        <f>VLOOKUP(B4129,辅助信息!E:I,3,FALSE)</f>
        <v>（商投建工达州中医药科技园-2工区-2号桥）达州市通川区达州中医药职业学院犀牛大道北段</v>
      </c>
      <c r="J4129" s="33" t="str">
        <f>VLOOKUP(B4129,辅助信息!E:I,4,FALSE)</f>
        <v>李波</v>
      </c>
      <c r="K4129" s="33">
        <f>VLOOKUP(J4129,辅助信息!H:I,2,FALSE)</f>
        <v>18381899787</v>
      </c>
      <c r="L4129" s="102" t="str">
        <f>VLOOKUP(B4129,辅助信息!E:J,6,FALSE)</f>
        <v>控制炉批号！多了现场不收！,优先安排达钢,提前联系到场规格及数量</v>
      </c>
      <c r="O4129" s="55" t="str">
        <f ca="1" t="shared" si="212"/>
        <v/>
      </c>
      <c r="P4129" s="55" t="str">
        <f ca="1" t="shared" si="213"/>
        <v/>
      </c>
      <c r="Q4129" s="22" t="str">
        <f>VLOOKUP(B4129,辅助信息!E:M,9,FALSE)</f>
        <v>ZTWM-CDGS-XS-2024-0134-商投建工达州中医药科技成果示范园项目</v>
      </c>
      <c r="R4129" s="22" t="str">
        <f>_xlfn._xlws.FILTER(辅助信息!D:D,辅助信息!E:E=B4129)</f>
        <v>商投建工达州中医药科技园</v>
      </c>
    </row>
    <row r="4130" hidden="1" spans="2:18">
      <c r="B4130" s="128" t="s">
        <v>232</v>
      </c>
      <c r="C4130" s="63">
        <v>45937</v>
      </c>
      <c r="D4130" s="33" t="str">
        <f>VLOOKUP(B4130,辅助信息!E:K,7,FALSE)</f>
        <v>JWDDCD2025052800131</v>
      </c>
      <c r="E4130" s="33" t="str">
        <f>VLOOKUP(F4130,辅助信息!A:B,2,FALSE)</f>
        <v>盘螺</v>
      </c>
      <c r="F4130" s="33" t="s">
        <v>40</v>
      </c>
      <c r="G4130" s="29">
        <v>15</v>
      </c>
      <c r="H4130" s="127">
        <f>IF(SUMIFS('[1]2025年已发货'!$E:$E,'[1]2025年已发货'!$F:$F,C4130,'[1]2025年已发货'!$C:$C,F4130,'[1]2025年已发货'!$G:$G,I4130,'[1]2025年已发货'!$H:$H,J4130)=0,"未发货",SUMIFS('[1]2025年已发货'!$E:$E,'[1]2025年已发货'!$F:$F,C4130,'[1]2025年已发货'!$C:$C,F4130,'[1]2025年已发货'!$G:$G,I4130,'[1]2025年已发货'!$H:$H,J4130))</f>
        <v>15</v>
      </c>
      <c r="I4130" s="33" t="str">
        <f>VLOOKUP(B4130,辅助信息!E:I,3,FALSE)</f>
        <v>（商投建工达州中医药科技园-2工区-2号桥）达州市通川区达州中医药职业学院犀牛大道北段</v>
      </c>
      <c r="J4130" s="33" t="str">
        <f>VLOOKUP(B4130,辅助信息!E:I,4,FALSE)</f>
        <v>李波</v>
      </c>
      <c r="K4130" s="33">
        <f>VLOOKUP(J4130,辅助信息!H:I,2,FALSE)</f>
        <v>18381899787</v>
      </c>
      <c r="L4130" s="102" t="str">
        <f>VLOOKUP(B4130,辅助信息!E:J,6,FALSE)</f>
        <v>控制炉批号！多了现场不收！,优先安排达钢,提前联系到场规格及数量</v>
      </c>
      <c r="O4130" s="55" t="str">
        <f ca="1" t="shared" si="212"/>
        <v/>
      </c>
      <c r="P4130" s="55" t="str">
        <f ca="1" t="shared" si="213"/>
        <v/>
      </c>
      <c r="Q4130" s="22" t="str">
        <f>VLOOKUP(B4130,辅助信息!E:M,9,FALSE)</f>
        <v>ZTWM-CDGS-XS-2024-0134-商投建工达州中医药科技成果示范园项目</v>
      </c>
      <c r="R4130" s="22" t="str">
        <f>_xlfn._xlws.FILTER(辅助信息!D:D,辅助信息!E:E=B4130)</f>
        <v>商投建工达州中医药科技园</v>
      </c>
    </row>
    <row r="4131" hidden="1" spans="2:18">
      <c r="B4131" s="128" t="s">
        <v>232</v>
      </c>
      <c r="C4131" s="63">
        <v>45937</v>
      </c>
      <c r="D4131" s="33" t="str">
        <f>VLOOKUP(B4131,辅助信息!E:K,7,FALSE)</f>
        <v>JWDDCD2025052800131</v>
      </c>
      <c r="E4131" s="33" t="str">
        <f>VLOOKUP(F4131,辅助信息!A:B,2,FALSE)</f>
        <v>盘螺</v>
      </c>
      <c r="F4131" s="33" t="s">
        <v>41</v>
      </c>
      <c r="G4131" s="29">
        <v>15</v>
      </c>
      <c r="H4131" s="127">
        <f>IF(SUMIFS('[1]2025年已发货'!$E:$E,'[1]2025年已发货'!$F:$F,C4131,'[1]2025年已发货'!$C:$C,F4131,'[1]2025年已发货'!$G:$G,I4131,'[1]2025年已发货'!$H:$H,J4131)=0,"未发货",SUMIFS('[1]2025年已发货'!$E:$E,'[1]2025年已发货'!$F:$F,C4131,'[1]2025年已发货'!$C:$C,F4131,'[1]2025年已发货'!$G:$G,I4131,'[1]2025年已发货'!$H:$H,J4131))</f>
        <v>15</v>
      </c>
      <c r="I4131" s="33" t="str">
        <f>VLOOKUP(B4131,辅助信息!E:I,3,FALSE)</f>
        <v>（商投建工达州中医药科技园-2工区-2号桥）达州市通川区达州中医药职业学院犀牛大道北段</v>
      </c>
      <c r="J4131" s="33" t="str">
        <f>VLOOKUP(B4131,辅助信息!E:I,4,FALSE)</f>
        <v>李波</v>
      </c>
      <c r="K4131" s="33">
        <f>VLOOKUP(J4131,辅助信息!H:I,2,FALSE)</f>
        <v>18381899787</v>
      </c>
      <c r="L4131" s="102" t="str">
        <f>VLOOKUP(B4131,辅助信息!E:J,6,FALSE)</f>
        <v>控制炉批号！多了现场不收！,优先安排达钢,提前联系到场规格及数量</v>
      </c>
      <c r="O4131" s="55" t="str">
        <f ca="1" t="shared" si="212"/>
        <v/>
      </c>
      <c r="P4131" s="55" t="str">
        <f ca="1" t="shared" si="213"/>
        <v/>
      </c>
      <c r="Q4131" s="22" t="str">
        <f>VLOOKUP(B4131,辅助信息!E:M,9,FALSE)</f>
        <v>ZTWM-CDGS-XS-2024-0134-商投建工达州中医药科技成果示范园项目</v>
      </c>
      <c r="R4131" s="22" t="str">
        <f>_xlfn._xlws.FILTER(辅助信息!D:D,辅助信息!E:E=B4131)</f>
        <v>商投建工达州中医药科技园</v>
      </c>
    </row>
    <row r="4132" hidden="1" spans="2:18">
      <c r="B4132" s="128" t="s">
        <v>232</v>
      </c>
      <c r="C4132" s="63">
        <v>45937</v>
      </c>
      <c r="D4132" s="33" t="str">
        <f>VLOOKUP(B4132,辅助信息!E:K,7,FALSE)</f>
        <v>JWDDCD2025052800131</v>
      </c>
      <c r="E4132" s="33" t="str">
        <f>VLOOKUP(F4132,辅助信息!A:B,2,FALSE)</f>
        <v>螺纹钢</v>
      </c>
      <c r="F4132" s="33" t="s">
        <v>27</v>
      </c>
      <c r="G4132" s="29">
        <v>36</v>
      </c>
      <c r="H4132" s="127">
        <f>IF(SUMIFS('[1]2025年已发货'!$E:$E,'[1]2025年已发货'!$F:$F,C4132,'[1]2025年已发货'!$C:$C,F4132,'[1]2025年已发货'!$G:$G,I4132,'[1]2025年已发货'!$H:$H,J4132)=0,"未发货",SUMIFS('[1]2025年已发货'!$E:$E,'[1]2025年已发货'!$F:$F,C4132,'[1]2025年已发货'!$C:$C,F4132,'[1]2025年已发货'!$G:$G,I4132,'[1]2025年已发货'!$H:$H,J4132))</f>
        <v>36</v>
      </c>
      <c r="I4132" s="33" t="str">
        <f>VLOOKUP(B4132,辅助信息!E:I,3,FALSE)</f>
        <v>（商投建工达州中医药科技园-2工区-2号桥）达州市通川区达州中医药职业学院犀牛大道北段</v>
      </c>
      <c r="J4132" s="33" t="str">
        <f>VLOOKUP(B4132,辅助信息!E:I,4,FALSE)</f>
        <v>李波</v>
      </c>
      <c r="K4132" s="33">
        <f>VLOOKUP(J4132,辅助信息!H:I,2,FALSE)</f>
        <v>18381899787</v>
      </c>
      <c r="L4132" s="102" t="str">
        <f>VLOOKUP(B4132,辅助信息!E:J,6,FALSE)</f>
        <v>控制炉批号！多了现场不收！,优先安排达钢,提前联系到场规格及数量</v>
      </c>
      <c r="O4132" s="55" t="str">
        <f ca="1" t="shared" si="212"/>
        <v/>
      </c>
      <c r="P4132" s="55" t="str">
        <f ca="1" t="shared" si="213"/>
        <v/>
      </c>
      <c r="Q4132" s="22" t="str">
        <f>VLOOKUP(B4132,辅助信息!E:M,9,FALSE)</f>
        <v>ZTWM-CDGS-XS-2024-0134-商投建工达州中医药科技成果示范园项目</v>
      </c>
      <c r="R4132" s="22" t="str">
        <f>_xlfn._xlws.FILTER(辅助信息!D:D,辅助信息!E:E=B4132)</f>
        <v>商投建工达州中医药科技园</v>
      </c>
    </row>
    <row r="4133" hidden="1" spans="2:18">
      <c r="B4133" s="128" t="s">
        <v>232</v>
      </c>
      <c r="C4133" s="63">
        <v>45937</v>
      </c>
      <c r="D4133" s="33" t="str">
        <f>VLOOKUP(B4133,辅助信息!E:K,7,FALSE)</f>
        <v>JWDDCD2025052800131</v>
      </c>
      <c r="E4133" s="33" t="str">
        <f>VLOOKUP(F4133,辅助信息!A:B,2,FALSE)</f>
        <v>螺纹钢</v>
      </c>
      <c r="F4133" s="33" t="s">
        <v>19</v>
      </c>
      <c r="G4133" s="29">
        <v>150</v>
      </c>
      <c r="H4133" s="127">
        <f>IF(SUMIFS('[1]2025年已发货'!$E:$E,'[1]2025年已发货'!$F:$F,C4133,'[1]2025年已发货'!$C:$C,F4133,'[1]2025年已发货'!$G:$G,I4133,'[1]2025年已发货'!$H:$H,J4133)=0,"未发货",SUMIFS('[1]2025年已发货'!$E:$E,'[1]2025年已发货'!$F:$F,C4133,'[1]2025年已发货'!$C:$C,F4133,'[1]2025年已发货'!$G:$G,I4133,'[1]2025年已发货'!$H:$H,J4133))</f>
        <v>150</v>
      </c>
      <c r="I4133" s="33" t="str">
        <f>VLOOKUP(B4133,辅助信息!E:I,3,FALSE)</f>
        <v>（商投建工达州中医药科技园-2工区-2号桥）达州市通川区达州中医药职业学院犀牛大道北段</v>
      </c>
      <c r="J4133" s="33" t="str">
        <f>VLOOKUP(B4133,辅助信息!E:I,4,FALSE)</f>
        <v>李波</v>
      </c>
      <c r="K4133" s="33">
        <f>VLOOKUP(J4133,辅助信息!H:I,2,FALSE)</f>
        <v>18381899787</v>
      </c>
      <c r="L4133" s="102" t="str">
        <f>VLOOKUP(B4133,辅助信息!E:J,6,FALSE)</f>
        <v>控制炉批号！多了现场不收！,优先安排达钢,提前联系到场规格及数量</v>
      </c>
      <c r="O4133" s="55" t="str">
        <f ca="1" t="shared" si="212"/>
        <v/>
      </c>
      <c r="P4133" s="55" t="str">
        <f ca="1" t="shared" si="213"/>
        <v/>
      </c>
      <c r="Q4133" s="22" t="str">
        <f>VLOOKUP(B4133,辅助信息!E:M,9,FALSE)</f>
        <v>ZTWM-CDGS-XS-2024-0134-商投建工达州中医药科技成果示范园项目</v>
      </c>
      <c r="R4133" s="22" t="str">
        <f>_xlfn._xlws.FILTER(辅助信息!D:D,辅助信息!E:E=B4133)</f>
        <v>商投建工达州中医药科技园</v>
      </c>
    </row>
    <row r="4134" hidden="1" spans="2:18">
      <c r="B4134" s="128" t="s">
        <v>232</v>
      </c>
      <c r="C4134" s="63">
        <v>45937</v>
      </c>
      <c r="D4134" s="33" t="str">
        <f>VLOOKUP(B4134,辅助信息!E:K,7,FALSE)</f>
        <v>JWDDCD2025052800131</v>
      </c>
      <c r="E4134" s="33" t="str">
        <f>VLOOKUP(F4134,辅助信息!A:B,2,FALSE)</f>
        <v>螺纹钢</v>
      </c>
      <c r="F4134" s="33" t="s">
        <v>32</v>
      </c>
      <c r="G4134" s="29">
        <v>10</v>
      </c>
      <c r="H4134" s="127">
        <f>IF(SUMIFS('[1]2025年已发货'!$E:$E,'[1]2025年已发货'!$F:$F,C4134,'[1]2025年已发货'!$C:$C,F4134,'[1]2025年已发货'!$G:$G,I4134,'[1]2025年已发货'!$H:$H,J4134)=0,"未发货",SUMIFS('[1]2025年已发货'!$E:$E,'[1]2025年已发货'!$F:$F,C4134,'[1]2025年已发货'!$C:$C,F4134,'[1]2025年已发货'!$G:$G,I4134,'[1]2025年已发货'!$H:$H,J4134))</f>
        <v>10</v>
      </c>
      <c r="I4134" s="33" t="str">
        <f>VLOOKUP(B4134,辅助信息!E:I,3,FALSE)</f>
        <v>（商投建工达州中医药科技园-2工区-2号桥）达州市通川区达州中医药职业学院犀牛大道北段</v>
      </c>
      <c r="J4134" s="33" t="str">
        <f>VLOOKUP(B4134,辅助信息!E:I,4,FALSE)</f>
        <v>李波</v>
      </c>
      <c r="K4134" s="33">
        <f>VLOOKUP(J4134,辅助信息!H:I,2,FALSE)</f>
        <v>18381899787</v>
      </c>
      <c r="L4134" s="102" t="str">
        <f>VLOOKUP(B4134,辅助信息!E:J,6,FALSE)</f>
        <v>控制炉批号！多了现场不收！,优先安排达钢,提前联系到场规格及数量</v>
      </c>
      <c r="O4134" s="55" t="str">
        <f ca="1" t="shared" si="212"/>
        <v/>
      </c>
      <c r="P4134" s="55" t="str">
        <f ca="1" t="shared" si="213"/>
        <v/>
      </c>
      <c r="Q4134" s="22" t="str">
        <f>VLOOKUP(B4134,辅助信息!E:M,9,FALSE)</f>
        <v>ZTWM-CDGS-XS-2024-0134-商投建工达州中医药科技成果示范园项目</v>
      </c>
      <c r="R4134" s="22" t="str">
        <f>_xlfn._xlws.FILTER(辅助信息!D:D,辅助信息!E:E=B4134)</f>
        <v>商投建工达州中医药科技园</v>
      </c>
    </row>
    <row r="4135" hidden="1" spans="2:18">
      <c r="B4135" s="128" t="s">
        <v>232</v>
      </c>
      <c r="C4135" s="63">
        <v>45937</v>
      </c>
      <c r="D4135" s="33" t="str">
        <f>VLOOKUP(B4135,辅助信息!E:K,7,FALSE)</f>
        <v>JWDDCD2025052800131</v>
      </c>
      <c r="E4135" s="33" t="str">
        <f>VLOOKUP(F4135,辅助信息!A:B,2,FALSE)</f>
        <v>螺纹钢</v>
      </c>
      <c r="F4135" s="33" t="s">
        <v>30</v>
      </c>
      <c r="G4135" s="29">
        <v>20</v>
      </c>
      <c r="H4135" s="127"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33" t="str">
        <f>VLOOKUP(B4135,辅助信息!E:I,3,FALSE)</f>
        <v>（商投建工达州中医药科技园-2工区-2号桥）达州市通川区达州中医药职业学院犀牛大道北段</v>
      </c>
      <c r="J4135" s="33" t="str">
        <f>VLOOKUP(B4135,辅助信息!E:I,4,FALSE)</f>
        <v>李波</v>
      </c>
      <c r="K4135" s="33">
        <f>VLOOKUP(J4135,辅助信息!H:I,2,FALSE)</f>
        <v>18381899787</v>
      </c>
      <c r="L4135" s="102" t="str">
        <f>VLOOKUP(B4135,辅助信息!E:J,6,FALSE)</f>
        <v>控制炉批号！多了现场不收！,优先安排达钢,提前联系到场规格及数量</v>
      </c>
      <c r="O4135" s="55" t="str">
        <f ca="1" t="shared" si="212"/>
        <v/>
      </c>
      <c r="P4135" s="55" t="str">
        <f ca="1" t="shared" si="213"/>
        <v/>
      </c>
      <c r="Q4135" s="22" t="str">
        <f>VLOOKUP(B4135,辅助信息!E:M,9,FALSE)</f>
        <v>ZTWM-CDGS-XS-2024-0134-商投建工达州中医药科技成果示范园项目</v>
      </c>
      <c r="R4135" s="22" t="str">
        <f>_xlfn._xlws.FILTER(辅助信息!D:D,辅助信息!E:E=B4135)</f>
        <v>商投建工达州中医药科技园</v>
      </c>
    </row>
    <row r="4136" hidden="1" spans="2:18">
      <c r="B4136" s="128" t="s">
        <v>232</v>
      </c>
      <c r="C4136" s="63">
        <v>45937</v>
      </c>
      <c r="D4136" s="33" t="str">
        <f>VLOOKUP(B4136,辅助信息!E:K,7,FALSE)</f>
        <v>JWDDCD2025052800131</v>
      </c>
      <c r="E4136" s="33" t="str">
        <f>VLOOKUP(F4136,辅助信息!A:B,2,FALSE)</f>
        <v>螺纹钢</v>
      </c>
      <c r="F4136" s="33" t="s">
        <v>33</v>
      </c>
      <c r="G4136" s="29">
        <v>21</v>
      </c>
      <c r="H4136" s="127"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33" t="str">
        <f>VLOOKUP(B4136,辅助信息!E:I,3,FALSE)</f>
        <v>（商投建工达州中医药科技园-2工区-2号桥）达州市通川区达州中医药职业学院犀牛大道北段</v>
      </c>
      <c r="J4136" s="33" t="str">
        <f>VLOOKUP(B4136,辅助信息!E:I,4,FALSE)</f>
        <v>李波</v>
      </c>
      <c r="K4136" s="33">
        <f>VLOOKUP(J4136,辅助信息!H:I,2,FALSE)</f>
        <v>18381899787</v>
      </c>
      <c r="L4136" s="102" t="str">
        <f>VLOOKUP(B4136,辅助信息!E:J,6,FALSE)</f>
        <v>控制炉批号！多了现场不收！,优先安排达钢,提前联系到场规格及数量</v>
      </c>
      <c r="O4136" s="55" t="str">
        <f ca="1" t="shared" si="212"/>
        <v/>
      </c>
      <c r="P4136" s="55" t="str">
        <f ca="1" t="shared" si="213"/>
        <v/>
      </c>
      <c r="Q4136" s="22" t="str">
        <f>VLOOKUP(B4136,辅助信息!E:M,9,FALSE)</f>
        <v>ZTWM-CDGS-XS-2024-0134-商投建工达州中医药科技成果示范园项目</v>
      </c>
      <c r="R4136" s="22" t="str">
        <f>_xlfn._xlws.FILTER(辅助信息!D:D,辅助信息!E:E=B4136)</f>
        <v>商投建工达州中医药科技园</v>
      </c>
    </row>
    <row r="4137" hidden="1" spans="2:18">
      <c r="B4137" s="128" t="s">
        <v>232</v>
      </c>
      <c r="C4137" s="63">
        <v>45937</v>
      </c>
      <c r="D4137" s="33" t="str">
        <f>VLOOKUP(B4137,辅助信息!E:K,7,FALSE)</f>
        <v>JWDDCD2025052800131</v>
      </c>
      <c r="E4137" s="33" t="str">
        <f>VLOOKUP(F4137,辅助信息!A:B,2,FALSE)</f>
        <v>螺纹钢</v>
      </c>
      <c r="F4137" s="33" t="s">
        <v>28</v>
      </c>
      <c r="G4137" s="29">
        <v>15</v>
      </c>
      <c r="H4137" s="127">
        <f>IF(SUMIFS('[1]2025年已发货'!$E:$E,'[1]2025年已发货'!$F:$F,C4137,'[1]2025年已发货'!$C:$C,F4137,'[1]2025年已发货'!$G:$G,I4137,'[1]2025年已发货'!$H:$H,J4137)=0,"未发货",SUMIFS('[1]2025年已发货'!$E:$E,'[1]2025年已发货'!$F:$F,C4137,'[1]2025年已发货'!$C:$C,F4137,'[1]2025年已发货'!$G:$G,I4137,'[1]2025年已发货'!$H:$H,J4137))</f>
        <v>15</v>
      </c>
      <c r="I4137" s="33" t="str">
        <f>VLOOKUP(B4137,辅助信息!E:I,3,FALSE)</f>
        <v>（商投建工达州中医药科技园-2工区-2号桥）达州市通川区达州中医药职业学院犀牛大道北段</v>
      </c>
      <c r="J4137" s="33" t="str">
        <f>VLOOKUP(B4137,辅助信息!E:I,4,FALSE)</f>
        <v>李波</v>
      </c>
      <c r="K4137" s="33">
        <f>VLOOKUP(J4137,辅助信息!H:I,2,FALSE)</f>
        <v>18381899787</v>
      </c>
      <c r="L4137" s="102" t="str">
        <f>VLOOKUP(B4137,辅助信息!E:J,6,FALSE)</f>
        <v>控制炉批号！多了现场不收！,优先安排达钢,提前联系到场规格及数量</v>
      </c>
      <c r="O4137" s="55" t="str">
        <f ca="1" t="shared" si="212"/>
        <v/>
      </c>
      <c r="P4137" s="55" t="str">
        <f ca="1" t="shared" si="213"/>
        <v/>
      </c>
      <c r="Q4137" s="22" t="str">
        <f>VLOOKUP(B4137,辅助信息!E:M,9,FALSE)</f>
        <v>ZTWM-CDGS-XS-2024-0134-商投建工达州中医药科技成果示范园项目</v>
      </c>
      <c r="R4137" s="22" t="str">
        <f>_xlfn._xlws.FILTER(辅助信息!D:D,辅助信息!E:E=B4137)</f>
        <v>商投建工达州中医药科技园</v>
      </c>
    </row>
    <row r="4138" hidden="1" spans="2:18">
      <c r="B4138" s="128" t="s">
        <v>232</v>
      </c>
      <c r="C4138" s="63">
        <v>45937</v>
      </c>
      <c r="D4138" s="33" t="str">
        <f>VLOOKUP(B4138,辅助信息!E:K,7,FALSE)</f>
        <v>JWDDCD2025052800131</v>
      </c>
      <c r="E4138" s="33" t="str">
        <f>VLOOKUP(F4138,辅助信息!A:B,2,FALSE)</f>
        <v>螺纹钢</v>
      </c>
      <c r="F4138" s="33" t="s">
        <v>18</v>
      </c>
      <c r="G4138" s="29">
        <v>10</v>
      </c>
      <c r="H4138" s="127"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33" t="str">
        <f>VLOOKUP(B4138,辅助信息!E:I,3,FALSE)</f>
        <v>（商投建工达州中医药科技园-2工区-2号桥）达州市通川区达州中医药职业学院犀牛大道北段</v>
      </c>
      <c r="J4138" s="33" t="str">
        <f>VLOOKUP(B4138,辅助信息!E:I,4,FALSE)</f>
        <v>李波</v>
      </c>
      <c r="K4138" s="33">
        <f>VLOOKUP(J4138,辅助信息!H:I,2,FALSE)</f>
        <v>18381899787</v>
      </c>
      <c r="L4138" s="102" t="str">
        <f>VLOOKUP(B4138,辅助信息!E:J,6,FALSE)</f>
        <v>控制炉批号！多了现场不收！,优先安排达钢,提前联系到场规格及数量</v>
      </c>
      <c r="O4138" s="55" t="str">
        <f ca="1" t="shared" si="212"/>
        <v/>
      </c>
      <c r="P4138" s="55" t="str">
        <f ca="1" t="shared" si="213"/>
        <v/>
      </c>
      <c r="Q4138" s="22" t="str">
        <f>VLOOKUP(B4138,辅助信息!E:M,9,FALSE)</f>
        <v>ZTWM-CDGS-XS-2024-0134-商投建工达州中医药科技成果示范园项目</v>
      </c>
      <c r="R4138" s="22" t="str">
        <f>_xlfn._xlws.FILTER(辅助信息!D:D,辅助信息!E:E=B4138)</f>
        <v>商投建工达州中医药科技园</v>
      </c>
    </row>
    <row r="4139" hidden="1" spans="2:18">
      <c r="B4139" s="128" t="s">
        <v>163</v>
      </c>
      <c r="C4139" s="63">
        <v>45938</v>
      </c>
      <c r="D4139" s="33" t="str">
        <f>VLOOKUP(B4139,辅助信息!E:K,7,FALSE)</f>
        <v>JWDDCD2025052800131</v>
      </c>
      <c r="E4139" s="33" t="str">
        <f>VLOOKUP(F4139,辅助信息!A:B,2,FALSE)</f>
        <v>盘螺</v>
      </c>
      <c r="F4139" s="33" t="s">
        <v>41</v>
      </c>
      <c r="G4139" s="29">
        <v>25</v>
      </c>
      <c r="H4139" s="127">
        <f>IF(SUMIFS('[1]2025年已发货'!$E:$E,'[1]2025年已发货'!$F:$F,C4139,'[1]2025年已发货'!$C:$C,F4139,'[1]2025年已发货'!$G:$G,I4139,'[1]2025年已发货'!$H:$H,J4139)=0,"未发货",SUMIFS('[1]2025年已发货'!$E:$E,'[1]2025年已发货'!$F:$F,C4139,'[1]2025年已发货'!$C:$C,F4139,'[1]2025年已发货'!$G:$G,I4139,'[1]2025年已发货'!$H:$H,J4139))</f>
        <v>30</v>
      </c>
      <c r="I4139" s="33" t="str">
        <f>VLOOKUP(B4139,辅助信息!E:I,3,FALSE)</f>
        <v>（商投建工达州中医药科技园-4工区-9号楼）达州市通川区达州中医药职业学院犀牛大道北段</v>
      </c>
      <c r="J4139" s="33" t="str">
        <f>VLOOKUP(B4139,辅助信息!E:I,4,FALSE)</f>
        <v>张扬</v>
      </c>
      <c r="K4139" s="33">
        <f>VLOOKUP(J4139,辅助信息!H:I,2,FALSE)</f>
        <v>18381904567</v>
      </c>
      <c r="L4139" s="102" t="str">
        <f>VLOOKUP(B4139,辅助信息!E:J,6,FALSE)</f>
        <v>控制炉批号！多了现场不收！,优先安排达钢,提前联系到场规格及数量</v>
      </c>
      <c r="O4139" s="55" t="str">
        <f ca="1" t="shared" si="212"/>
        <v/>
      </c>
      <c r="P4139" s="55" t="str">
        <f ca="1" t="shared" si="213"/>
        <v/>
      </c>
      <c r="Q4139" s="22" t="str">
        <f>VLOOKUP(B4139,辅助信息!E:M,9,FALSE)</f>
        <v>ZTWM-CDGS-XS-2024-0134-商投建工达州中医药科技成果示范园项目</v>
      </c>
      <c r="R4139" s="22" t="str">
        <f>_xlfn._xlws.FILTER(辅助信息!D:D,辅助信息!E:E=B4139)</f>
        <v>商投建工达州中医药科技园</v>
      </c>
    </row>
    <row r="4140" hidden="1" spans="2:18">
      <c r="B4140" s="128" t="s">
        <v>163</v>
      </c>
      <c r="C4140" s="63">
        <v>45938</v>
      </c>
      <c r="D4140" s="33" t="str">
        <f>VLOOKUP(B4140,辅助信息!E:K,7,FALSE)</f>
        <v>JWDDCD2025052800131</v>
      </c>
      <c r="E4140" s="33" t="str">
        <f>VLOOKUP(F4140,辅助信息!A:B,2,FALSE)</f>
        <v>盘螺</v>
      </c>
      <c r="F4140" s="33" t="s">
        <v>40</v>
      </c>
      <c r="G4140" s="29">
        <v>10</v>
      </c>
      <c r="H4140" s="127">
        <f>IF(SUMIFS('[1]2025年已发货'!$E:$E,'[1]2025年已发货'!$F:$F,C4140,'[1]2025年已发货'!$C:$C,F4140,'[1]2025年已发货'!$G:$G,I4140,'[1]2025年已发货'!$H:$H,J4140)=0,"未发货",SUMIFS('[1]2025年已发货'!$E:$E,'[1]2025年已发货'!$F:$F,C4140,'[1]2025年已发货'!$C:$C,F4140,'[1]2025年已发货'!$G:$G,I4140,'[1]2025年已发货'!$H:$H,J4140))</f>
        <v>15</v>
      </c>
      <c r="I4140" s="33" t="str">
        <f>VLOOKUP(B4140,辅助信息!E:I,3,FALSE)</f>
        <v>（商投建工达州中医药科技园-4工区-9号楼）达州市通川区达州中医药职业学院犀牛大道北段</v>
      </c>
      <c r="J4140" s="33" t="str">
        <f>VLOOKUP(B4140,辅助信息!E:I,4,FALSE)</f>
        <v>张扬</v>
      </c>
      <c r="K4140" s="33">
        <f>VLOOKUP(J4140,辅助信息!H:I,2,FALSE)</f>
        <v>18381904567</v>
      </c>
      <c r="L4140" s="102" t="str">
        <f>VLOOKUP(B4140,辅助信息!E:J,6,FALSE)</f>
        <v>控制炉批号！多了现场不收！,优先安排达钢,提前联系到场规格及数量</v>
      </c>
      <c r="O4140" s="55" t="str">
        <f ca="1" t="shared" si="212"/>
        <v/>
      </c>
      <c r="P4140" s="55" t="str">
        <f ca="1" t="shared" si="213"/>
        <v/>
      </c>
      <c r="Q4140" s="22" t="str">
        <f>VLOOKUP(B4140,辅助信息!E:M,9,FALSE)</f>
        <v>ZTWM-CDGS-XS-2024-0134-商投建工达州中医药科技成果示范园项目</v>
      </c>
      <c r="R4140" s="22" t="str">
        <f>_xlfn._xlws.FILTER(辅助信息!D:D,辅助信息!E:E=B4140)</f>
        <v>商投建工达州中医药科技园</v>
      </c>
    </row>
    <row r="4141" hidden="1" spans="2:18">
      <c r="B4141" s="128" t="s">
        <v>179</v>
      </c>
      <c r="C4141" s="63">
        <v>45938</v>
      </c>
      <c r="D4141" s="33" t="str">
        <f>VLOOKUP(B4141,辅助信息!E:K,7,FALSE)</f>
        <v>JWDDCD2025052800131</v>
      </c>
      <c r="E4141" s="33" t="str">
        <f>VLOOKUP(F4141,辅助信息!A:B,2,FALSE)</f>
        <v>盘螺</v>
      </c>
      <c r="F4141" s="33" t="s">
        <v>49</v>
      </c>
      <c r="G4141" s="29">
        <v>6</v>
      </c>
      <c r="H4141" s="127"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33" t="str">
        <f>VLOOKUP(B4141,辅助信息!E:I,3,FALSE)</f>
        <v>（商投建工达州中医药科技园-4工区-3号楼）达州市通川区达州中医药职业学院犀牛大道北段</v>
      </c>
      <c r="J4141" s="33" t="str">
        <f>VLOOKUP(B4141,辅助信息!E:I,4,FALSE)</f>
        <v>张扬</v>
      </c>
      <c r="K4141" s="33">
        <f>VLOOKUP(J4141,辅助信息!H:I,2,FALSE)</f>
        <v>18381904567</v>
      </c>
      <c r="L4141" s="102" t="str">
        <f>VLOOKUP(B4141,辅助信息!E:J,6,FALSE)</f>
        <v>控制炉批号！多了现场不收！,优先安排达钢,提前联系到场规格及数量</v>
      </c>
      <c r="O4141" s="55" t="str">
        <f ca="1" t="shared" si="212"/>
        <v/>
      </c>
      <c r="P4141" s="55" t="str">
        <f ca="1" t="shared" si="213"/>
        <v/>
      </c>
      <c r="Q4141" s="22" t="str">
        <f>VLOOKUP(B4141,辅助信息!E:M,9,FALSE)</f>
        <v>ZTWM-CDGS-XS-2024-0134-商投建工达州中医药科技成果示范园项目</v>
      </c>
      <c r="R4141" s="22" t="str">
        <f>_xlfn._xlws.FILTER(辅助信息!D:D,辅助信息!E:E=B4141)</f>
        <v>商投建工达州中医药科技园</v>
      </c>
    </row>
    <row r="4142" hidden="1" spans="2:18">
      <c r="B4142" s="128" t="s">
        <v>179</v>
      </c>
      <c r="C4142" s="63">
        <v>45938</v>
      </c>
      <c r="D4142" s="33" t="str">
        <f>VLOOKUP(B4142,辅助信息!E:K,7,FALSE)</f>
        <v>JWDDCD2025052800131</v>
      </c>
      <c r="E4142" s="33" t="str">
        <f>VLOOKUP(F4142,辅助信息!A:B,2,FALSE)</f>
        <v>盘螺</v>
      </c>
      <c r="F4142" s="33" t="s">
        <v>40</v>
      </c>
      <c r="G4142" s="29">
        <v>21</v>
      </c>
      <c r="H4142" s="127">
        <f>IF(SUMIFS('[1]2025年已发货'!$E:$E,'[1]2025年已发货'!$F:$F,C4142,'[1]2025年已发货'!$C:$C,F4142,'[1]2025年已发货'!$G:$G,I4142,'[1]2025年已发货'!$H:$H,J4142)=0,"未发货",SUMIFS('[1]2025年已发货'!$E:$E,'[1]2025年已发货'!$F:$F,C4142,'[1]2025年已发货'!$C:$C,F4142,'[1]2025年已发货'!$G:$G,I4142,'[1]2025年已发货'!$H:$H,J4142))</f>
        <v>21</v>
      </c>
      <c r="I4142" s="33" t="str">
        <f>VLOOKUP(B4142,辅助信息!E:I,3,FALSE)</f>
        <v>（商投建工达州中医药科技园-4工区-3号楼）达州市通川区达州中医药职业学院犀牛大道北段</v>
      </c>
      <c r="J4142" s="33" t="str">
        <f>VLOOKUP(B4142,辅助信息!E:I,4,FALSE)</f>
        <v>张扬</v>
      </c>
      <c r="K4142" s="33">
        <f>VLOOKUP(J4142,辅助信息!H:I,2,FALSE)</f>
        <v>18381904567</v>
      </c>
      <c r="L4142" s="102" t="str">
        <f>VLOOKUP(B4142,辅助信息!E:J,6,FALSE)</f>
        <v>控制炉批号！多了现场不收！,优先安排达钢,提前联系到场规格及数量</v>
      </c>
      <c r="O4142" s="55" t="str">
        <f ca="1" t="shared" si="212"/>
        <v/>
      </c>
      <c r="P4142" s="55" t="str">
        <f ca="1" t="shared" si="213"/>
        <v/>
      </c>
      <c r="Q4142" s="22" t="str">
        <f>VLOOKUP(B4142,辅助信息!E:M,9,FALSE)</f>
        <v>ZTWM-CDGS-XS-2024-0134-商投建工达州中医药科技成果示范园项目</v>
      </c>
      <c r="R4142" s="22" t="str">
        <f>_xlfn._xlws.FILTER(辅助信息!D:D,辅助信息!E:E=B4142)</f>
        <v>商投建工达州中医药科技园</v>
      </c>
    </row>
    <row r="4143" hidden="1" spans="2:18">
      <c r="B4143" s="128" t="s">
        <v>179</v>
      </c>
      <c r="C4143" s="63">
        <v>45938</v>
      </c>
      <c r="D4143" s="33" t="str">
        <f>VLOOKUP(B4143,辅助信息!E:K,7,FALSE)</f>
        <v>JWDDCD2025052800131</v>
      </c>
      <c r="E4143" s="33" t="str">
        <f>VLOOKUP(F4143,辅助信息!A:B,2,FALSE)</f>
        <v>盘螺</v>
      </c>
      <c r="F4143" s="33" t="s">
        <v>41</v>
      </c>
      <c r="G4143" s="29">
        <v>9</v>
      </c>
      <c r="H4143" s="127">
        <f>IF(SUMIFS('[1]2025年已发货'!$E:$E,'[1]2025年已发货'!$F:$F,C4143,'[1]2025年已发货'!$C:$C,F4143,'[1]2025年已发货'!$G:$G,I4143,'[1]2025年已发货'!$H:$H,J4143)=0,"未发货",SUMIFS('[1]2025年已发货'!$E:$E,'[1]2025年已发货'!$F:$F,C4143,'[1]2025年已发货'!$C:$C,F4143,'[1]2025年已发货'!$G:$G,I4143,'[1]2025年已发货'!$H:$H,J4143))</f>
        <v>9</v>
      </c>
      <c r="I4143" s="33" t="str">
        <f>VLOOKUP(B4143,辅助信息!E:I,3,FALSE)</f>
        <v>（商投建工达州中医药科技园-4工区-3号楼）达州市通川区达州中医药职业学院犀牛大道北段</v>
      </c>
      <c r="J4143" s="33" t="str">
        <f>VLOOKUP(B4143,辅助信息!E:I,4,FALSE)</f>
        <v>张扬</v>
      </c>
      <c r="K4143" s="33">
        <f>VLOOKUP(J4143,辅助信息!H:I,2,FALSE)</f>
        <v>18381904567</v>
      </c>
      <c r="L4143" s="102" t="str">
        <f>VLOOKUP(B4143,辅助信息!E:J,6,FALSE)</f>
        <v>控制炉批号！多了现场不收！,优先安排达钢,提前联系到场规格及数量</v>
      </c>
      <c r="O4143" s="55" t="str">
        <f ca="1" t="shared" si="212"/>
        <v/>
      </c>
      <c r="P4143" s="55" t="str">
        <f ca="1" t="shared" si="213"/>
        <v/>
      </c>
      <c r="Q4143" s="22" t="str">
        <f>VLOOKUP(B4143,辅助信息!E:M,9,FALSE)</f>
        <v>ZTWM-CDGS-XS-2024-0134-商投建工达州中医药科技成果示范园项目</v>
      </c>
      <c r="R4143" s="22" t="str">
        <f>_xlfn._xlws.FILTER(辅助信息!D:D,辅助信息!E:E=B4143)</f>
        <v>商投建工达州中医药科技园</v>
      </c>
    </row>
    <row r="4144" hidden="1" spans="2:18">
      <c r="B4144" s="128" t="s">
        <v>179</v>
      </c>
      <c r="C4144" s="63">
        <v>45938</v>
      </c>
      <c r="D4144" s="33" t="str">
        <f>VLOOKUP(B4144,辅助信息!E:K,7,FALSE)</f>
        <v>JWDDCD2025052800131</v>
      </c>
      <c r="E4144" s="33" t="str">
        <f>VLOOKUP(F4144,辅助信息!A:B,2,FALSE)</f>
        <v>螺纹钢</v>
      </c>
      <c r="F4144" s="33" t="s">
        <v>66</v>
      </c>
      <c r="G4144" s="29">
        <v>6</v>
      </c>
      <c r="H4144" s="127">
        <f>IF(SUMIFS('[1]2025年已发货'!$E:$E,'[1]2025年已发货'!$F:$F,C4144,'[1]2025年已发货'!$C:$C,F4144,'[1]2025年已发货'!$G:$G,I4144,'[1]2025年已发货'!$H:$H,J4144)=0,"未发货",SUMIFS('[1]2025年已发货'!$E:$E,'[1]2025年已发货'!$F:$F,C4144,'[1]2025年已发货'!$C:$C,F4144,'[1]2025年已发货'!$G:$G,I4144,'[1]2025年已发货'!$H:$H,J4144))</f>
        <v>6</v>
      </c>
      <c r="I4144" s="33" t="str">
        <f>VLOOKUP(B4144,辅助信息!E:I,3,FALSE)</f>
        <v>（商投建工达州中医药科技园-4工区-3号楼）达州市通川区达州中医药职业学院犀牛大道北段</v>
      </c>
      <c r="J4144" s="33" t="str">
        <f>VLOOKUP(B4144,辅助信息!E:I,4,FALSE)</f>
        <v>张扬</v>
      </c>
      <c r="K4144" s="33">
        <f>VLOOKUP(J4144,辅助信息!H:I,2,FALSE)</f>
        <v>18381904567</v>
      </c>
      <c r="L4144" s="102" t="str">
        <f>VLOOKUP(B4144,辅助信息!E:J,6,FALSE)</f>
        <v>控制炉批号！多了现场不收！,优先安排达钢,提前联系到场规格及数量</v>
      </c>
      <c r="O4144" s="55" t="str">
        <f ca="1" t="shared" si="212"/>
        <v/>
      </c>
      <c r="P4144" s="55" t="str">
        <f ca="1" t="shared" si="213"/>
        <v/>
      </c>
      <c r="Q4144" s="22" t="str">
        <f>VLOOKUP(B4144,辅助信息!E:M,9,FALSE)</f>
        <v>ZTWM-CDGS-XS-2024-0134-商投建工达州中医药科技成果示范园项目</v>
      </c>
      <c r="R4144" s="22" t="str">
        <f>_xlfn._xlws.FILTER(辅助信息!D:D,辅助信息!E:E=B4144)</f>
        <v>商投建工达州中医药科技园</v>
      </c>
    </row>
    <row r="4145" hidden="1" spans="2:18">
      <c r="B4145" s="128" t="s">
        <v>179</v>
      </c>
      <c r="C4145" s="63">
        <v>45938</v>
      </c>
      <c r="D4145" s="33" t="str">
        <f>VLOOKUP(B4145,辅助信息!E:K,7,FALSE)</f>
        <v>JWDDCD2025052800131</v>
      </c>
      <c r="E4145" s="33" t="str">
        <f>VLOOKUP(F4145,辅助信息!A:B,2,FALSE)</f>
        <v>螺纹钢</v>
      </c>
      <c r="F4145" s="33" t="s">
        <v>21</v>
      </c>
      <c r="G4145" s="29">
        <v>6</v>
      </c>
      <c r="H4145" s="127"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33" t="str">
        <f>VLOOKUP(B4145,辅助信息!E:I,3,FALSE)</f>
        <v>（商投建工达州中医药科技园-4工区-3号楼）达州市通川区达州中医药职业学院犀牛大道北段</v>
      </c>
      <c r="J4145" s="33" t="str">
        <f>VLOOKUP(B4145,辅助信息!E:I,4,FALSE)</f>
        <v>张扬</v>
      </c>
      <c r="K4145" s="33">
        <f>VLOOKUP(J4145,辅助信息!H:I,2,FALSE)</f>
        <v>18381904567</v>
      </c>
      <c r="L4145" s="102" t="str">
        <f>VLOOKUP(B4145,辅助信息!E:J,6,FALSE)</f>
        <v>控制炉批号！多了现场不收！,优先安排达钢,提前联系到场规格及数量</v>
      </c>
      <c r="O4145" s="55" t="str">
        <f ca="1" t="shared" si="212"/>
        <v/>
      </c>
      <c r="P4145" s="55" t="str">
        <f ca="1" t="shared" si="213"/>
        <v/>
      </c>
      <c r="Q4145" s="22" t="str">
        <f>VLOOKUP(B4145,辅助信息!E:M,9,FALSE)</f>
        <v>ZTWM-CDGS-XS-2024-0134-商投建工达州中医药科技成果示范园项目</v>
      </c>
      <c r="R4145" s="22" t="str">
        <f>_xlfn._xlws.FILTER(辅助信息!D:D,辅助信息!E:E=B4145)</f>
        <v>商投建工达州中医药科技园</v>
      </c>
    </row>
    <row r="4146" hidden="1" spans="2:18">
      <c r="B4146" s="128" t="s">
        <v>179</v>
      </c>
      <c r="C4146" s="63">
        <v>45938</v>
      </c>
      <c r="D4146" s="33" t="str">
        <f>VLOOKUP(B4146,辅助信息!E:K,7,FALSE)</f>
        <v>JWDDCD2025052800131</v>
      </c>
      <c r="E4146" s="33" t="str">
        <f>VLOOKUP(F4146,辅助信息!A:B,2,FALSE)</f>
        <v>螺纹钢</v>
      </c>
      <c r="F4146" s="33" t="s">
        <v>58</v>
      </c>
      <c r="G4146" s="29">
        <v>15</v>
      </c>
      <c r="H4146" s="127">
        <f>IF(SUMIFS('[1]2025年已发货'!$E:$E,'[1]2025年已发货'!$F:$F,C4146,'[1]2025年已发货'!$C:$C,F4146,'[1]2025年已发货'!$G:$G,I4146,'[1]2025年已发货'!$H:$H,J4146)=0,"未发货",SUMIFS('[1]2025年已发货'!$E:$E,'[1]2025年已发货'!$F:$F,C4146,'[1]2025年已发货'!$C:$C,F4146,'[1]2025年已发货'!$G:$G,I4146,'[1]2025年已发货'!$H:$H,J4146))</f>
        <v>15</v>
      </c>
      <c r="I4146" s="33" t="str">
        <f>VLOOKUP(B4146,辅助信息!E:I,3,FALSE)</f>
        <v>（商投建工达州中医药科技园-4工区-3号楼）达州市通川区达州中医药职业学院犀牛大道北段</v>
      </c>
      <c r="J4146" s="33" t="str">
        <f>VLOOKUP(B4146,辅助信息!E:I,4,FALSE)</f>
        <v>张扬</v>
      </c>
      <c r="K4146" s="33">
        <f>VLOOKUP(J4146,辅助信息!H:I,2,FALSE)</f>
        <v>18381904567</v>
      </c>
      <c r="L4146" s="102" t="str">
        <f>VLOOKUP(B4146,辅助信息!E:J,6,FALSE)</f>
        <v>控制炉批号！多了现场不收！,优先安排达钢,提前联系到场规格及数量</v>
      </c>
      <c r="O4146" s="55" t="str">
        <f ca="1" t="shared" si="212"/>
        <v/>
      </c>
      <c r="P4146" s="55" t="str">
        <f ca="1" t="shared" si="213"/>
        <v/>
      </c>
      <c r="Q4146" s="22" t="str">
        <f>VLOOKUP(B4146,辅助信息!E:M,9,FALSE)</f>
        <v>ZTWM-CDGS-XS-2024-0134-商投建工达州中医药科技成果示范园项目</v>
      </c>
      <c r="R4146" s="22" t="str">
        <f>_xlfn._xlws.FILTER(辅助信息!D:D,辅助信息!E:E=B4146)</f>
        <v>商投建工达州中医药科技园</v>
      </c>
    </row>
    <row r="4147" hidden="1" spans="2:18">
      <c r="B4147" s="128" t="s">
        <v>179</v>
      </c>
      <c r="C4147" s="63">
        <v>45938</v>
      </c>
      <c r="D4147" s="33" t="str">
        <f>VLOOKUP(B4147,辅助信息!E:K,7,FALSE)</f>
        <v>JWDDCD2025052800131</v>
      </c>
      <c r="E4147" s="33" t="str">
        <f>VLOOKUP(F4147,辅助信息!A:B,2,FALSE)</f>
        <v>螺纹钢</v>
      </c>
      <c r="F4147" s="33" t="s">
        <v>22</v>
      </c>
      <c r="G4147" s="29">
        <v>10</v>
      </c>
      <c r="H4147" s="127">
        <f>IF(SUMIFS('[1]2025年已发货'!$E:$E,'[1]2025年已发货'!$F:$F,C4147,'[1]2025年已发货'!$C:$C,F4147,'[1]2025年已发货'!$G:$G,I4147,'[1]2025年已发货'!$H:$H,J4147)=0,"未发货",SUMIFS('[1]2025年已发货'!$E:$E,'[1]2025年已发货'!$F:$F,C4147,'[1]2025年已发货'!$C:$C,F4147,'[1]2025年已发货'!$G:$G,I4147,'[1]2025年已发货'!$H:$H,J4147))</f>
        <v>10</v>
      </c>
      <c r="I4147" s="33" t="str">
        <f>VLOOKUP(B4147,辅助信息!E:I,3,FALSE)</f>
        <v>（商投建工达州中医药科技园-4工区-3号楼）达州市通川区达州中医药职业学院犀牛大道北段</v>
      </c>
      <c r="J4147" s="33" t="str">
        <f>VLOOKUP(B4147,辅助信息!E:I,4,FALSE)</f>
        <v>张扬</v>
      </c>
      <c r="K4147" s="33">
        <f>VLOOKUP(J4147,辅助信息!H:I,2,FALSE)</f>
        <v>18381904567</v>
      </c>
      <c r="L4147" s="102" t="str">
        <f>VLOOKUP(B4147,辅助信息!E:J,6,FALSE)</f>
        <v>控制炉批号！多了现场不收！,优先安排达钢,提前联系到场规格及数量</v>
      </c>
      <c r="O4147" s="55" t="str">
        <f ca="1" t="shared" si="212"/>
        <v/>
      </c>
      <c r="P4147" s="55" t="str">
        <f ca="1" t="shared" si="213"/>
        <v/>
      </c>
      <c r="Q4147" s="22" t="str">
        <f>VLOOKUP(B4147,辅助信息!E:M,9,FALSE)</f>
        <v>ZTWM-CDGS-XS-2024-0134-商投建工达州中医药科技成果示范园项目</v>
      </c>
      <c r="R4147" s="22" t="str">
        <f>_xlfn._xlws.FILTER(辅助信息!D:D,辅助信息!E:E=B4147)</f>
        <v>商投建工达州中医药科技园</v>
      </c>
    </row>
    <row r="4148" hidden="1" spans="2:18">
      <c r="B4148" s="128" t="s">
        <v>232</v>
      </c>
      <c r="C4148" s="63">
        <v>45938</v>
      </c>
      <c r="D4148" s="33" t="str">
        <f>VLOOKUP(B4148,辅助信息!E:K,7,FALSE)</f>
        <v>JWDDCD2025052800131</v>
      </c>
      <c r="E4148" s="33" t="str">
        <f>VLOOKUP(F4148,辅助信息!A:B,2,FALSE)</f>
        <v>螺纹钢</v>
      </c>
      <c r="F4148" s="33" t="s">
        <v>30</v>
      </c>
      <c r="G4148" s="29">
        <v>20</v>
      </c>
      <c r="H4148" s="127">
        <f>IF(SUMIFS('[1]2025年已发货'!$E:$E,'[1]2025年已发货'!$F:$F,C4148,'[1]2025年已发货'!$C:$C,F4148,'[1]2025年已发货'!$G:$G,I4148,'[1]2025年已发货'!$H:$H,J4148)=0,"未发货",SUMIFS('[1]2025年已发货'!$E:$E,'[1]2025年已发货'!$F:$F,C4148,'[1]2025年已发货'!$C:$C,F4148,'[1]2025年已发货'!$G:$G,I4148,'[1]2025年已发货'!$H:$H,J4148))</f>
        <v>20</v>
      </c>
      <c r="I4148" s="33" t="str">
        <f>VLOOKUP(B4148,辅助信息!E:I,3,FALSE)</f>
        <v>（商投建工达州中医药科技园-2工区-2号桥）达州市通川区达州中医药职业学院犀牛大道北段</v>
      </c>
      <c r="J4148" s="33" t="str">
        <f>VLOOKUP(B4148,辅助信息!E:I,4,FALSE)</f>
        <v>李波</v>
      </c>
      <c r="K4148" s="33">
        <f>VLOOKUP(J4148,辅助信息!H:I,2,FALSE)</f>
        <v>18381899787</v>
      </c>
      <c r="L4148" s="102" t="str">
        <f>VLOOKUP(B4148,辅助信息!E:J,6,FALSE)</f>
        <v>控制炉批号！多了现场不收！,优先安排达钢,提前联系到场规格及数量</v>
      </c>
      <c r="O4148" s="55" t="str">
        <f ca="1" t="shared" si="212"/>
        <v/>
      </c>
      <c r="P4148" s="55" t="str">
        <f ca="1" t="shared" si="213"/>
        <v/>
      </c>
      <c r="Q4148" s="22" t="str">
        <f>VLOOKUP(B4148,辅助信息!E:M,9,FALSE)</f>
        <v>ZTWM-CDGS-XS-2024-0134-商投建工达州中医药科技成果示范园项目</v>
      </c>
      <c r="R4148" s="22" t="str">
        <f>_xlfn._xlws.FILTER(辅助信息!D:D,辅助信息!E:E=B4148)</f>
        <v>商投建工达州中医药科技园</v>
      </c>
    </row>
    <row r="4149" hidden="1" spans="2:18">
      <c r="B4149" s="128" t="s">
        <v>232</v>
      </c>
      <c r="C4149" s="63">
        <v>45938</v>
      </c>
      <c r="D4149" s="33" t="str">
        <f>VLOOKUP(B4149,辅助信息!E:K,7,FALSE)</f>
        <v>JWDDCD2025052800131</v>
      </c>
      <c r="E4149" s="33" t="str">
        <f>VLOOKUP(F4149,辅助信息!A:B,2,FALSE)</f>
        <v>螺纹钢</v>
      </c>
      <c r="F4149" s="33" t="s">
        <v>33</v>
      </c>
      <c r="G4149" s="29">
        <v>21</v>
      </c>
      <c r="H4149" s="127">
        <f>IF(SUMIFS('[1]2025年已发货'!$E:$E,'[1]2025年已发货'!$F:$F,C4149,'[1]2025年已发货'!$C:$C,F4149,'[1]2025年已发货'!$G:$G,I4149,'[1]2025年已发货'!$H:$H,J4149)=0,"未发货",SUMIFS('[1]2025年已发货'!$E:$E,'[1]2025年已发货'!$F:$F,C4149,'[1]2025年已发货'!$C:$C,F4149,'[1]2025年已发货'!$G:$G,I4149,'[1]2025年已发货'!$H:$H,J4149))</f>
        <v>21</v>
      </c>
      <c r="I4149" s="33" t="str">
        <f>VLOOKUP(B4149,辅助信息!E:I,3,FALSE)</f>
        <v>（商投建工达州中医药科技园-2工区-2号桥）达州市通川区达州中医药职业学院犀牛大道北段</v>
      </c>
      <c r="J4149" s="33" t="str">
        <f>VLOOKUP(B4149,辅助信息!E:I,4,FALSE)</f>
        <v>李波</v>
      </c>
      <c r="K4149" s="33">
        <f>VLOOKUP(J4149,辅助信息!H:I,2,FALSE)</f>
        <v>18381899787</v>
      </c>
      <c r="L4149" s="102" t="str">
        <f>VLOOKUP(B4149,辅助信息!E:J,6,FALSE)</f>
        <v>控制炉批号！多了现场不收！,优先安排达钢,提前联系到场规格及数量</v>
      </c>
      <c r="O4149" s="55" t="str">
        <f ca="1" t="shared" si="212"/>
        <v/>
      </c>
      <c r="P4149" s="55" t="str">
        <f ca="1" t="shared" si="213"/>
        <v/>
      </c>
      <c r="Q4149" s="22" t="str">
        <f>VLOOKUP(B4149,辅助信息!E:M,9,FALSE)</f>
        <v>ZTWM-CDGS-XS-2024-0134-商投建工达州中医药科技成果示范园项目</v>
      </c>
      <c r="R4149" s="22" t="str">
        <f>_xlfn._xlws.FILTER(辅助信息!D:D,辅助信息!E:E=B4149)</f>
        <v>商投建工达州中医药科技园</v>
      </c>
    </row>
    <row r="4150" hidden="1" spans="2:18">
      <c r="B4150" s="128" t="s">
        <v>232</v>
      </c>
      <c r="C4150" s="63">
        <v>45938</v>
      </c>
      <c r="D4150" s="33" t="str">
        <f>VLOOKUP(B4150,辅助信息!E:K,7,FALSE)</f>
        <v>JWDDCD2025052800131</v>
      </c>
      <c r="E4150" s="33" t="str">
        <f>VLOOKUP(F4150,辅助信息!A:B,2,FALSE)</f>
        <v>螺纹钢</v>
      </c>
      <c r="F4150" s="33" t="s">
        <v>18</v>
      </c>
      <c r="G4150" s="29">
        <v>10</v>
      </c>
      <c r="H4150" s="127">
        <f>IF(SUMIFS('[1]2025年已发货'!$E:$E,'[1]2025年已发货'!$F:$F,C4150,'[1]2025年已发货'!$C:$C,F4150,'[1]2025年已发货'!$G:$G,I4150,'[1]2025年已发货'!$H:$H,J4150)=0,"未发货",SUMIFS('[1]2025年已发货'!$E:$E,'[1]2025年已发货'!$F:$F,C4150,'[1]2025年已发货'!$C:$C,F4150,'[1]2025年已发货'!$G:$G,I4150,'[1]2025年已发货'!$H:$H,J4150))</f>
        <v>10</v>
      </c>
      <c r="I4150" s="33" t="str">
        <f>VLOOKUP(B4150,辅助信息!E:I,3,FALSE)</f>
        <v>（商投建工达州中医药科技园-2工区-2号桥）达州市通川区达州中医药职业学院犀牛大道北段</v>
      </c>
      <c r="J4150" s="33" t="str">
        <f>VLOOKUP(B4150,辅助信息!E:I,4,FALSE)</f>
        <v>李波</v>
      </c>
      <c r="K4150" s="33">
        <f>VLOOKUP(J4150,辅助信息!H:I,2,FALSE)</f>
        <v>18381899787</v>
      </c>
      <c r="L4150" s="102" t="str">
        <f>VLOOKUP(B4150,辅助信息!E:J,6,FALSE)</f>
        <v>控制炉批号！多了现场不收！,优先安排达钢,提前联系到场规格及数量</v>
      </c>
      <c r="O4150" s="55" t="str">
        <f ca="1" t="shared" si="212"/>
        <v/>
      </c>
      <c r="P4150" s="55" t="str">
        <f ca="1" t="shared" si="213"/>
        <v/>
      </c>
      <c r="Q4150" s="22" t="str">
        <f>VLOOKUP(B4150,辅助信息!E:M,9,FALSE)</f>
        <v>ZTWM-CDGS-XS-2024-0134-商投建工达州中医药科技成果示范园项目</v>
      </c>
      <c r="R4150" s="22" t="str">
        <f>_xlfn._xlws.FILTER(辅助信息!D:D,辅助信息!E:E=B4150)</f>
        <v>商投建工达州中医药科技园</v>
      </c>
    </row>
    <row r="4151" hidden="1" spans="2:18">
      <c r="B4151" s="128" t="s">
        <v>215</v>
      </c>
      <c r="C4151" s="63">
        <v>45938</v>
      </c>
      <c r="D4151" s="33" t="str">
        <f>VLOOKUP(B4151,辅助信息!E:K,7,FALSE)</f>
        <v>JWDDCD2025102100486</v>
      </c>
      <c r="E4151" s="33" t="str">
        <f>VLOOKUP(F4151,辅助信息!A:B,2,FALSE)</f>
        <v>螺纹钢</v>
      </c>
      <c r="F4151" s="33" t="s">
        <v>27</v>
      </c>
      <c r="G4151" s="29">
        <v>6</v>
      </c>
      <c r="H4151" s="127">
        <f>IF(SUMIFS('[1]2025年已发货'!$E:$E,'[1]2025年已发货'!$F:$F,C4151,'[1]2025年已发货'!$C:$C,F4151,'[1]2025年已发货'!$G:$G,I4151,'[1]2025年已发货'!$H:$H,J4151)=0,"未发货",SUMIFS('[1]2025年已发货'!$E:$E,'[1]2025年已发货'!$F:$F,C4151,'[1]2025年已发货'!$C:$C,F4151,'[1]2025年已发货'!$G:$G,I4151,'[1]2025年已发货'!$H:$H,J4151))</f>
        <v>6</v>
      </c>
      <c r="I4151" s="33" t="str">
        <f>VLOOKUP(B4151,辅助信息!E:I,3,FALSE)</f>
        <v>(五冶建设龙泉驿一医院配套建设工程)成都市龙泉驿区董朗路69号龙泉驿一医院5号门</v>
      </c>
      <c r="J4151" s="33" t="str">
        <f>VLOOKUP(B4151,辅助信息!E:I,4,FALSE)</f>
        <v>孙敏</v>
      </c>
      <c r="K4151" s="33">
        <f>VLOOKUP(J4151,辅助信息!H:I,2,FALSE)</f>
        <v>13617695006</v>
      </c>
      <c r="L4151" s="102" t="str">
        <f>VLOOKUP(B4151,辅助信息!E:J,6,FALSE)</f>
        <v>联系实际收货人（孙敏13617695006）五冶建设送货单,6份材质书,锈货不收，装货前联系收货人核实到场规格,没提前告知进场规格现场不给予接收</v>
      </c>
      <c r="O4151" s="55" t="str">
        <f ca="1" t="shared" si="212"/>
        <v/>
      </c>
      <c r="P4151" s="55" t="str">
        <f ca="1" t="shared" si="213"/>
        <v/>
      </c>
      <c r="Q4151" s="22" t="str">
        <f>VLOOKUP(B4151,辅助信息!E:M,9,FALSE)</f>
        <v>ZTWM-CDGS-XS-2025-0073-五冶天府-成都怡心湖片区及龙泉驿医院等项目</v>
      </c>
      <c r="R4151" s="22" t="str">
        <f>_xlfn._xlws.FILTER(辅助信息!D:D,辅助信息!E:E=B4151)</f>
        <v>五冶建设龙泉驿一医院配套建设工程</v>
      </c>
    </row>
    <row r="4152" hidden="1" spans="2:18">
      <c r="B4152" s="128" t="s">
        <v>215</v>
      </c>
      <c r="C4152" s="63">
        <v>45938</v>
      </c>
      <c r="D4152" s="33" t="str">
        <f>VLOOKUP(B4152,辅助信息!E:K,7,FALSE)</f>
        <v>JWDDCD2025102100486</v>
      </c>
      <c r="E4152" s="33" t="str">
        <f>VLOOKUP(F4152,辅助信息!A:B,2,FALSE)</f>
        <v>螺纹钢</v>
      </c>
      <c r="F4152" s="33" t="s">
        <v>32</v>
      </c>
      <c r="G4152" s="29">
        <v>34</v>
      </c>
      <c r="H4152" s="127">
        <f>IF(SUMIFS('[1]2025年已发货'!$E:$E,'[1]2025年已发货'!$F:$F,C4152,'[1]2025年已发货'!$C:$C,F4152,'[1]2025年已发货'!$G:$G,I4152,'[1]2025年已发货'!$H:$H,J4152)=0,"未发货",SUMIFS('[1]2025年已发货'!$E:$E,'[1]2025年已发货'!$F:$F,C4152,'[1]2025年已发货'!$C:$C,F4152,'[1]2025年已发货'!$G:$G,I4152,'[1]2025年已发货'!$H:$H,J4152))</f>
        <v>34</v>
      </c>
      <c r="I4152" s="33" t="str">
        <f>VLOOKUP(B4152,辅助信息!E:I,3,FALSE)</f>
        <v>(五冶建设龙泉驿一医院配套建设工程)成都市龙泉驿区董朗路69号龙泉驿一医院5号门</v>
      </c>
      <c r="J4152" s="33" t="str">
        <f>VLOOKUP(B4152,辅助信息!E:I,4,FALSE)</f>
        <v>孙敏</v>
      </c>
      <c r="K4152" s="33">
        <f>VLOOKUP(J4152,辅助信息!H:I,2,FALSE)</f>
        <v>13617695006</v>
      </c>
      <c r="L4152" s="102" t="str">
        <f>VLOOKUP(B4152,辅助信息!E:J,6,FALSE)</f>
        <v>联系实际收货人（孙敏13617695006）五冶建设送货单,6份材质书,锈货不收，装货前联系收货人核实到场规格,没提前告知进场规格现场不给予接收</v>
      </c>
      <c r="O4152" s="55" t="str">
        <f ca="1" t="shared" si="212"/>
        <v/>
      </c>
      <c r="P4152" s="55" t="str">
        <f ca="1" t="shared" si="213"/>
        <v/>
      </c>
      <c r="Q4152" s="22" t="str">
        <f>VLOOKUP(B4152,辅助信息!E:M,9,FALSE)</f>
        <v>ZTWM-CDGS-XS-2025-0073-五冶天府-成都怡心湖片区及龙泉驿医院等项目</v>
      </c>
      <c r="R4152" s="22" t="str">
        <f>_xlfn._xlws.FILTER(辅助信息!D:D,辅助信息!E:E=B4152)</f>
        <v>五冶建设龙泉驿一医院配套建设工程</v>
      </c>
    </row>
    <row r="4153" hidden="1" spans="2:18">
      <c r="B4153" s="128" t="s">
        <v>215</v>
      </c>
      <c r="C4153" s="63">
        <v>45938</v>
      </c>
      <c r="D4153" s="33" t="str">
        <f>VLOOKUP(B4153,辅助信息!E:K,7,FALSE)</f>
        <v>JWDDCD2025102100486</v>
      </c>
      <c r="E4153" s="33" t="str">
        <f>VLOOKUP(F4153,辅助信息!A:B,2,FALSE)</f>
        <v>螺纹钢</v>
      </c>
      <c r="F4153" s="33" t="s">
        <v>33</v>
      </c>
      <c r="G4153" s="29">
        <v>6</v>
      </c>
      <c r="H4153" s="127">
        <f>IF(SUMIFS('[1]2025年已发货'!$E:$E,'[1]2025年已发货'!$F:$F,C4153,'[1]2025年已发货'!$C:$C,F4153,'[1]2025年已发货'!$G:$G,I4153,'[1]2025年已发货'!$H:$H,J4153)=0,"未发货",SUMIFS('[1]2025年已发货'!$E:$E,'[1]2025年已发货'!$F:$F,C4153,'[1]2025年已发货'!$C:$C,F4153,'[1]2025年已发货'!$G:$G,I4153,'[1]2025年已发货'!$H:$H,J4153))</f>
        <v>6</v>
      </c>
      <c r="I4153" s="33" t="str">
        <f>VLOOKUP(B4153,辅助信息!E:I,3,FALSE)</f>
        <v>(五冶建设龙泉驿一医院配套建设工程)成都市龙泉驿区董朗路69号龙泉驿一医院5号门</v>
      </c>
      <c r="J4153" s="33" t="str">
        <f>VLOOKUP(B4153,辅助信息!E:I,4,FALSE)</f>
        <v>孙敏</v>
      </c>
      <c r="K4153" s="33">
        <f>VLOOKUP(J4153,辅助信息!H:I,2,FALSE)</f>
        <v>13617695006</v>
      </c>
      <c r="L4153" s="102" t="str">
        <f>VLOOKUP(B4153,辅助信息!E:J,6,FALSE)</f>
        <v>联系实际收货人（孙敏13617695006）五冶建设送货单,6份材质书,锈货不收，装货前联系收货人核实到场规格,没提前告知进场规格现场不给予接收</v>
      </c>
      <c r="O4153" s="55" t="str">
        <f ca="1" t="shared" si="212"/>
        <v/>
      </c>
      <c r="P4153" s="55" t="str">
        <f ca="1" t="shared" si="213"/>
        <v/>
      </c>
      <c r="Q4153" s="22" t="str">
        <f>VLOOKUP(B4153,辅助信息!E:M,9,FALSE)</f>
        <v>ZTWM-CDGS-XS-2025-0073-五冶天府-成都怡心湖片区及龙泉驿医院等项目</v>
      </c>
      <c r="R4153" s="22" t="str">
        <f>_xlfn._xlws.FILTER(辅助信息!D:D,辅助信息!E:E=B4153)</f>
        <v>五冶建设龙泉驿一医院配套建设工程</v>
      </c>
    </row>
    <row r="4154" hidden="1" spans="2:18">
      <c r="B4154" s="128" t="s">
        <v>215</v>
      </c>
      <c r="C4154" s="63">
        <v>45938</v>
      </c>
      <c r="D4154" s="33" t="str">
        <f>VLOOKUP(B4154,辅助信息!E:K,7,FALSE)</f>
        <v>JWDDCD2025102100486</v>
      </c>
      <c r="E4154" s="33" t="str">
        <f>VLOOKUP(F4154,辅助信息!A:B,2,FALSE)</f>
        <v>螺纹钢</v>
      </c>
      <c r="F4154" s="33" t="s">
        <v>28</v>
      </c>
      <c r="G4154" s="29">
        <v>6</v>
      </c>
      <c r="H4154" s="127">
        <f>IF(SUMIFS('[1]2025年已发货'!$E:$E,'[1]2025年已发货'!$F:$F,C4154,'[1]2025年已发货'!$C:$C,F4154,'[1]2025年已发货'!$G:$G,I4154,'[1]2025年已发货'!$H:$H,J4154)=0,"未发货",SUMIFS('[1]2025年已发货'!$E:$E,'[1]2025年已发货'!$F:$F,C4154,'[1]2025年已发货'!$C:$C,F4154,'[1]2025年已发货'!$G:$G,I4154,'[1]2025年已发货'!$H:$H,J4154))</f>
        <v>6</v>
      </c>
      <c r="I4154" s="33" t="str">
        <f>VLOOKUP(B4154,辅助信息!E:I,3,FALSE)</f>
        <v>(五冶建设龙泉驿一医院配套建设工程)成都市龙泉驿区董朗路69号龙泉驿一医院5号门</v>
      </c>
      <c r="J4154" s="33" t="str">
        <f>VLOOKUP(B4154,辅助信息!E:I,4,FALSE)</f>
        <v>孙敏</v>
      </c>
      <c r="K4154" s="33">
        <f>VLOOKUP(J4154,辅助信息!H:I,2,FALSE)</f>
        <v>13617695006</v>
      </c>
      <c r="L4154" s="102" t="str">
        <f>VLOOKUP(B4154,辅助信息!E:J,6,FALSE)</f>
        <v>联系实际收货人（孙敏13617695006）五冶建设送货单,6份材质书,锈货不收，装货前联系收货人核实到场规格,没提前告知进场规格现场不给予接收</v>
      </c>
      <c r="O4154" s="55" t="str">
        <f ca="1" t="shared" si="212"/>
        <v/>
      </c>
      <c r="P4154" s="55" t="str">
        <f ca="1" t="shared" si="213"/>
        <v/>
      </c>
      <c r="Q4154" s="22" t="str">
        <f>VLOOKUP(B4154,辅助信息!E:M,9,FALSE)</f>
        <v>ZTWM-CDGS-XS-2025-0073-五冶天府-成都怡心湖片区及龙泉驿医院等项目</v>
      </c>
      <c r="R4154" s="22" t="str">
        <f>_xlfn._xlws.FILTER(辅助信息!D:D,辅助信息!E:E=B4154)</f>
        <v>五冶建设龙泉驿一医院配套建设工程</v>
      </c>
    </row>
    <row r="4155" hidden="1" spans="2:18">
      <c r="B4155" s="128" t="s">
        <v>215</v>
      </c>
      <c r="C4155" s="63">
        <v>45938</v>
      </c>
      <c r="D4155" s="33" t="str">
        <f>VLOOKUP(B4155,辅助信息!E:K,7,FALSE)</f>
        <v>JWDDCD2025102100486</v>
      </c>
      <c r="E4155" s="33" t="str">
        <f>VLOOKUP(F4155,辅助信息!A:B,2,FALSE)</f>
        <v>螺纹钢</v>
      </c>
      <c r="F4155" s="33" t="s">
        <v>18</v>
      </c>
      <c r="G4155" s="29">
        <v>18</v>
      </c>
      <c r="H4155" s="127">
        <f>IF(SUMIFS('[1]2025年已发货'!$E:$E,'[1]2025年已发货'!$F:$F,C4155,'[1]2025年已发货'!$C:$C,F4155,'[1]2025年已发货'!$G:$G,I4155,'[1]2025年已发货'!$H:$H,J4155)=0,"未发货",SUMIFS('[1]2025年已发货'!$E:$E,'[1]2025年已发货'!$F:$F,C4155,'[1]2025年已发货'!$C:$C,F4155,'[1]2025年已发货'!$G:$G,I4155,'[1]2025年已发货'!$H:$H,J4155))</f>
        <v>18</v>
      </c>
      <c r="I4155" s="33" t="str">
        <f>VLOOKUP(B4155,辅助信息!E:I,3,FALSE)</f>
        <v>(五冶建设龙泉驿一医院配套建设工程)成都市龙泉驿区董朗路69号龙泉驿一医院5号门</v>
      </c>
      <c r="J4155" s="33" t="str">
        <f>VLOOKUP(B4155,辅助信息!E:I,4,FALSE)</f>
        <v>孙敏</v>
      </c>
      <c r="K4155" s="33">
        <f>VLOOKUP(J4155,辅助信息!H:I,2,FALSE)</f>
        <v>13617695006</v>
      </c>
      <c r="L4155" s="102" t="str">
        <f>VLOOKUP(B4155,辅助信息!E:J,6,FALSE)</f>
        <v>联系实际收货人（孙敏13617695006）五冶建设送货单,6份材质书,锈货不收，装货前联系收货人核实到场规格,没提前告知进场规格现场不给予接收</v>
      </c>
      <c r="O4155" s="55" t="str">
        <f ca="1" t="shared" si="212"/>
        <v/>
      </c>
      <c r="P4155" s="55" t="str">
        <f ca="1" t="shared" si="213"/>
        <v/>
      </c>
      <c r="Q4155" s="22" t="str">
        <f>VLOOKUP(B4155,辅助信息!E:M,9,FALSE)</f>
        <v>ZTWM-CDGS-XS-2025-0073-五冶天府-成都怡心湖片区及龙泉驿医院等项目</v>
      </c>
      <c r="R4155" s="22" t="str">
        <f>_xlfn._xlws.FILTER(辅助信息!D:D,辅助信息!E:E=B4155)</f>
        <v>五冶建设龙泉驿一医院配套建设工程</v>
      </c>
    </row>
    <row r="4156" hidden="1" spans="1:18">
      <c r="A4156" s="112"/>
      <c r="B4156" s="128" t="s">
        <v>231</v>
      </c>
      <c r="C4156" s="63">
        <v>45939</v>
      </c>
      <c r="D4156" s="33" t="str">
        <f>VLOOKUP(B4156,辅助信息!E:K,7,FALSE)</f>
        <v>JWDDCD2025102100481</v>
      </c>
      <c r="E4156" s="33" t="str">
        <f>VLOOKUP(F4156,辅助信息!A:B,2,FALSE)</f>
        <v>螺纹钢</v>
      </c>
      <c r="F4156" s="33" t="s">
        <v>32</v>
      </c>
      <c r="G4156" s="29">
        <v>3</v>
      </c>
      <c r="H4156" s="127"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33" t="str">
        <f>VLOOKUP(B4156,辅助信息!E:I,3,FALSE)</f>
        <v>(五冶建设成都盐道街中学初中部改扩建工程-一标)四川省成都市锦江区春熙路街道盐道街4号（盐道街中学初中部）</v>
      </c>
      <c r="J4156" s="33" t="str">
        <f>VLOOKUP(B4156,辅助信息!E:I,4,FALSE)</f>
        <v>谢鑫</v>
      </c>
      <c r="K4156" s="33">
        <f>VLOOKUP(J4156,辅助信息!H:I,2,FALSE)</f>
        <v>18228465067</v>
      </c>
      <c r="L4156" s="102" t="str">
        <f>VLOOKUP(B4156,辅助信息!E:J,6,FALSE)</f>
        <v>联系实际收货人（易前刚18228465067）五冶建设送货单,6份材质书,锈货不收，装货前联系收货人核实到场规格,没提前告知进场规格现场不给予接收</v>
      </c>
      <c r="O4156" s="55" t="str">
        <f ca="1" t="shared" si="212"/>
        <v/>
      </c>
      <c r="P4156" s="55" t="str">
        <f ca="1" t="shared" si="213"/>
        <v/>
      </c>
      <c r="Q4156" s="22" t="str">
        <f>VLOOKUP(B4156,辅助信息!E:M,9,FALSE)</f>
        <v>ZTWM-CDGS-XS-2025-0073-五冶天府-成都怡心湖片区及龙泉驿医院等项目</v>
      </c>
      <c r="R4156" s="22" t="str">
        <f>_xlfn._xlws.FILTER(辅助信息!D:D,辅助信息!E:E=B4156)</f>
        <v>五冶建设成都盐道街中学初中部改扩建工程-一标</v>
      </c>
    </row>
    <row r="4157" hidden="1" spans="1:18">
      <c r="A4157" s="112"/>
      <c r="B4157" s="128" t="s">
        <v>231</v>
      </c>
      <c r="C4157" s="63">
        <v>45939</v>
      </c>
      <c r="D4157" s="33" t="str">
        <f>VLOOKUP(B4157,辅助信息!E:K,7,FALSE)</f>
        <v>JWDDCD2025102100481</v>
      </c>
      <c r="E4157" s="33" t="str">
        <f>VLOOKUP(F4157,辅助信息!A:B,2,FALSE)</f>
        <v>螺纹钢</v>
      </c>
      <c r="F4157" s="33" t="s">
        <v>28</v>
      </c>
      <c r="G4157" s="29">
        <v>22</v>
      </c>
      <c r="H4157" s="127"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33" t="str">
        <f>VLOOKUP(B4157,辅助信息!E:I,3,FALSE)</f>
        <v>(五冶建设成都盐道街中学初中部改扩建工程-一标)四川省成都市锦江区春熙路街道盐道街4号（盐道街中学初中部）</v>
      </c>
      <c r="J4157" s="33" t="str">
        <f>VLOOKUP(B4157,辅助信息!E:I,4,FALSE)</f>
        <v>谢鑫</v>
      </c>
      <c r="K4157" s="33">
        <f>VLOOKUP(J4157,辅助信息!H:I,2,FALSE)</f>
        <v>18228465067</v>
      </c>
      <c r="L4157" s="102" t="str">
        <f>VLOOKUP(B4157,辅助信息!E:J,6,FALSE)</f>
        <v>联系实际收货人（易前刚18228465067）五冶建设送货单,6份材质书,锈货不收，装货前联系收货人核实到场规格,没提前告知进场规格现场不给予接收</v>
      </c>
      <c r="O4157" s="55" t="str">
        <f ca="1" t="shared" si="212"/>
        <v/>
      </c>
      <c r="P4157" s="55" t="str">
        <f ca="1" t="shared" si="213"/>
        <v/>
      </c>
      <c r="Q4157" s="22" t="str">
        <f>VLOOKUP(B4157,辅助信息!E:M,9,FALSE)</f>
        <v>ZTWM-CDGS-XS-2025-0073-五冶天府-成都怡心湖片区及龙泉驿医院等项目</v>
      </c>
      <c r="R4157" s="22" t="str">
        <f>_xlfn._xlws.FILTER(辅助信息!D:D,辅助信息!E:E=B4157)</f>
        <v>五冶建设成都盐道街中学初中部改扩建工程-一标</v>
      </c>
    </row>
    <row r="4158" hidden="1" spans="1:18">
      <c r="A4158" s="112"/>
      <c r="B4158" s="128" t="s">
        <v>231</v>
      </c>
      <c r="C4158" s="63">
        <v>45939</v>
      </c>
      <c r="D4158" s="33" t="str">
        <f>VLOOKUP(B4158,辅助信息!E:K,7,FALSE)</f>
        <v>JWDDCD2025102100481</v>
      </c>
      <c r="E4158" s="33" t="str">
        <f>VLOOKUP(F4158,辅助信息!A:B,2,FALSE)</f>
        <v>螺纹钢</v>
      </c>
      <c r="F4158" s="33" t="s">
        <v>65</v>
      </c>
      <c r="G4158" s="29">
        <v>10</v>
      </c>
      <c r="H4158" s="127"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33" t="str">
        <f>VLOOKUP(B4158,辅助信息!E:I,3,FALSE)</f>
        <v>(五冶建设成都盐道街中学初中部改扩建工程-一标)四川省成都市锦江区春熙路街道盐道街4号（盐道街中学初中部）</v>
      </c>
      <c r="J4158" s="33" t="str">
        <f>VLOOKUP(B4158,辅助信息!E:I,4,FALSE)</f>
        <v>谢鑫</v>
      </c>
      <c r="K4158" s="33">
        <f>VLOOKUP(J4158,辅助信息!H:I,2,FALSE)</f>
        <v>18228465067</v>
      </c>
      <c r="L4158" s="102" t="str">
        <f>VLOOKUP(B4158,辅助信息!E:J,6,FALSE)</f>
        <v>联系实际收货人（易前刚18228465067）五冶建设送货单,6份材质书,锈货不收，装货前联系收货人核实到场规格,没提前告知进场规格现场不给予接收</v>
      </c>
      <c r="O4158" s="55" t="str">
        <f ca="1" t="shared" si="212"/>
        <v/>
      </c>
      <c r="P4158" s="55" t="str">
        <f ca="1" t="shared" si="213"/>
        <v/>
      </c>
      <c r="Q4158" s="22" t="str">
        <f>VLOOKUP(B4158,辅助信息!E:M,9,FALSE)</f>
        <v>ZTWM-CDGS-XS-2025-0073-五冶天府-成都怡心湖片区及龙泉驿医院等项目</v>
      </c>
      <c r="R4158" s="22" t="str">
        <f>_xlfn._xlws.FILTER(辅助信息!D:D,辅助信息!E:E=B4158)</f>
        <v>五冶建设成都盐道街中学初中部改扩建工程-一标</v>
      </c>
    </row>
    <row r="4159" hidden="1" spans="1:18">
      <c r="A4159" s="112"/>
      <c r="B4159" s="128" t="s">
        <v>208</v>
      </c>
      <c r="C4159" s="63">
        <v>45938</v>
      </c>
      <c r="D4159" s="33" t="str">
        <f>VLOOKUP(B4159,辅助信息!E:K,7,FALSE)</f>
        <v>JWDDCD2025102100480</v>
      </c>
      <c r="E4159" s="33" t="str">
        <f>VLOOKUP(F4159,辅助信息!A:B,2,FALSE)</f>
        <v>高线</v>
      </c>
      <c r="F4159" s="33" t="s">
        <v>53</v>
      </c>
      <c r="G4159" s="29">
        <v>18</v>
      </c>
      <c r="H4159" s="127">
        <v>18</v>
      </c>
      <c r="I4159" s="33" t="str">
        <f>VLOOKUP(B4159,辅助信息!E:I,3,FALSE)</f>
        <v>(五冶建设锦江区林家坝片区20号地块商业项目)锦江区泰昌路锦江28亩项目部</v>
      </c>
      <c r="J4159" s="33" t="str">
        <f>VLOOKUP(B4159,辅助信息!E:I,4,FALSE)</f>
        <v>陶杰</v>
      </c>
      <c r="K4159" s="33">
        <f>VLOOKUP(J4159,辅助信息!H:I,2,FALSE)</f>
        <v>13980247952</v>
      </c>
      <c r="L4159" s="102" t="str">
        <f>VLOOKUP(B4159,辅助信息!E:J,6,FALSE)</f>
        <v>联系实际收货人（陶杰13980247952）五冶建设送货单,6份材质书,锈货不收，装货前联系收货人核实到场规格,没提前告知进场规格现场不给予接收</v>
      </c>
      <c r="O4159" s="55" t="str">
        <f ca="1" t="shared" si="212"/>
        <v/>
      </c>
      <c r="P4159" s="55" t="str">
        <f ca="1" t="shared" si="213"/>
        <v/>
      </c>
      <c r="Q4159" s="22" t="str">
        <f>VLOOKUP(B4159,辅助信息!E:M,9,FALSE)</f>
        <v>ZTWM-CDGS-XS-2025-0073-五冶天府-成都怡心湖片区及龙泉驿医院等项目</v>
      </c>
      <c r="R4159" s="22" t="str">
        <f>_xlfn._xlws.FILTER(辅助信息!D:D,辅助信息!E:E=B4159)</f>
        <v>五冶建设锦江区林家坝片区20号地块商业项目</v>
      </c>
    </row>
    <row r="4160" hidden="1" spans="1:18">
      <c r="A4160" s="112"/>
      <c r="B4160" s="128" t="s">
        <v>208</v>
      </c>
      <c r="C4160" s="63">
        <v>45938</v>
      </c>
      <c r="D4160" s="33" t="str">
        <f>VLOOKUP(B4160,辅助信息!E:K,7,FALSE)</f>
        <v>JWDDCD2025102100480</v>
      </c>
      <c r="E4160" s="33" t="str">
        <f>VLOOKUP(F4160,辅助信息!A:B,2,FALSE)</f>
        <v>螺纹钢</v>
      </c>
      <c r="F4160" s="33" t="s">
        <v>32</v>
      </c>
      <c r="G4160" s="29">
        <v>17</v>
      </c>
      <c r="H4160" s="127">
        <f>IF(SUMIFS('[1]2025年已发货'!$E:$E,'[1]2025年已发货'!$F:$F,C4160,'[1]2025年已发货'!$C:$C,F4160,'[1]2025年已发货'!$G:$G,I4160,'[1]2025年已发货'!$H:$H,J4160)=0,"未发货",SUMIFS('[1]2025年已发货'!$E:$E,'[1]2025年已发货'!$F:$F,C4160,'[1]2025年已发货'!$C:$C,F4160,'[1]2025年已发货'!$G:$G,I4160,'[1]2025年已发货'!$H:$H,J4160))</f>
        <v>17</v>
      </c>
      <c r="I4160" s="33" t="str">
        <f>VLOOKUP(B4160,辅助信息!E:I,3,FALSE)</f>
        <v>(五冶建设锦江区林家坝片区20号地块商业项目)锦江区泰昌路锦江28亩项目部</v>
      </c>
      <c r="J4160" s="33" t="str">
        <f>VLOOKUP(B4160,辅助信息!E:I,4,FALSE)</f>
        <v>陶杰</v>
      </c>
      <c r="K4160" s="33">
        <f>VLOOKUP(J4160,辅助信息!H:I,2,FALSE)</f>
        <v>13980247952</v>
      </c>
      <c r="L4160" s="102" t="str">
        <f>VLOOKUP(B4160,辅助信息!E:J,6,FALSE)</f>
        <v>联系实际收货人（陶杰13980247952）五冶建设送货单,6份材质书,锈货不收，装货前联系收货人核实到场规格,没提前告知进场规格现场不给予接收</v>
      </c>
      <c r="O4160" s="55" t="str">
        <f ca="1" t="shared" si="212"/>
        <v/>
      </c>
      <c r="P4160" s="55" t="str">
        <f ca="1" t="shared" si="213"/>
        <v/>
      </c>
      <c r="Q4160" s="22" t="str">
        <f>VLOOKUP(B4160,辅助信息!E:M,9,FALSE)</f>
        <v>ZTWM-CDGS-XS-2025-0073-五冶天府-成都怡心湖片区及龙泉驿医院等项目</v>
      </c>
      <c r="R4160" s="22" t="str">
        <f>_xlfn._xlws.FILTER(辅助信息!D:D,辅助信息!E:E=B4160)</f>
        <v>五冶建设锦江区林家坝片区20号地块商业项目</v>
      </c>
    </row>
    <row r="4161" hidden="1" spans="1:18">
      <c r="A4161" s="112"/>
      <c r="B4161" s="128" t="s">
        <v>208</v>
      </c>
      <c r="C4161" s="63">
        <v>45938</v>
      </c>
      <c r="D4161" s="33" t="str">
        <f>VLOOKUP(B4161,辅助信息!E:K,7,FALSE)</f>
        <v>JWDDCD2025102100480</v>
      </c>
      <c r="E4161" s="33" t="str">
        <f>VLOOKUP(F4161,辅助信息!A:B,2,FALSE)</f>
        <v>螺纹钢</v>
      </c>
      <c r="F4161" s="33" t="s">
        <v>30</v>
      </c>
      <c r="G4161" s="29">
        <v>35</v>
      </c>
      <c r="H4161" s="127">
        <f>IF(SUMIFS('[1]2025年已发货'!$E:$E,'[1]2025年已发货'!$F:$F,C4161,'[1]2025年已发货'!$C:$C,F4161,'[1]2025年已发货'!$G:$G,I4161,'[1]2025年已发货'!$H:$H,J4161)=0,"未发货",SUMIFS('[1]2025年已发货'!$E:$E,'[1]2025年已发货'!$F:$F,C4161,'[1]2025年已发货'!$C:$C,F4161,'[1]2025年已发货'!$G:$G,I4161,'[1]2025年已发货'!$H:$H,J4161))</f>
        <v>35</v>
      </c>
      <c r="I4161" s="33" t="str">
        <f>VLOOKUP(B4161,辅助信息!E:I,3,FALSE)</f>
        <v>(五冶建设锦江区林家坝片区20号地块商业项目)锦江区泰昌路锦江28亩项目部</v>
      </c>
      <c r="J4161" s="33" t="str">
        <f>VLOOKUP(B4161,辅助信息!E:I,4,FALSE)</f>
        <v>陶杰</v>
      </c>
      <c r="K4161" s="33">
        <f>VLOOKUP(J4161,辅助信息!H:I,2,FALSE)</f>
        <v>13980247952</v>
      </c>
      <c r="L4161" s="102" t="str">
        <f>VLOOKUP(B4161,辅助信息!E:J,6,FALSE)</f>
        <v>联系实际收货人（陶杰13980247952）五冶建设送货单,6份材质书,锈货不收，装货前联系收货人核实到场规格,没提前告知进场规格现场不给予接收</v>
      </c>
      <c r="O4161" s="55" t="str">
        <f ca="1" t="shared" si="212"/>
        <v/>
      </c>
      <c r="P4161" s="55" t="str">
        <f ca="1" t="shared" si="213"/>
        <v/>
      </c>
      <c r="Q4161" s="22" t="str">
        <f>VLOOKUP(B4161,辅助信息!E:M,9,FALSE)</f>
        <v>ZTWM-CDGS-XS-2025-0073-五冶天府-成都怡心湖片区及龙泉驿医院等项目</v>
      </c>
      <c r="R4161" s="22" t="str">
        <f>_xlfn._xlws.FILTER(辅助信息!D:D,辅助信息!E:E=B4161)</f>
        <v>五冶建设锦江区林家坝片区20号地块商业项目</v>
      </c>
    </row>
    <row r="4162" hidden="1" spans="1:18">
      <c r="A4162" s="64" t="s">
        <v>233</v>
      </c>
      <c r="B4162" s="148" t="s">
        <v>196</v>
      </c>
      <c r="C4162" s="63">
        <v>45939</v>
      </c>
      <c r="D4162" s="33" t="str">
        <f>VLOOKUP(B4162,辅助信息!E:K,7,FALSE)</f>
        <v>JWDDCD2025102100476</v>
      </c>
      <c r="E4162" s="33" t="str">
        <f>VLOOKUP(F4162,辅助信息!A:B,2,FALSE)</f>
        <v>螺纹钢</v>
      </c>
      <c r="F4162" s="33" t="s">
        <v>27</v>
      </c>
      <c r="G4162" s="29">
        <v>30</v>
      </c>
      <c r="H4162" s="127"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33" t="str">
        <f>VLOOKUP(B4162,辅助信息!E:I,3,FALSE)</f>
        <v>(五冶建设师大附中外语校新建教学楼工程)四川省成都市成华区大观堰2号(四川师范大学附属中学外国语学校)</v>
      </c>
      <c r="J4162" s="33" t="str">
        <f>VLOOKUP(B4162,辅助信息!E:I,4,FALSE)</f>
        <v>蔡浩</v>
      </c>
      <c r="K4162" s="33">
        <f>VLOOKUP(J4162,辅助信息!H:I,2,FALSE)</f>
        <v>13980880820</v>
      </c>
      <c r="L4162" s="102"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84">
        <v>45940</v>
      </c>
      <c r="O4162" s="55">
        <f ca="1" t="shared" si="212"/>
        <v>0</v>
      </c>
      <c r="P4162" s="55">
        <f ca="1" t="shared" si="213"/>
        <v>17</v>
      </c>
      <c r="Q4162" s="22" t="str">
        <f>VLOOKUP(B4162,辅助信息!E:M,9,FALSE)</f>
        <v>ZTWM-CDGS-XS-2025-0073-五冶天府-成都怡心湖片区及龙泉驿医院等项目</v>
      </c>
      <c r="R4162" s="22" t="str">
        <f>_xlfn._xlws.FILTER(辅助信息!D:D,辅助信息!E:E=B4162)</f>
        <v>五冶建设师大附中外语校新建教学楼工程</v>
      </c>
    </row>
    <row r="4163" hidden="1" spans="1:18">
      <c r="A4163" s="64"/>
      <c r="B4163" s="148" t="s">
        <v>196</v>
      </c>
      <c r="C4163" s="63">
        <v>45939</v>
      </c>
      <c r="D4163" s="33" t="str">
        <f>VLOOKUP(B4163,辅助信息!E:K,7,FALSE)</f>
        <v>JWDDCD2025102100476</v>
      </c>
      <c r="E4163" s="33" t="str">
        <f>VLOOKUP(F4163,辅助信息!A:B,2,FALSE)</f>
        <v>螺纹钢</v>
      </c>
      <c r="F4163" s="33" t="s">
        <v>66</v>
      </c>
      <c r="G4163" s="29">
        <v>5</v>
      </c>
      <c r="H4163" s="127"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33" t="str">
        <f>VLOOKUP(B4163,辅助信息!E:I,3,FALSE)</f>
        <v>(五冶建设师大附中外语校新建教学楼工程)四川省成都市成华区大观堰2号(四川师范大学附属中学外国语学校)</v>
      </c>
      <c r="J4163" s="33" t="str">
        <f>VLOOKUP(B4163,辅助信息!E:I,4,FALSE)</f>
        <v>蔡浩</v>
      </c>
      <c r="K4163" s="33">
        <f>VLOOKUP(J4163,辅助信息!H:I,2,FALSE)</f>
        <v>13980880820</v>
      </c>
      <c r="L4163" s="102"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84">
        <v>45940</v>
      </c>
      <c r="O4163" s="55">
        <f ca="1" t="shared" si="212"/>
        <v>0</v>
      </c>
      <c r="P4163" s="55">
        <f ca="1" t="shared" si="213"/>
        <v>17</v>
      </c>
      <c r="Q4163" s="22" t="str">
        <f>VLOOKUP(B4163,辅助信息!E:M,9,FALSE)</f>
        <v>ZTWM-CDGS-XS-2025-0073-五冶天府-成都怡心湖片区及龙泉驿医院等项目</v>
      </c>
      <c r="R4163" s="22" t="str">
        <f>_xlfn._xlws.FILTER(辅助信息!D:D,辅助信息!E:E=B4163)</f>
        <v>五冶建设师大附中外语校新建教学楼工程</v>
      </c>
    </row>
    <row r="4164" hidden="1" spans="1:18">
      <c r="A4164" s="64"/>
      <c r="B4164" s="148" t="s">
        <v>196</v>
      </c>
      <c r="C4164" s="63">
        <v>45939</v>
      </c>
      <c r="D4164" s="33" t="str">
        <f>VLOOKUP(B4164,辅助信息!E:K,7,FALSE)</f>
        <v>JWDDCD2025102100476</v>
      </c>
      <c r="E4164" s="33" t="str">
        <f>VLOOKUP(F4164,辅助信息!A:B,2,FALSE)</f>
        <v>螺纹钢</v>
      </c>
      <c r="F4164" s="33" t="s">
        <v>21</v>
      </c>
      <c r="G4164" s="29">
        <v>5</v>
      </c>
      <c r="H4164" s="127"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33" t="str">
        <f>VLOOKUP(B4164,辅助信息!E:I,3,FALSE)</f>
        <v>(五冶建设师大附中外语校新建教学楼工程)四川省成都市成华区大观堰2号(四川师范大学附属中学外国语学校)</v>
      </c>
      <c r="J4164" s="33" t="str">
        <f>VLOOKUP(B4164,辅助信息!E:I,4,FALSE)</f>
        <v>蔡浩</v>
      </c>
      <c r="K4164" s="33">
        <f>VLOOKUP(J4164,辅助信息!H:I,2,FALSE)</f>
        <v>13980880820</v>
      </c>
      <c r="L4164" s="102"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84">
        <v>45940</v>
      </c>
      <c r="O4164" s="55">
        <f ca="1" t="shared" si="212"/>
        <v>0</v>
      </c>
      <c r="P4164" s="55">
        <f ca="1" t="shared" si="213"/>
        <v>17</v>
      </c>
      <c r="Q4164" s="22" t="str">
        <f>VLOOKUP(B4164,辅助信息!E:M,9,FALSE)</f>
        <v>ZTWM-CDGS-XS-2025-0073-五冶天府-成都怡心湖片区及龙泉驿医院等项目</v>
      </c>
      <c r="R4164" s="22" t="str">
        <f>_xlfn._xlws.FILTER(辅助信息!D:D,辅助信息!E:E=B4164)</f>
        <v>五冶建设师大附中外语校新建教学楼工程</v>
      </c>
    </row>
    <row r="4165" hidden="1" spans="1:18">
      <c r="A4165" s="64"/>
      <c r="B4165" s="148" t="s">
        <v>196</v>
      </c>
      <c r="C4165" s="63">
        <v>45939</v>
      </c>
      <c r="D4165" s="33" t="str">
        <f>VLOOKUP(B4165,辅助信息!E:K,7,FALSE)</f>
        <v>JWDDCD2025102100476</v>
      </c>
      <c r="E4165" s="33" t="str">
        <f>VLOOKUP(F4165,辅助信息!A:B,2,FALSE)</f>
        <v>螺纹钢</v>
      </c>
      <c r="F4165" s="33" t="s">
        <v>46</v>
      </c>
      <c r="G4165" s="29">
        <v>5</v>
      </c>
      <c r="H4165" s="127"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33" t="str">
        <f>VLOOKUP(B4165,辅助信息!E:I,3,FALSE)</f>
        <v>(五冶建设师大附中外语校新建教学楼工程)四川省成都市成华区大观堰2号(四川师范大学附属中学外国语学校)</v>
      </c>
      <c r="J4165" s="33" t="str">
        <f>VLOOKUP(B4165,辅助信息!E:I,4,FALSE)</f>
        <v>蔡浩</v>
      </c>
      <c r="K4165" s="33">
        <f>VLOOKUP(J4165,辅助信息!H:I,2,FALSE)</f>
        <v>13980880820</v>
      </c>
      <c r="L4165" s="102"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84">
        <v>45940</v>
      </c>
      <c r="O4165" s="55">
        <f ca="1" t="shared" si="212"/>
        <v>0</v>
      </c>
      <c r="P4165" s="55">
        <f ca="1" t="shared" si="213"/>
        <v>17</v>
      </c>
      <c r="Q4165" s="22" t="str">
        <f>VLOOKUP(B4165,辅助信息!E:M,9,FALSE)</f>
        <v>ZTWM-CDGS-XS-2025-0073-五冶天府-成都怡心湖片区及龙泉驿医院等项目</v>
      </c>
      <c r="R4165" s="22" t="str">
        <f>_xlfn._xlws.FILTER(辅助信息!D:D,辅助信息!E:E=B4165)</f>
        <v>五冶建设师大附中外语校新建教学楼工程</v>
      </c>
    </row>
    <row r="4166" hidden="1" spans="1:18">
      <c r="A4166" s="64"/>
      <c r="B4166" s="148" t="s">
        <v>196</v>
      </c>
      <c r="C4166" s="63">
        <v>45939</v>
      </c>
      <c r="D4166" s="33" t="str">
        <f>VLOOKUP(B4166,辅助信息!E:K,7,FALSE)</f>
        <v>JWDDCD2025102100476</v>
      </c>
      <c r="E4166" s="33" t="str">
        <f>VLOOKUP(F4166,辅助信息!A:B,2,FALSE)</f>
        <v>螺纹钢</v>
      </c>
      <c r="F4166" s="33" t="s">
        <v>22</v>
      </c>
      <c r="G4166" s="29">
        <v>40</v>
      </c>
      <c r="H4166" s="127"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33" t="str">
        <f>VLOOKUP(B4166,辅助信息!E:I,3,FALSE)</f>
        <v>(五冶建设师大附中外语校新建教学楼工程)四川省成都市成华区大观堰2号(四川师范大学附属中学外国语学校)</v>
      </c>
      <c r="J4166" s="33" t="str">
        <f>VLOOKUP(B4166,辅助信息!E:I,4,FALSE)</f>
        <v>蔡浩</v>
      </c>
      <c r="K4166" s="33">
        <f>VLOOKUP(J4166,辅助信息!H:I,2,FALSE)</f>
        <v>13980880820</v>
      </c>
      <c r="L4166" s="102"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84">
        <v>45940</v>
      </c>
      <c r="O4166" s="55">
        <f ca="1" t="shared" si="212"/>
        <v>0</v>
      </c>
      <c r="P4166" s="55">
        <f ca="1" t="shared" si="213"/>
        <v>17</v>
      </c>
      <c r="Q4166" s="22" t="str">
        <f>VLOOKUP(B4166,辅助信息!E:M,9,FALSE)</f>
        <v>ZTWM-CDGS-XS-2025-0073-五冶天府-成都怡心湖片区及龙泉驿医院等项目</v>
      </c>
      <c r="R4166" s="22" t="str">
        <f>_xlfn._xlws.FILTER(辅助信息!D:D,辅助信息!E:E=B4166)</f>
        <v>五冶建设师大附中外语校新建教学楼工程</v>
      </c>
    </row>
    <row r="4167" hidden="1" spans="1:18">
      <c r="A4167" s="64"/>
      <c r="B4167" s="148" t="s">
        <v>196</v>
      </c>
      <c r="C4167" s="63">
        <v>45939</v>
      </c>
      <c r="D4167" s="33" t="str">
        <f>VLOOKUP(B4167,辅助信息!E:K,7,FALSE)</f>
        <v>JWDDCD2025102100476</v>
      </c>
      <c r="E4167" s="33" t="str">
        <f>VLOOKUP(F4167,辅助信息!A:B,2,FALSE)</f>
        <v>螺纹钢</v>
      </c>
      <c r="F4167" s="33" t="s">
        <v>181</v>
      </c>
      <c r="G4167" s="29">
        <v>7.5</v>
      </c>
      <c r="H4167" s="127"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33" t="str">
        <f>VLOOKUP(B4167,辅助信息!E:I,3,FALSE)</f>
        <v>(五冶建设师大附中外语校新建教学楼工程)四川省成都市成华区大观堰2号(四川师范大学附属中学外国语学校)</v>
      </c>
      <c r="J4167" s="33" t="str">
        <f>VLOOKUP(B4167,辅助信息!E:I,4,FALSE)</f>
        <v>蔡浩</v>
      </c>
      <c r="K4167" s="33">
        <f>VLOOKUP(J4167,辅助信息!H:I,2,FALSE)</f>
        <v>13980880820</v>
      </c>
      <c r="L4167" s="102"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84">
        <v>45940</v>
      </c>
      <c r="O4167" s="55">
        <f ca="1" t="shared" si="212"/>
        <v>0</v>
      </c>
      <c r="P4167" s="55">
        <f ca="1" t="shared" si="213"/>
        <v>17</v>
      </c>
      <c r="Q4167" s="22" t="str">
        <f>VLOOKUP(B4167,辅助信息!E:M,9,FALSE)</f>
        <v>ZTWM-CDGS-XS-2025-0073-五冶天府-成都怡心湖片区及龙泉驿医院等项目</v>
      </c>
      <c r="R4167" s="22" t="str">
        <f>_xlfn._xlws.FILTER(辅助信息!D:D,辅助信息!E:E=B4167)</f>
        <v>五冶建设师大附中外语校新建教学楼工程</v>
      </c>
    </row>
    <row r="4168" hidden="1" spans="1:18">
      <c r="A4168" s="64"/>
      <c r="B4168" s="148" t="s">
        <v>196</v>
      </c>
      <c r="C4168" s="63">
        <v>45939</v>
      </c>
      <c r="D4168" s="33" t="str">
        <f>VLOOKUP(B4168,辅助信息!E:K,7,FALSE)</f>
        <v>JWDDCD2025102100476</v>
      </c>
      <c r="E4168" s="33" t="str">
        <f>VLOOKUP(F4168,辅助信息!A:B,2,FALSE)</f>
        <v>螺纹钢</v>
      </c>
      <c r="F4168" s="33" t="s">
        <v>182</v>
      </c>
      <c r="G4168" s="29">
        <v>12.5</v>
      </c>
      <c r="H4168" s="127"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33" t="str">
        <f>VLOOKUP(B4168,辅助信息!E:I,3,FALSE)</f>
        <v>(五冶建设师大附中外语校新建教学楼工程)四川省成都市成华区大观堰2号(四川师范大学附属中学外国语学校)</v>
      </c>
      <c r="J4168" s="33" t="str">
        <f>VLOOKUP(B4168,辅助信息!E:I,4,FALSE)</f>
        <v>蔡浩</v>
      </c>
      <c r="K4168" s="33">
        <f>VLOOKUP(J4168,辅助信息!H:I,2,FALSE)</f>
        <v>13980880820</v>
      </c>
      <c r="L4168" s="102"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84">
        <v>45940</v>
      </c>
      <c r="O4168" s="55">
        <f ca="1" t="shared" si="212"/>
        <v>0</v>
      </c>
      <c r="P4168" s="55">
        <f ca="1" t="shared" si="213"/>
        <v>17</v>
      </c>
      <c r="Q4168" s="22" t="str">
        <f>VLOOKUP(B4168,辅助信息!E:M,9,FALSE)</f>
        <v>ZTWM-CDGS-XS-2025-0073-五冶天府-成都怡心湖片区及龙泉驿医院等项目</v>
      </c>
      <c r="R4168" s="22" t="str">
        <f>_xlfn._xlws.FILTER(辅助信息!D:D,辅助信息!E:E=B4168)</f>
        <v>五冶建设师大附中外语校新建教学楼工程</v>
      </c>
    </row>
    <row r="4169" hidden="1" spans="2:18">
      <c r="B4169" s="128" t="s">
        <v>186</v>
      </c>
      <c r="C4169" s="63">
        <v>45939</v>
      </c>
      <c r="D4169" s="33" t="str">
        <f>VLOOKUP(B4169,辅助信息!E:K,7,FALSE)</f>
        <v>JWDDCD2025072900123</v>
      </c>
      <c r="E4169" s="33" t="str">
        <f>VLOOKUP(F4169,辅助信息!A:B,2,FALSE)</f>
        <v>螺纹钢</v>
      </c>
      <c r="F4169" s="33" t="s">
        <v>111</v>
      </c>
      <c r="G4169" s="29">
        <v>35</v>
      </c>
      <c r="H4169" s="127">
        <f>IF(SUMIFS('[1]2025年已发货'!$E:$E,'[1]2025年已发货'!$F:$F,C4169,'[1]2025年已发货'!$C:$C,F4169,'[1]2025年已发货'!$G:$G,I4169,'[1]2025年已发货'!$H:$H,J4169)=0,"未发货",SUMIFS('[1]2025年已发货'!$E:$E,'[1]2025年已发货'!$F:$F,C4169,'[1]2025年已发货'!$C:$C,F4169,'[1]2025年已发货'!$G:$G,I4169,'[1]2025年已发货'!$H:$H,J4169))</f>
        <v>35</v>
      </c>
      <c r="I4169" s="33" t="str">
        <f>VLOOKUP(B4169,辅助信息!E:I,3,FALSE)</f>
        <v>(乐山市校地共建产教融合基地建设项目二标段)四川省乐山市市中区苏稽镇</v>
      </c>
      <c r="J4169" s="33" t="str">
        <f>VLOOKUP(B4169,辅助信息!E:I,4,FALSE)</f>
        <v>彭江涛</v>
      </c>
      <c r="K4169" s="33">
        <f>VLOOKUP(J4169,辅助信息!H:I,2,FALSE)</f>
        <v>13990276572</v>
      </c>
      <c r="L4169" s="102" t="str">
        <f>VLOOKUP(B4169,辅助信息!E:J,6,FALSE)</f>
        <v>联系实际收货人（彭江涛13990276572）现场要求炉批号控制2个以下，超2个不给予签收。提前联系到场规格及数量</v>
      </c>
      <c r="O4169" s="55" t="str">
        <f ca="1" t="shared" si="212"/>
        <v/>
      </c>
      <c r="P4169" s="55" t="str">
        <f ca="1" t="shared" si="213"/>
        <v/>
      </c>
      <c r="Q4169" s="22" t="str">
        <f>VLOOKUP(B4169,辅助信息!E:M,9,FALSE)</f>
        <v>ZTWM-CDGS-XS-2025-0126-四川机司-乐山市校地共建产教融合基地配套设施项目施工二标段钢筋采购合同</v>
      </c>
      <c r="R4169" s="22" t="str">
        <f>_xlfn._xlws.FILTER(辅助信息!D:D,辅助信息!E:E=B4169)</f>
        <v>乐山市校地共建产教融合基地建设项目二标段</v>
      </c>
    </row>
    <row r="4170" hidden="1" spans="2:18">
      <c r="B4170" s="148" t="s">
        <v>186</v>
      </c>
      <c r="C4170" s="63">
        <v>45939</v>
      </c>
      <c r="D4170" s="33" t="str">
        <f>VLOOKUP(B4170,辅助信息!E:K,7,FALSE)</f>
        <v>JWDDCD2025072900123</v>
      </c>
      <c r="E4170" s="33" t="str">
        <f>VLOOKUP(F4170,辅助信息!A:B,2,FALSE)</f>
        <v>螺纹钢</v>
      </c>
      <c r="F4170" s="33" t="s">
        <v>76</v>
      </c>
      <c r="G4170" s="29">
        <v>35</v>
      </c>
      <c r="H4170" s="127"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33" t="str">
        <f>VLOOKUP(B4170,辅助信息!E:I,3,FALSE)</f>
        <v>(乐山市校地共建产教融合基地建设项目二标段)四川省乐山市市中区苏稽镇</v>
      </c>
      <c r="J4170" s="33" t="str">
        <f>VLOOKUP(B4170,辅助信息!E:I,4,FALSE)</f>
        <v>彭江涛</v>
      </c>
      <c r="K4170" s="33">
        <f>VLOOKUP(J4170,辅助信息!H:I,2,FALSE)</f>
        <v>13990276572</v>
      </c>
      <c r="L4170" s="102" t="str">
        <f>VLOOKUP(B4170,辅助信息!E:J,6,FALSE)</f>
        <v>联系实际收货人（彭江涛13990276572）现场要求炉批号控制2个以下，超2个不给予签收。提前联系到场规格及数量</v>
      </c>
      <c r="O4170" s="55" t="str">
        <f ca="1" t="shared" si="212"/>
        <v/>
      </c>
      <c r="P4170" s="55" t="str">
        <f ca="1" t="shared" si="213"/>
        <v/>
      </c>
      <c r="Q4170" s="22" t="str">
        <f>VLOOKUP(B4170,辅助信息!E:M,9,FALSE)</f>
        <v>ZTWM-CDGS-XS-2025-0126-四川机司-乐山市校地共建产教融合基地配套设施项目施工二标段钢筋采购合同</v>
      </c>
      <c r="R4170" s="22" t="str">
        <f>_xlfn._xlws.FILTER(辅助信息!D:D,辅助信息!E:E=B4170)</f>
        <v>乐山市校地共建产教融合基地建设项目二标段</v>
      </c>
    </row>
    <row r="4171" hidden="1" spans="2:18">
      <c r="B4171" s="148" t="s">
        <v>186</v>
      </c>
      <c r="C4171" s="63">
        <v>45939</v>
      </c>
      <c r="D4171" s="33" t="str">
        <f>VLOOKUP(B4171,辅助信息!E:K,7,FALSE)</f>
        <v>JWDDCD2025072900123</v>
      </c>
      <c r="E4171" s="33" t="str">
        <f>VLOOKUP(F4171,辅助信息!A:B,2,FALSE)</f>
        <v>螺纹钢</v>
      </c>
      <c r="F4171" s="33" t="s">
        <v>142</v>
      </c>
      <c r="G4171" s="29">
        <v>35</v>
      </c>
      <c r="H4171" s="127">
        <v>35</v>
      </c>
      <c r="I4171" s="33" t="str">
        <f>VLOOKUP(B4171,辅助信息!E:I,3,FALSE)</f>
        <v>(乐山市校地共建产教融合基地建设项目二标段)四川省乐山市市中区苏稽镇</v>
      </c>
      <c r="J4171" s="33" t="str">
        <f>VLOOKUP(B4171,辅助信息!E:I,4,FALSE)</f>
        <v>彭江涛</v>
      </c>
      <c r="K4171" s="33">
        <f>VLOOKUP(J4171,辅助信息!H:I,2,FALSE)</f>
        <v>13990276572</v>
      </c>
      <c r="L4171" s="102" t="str">
        <f>VLOOKUP(B4171,辅助信息!E:J,6,FALSE)</f>
        <v>联系实际收货人（彭江涛13990276572）现场要求炉批号控制2个以下，超2个不给予签收。提前联系到场规格及数量</v>
      </c>
      <c r="O4171" s="55" t="str">
        <f ca="1" t="shared" si="212"/>
        <v/>
      </c>
      <c r="P4171" s="55" t="str">
        <f ca="1" t="shared" si="213"/>
        <v/>
      </c>
      <c r="Q4171" s="22" t="str">
        <f>VLOOKUP(B4171,辅助信息!E:M,9,FALSE)</f>
        <v>ZTWM-CDGS-XS-2025-0126-四川机司-乐山市校地共建产教融合基地配套设施项目施工二标段钢筋采购合同</v>
      </c>
      <c r="R4171" s="22" t="str">
        <f>_xlfn._xlws.FILTER(辅助信息!D:D,辅助信息!E:E=B4171)</f>
        <v>乐山市校地共建产教融合基地建设项目二标段</v>
      </c>
    </row>
    <row r="4172" hidden="1" spans="2:18">
      <c r="B4172" s="148" t="s">
        <v>92</v>
      </c>
      <c r="C4172" s="63">
        <v>45939</v>
      </c>
      <c r="D4172" s="33" t="str">
        <f>VLOOKUP(B4172,辅助信息!E:K,7,FALSE)</f>
        <v>JWDDCD2025051800046</v>
      </c>
      <c r="E4172" s="33" t="str">
        <f>VLOOKUP(F4172,辅助信息!A:B,2,FALSE)</f>
        <v>盘螺</v>
      </c>
      <c r="F4172" s="33" t="s">
        <v>49</v>
      </c>
      <c r="G4172" s="29">
        <v>2.5</v>
      </c>
      <c r="H4172" s="127"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33" t="str">
        <f>VLOOKUP(B4172,辅助信息!E:I,3,FALSE)</f>
        <v>（华西萌海科创农业生态谷）成都市简阳市白金山水库</v>
      </c>
      <c r="J4172" s="33" t="str">
        <f>VLOOKUP(B4172,辅助信息!E:I,4,FALSE)</f>
        <v>石清国</v>
      </c>
      <c r="K4172" s="33">
        <f>VLOOKUP(J4172,辅助信息!H:I,2,FALSE)</f>
        <v>13458642015</v>
      </c>
      <c r="L4172" s="102" t="str">
        <f>VLOOKUP(B4172,辅助信息!E:J,6,FALSE)</f>
        <v>优先威钢,我方卸车,新老国标钢厂不加价可直发</v>
      </c>
      <c r="M4172" s="141">
        <v>45942</v>
      </c>
      <c r="O4172" s="55">
        <f ca="1" t="shared" si="212"/>
        <v>0</v>
      </c>
      <c r="P4172" s="55">
        <f ca="1" t="shared" si="213"/>
        <v>15</v>
      </c>
      <c r="Q4172" s="22" t="str">
        <f>VLOOKUP(B4172,辅助信息!E:M,9,FALSE)</f>
        <v>ZTWM-CDGS-XS-2024-0092-华西-萌海科创农业生态谷</v>
      </c>
      <c r="R4172" s="22" t="str">
        <f>_xlfn._xlws.FILTER(辅助信息!D:D,辅助信息!E:E=B4172)</f>
        <v>华西萌海-科创农业生态谷</v>
      </c>
    </row>
    <row r="4173" hidden="1" spans="2:18">
      <c r="B4173" s="148" t="s">
        <v>92</v>
      </c>
      <c r="C4173" s="63">
        <v>45939</v>
      </c>
      <c r="D4173" s="33" t="str">
        <f>VLOOKUP(B4173,辅助信息!E:K,7,FALSE)</f>
        <v>JWDDCD2025051800046</v>
      </c>
      <c r="E4173" s="33" t="str">
        <f>VLOOKUP(F4173,辅助信息!A:B,2,FALSE)</f>
        <v>盘螺</v>
      </c>
      <c r="F4173" s="33" t="s">
        <v>40</v>
      </c>
      <c r="G4173" s="29">
        <v>20</v>
      </c>
      <c r="H4173" s="127"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33" t="str">
        <f>VLOOKUP(B4173,辅助信息!E:I,3,FALSE)</f>
        <v>（华西萌海科创农业生态谷）成都市简阳市白金山水库</v>
      </c>
      <c r="J4173" s="33" t="str">
        <f>VLOOKUP(B4173,辅助信息!E:I,4,FALSE)</f>
        <v>石清国</v>
      </c>
      <c r="K4173" s="33">
        <f>VLOOKUP(J4173,辅助信息!H:I,2,FALSE)</f>
        <v>13458642015</v>
      </c>
      <c r="L4173" s="102" t="str">
        <f>VLOOKUP(B4173,辅助信息!E:J,6,FALSE)</f>
        <v>优先威钢,我方卸车,新老国标钢厂不加价可直发</v>
      </c>
      <c r="M4173" s="141">
        <v>45942</v>
      </c>
      <c r="O4173" s="55">
        <f ca="1" t="shared" si="212"/>
        <v>0</v>
      </c>
      <c r="P4173" s="55">
        <f ca="1" t="shared" si="213"/>
        <v>15</v>
      </c>
      <c r="Q4173" s="22" t="str">
        <f>VLOOKUP(B4173,辅助信息!E:M,9,FALSE)</f>
        <v>ZTWM-CDGS-XS-2024-0092-华西-萌海科创农业生态谷</v>
      </c>
      <c r="R4173" s="22" t="str">
        <f>_xlfn._xlws.FILTER(辅助信息!D:D,辅助信息!E:E=B4173)</f>
        <v>华西萌海-科创农业生态谷</v>
      </c>
    </row>
    <row r="4174" hidden="1" spans="2:18">
      <c r="B4174" s="148" t="s">
        <v>92</v>
      </c>
      <c r="C4174" s="63">
        <v>45939</v>
      </c>
      <c r="D4174" s="33" t="str">
        <f>VLOOKUP(B4174,辅助信息!E:K,7,FALSE)</f>
        <v>JWDDCD2025051800046</v>
      </c>
      <c r="E4174" s="33" t="str">
        <f>VLOOKUP(F4174,辅助信息!A:B,2,FALSE)</f>
        <v>盘螺</v>
      </c>
      <c r="F4174" s="33" t="s">
        <v>41</v>
      </c>
      <c r="G4174" s="29">
        <v>15</v>
      </c>
      <c r="H4174" s="127"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33" t="str">
        <f>VLOOKUP(B4174,辅助信息!E:I,3,FALSE)</f>
        <v>（华西萌海科创农业生态谷）成都市简阳市白金山水库</v>
      </c>
      <c r="J4174" s="33" t="str">
        <f>VLOOKUP(B4174,辅助信息!E:I,4,FALSE)</f>
        <v>石清国</v>
      </c>
      <c r="K4174" s="33">
        <f>VLOOKUP(J4174,辅助信息!H:I,2,FALSE)</f>
        <v>13458642015</v>
      </c>
      <c r="L4174" s="102" t="str">
        <f>VLOOKUP(B4174,辅助信息!E:J,6,FALSE)</f>
        <v>优先威钢,我方卸车,新老国标钢厂不加价可直发</v>
      </c>
      <c r="M4174" s="141">
        <v>45942</v>
      </c>
      <c r="O4174" s="55">
        <f ca="1" t="shared" si="212"/>
        <v>0</v>
      </c>
      <c r="P4174" s="55">
        <f ca="1" t="shared" si="213"/>
        <v>15</v>
      </c>
      <c r="Q4174" s="22" t="str">
        <f>VLOOKUP(B4174,辅助信息!E:M,9,FALSE)</f>
        <v>ZTWM-CDGS-XS-2024-0092-华西-萌海科创农业生态谷</v>
      </c>
      <c r="R4174" s="22" t="str">
        <f>_xlfn._xlws.FILTER(辅助信息!D:D,辅助信息!E:E=B4174)</f>
        <v>华西萌海-科创农业生态谷</v>
      </c>
    </row>
    <row r="4175" hidden="1" spans="2:18">
      <c r="B4175" s="148" t="s">
        <v>92</v>
      </c>
      <c r="C4175" s="63">
        <v>45939</v>
      </c>
      <c r="D4175" s="33" t="str">
        <f>VLOOKUP(B4175,辅助信息!E:K,7,FALSE)</f>
        <v>JWDDCD2025051800046</v>
      </c>
      <c r="E4175" s="33" t="str">
        <f>VLOOKUP(F4175,辅助信息!A:B,2,FALSE)</f>
        <v>盘螺</v>
      </c>
      <c r="F4175" s="33" t="s">
        <v>26</v>
      </c>
      <c r="G4175" s="29">
        <v>5</v>
      </c>
      <c r="H4175" s="127"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33" t="str">
        <f>VLOOKUP(B4175,辅助信息!E:I,3,FALSE)</f>
        <v>（华西萌海科创农业生态谷）成都市简阳市白金山水库</v>
      </c>
      <c r="J4175" s="33" t="str">
        <f>VLOOKUP(B4175,辅助信息!E:I,4,FALSE)</f>
        <v>石清国</v>
      </c>
      <c r="K4175" s="33">
        <f>VLOOKUP(J4175,辅助信息!H:I,2,FALSE)</f>
        <v>13458642015</v>
      </c>
      <c r="L4175" s="102" t="str">
        <f>VLOOKUP(B4175,辅助信息!E:J,6,FALSE)</f>
        <v>优先威钢,我方卸车,新老国标钢厂不加价可直发</v>
      </c>
      <c r="M4175" s="141">
        <v>45942</v>
      </c>
      <c r="O4175" s="55">
        <f ca="1" t="shared" si="212"/>
        <v>0</v>
      </c>
      <c r="P4175" s="55">
        <f ca="1" t="shared" si="213"/>
        <v>15</v>
      </c>
      <c r="Q4175" s="22" t="str">
        <f>VLOOKUP(B4175,辅助信息!E:M,9,FALSE)</f>
        <v>ZTWM-CDGS-XS-2024-0092-华西-萌海科创农业生态谷</v>
      </c>
      <c r="R4175" s="22" t="str">
        <f>_xlfn._xlws.FILTER(辅助信息!D:D,辅助信息!E:E=B4175)</f>
        <v>华西萌海-科创农业生态谷</v>
      </c>
    </row>
    <row r="4176" hidden="1" spans="2:18">
      <c r="B4176" s="148" t="s">
        <v>92</v>
      </c>
      <c r="C4176" s="63">
        <v>45939</v>
      </c>
      <c r="D4176" s="33" t="str">
        <f>VLOOKUP(B4176,辅助信息!E:K,7,FALSE)</f>
        <v>JWDDCD2025051800046</v>
      </c>
      <c r="E4176" s="33" t="str">
        <f>VLOOKUP(F4176,辅助信息!A:B,2,FALSE)</f>
        <v>螺纹钢</v>
      </c>
      <c r="F4176" s="33" t="s">
        <v>27</v>
      </c>
      <c r="G4176" s="29">
        <v>5</v>
      </c>
      <c r="H4176" s="127"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33" t="str">
        <f>VLOOKUP(B4176,辅助信息!E:I,3,FALSE)</f>
        <v>（华西萌海科创农业生态谷）成都市简阳市白金山水库</v>
      </c>
      <c r="J4176" s="33" t="str">
        <f>VLOOKUP(B4176,辅助信息!E:I,4,FALSE)</f>
        <v>石清国</v>
      </c>
      <c r="K4176" s="33">
        <f>VLOOKUP(J4176,辅助信息!H:I,2,FALSE)</f>
        <v>13458642015</v>
      </c>
      <c r="L4176" s="102" t="str">
        <f>VLOOKUP(B4176,辅助信息!E:J,6,FALSE)</f>
        <v>优先威钢,我方卸车,新老国标钢厂不加价可直发</v>
      </c>
      <c r="M4176" s="141">
        <v>45942</v>
      </c>
      <c r="O4176" s="55">
        <f ca="1" t="shared" si="212"/>
        <v>0</v>
      </c>
      <c r="P4176" s="55">
        <f ca="1" t="shared" si="213"/>
        <v>15</v>
      </c>
      <c r="Q4176" s="22" t="str">
        <f>VLOOKUP(B4176,辅助信息!E:M,9,FALSE)</f>
        <v>ZTWM-CDGS-XS-2024-0092-华西-萌海科创农业生态谷</v>
      </c>
      <c r="R4176" s="22" t="str">
        <f>_xlfn._xlws.FILTER(辅助信息!D:D,辅助信息!E:E=B4176)</f>
        <v>华西萌海-科创农业生态谷</v>
      </c>
    </row>
    <row r="4177" hidden="1" spans="2:18">
      <c r="B4177" s="148" t="s">
        <v>92</v>
      </c>
      <c r="C4177" s="63">
        <v>45939</v>
      </c>
      <c r="D4177" s="33" t="str">
        <f>VLOOKUP(B4177,辅助信息!E:K,7,FALSE)</f>
        <v>JWDDCD2025051800046</v>
      </c>
      <c r="E4177" s="33" t="str">
        <f>VLOOKUP(F4177,辅助信息!A:B,2,FALSE)</f>
        <v>螺纹钢</v>
      </c>
      <c r="F4177" s="33" t="s">
        <v>19</v>
      </c>
      <c r="G4177" s="29">
        <v>5</v>
      </c>
      <c r="H4177" s="127"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33" t="str">
        <f>VLOOKUP(B4177,辅助信息!E:I,3,FALSE)</f>
        <v>（华西萌海科创农业生态谷）成都市简阳市白金山水库</v>
      </c>
      <c r="J4177" s="33" t="str">
        <f>VLOOKUP(B4177,辅助信息!E:I,4,FALSE)</f>
        <v>石清国</v>
      </c>
      <c r="K4177" s="33">
        <f>VLOOKUP(J4177,辅助信息!H:I,2,FALSE)</f>
        <v>13458642015</v>
      </c>
      <c r="L4177" s="102" t="str">
        <f>VLOOKUP(B4177,辅助信息!E:J,6,FALSE)</f>
        <v>优先威钢,我方卸车,新老国标钢厂不加价可直发</v>
      </c>
      <c r="M4177" s="141">
        <v>45942</v>
      </c>
      <c r="O4177" s="55">
        <f ca="1" t="shared" si="212"/>
        <v>0</v>
      </c>
      <c r="P4177" s="55">
        <f ca="1" t="shared" si="213"/>
        <v>15</v>
      </c>
      <c r="Q4177" s="22" t="str">
        <f>VLOOKUP(B4177,辅助信息!E:M,9,FALSE)</f>
        <v>ZTWM-CDGS-XS-2024-0092-华西-萌海科创农业生态谷</v>
      </c>
      <c r="R4177" s="22" t="str">
        <f>_xlfn._xlws.FILTER(辅助信息!D:D,辅助信息!E:E=B4177)</f>
        <v>华西萌海-科创农业生态谷</v>
      </c>
    </row>
    <row r="4178" hidden="1" spans="2:18">
      <c r="B4178" s="148" t="s">
        <v>92</v>
      </c>
      <c r="C4178" s="63">
        <v>45939</v>
      </c>
      <c r="D4178" s="33" t="str">
        <f>VLOOKUP(B4178,辅助信息!E:K,7,FALSE)</f>
        <v>JWDDCD2025051800046</v>
      </c>
      <c r="E4178" s="33" t="str">
        <f>VLOOKUP(F4178,辅助信息!A:B,2,FALSE)</f>
        <v>螺纹钢</v>
      </c>
      <c r="F4178" s="33" t="s">
        <v>45</v>
      </c>
      <c r="G4178" s="29">
        <v>3</v>
      </c>
      <c r="H4178" s="127"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33" t="str">
        <f>VLOOKUP(B4178,辅助信息!E:I,3,FALSE)</f>
        <v>（华西萌海科创农业生态谷）成都市简阳市白金山水库</v>
      </c>
      <c r="J4178" s="33" t="str">
        <f>VLOOKUP(B4178,辅助信息!E:I,4,FALSE)</f>
        <v>石清国</v>
      </c>
      <c r="K4178" s="33">
        <f>VLOOKUP(J4178,辅助信息!H:I,2,FALSE)</f>
        <v>13458642015</v>
      </c>
      <c r="L4178" s="102" t="str">
        <f>VLOOKUP(B4178,辅助信息!E:J,6,FALSE)</f>
        <v>优先威钢,我方卸车,新老国标钢厂不加价可直发</v>
      </c>
      <c r="M4178" s="141">
        <v>45942</v>
      </c>
      <c r="O4178" s="55">
        <f ca="1" t="shared" si="212"/>
        <v>0</v>
      </c>
      <c r="P4178" s="55">
        <f ca="1" t="shared" si="213"/>
        <v>15</v>
      </c>
      <c r="Q4178" s="22" t="str">
        <f>VLOOKUP(B4178,辅助信息!E:M,9,FALSE)</f>
        <v>ZTWM-CDGS-XS-2024-0092-华西-萌海科创农业生态谷</v>
      </c>
      <c r="R4178" s="22" t="str">
        <f>_xlfn._xlws.FILTER(辅助信息!D:D,辅助信息!E:E=B4178)</f>
        <v>华西萌海-科创农业生态谷</v>
      </c>
    </row>
    <row r="4179" hidden="1" spans="2:18">
      <c r="B4179" s="148" t="s">
        <v>92</v>
      </c>
      <c r="C4179" s="63">
        <v>45939</v>
      </c>
      <c r="D4179" s="33" t="str">
        <f>VLOOKUP(B4179,辅助信息!E:K,7,FALSE)</f>
        <v>JWDDCD2025051800046</v>
      </c>
      <c r="E4179" s="33" t="str">
        <f>VLOOKUP(F4179,辅助信息!A:B,2,FALSE)</f>
        <v>螺纹钢</v>
      </c>
      <c r="F4179" s="33" t="s">
        <v>58</v>
      </c>
      <c r="G4179" s="29">
        <v>3</v>
      </c>
      <c r="H4179" s="127"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33" t="str">
        <f>VLOOKUP(B4179,辅助信息!E:I,3,FALSE)</f>
        <v>（华西萌海科创农业生态谷）成都市简阳市白金山水库</v>
      </c>
      <c r="J4179" s="33" t="str">
        <f>VLOOKUP(B4179,辅助信息!E:I,4,FALSE)</f>
        <v>石清国</v>
      </c>
      <c r="K4179" s="33">
        <f>VLOOKUP(J4179,辅助信息!H:I,2,FALSE)</f>
        <v>13458642015</v>
      </c>
      <c r="L4179" s="102" t="str">
        <f>VLOOKUP(B4179,辅助信息!E:J,6,FALSE)</f>
        <v>优先威钢,我方卸车,新老国标钢厂不加价可直发</v>
      </c>
      <c r="M4179" s="141">
        <v>45942</v>
      </c>
      <c r="O4179" s="55">
        <f ca="1" t="shared" si="212"/>
        <v>0</v>
      </c>
      <c r="P4179" s="55">
        <f ca="1" t="shared" si="213"/>
        <v>15</v>
      </c>
      <c r="Q4179" s="22" t="str">
        <f>VLOOKUP(B4179,辅助信息!E:M,9,FALSE)</f>
        <v>ZTWM-CDGS-XS-2024-0092-华西-萌海科创农业生态谷</v>
      </c>
      <c r="R4179" s="22" t="str">
        <f>_xlfn._xlws.FILTER(辅助信息!D:D,辅助信息!E:E=B4179)</f>
        <v>华西萌海-科创农业生态谷</v>
      </c>
    </row>
    <row r="4180" hidden="1" spans="2:18">
      <c r="B4180" s="148" t="s">
        <v>92</v>
      </c>
      <c r="C4180" s="63">
        <v>45939</v>
      </c>
      <c r="D4180" s="33" t="str">
        <f>VLOOKUP(B4180,辅助信息!E:K,7,FALSE)</f>
        <v>JWDDCD2025051800046</v>
      </c>
      <c r="E4180" s="33" t="str">
        <f>VLOOKUP(F4180,辅助信息!A:B,2,FALSE)</f>
        <v>螺纹钢</v>
      </c>
      <c r="F4180" s="33" t="s">
        <v>22</v>
      </c>
      <c r="G4180" s="29">
        <v>6</v>
      </c>
      <c r="H4180" s="127"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33" t="str">
        <f>VLOOKUP(B4180,辅助信息!E:I,3,FALSE)</f>
        <v>（华西萌海科创农业生态谷）成都市简阳市白金山水库</v>
      </c>
      <c r="J4180" s="33" t="str">
        <f>VLOOKUP(B4180,辅助信息!E:I,4,FALSE)</f>
        <v>石清国</v>
      </c>
      <c r="K4180" s="33">
        <f>VLOOKUP(J4180,辅助信息!H:I,2,FALSE)</f>
        <v>13458642015</v>
      </c>
      <c r="L4180" s="102" t="str">
        <f>VLOOKUP(B4180,辅助信息!E:J,6,FALSE)</f>
        <v>优先威钢,我方卸车,新老国标钢厂不加价可直发</v>
      </c>
      <c r="M4180" s="141">
        <v>45942</v>
      </c>
      <c r="O4180" s="55">
        <f ca="1" t="shared" si="212"/>
        <v>0</v>
      </c>
      <c r="P4180" s="55">
        <f ca="1" t="shared" si="213"/>
        <v>15</v>
      </c>
      <c r="Q4180" s="22" t="str">
        <f>VLOOKUP(B4180,辅助信息!E:M,9,FALSE)</f>
        <v>ZTWM-CDGS-XS-2024-0092-华西-萌海科创农业生态谷</v>
      </c>
      <c r="R4180" s="22" t="str">
        <f>_xlfn._xlws.FILTER(辅助信息!D:D,辅助信息!E:E=B4180)</f>
        <v>华西萌海-科创农业生态谷</v>
      </c>
    </row>
    <row r="4181" hidden="1" spans="2:18">
      <c r="B4181" s="148" t="s">
        <v>47</v>
      </c>
      <c r="C4181" s="63">
        <v>45939</v>
      </c>
      <c r="D4181" s="33" t="str">
        <f>VLOOKUP(B4181,辅助信息!E:K,7,FALSE)</f>
        <v>JWDDCD2025052800131</v>
      </c>
      <c r="E4181" s="33" t="str">
        <f>VLOOKUP(F4181,辅助信息!A:B,2,FALSE)</f>
        <v>盘螺</v>
      </c>
      <c r="F4181" s="33" t="s">
        <v>49</v>
      </c>
      <c r="G4181" s="29">
        <v>6</v>
      </c>
      <c r="H4181" s="127">
        <f>IF(SUMIFS('[1]2025年已发货'!$E:$E,'[1]2025年已发货'!$F:$F,C4181,'[1]2025年已发货'!$C:$C,F4181,'[1]2025年已发货'!$G:$G,I4181,'[1]2025年已发货'!$H:$H,J4181)=0,"未发货",SUMIFS('[1]2025年已发货'!$E:$E,'[1]2025年已发货'!$F:$F,C4181,'[1]2025年已发货'!$C:$C,F4181,'[1]2025年已发货'!$G:$G,I4181,'[1]2025年已发货'!$H:$H,J4181))</f>
        <v>5</v>
      </c>
      <c r="I4181" s="33" t="str">
        <f>VLOOKUP(B4181,辅助信息!E:I,3,FALSE)</f>
        <v>（商投建工达州中医药科技园-1工区）达州市通川区达州中医药职业学院犀牛大道北段</v>
      </c>
      <c r="J4181" s="33" t="str">
        <f>VLOOKUP(B4181,辅助信息!E:I,4,FALSE)</f>
        <v>程黄刚</v>
      </c>
      <c r="K4181" s="33">
        <f>VLOOKUP(J4181,辅助信息!H:I,2,FALSE)</f>
        <v>15108211617</v>
      </c>
      <c r="L4181" s="102" t="str">
        <f>VLOOKUP(B4181,辅助信息!E:J,6,FALSE)</f>
        <v>控制炉批号！多了现场不收！,优先安排达钢,提前联系到场规格及数量</v>
      </c>
      <c r="M4181" s="84">
        <v>45941</v>
      </c>
      <c r="O4181" s="55">
        <f ca="1" t="shared" si="212"/>
        <v>0</v>
      </c>
      <c r="P4181" s="55">
        <f ca="1" t="shared" si="213"/>
        <v>16</v>
      </c>
      <c r="Q4181" s="22" t="str">
        <f>VLOOKUP(B4181,辅助信息!E:M,9,FALSE)</f>
        <v>ZTWM-CDGS-XS-2024-0134-商投建工达州中医药科技成果示范园项目</v>
      </c>
      <c r="R4181" s="22" t="str">
        <f>_xlfn._xlws.FILTER(辅助信息!D:D,辅助信息!E:E=B4181)</f>
        <v>商投建工达州中医药科技园</v>
      </c>
    </row>
    <row r="4182" hidden="1" spans="2:18">
      <c r="B4182" s="148" t="s">
        <v>47</v>
      </c>
      <c r="C4182" s="63">
        <v>45939</v>
      </c>
      <c r="D4182" s="33" t="str">
        <f>VLOOKUP(B4182,辅助信息!E:K,7,FALSE)</f>
        <v>JWDDCD2025052800131</v>
      </c>
      <c r="E4182" s="33" t="str">
        <f>VLOOKUP(F4182,辅助信息!A:B,2,FALSE)</f>
        <v>盘螺</v>
      </c>
      <c r="F4182" s="33" t="s">
        <v>40</v>
      </c>
      <c r="G4182" s="29">
        <v>12</v>
      </c>
      <c r="H4182" s="127">
        <f>IF(SUMIFS('[1]2025年已发货'!$E:$E,'[1]2025年已发货'!$F:$F,C4182,'[1]2025年已发货'!$C:$C,F4182,'[1]2025年已发货'!$G:$G,I4182,'[1]2025年已发货'!$H:$H,J4182)=0,"未发货",SUMIFS('[1]2025年已发货'!$E:$E,'[1]2025年已发货'!$F:$F,C4182,'[1]2025年已发货'!$C:$C,F4182,'[1]2025年已发货'!$G:$G,I4182,'[1]2025年已发货'!$H:$H,J4182))</f>
        <v>10</v>
      </c>
      <c r="I4182" s="33" t="str">
        <f>VLOOKUP(B4182,辅助信息!E:I,3,FALSE)</f>
        <v>（商投建工达州中医药科技园-1工区）达州市通川区达州中医药职业学院犀牛大道北段</v>
      </c>
      <c r="J4182" s="33" t="str">
        <f>VLOOKUP(B4182,辅助信息!E:I,4,FALSE)</f>
        <v>程黄刚</v>
      </c>
      <c r="K4182" s="33">
        <f>VLOOKUP(J4182,辅助信息!H:I,2,FALSE)</f>
        <v>15108211617</v>
      </c>
      <c r="L4182" s="102" t="str">
        <f>VLOOKUP(B4182,辅助信息!E:J,6,FALSE)</f>
        <v>控制炉批号！多了现场不收！,优先安排达钢,提前联系到场规格及数量</v>
      </c>
      <c r="M4182" s="84">
        <v>45941</v>
      </c>
      <c r="O4182" s="55">
        <f ca="1" t="shared" si="212"/>
        <v>0</v>
      </c>
      <c r="P4182" s="55">
        <f ca="1" t="shared" si="213"/>
        <v>16</v>
      </c>
      <c r="Q4182" s="22" t="str">
        <f>VLOOKUP(B4182,辅助信息!E:M,9,FALSE)</f>
        <v>ZTWM-CDGS-XS-2024-0134-商投建工达州中医药科技成果示范园项目</v>
      </c>
      <c r="R4182" s="22" t="str">
        <f>_xlfn._xlws.FILTER(辅助信息!D:D,辅助信息!E:E=B4182)</f>
        <v>商投建工达州中医药科技园</v>
      </c>
    </row>
    <row r="4183" hidden="1" spans="2:18">
      <c r="B4183" s="148" t="s">
        <v>47</v>
      </c>
      <c r="C4183" s="63">
        <v>45939</v>
      </c>
      <c r="D4183" s="33" t="str">
        <f>VLOOKUP(B4183,辅助信息!E:K,7,FALSE)</f>
        <v>JWDDCD2025052800131</v>
      </c>
      <c r="E4183" s="33" t="str">
        <f>VLOOKUP(F4183,辅助信息!A:B,2,FALSE)</f>
        <v>螺纹钢</v>
      </c>
      <c r="F4183" s="33" t="s">
        <v>27</v>
      </c>
      <c r="G4183" s="29">
        <v>15</v>
      </c>
      <c r="H4183" s="127">
        <f>IF(SUMIFS('[1]2025年已发货'!$E:$E,'[1]2025年已发货'!$F:$F,C4183,'[1]2025年已发货'!$C:$C,F4183,'[1]2025年已发货'!$G:$G,I4183,'[1]2025年已发货'!$H:$H,J4183)=0,"未发货",SUMIFS('[1]2025年已发货'!$E:$E,'[1]2025年已发货'!$F:$F,C4183,'[1]2025年已发货'!$C:$C,F4183,'[1]2025年已发货'!$G:$G,I4183,'[1]2025年已发货'!$H:$H,J4183))</f>
        <v>10</v>
      </c>
      <c r="I4183" s="33" t="str">
        <f>VLOOKUP(B4183,辅助信息!E:I,3,FALSE)</f>
        <v>（商投建工达州中医药科技园-1工区）达州市通川区达州中医药职业学院犀牛大道北段</v>
      </c>
      <c r="J4183" s="33" t="str">
        <f>VLOOKUP(B4183,辅助信息!E:I,4,FALSE)</f>
        <v>程黄刚</v>
      </c>
      <c r="K4183" s="33">
        <f>VLOOKUP(J4183,辅助信息!H:I,2,FALSE)</f>
        <v>15108211617</v>
      </c>
      <c r="L4183" s="102" t="str">
        <f>VLOOKUP(B4183,辅助信息!E:J,6,FALSE)</f>
        <v>控制炉批号！多了现场不收！,优先安排达钢,提前联系到场规格及数量</v>
      </c>
      <c r="M4183" s="84">
        <v>45941</v>
      </c>
      <c r="O4183" s="55">
        <f ca="1" t="shared" si="212"/>
        <v>0</v>
      </c>
      <c r="P4183" s="55">
        <f ca="1" t="shared" si="213"/>
        <v>16</v>
      </c>
      <c r="Q4183" s="22" t="str">
        <f>VLOOKUP(B4183,辅助信息!E:M,9,FALSE)</f>
        <v>ZTWM-CDGS-XS-2024-0134-商投建工达州中医药科技成果示范园项目</v>
      </c>
      <c r="R4183" s="22" t="str">
        <f>_xlfn._xlws.FILTER(辅助信息!D:D,辅助信息!E:E=B4183)</f>
        <v>商投建工达州中医药科技园</v>
      </c>
    </row>
    <row r="4184" hidden="1" spans="2:18">
      <c r="B4184" s="148" t="s">
        <v>47</v>
      </c>
      <c r="C4184" s="63">
        <v>45939</v>
      </c>
      <c r="D4184" s="33" t="str">
        <f>VLOOKUP(B4184,辅助信息!E:K,7,FALSE)</f>
        <v>JWDDCD2025052800131</v>
      </c>
      <c r="E4184" s="33" t="str">
        <f>VLOOKUP(F4184,辅助信息!A:B,2,FALSE)</f>
        <v>螺纹钢</v>
      </c>
      <c r="F4184" s="33" t="s">
        <v>32</v>
      </c>
      <c r="G4184" s="29">
        <v>6</v>
      </c>
      <c r="H4184" s="127">
        <f>IF(SUMIFS('[1]2025年已发货'!$E:$E,'[1]2025年已发货'!$F:$F,C4184,'[1]2025年已发货'!$C:$C,F4184,'[1]2025年已发货'!$G:$G,I4184,'[1]2025年已发货'!$H:$H,J4184)=0,"未发货",SUMIFS('[1]2025年已发货'!$E:$E,'[1]2025年已发货'!$F:$F,C4184,'[1]2025年已发货'!$C:$C,F4184,'[1]2025年已发货'!$G:$G,I4184,'[1]2025年已发货'!$H:$H,J4184))</f>
        <v>5</v>
      </c>
      <c r="I4184" s="33" t="str">
        <f>VLOOKUP(B4184,辅助信息!E:I,3,FALSE)</f>
        <v>（商投建工达州中医药科技园-1工区）达州市通川区达州中医药职业学院犀牛大道北段</v>
      </c>
      <c r="J4184" s="33" t="str">
        <f>VLOOKUP(B4184,辅助信息!E:I,4,FALSE)</f>
        <v>程黄刚</v>
      </c>
      <c r="K4184" s="33">
        <f>VLOOKUP(J4184,辅助信息!H:I,2,FALSE)</f>
        <v>15108211617</v>
      </c>
      <c r="L4184" s="102" t="str">
        <f>VLOOKUP(B4184,辅助信息!E:J,6,FALSE)</f>
        <v>控制炉批号！多了现场不收！,优先安排达钢,提前联系到场规格及数量</v>
      </c>
      <c r="M4184" s="84">
        <v>45941</v>
      </c>
      <c r="O4184" s="55">
        <f ca="1" t="shared" si="212"/>
        <v>0</v>
      </c>
      <c r="P4184" s="55">
        <f ca="1" t="shared" si="213"/>
        <v>16</v>
      </c>
      <c r="Q4184" s="22" t="str">
        <f>VLOOKUP(B4184,辅助信息!E:M,9,FALSE)</f>
        <v>ZTWM-CDGS-XS-2024-0134-商投建工达州中医药科技成果示范园项目</v>
      </c>
      <c r="R4184" s="22" t="str">
        <f>_xlfn._xlws.FILTER(辅助信息!D:D,辅助信息!E:E=B4184)</f>
        <v>商投建工达州中医药科技园</v>
      </c>
    </row>
    <row r="4185" hidden="1" spans="2:18">
      <c r="B4185" s="148" t="s">
        <v>47</v>
      </c>
      <c r="C4185" s="63">
        <v>45939</v>
      </c>
      <c r="D4185" s="33" t="str">
        <f>VLOOKUP(B4185,辅助信息!E:K,7,FALSE)</f>
        <v>JWDDCD2025052800131</v>
      </c>
      <c r="E4185" s="33" t="str">
        <f>VLOOKUP(F4185,辅助信息!A:B,2,FALSE)</f>
        <v>螺纹钢</v>
      </c>
      <c r="F4185" s="33" t="s">
        <v>33</v>
      </c>
      <c r="G4185" s="29">
        <v>9</v>
      </c>
      <c r="H4185" s="127">
        <f>IF(SUMIFS('[1]2025年已发货'!$E:$E,'[1]2025年已发货'!$F:$F,C4185,'[1]2025年已发货'!$C:$C,F4185,'[1]2025年已发货'!$G:$G,I4185,'[1]2025年已发货'!$H:$H,J4185)=0,"未发货",SUMIFS('[1]2025年已发货'!$E:$E,'[1]2025年已发货'!$F:$F,C4185,'[1]2025年已发货'!$C:$C,F4185,'[1]2025年已发货'!$G:$G,I4185,'[1]2025年已发货'!$H:$H,J4185))</f>
        <v>5</v>
      </c>
      <c r="I4185" s="33" t="str">
        <f>VLOOKUP(B4185,辅助信息!E:I,3,FALSE)</f>
        <v>（商投建工达州中医药科技园-1工区）达州市通川区达州中医药职业学院犀牛大道北段</v>
      </c>
      <c r="J4185" s="33" t="str">
        <f>VLOOKUP(B4185,辅助信息!E:I,4,FALSE)</f>
        <v>程黄刚</v>
      </c>
      <c r="K4185" s="33">
        <f>VLOOKUP(J4185,辅助信息!H:I,2,FALSE)</f>
        <v>15108211617</v>
      </c>
      <c r="L4185" s="102" t="str">
        <f>VLOOKUP(B4185,辅助信息!E:J,6,FALSE)</f>
        <v>控制炉批号！多了现场不收！,优先安排达钢,提前联系到场规格及数量</v>
      </c>
      <c r="M4185" s="84">
        <v>45941</v>
      </c>
      <c r="O4185" s="55">
        <f ca="1" t="shared" si="212"/>
        <v>0</v>
      </c>
      <c r="P4185" s="55">
        <f ca="1" t="shared" si="213"/>
        <v>16</v>
      </c>
      <c r="Q4185" s="22" t="str">
        <f>VLOOKUP(B4185,辅助信息!E:M,9,FALSE)</f>
        <v>ZTWM-CDGS-XS-2024-0134-商投建工达州中医药科技成果示范园项目</v>
      </c>
      <c r="R4185" s="22" t="str">
        <f>_xlfn._xlws.FILTER(辅助信息!D:D,辅助信息!E:E=B4185)</f>
        <v>商投建工达州中医药科技园</v>
      </c>
    </row>
    <row r="4186" hidden="1" spans="2:18">
      <c r="B4186" s="148" t="s">
        <v>228</v>
      </c>
      <c r="C4186" s="63">
        <v>45939</v>
      </c>
      <c r="D4186" s="33" t="str">
        <f>VLOOKUP(B4186,辅助信息!E:K,7,FALSE)</f>
        <v>JWDDCD2025092400190</v>
      </c>
      <c r="E4186" s="33" t="str">
        <f>VLOOKUP(F4186,辅助信息!A:B,2,FALSE)</f>
        <v>螺纹钢</v>
      </c>
      <c r="F4186" s="33" t="s">
        <v>27</v>
      </c>
      <c r="G4186" s="29">
        <v>70</v>
      </c>
      <c r="H4186" s="127"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33" t="str">
        <f>VLOOKUP(B4186,辅助信息!E:I,3,FALSE)</f>
        <v>(五冶钢构龙泉东洪片区70亩住宅、商业及配套工程项目二标段)成都市龙泉驿外东洪路地铁2号线惠王陵地铁C口</v>
      </c>
      <c r="J4186" s="33" t="str">
        <f>VLOOKUP(B4186,辅助信息!E:I,4,FALSE)</f>
        <v>蒋嗣伟</v>
      </c>
      <c r="K4186" s="33">
        <f>VLOOKUP(J4186,辅助信息!H:I,2,FALSE)</f>
        <v>15014331252</v>
      </c>
      <c r="L4186" s="102">
        <f>VLOOKUP(B4186,辅助信息!E:J,6,FALSE)</f>
        <v>0</v>
      </c>
      <c r="M4186" s="84">
        <v>45941</v>
      </c>
      <c r="O4186" s="55">
        <f ca="1" t="shared" si="212"/>
        <v>0</v>
      </c>
      <c r="P4186" s="55">
        <f ca="1" t="shared" si="213"/>
        <v>16</v>
      </c>
      <c r="Q4186" s="22" t="str">
        <f>VLOOKUP(B4186,辅助信息!E:M,9,FALSE)</f>
        <v>ZTWM-CDGS-XS-2025-0156-五冶钢构-2025年九月第一批次钢筋采购合同(三圣乡项目)-中铁物贸成都公司</v>
      </c>
      <c r="R4186" s="22" t="str">
        <f>_xlfn._xlws.FILTER(辅助信息!D:D,辅助信息!E:E=B4186)</f>
        <v>五冶钢构龙泉东洪片区70亩住宅、商业及配套工程项目二标段</v>
      </c>
    </row>
    <row r="4187" hidden="1" spans="2:18">
      <c r="B4187" s="128" t="s">
        <v>228</v>
      </c>
      <c r="C4187" s="63">
        <v>45939</v>
      </c>
      <c r="D4187" s="33" t="str">
        <f>VLOOKUP(B4187,辅助信息!E:K,7,FALSE)</f>
        <v>JWDDCD2025092400190</v>
      </c>
      <c r="E4187" s="33" t="str">
        <f>VLOOKUP(F4187,辅助信息!A:B,2,FALSE)</f>
        <v>螺纹钢</v>
      </c>
      <c r="F4187" s="33" t="s">
        <v>32</v>
      </c>
      <c r="G4187" s="29">
        <v>35</v>
      </c>
      <c r="H4187" s="127"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33" t="str">
        <f>VLOOKUP(B4187,辅助信息!E:I,3,FALSE)</f>
        <v>(五冶钢构龙泉东洪片区70亩住宅、商业及配套工程项目二标段)成都市龙泉驿外东洪路地铁2号线惠王陵地铁C口</v>
      </c>
      <c r="J4187" s="33" t="str">
        <f>VLOOKUP(B4187,辅助信息!E:I,4,FALSE)</f>
        <v>蒋嗣伟</v>
      </c>
      <c r="K4187" s="33">
        <f>VLOOKUP(J4187,辅助信息!H:I,2,FALSE)</f>
        <v>15014331252</v>
      </c>
      <c r="L4187" s="102">
        <f>VLOOKUP(B4187,辅助信息!E:J,6,FALSE)</f>
        <v>0</v>
      </c>
      <c r="M4187" s="84">
        <v>45941</v>
      </c>
      <c r="O4187" s="55">
        <f ca="1" t="shared" si="212"/>
        <v>0</v>
      </c>
      <c r="P4187" s="55">
        <f ca="1" t="shared" si="213"/>
        <v>16</v>
      </c>
      <c r="Q4187" s="22" t="str">
        <f>VLOOKUP(B4187,辅助信息!E:M,9,FALSE)</f>
        <v>ZTWM-CDGS-XS-2025-0156-五冶钢构-2025年九月第一批次钢筋采购合同(三圣乡项目)-中铁物贸成都公司</v>
      </c>
      <c r="R4187" s="22" t="str">
        <f>_xlfn._xlws.FILTER(辅助信息!D:D,辅助信息!E:E=B4187)</f>
        <v>五冶钢构龙泉东洪片区70亩住宅、商业及配套工程项目二标段</v>
      </c>
    </row>
    <row r="4188" hidden="1" spans="2:18">
      <c r="B4188" s="128" t="s">
        <v>228</v>
      </c>
      <c r="C4188" s="63">
        <v>45939</v>
      </c>
      <c r="D4188" s="33" t="str">
        <f>VLOOKUP(B4188,辅助信息!E:K,7,FALSE)</f>
        <v>JWDDCD2025092400190</v>
      </c>
      <c r="E4188" s="33" t="str">
        <f>VLOOKUP(F4188,辅助信息!A:B,2,FALSE)</f>
        <v>螺纹钢</v>
      </c>
      <c r="F4188" s="33" t="s">
        <v>30</v>
      </c>
      <c r="G4188" s="29">
        <v>20</v>
      </c>
      <c r="H4188" s="127"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33" t="str">
        <f>VLOOKUP(B4188,辅助信息!E:I,3,FALSE)</f>
        <v>(五冶钢构龙泉东洪片区70亩住宅、商业及配套工程项目二标段)成都市龙泉驿外东洪路地铁2号线惠王陵地铁C口</v>
      </c>
      <c r="J4188" s="33" t="str">
        <f>VLOOKUP(B4188,辅助信息!E:I,4,FALSE)</f>
        <v>蒋嗣伟</v>
      </c>
      <c r="K4188" s="33">
        <f>VLOOKUP(J4188,辅助信息!H:I,2,FALSE)</f>
        <v>15014331252</v>
      </c>
      <c r="L4188" s="102">
        <f>VLOOKUP(B4188,辅助信息!E:J,6,FALSE)</f>
        <v>0</v>
      </c>
      <c r="M4188" s="84">
        <v>45941</v>
      </c>
      <c r="O4188" s="55">
        <f ca="1" t="shared" si="212"/>
        <v>0</v>
      </c>
      <c r="P4188" s="55">
        <f ca="1" t="shared" si="213"/>
        <v>16</v>
      </c>
      <c r="Q4188" s="22" t="str">
        <f>VLOOKUP(B4188,辅助信息!E:M,9,FALSE)</f>
        <v>ZTWM-CDGS-XS-2025-0156-五冶钢构-2025年九月第一批次钢筋采购合同(三圣乡项目)-中铁物贸成都公司</v>
      </c>
      <c r="R4188" s="22" t="str">
        <f>_xlfn._xlws.FILTER(辅助信息!D:D,辅助信息!E:E=B4188)</f>
        <v>五冶钢构龙泉东洪片区70亩住宅、商业及配套工程项目二标段</v>
      </c>
    </row>
    <row r="4189" hidden="1" spans="2:18">
      <c r="B4189" s="128" t="s">
        <v>228</v>
      </c>
      <c r="C4189" s="63">
        <v>45939</v>
      </c>
      <c r="D4189" s="33" t="str">
        <f>VLOOKUP(B4189,辅助信息!E:K,7,FALSE)</f>
        <v>JWDDCD2025092400190</v>
      </c>
      <c r="E4189" s="33" t="str">
        <f>VLOOKUP(F4189,辅助信息!A:B,2,FALSE)</f>
        <v>螺纹钢</v>
      </c>
      <c r="F4189" s="33" t="s">
        <v>28</v>
      </c>
      <c r="G4189" s="29">
        <v>12</v>
      </c>
      <c r="H4189" s="127"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33" t="str">
        <f>VLOOKUP(B4189,辅助信息!E:I,3,FALSE)</f>
        <v>(五冶钢构龙泉东洪片区70亩住宅、商业及配套工程项目二标段)成都市龙泉驿外东洪路地铁2号线惠王陵地铁C口</v>
      </c>
      <c r="J4189" s="33" t="str">
        <f>VLOOKUP(B4189,辅助信息!E:I,4,FALSE)</f>
        <v>蒋嗣伟</v>
      </c>
      <c r="K4189" s="33">
        <f>VLOOKUP(J4189,辅助信息!H:I,2,FALSE)</f>
        <v>15014331252</v>
      </c>
      <c r="L4189" s="102">
        <f>VLOOKUP(B4189,辅助信息!E:J,6,FALSE)</f>
        <v>0</v>
      </c>
      <c r="M4189" s="84">
        <v>45941</v>
      </c>
      <c r="O4189" s="55">
        <f ca="1" t="shared" si="212"/>
        <v>0</v>
      </c>
      <c r="P4189" s="55">
        <f ca="1" t="shared" si="213"/>
        <v>16</v>
      </c>
      <c r="Q4189" s="22" t="str">
        <f>VLOOKUP(B4189,辅助信息!E:M,9,FALSE)</f>
        <v>ZTWM-CDGS-XS-2025-0156-五冶钢构-2025年九月第一批次钢筋采购合同(三圣乡项目)-中铁物贸成都公司</v>
      </c>
      <c r="R4189" s="22" t="str">
        <f>_xlfn._xlws.FILTER(辅助信息!D:D,辅助信息!E:E=B4189)</f>
        <v>五冶钢构龙泉东洪片区70亩住宅、商业及配套工程项目二标段</v>
      </c>
    </row>
    <row r="4190" hidden="1" spans="2:18">
      <c r="B4190" s="128" t="s">
        <v>228</v>
      </c>
      <c r="C4190" s="63">
        <v>45939</v>
      </c>
      <c r="D4190" s="33" t="str">
        <f>VLOOKUP(B4190,辅助信息!E:K,7,FALSE)</f>
        <v>JWDDCD2025092400190</v>
      </c>
      <c r="E4190" s="33" t="str">
        <f>VLOOKUP(F4190,辅助信息!A:B,2,FALSE)</f>
        <v>螺纹钢</v>
      </c>
      <c r="F4190" s="33" t="s">
        <v>46</v>
      </c>
      <c r="G4190" s="29">
        <v>3</v>
      </c>
      <c r="H4190" s="127"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33" t="str">
        <f>VLOOKUP(B4190,辅助信息!E:I,3,FALSE)</f>
        <v>(五冶钢构龙泉东洪片区70亩住宅、商业及配套工程项目二标段)成都市龙泉驿外东洪路地铁2号线惠王陵地铁C口</v>
      </c>
      <c r="J4190" s="33" t="str">
        <f>VLOOKUP(B4190,辅助信息!E:I,4,FALSE)</f>
        <v>蒋嗣伟</v>
      </c>
      <c r="K4190" s="33">
        <f>VLOOKUP(J4190,辅助信息!H:I,2,FALSE)</f>
        <v>15014331252</v>
      </c>
      <c r="L4190" s="102">
        <f>VLOOKUP(B4190,辅助信息!E:J,6,FALSE)</f>
        <v>0</v>
      </c>
      <c r="M4190" s="84">
        <v>45941</v>
      </c>
      <c r="O4190" s="55">
        <f ca="1" t="shared" si="212"/>
        <v>0</v>
      </c>
      <c r="P4190" s="55">
        <f ca="1" t="shared" si="213"/>
        <v>16</v>
      </c>
      <c r="Q4190" s="22" t="str">
        <f>VLOOKUP(B4190,辅助信息!E:M,9,FALSE)</f>
        <v>ZTWM-CDGS-XS-2025-0156-五冶钢构-2025年九月第一批次钢筋采购合同(三圣乡项目)-中铁物贸成都公司</v>
      </c>
      <c r="R4190" s="22" t="str">
        <f>_xlfn._xlws.FILTER(辅助信息!D:D,辅助信息!E:E=B4190)</f>
        <v>五冶钢构龙泉东洪片区70亩住宅、商业及配套工程项目二标段</v>
      </c>
    </row>
    <row r="4191" hidden="1" spans="2:18">
      <c r="B4191" s="128" t="s">
        <v>224</v>
      </c>
      <c r="C4191" s="63">
        <v>45939</v>
      </c>
      <c r="D4191" s="33" t="str">
        <f>VLOOKUP(B4191,辅助信息!E:K,7,FALSE)</f>
        <v>JWDDCD2025092400188</v>
      </c>
      <c r="E4191" s="33" t="str">
        <f>VLOOKUP(F4191,辅助信息!A:B,2,FALSE)</f>
        <v>盘螺</v>
      </c>
      <c r="F4191" s="33" t="s">
        <v>40</v>
      </c>
      <c r="G4191" s="29">
        <v>40</v>
      </c>
      <c r="H4191" s="127"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33" t="str">
        <f>VLOOKUP(B4191,辅助信息!E:I,3,FALSE)</f>
        <v>(五冶钢构龙泉东洪片区70亩住宅、商业及配套工程项目一标段)成都市龙泉驿外东洪路地铁2号线惠王陵地铁C口</v>
      </c>
      <c r="J4191" s="33" t="str">
        <f>VLOOKUP(B4191,辅助信息!E:I,4,FALSE)</f>
        <v>邹爱国</v>
      </c>
      <c r="K4191" s="33">
        <f>VLOOKUP(J4191,辅助信息!H:I,2,FALSE)</f>
        <v>13540231225</v>
      </c>
      <c r="L4191" s="102">
        <f>VLOOKUP(B4191,辅助信息!E:J,6,FALSE)</f>
        <v>0</v>
      </c>
      <c r="M4191" s="84">
        <v>45941</v>
      </c>
      <c r="O4191" s="55">
        <f ca="1" t="shared" si="212"/>
        <v>0</v>
      </c>
      <c r="P4191" s="55">
        <f ca="1" t="shared" si="213"/>
        <v>16</v>
      </c>
      <c r="Q4191" s="22" t="str">
        <f>VLOOKUP(B4191,辅助信息!E:M,9,FALSE)</f>
        <v>ZTWM-CDGS-XS-2025-0156-五冶钢构-2025年九月第一批次钢筋采购合同(三圣乡项目)-中铁物贸成都公司</v>
      </c>
      <c r="R4191" s="22" t="str">
        <f>_xlfn._xlws.FILTER(辅助信息!D:D,辅助信息!E:E=B4191)</f>
        <v>五冶钢构龙泉东洪片区70亩住宅、商业及配套工程项目一标段</v>
      </c>
    </row>
    <row r="4192" hidden="1" spans="2:18">
      <c r="B4192" s="128" t="s">
        <v>224</v>
      </c>
      <c r="C4192" s="63">
        <v>45939</v>
      </c>
      <c r="D4192" s="33" t="str">
        <f>VLOOKUP(B4192,辅助信息!E:K,7,FALSE)</f>
        <v>JWDDCD2025092400188</v>
      </c>
      <c r="E4192" s="33" t="str">
        <f>VLOOKUP(F4192,辅助信息!A:B,2,FALSE)</f>
        <v>盘螺</v>
      </c>
      <c r="F4192" s="33" t="s">
        <v>41</v>
      </c>
      <c r="G4192" s="29">
        <v>30</v>
      </c>
      <c r="H4192" s="127"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33" t="str">
        <f>VLOOKUP(B4192,辅助信息!E:I,3,FALSE)</f>
        <v>(五冶钢构龙泉东洪片区70亩住宅、商业及配套工程项目一标段)成都市龙泉驿外东洪路地铁2号线惠王陵地铁C口</v>
      </c>
      <c r="J4192" s="33" t="str">
        <f>VLOOKUP(B4192,辅助信息!E:I,4,FALSE)</f>
        <v>邹爱国</v>
      </c>
      <c r="K4192" s="33">
        <f>VLOOKUP(J4192,辅助信息!H:I,2,FALSE)</f>
        <v>13540231225</v>
      </c>
      <c r="L4192" s="102">
        <f>VLOOKUP(B4192,辅助信息!E:J,6,FALSE)</f>
        <v>0</v>
      </c>
      <c r="M4192" s="84">
        <v>45941</v>
      </c>
      <c r="O4192" s="55">
        <f ca="1" t="shared" ref="O4192:O4255" si="214">IF(OR(M4192="",N4192&lt;&gt;""),"",MAX(M4192-TODAY(),0))</f>
        <v>0</v>
      </c>
      <c r="P4192" s="55">
        <f ca="1" t="shared" ref="P4192:P4255" si="215">IF(M4192="","",IF(N4192&lt;&gt;"",MAX(N4192-M4192,0),IF(TODAY()&gt;M4192,TODAY()-M4192,0)))</f>
        <v>16</v>
      </c>
      <c r="Q4192" s="22" t="str">
        <f>VLOOKUP(B4192,辅助信息!E:M,9,FALSE)</f>
        <v>ZTWM-CDGS-XS-2025-0156-五冶钢构-2025年九月第一批次钢筋采购合同(三圣乡项目)-中铁物贸成都公司</v>
      </c>
      <c r="R4192" s="22" t="str">
        <f>_xlfn._xlws.FILTER(辅助信息!D:D,辅助信息!E:E=B4192)</f>
        <v>五冶钢构龙泉东洪片区70亩住宅、商业及配套工程项目一标段</v>
      </c>
    </row>
    <row r="4193" hidden="1" spans="2:18">
      <c r="B4193" s="128" t="s">
        <v>224</v>
      </c>
      <c r="C4193" s="63">
        <v>45939</v>
      </c>
      <c r="D4193" s="33" t="str">
        <f>VLOOKUP(B4193,辅助信息!E:K,7,FALSE)</f>
        <v>JWDDCD2025092400188</v>
      </c>
      <c r="E4193" s="33" t="str">
        <f>VLOOKUP(F4193,辅助信息!A:B,2,FALSE)</f>
        <v>螺纹钢</v>
      </c>
      <c r="F4193" s="33" t="s">
        <v>27</v>
      </c>
      <c r="G4193" s="29">
        <f>30+45</f>
        <v>75</v>
      </c>
      <c r="H4193" s="127"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33" t="str">
        <f>VLOOKUP(B4193,辅助信息!E:I,3,FALSE)</f>
        <v>(五冶钢构龙泉东洪片区70亩住宅、商业及配套工程项目一标段)成都市龙泉驿外东洪路地铁2号线惠王陵地铁C口</v>
      </c>
      <c r="J4193" s="33" t="str">
        <f>VLOOKUP(B4193,辅助信息!E:I,4,FALSE)</f>
        <v>邹爱国</v>
      </c>
      <c r="K4193" s="33">
        <f>VLOOKUP(J4193,辅助信息!H:I,2,FALSE)</f>
        <v>13540231225</v>
      </c>
      <c r="L4193" s="102">
        <f>VLOOKUP(B4193,辅助信息!E:J,6,FALSE)</f>
        <v>0</v>
      </c>
      <c r="M4193" s="84">
        <v>45941</v>
      </c>
      <c r="O4193" s="55">
        <f ca="1" t="shared" si="214"/>
        <v>0</v>
      </c>
      <c r="P4193" s="55">
        <f ca="1" t="shared" si="215"/>
        <v>16</v>
      </c>
      <c r="Q4193" s="22" t="str">
        <f>VLOOKUP(B4193,辅助信息!E:M,9,FALSE)</f>
        <v>ZTWM-CDGS-XS-2025-0156-五冶钢构-2025年九月第一批次钢筋采购合同(三圣乡项目)-中铁物贸成都公司</v>
      </c>
      <c r="R4193" s="22" t="str">
        <f>_xlfn._xlws.FILTER(辅助信息!D:D,辅助信息!E:E=B4193)</f>
        <v>五冶钢构龙泉东洪片区70亩住宅、商业及配套工程项目一标段</v>
      </c>
    </row>
    <row r="4194" hidden="1" spans="2:18">
      <c r="B4194" s="128" t="s">
        <v>224</v>
      </c>
      <c r="C4194" s="63">
        <v>45939</v>
      </c>
      <c r="D4194" s="33" t="str">
        <f>VLOOKUP(B4194,辅助信息!E:K,7,FALSE)</f>
        <v>JWDDCD2025092400188</v>
      </c>
      <c r="E4194" s="33" t="str">
        <f>VLOOKUP(F4194,辅助信息!A:B,2,FALSE)</f>
        <v>螺纹钢</v>
      </c>
      <c r="F4194" s="33" t="s">
        <v>19</v>
      </c>
      <c r="G4194" s="29">
        <v>13</v>
      </c>
      <c r="H4194" s="127"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33" t="str">
        <f>VLOOKUP(B4194,辅助信息!E:I,3,FALSE)</f>
        <v>(五冶钢构龙泉东洪片区70亩住宅、商业及配套工程项目一标段)成都市龙泉驿外东洪路地铁2号线惠王陵地铁C口</v>
      </c>
      <c r="J4194" s="33" t="str">
        <f>VLOOKUP(B4194,辅助信息!E:I,4,FALSE)</f>
        <v>邹爱国</v>
      </c>
      <c r="K4194" s="33">
        <f>VLOOKUP(J4194,辅助信息!H:I,2,FALSE)</f>
        <v>13540231225</v>
      </c>
      <c r="L4194" s="102">
        <f>VLOOKUP(B4194,辅助信息!E:J,6,FALSE)</f>
        <v>0</v>
      </c>
      <c r="M4194" s="84">
        <v>45941</v>
      </c>
      <c r="O4194" s="55">
        <f ca="1" t="shared" si="214"/>
        <v>0</v>
      </c>
      <c r="P4194" s="55">
        <f ca="1" t="shared" si="215"/>
        <v>16</v>
      </c>
      <c r="Q4194" s="22" t="str">
        <f>VLOOKUP(B4194,辅助信息!E:M,9,FALSE)</f>
        <v>ZTWM-CDGS-XS-2025-0156-五冶钢构-2025年九月第一批次钢筋采购合同(三圣乡项目)-中铁物贸成都公司</v>
      </c>
      <c r="R4194" s="22" t="str">
        <f>_xlfn._xlws.FILTER(辅助信息!D:D,辅助信息!E:E=B4194)</f>
        <v>五冶钢构龙泉东洪片区70亩住宅、商业及配套工程项目一标段</v>
      </c>
    </row>
    <row r="4195" hidden="1" spans="2:18">
      <c r="B4195" s="128" t="s">
        <v>224</v>
      </c>
      <c r="C4195" s="63">
        <v>45939</v>
      </c>
      <c r="D4195" s="33" t="str">
        <f>VLOOKUP(B4195,辅助信息!E:K,7,FALSE)</f>
        <v>JWDDCD2025092400188</v>
      </c>
      <c r="E4195" s="33" t="str">
        <f>VLOOKUP(F4195,辅助信息!A:B,2,FALSE)</f>
        <v>螺纹钢</v>
      </c>
      <c r="F4195" s="33" t="s">
        <v>32</v>
      </c>
      <c r="G4195" s="29">
        <v>16</v>
      </c>
      <c r="H4195" s="127"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33" t="str">
        <f>VLOOKUP(B4195,辅助信息!E:I,3,FALSE)</f>
        <v>(五冶钢构龙泉东洪片区70亩住宅、商业及配套工程项目一标段)成都市龙泉驿外东洪路地铁2号线惠王陵地铁C口</v>
      </c>
      <c r="J4195" s="33" t="str">
        <f>VLOOKUP(B4195,辅助信息!E:I,4,FALSE)</f>
        <v>邹爱国</v>
      </c>
      <c r="K4195" s="33">
        <f>VLOOKUP(J4195,辅助信息!H:I,2,FALSE)</f>
        <v>13540231225</v>
      </c>
      <c r="L4195" s="102">
        <f>VLOOKUP(B4195,辅助信息!E:J,6,FALSE)</f>
        <v>0</v>
      </c>
      <c r="M4195" s="84">
        <v>45941</v>
      </c>
      <c r="O4195" s="55">
        <f ca="1" t="shared" si="214"/>
        <v>0</v>
      </c>
      <c r="P4195" s="55">
        <f ca="1" t="shared" si="215"/>
        <v>16</v>
      </c>
      <c r="Q4195" s="22" t="str">
        <f>VLOOKUP(B4195,辅助信息!E:M,9,FALSE)</f>
        <v>ZTWM-CDGS-XS-2025-0156-五冶钢构-2025年九月第一批次钢筋采购合同(三圣乡项目)-中铁物贸成都公司</v>
      </c>
      <c r="R4195" s="22" t="str">
        <f>_xlfn._xlws.FILTER(辅助信息!D:D,辅助信息!E:E=B4195)</f>
        <v>五冶钢构龙泉东洪片区70亩住宅、商业及配套工程项目一标段</v>
      </c>
    </row>
    <row r="4196" hidden="1" spans="2:18">
      <c r="B4196" s="128" t="s">
        <v>224</v>
      </c>
      <c r="C4196" s="63">
        <v>45939</v>
      </c>
      <c r="D4196" s="33" t="str">
        <f>VLOOKUP(B4196,辅助信息!E:K,7,FALSE)</f>
        <v>JWDDCD2025092400188</v>
      </c>
      <c r="E4196" s="33" t="str">
        <f>VLOOKUP(F4196,辅助信息!A:B,2,FALSE)</f>
        <v>螺纹钢</v>
      </c>
      <c r="F4196" s="33" t="s">
        <v>30</v>
      </c>
      <c r="G4196" s="29">
        <v>20</v>
      </c>
      <c r="H4196" s="127"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33" t="str">
        <f>VLOOKUP(B4196,辅助信息!E:I,3,FALSE)</f>
        <v>(五冶钢构龙泉东洪片区70亩住宅、商业及配套工程项目一标段)成都市龙泉驿外东洪路地铁2号线惠王陵地铁C口</v>
      </c>
      <c r="J4196" s="33" t="str">
        <f>VLOOKUP(B4196,辅助信息!E:I,4,FALSE)</f>
        <v>邹爱国</v>
      </c>
      <c r="K4196" s="33">
        <f>VLOOKUP(J4196,辅助信息!H:I,2,FALSE)</f>
        <v>13540231225</v>
      </c>
      <c r="L4196" s="102">
        <f>VLOOKUP(B4196,辅助信息!E:J,6,FALSE)</f>
        <v>0</v>
      </c>
      <c r="M4196" s="84">
        <v>45941</v>
      </c>
      <c r="O4196" s="55">
        <f ca="1" t="shared" si="214"/>
        <v>0</v>
      </c>
      <c r="P4196" s="55">
        <f ca="1" t="shared" si="215"/>
        <v>16</v>
      </c>
      <c r="Q4196" s="22" t="str">
        <f>VLOOKUP(B4196,辅助信息!E:M,9,FALSE)</f>
        <v>ZTWM-CDGS-XS-2025-0156-五冶钢构-2025年九月第一批次钢筋采购合同(三圣乡项目)-中铁物贸成都公司</v>
      </c>
      <c r="R4196" s="22" t="str">
        <f>_xlfn._xlws.FILTER(辅助信息!D:D,辅助信息!E:E=B4196)</f>
        <v>五冶钢构龙泉东洪片区70亩住宅、商业及配套工程项目一标段</v>
      </c>
    </row>
    <row r="4197" hidden="1" spans="2:18">
      <c r="B4197" s="128" t="s">
        <v>224</v>
      </c>
      <c r="C4197" s="63">
        <v>45939</v>
      </c>
      <c r="D4197" s="33" t="str">
        <f>VLOOKUP(B4197,辅助信息!E:K,7,FALSE)</f>
        <v>JWDDCD2025092400188</v>
      </c>
      <c r="E4197" s="33" t="str">
        <f>VLOOKUP(F4197,辅助信息!A:B,2,FALSE)</f>
        <v>螺纹钢</v>
      </c>
      <c r="F4197" s="33" t="s">
        <v>33</v>
      </c>
      <c r="G4197" s="29">
        <v>28</v>
      </c>
      <c r="H4197" s="127"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33" t="str">
        <f>VLOOKUP(B4197,辅助信息!E:I,3,FALSE)</f>
        <v>(五冶钢构龙泉东洪片区70亩住宅、商业及配套工程项目一标段)成都市龙泉驿外东洪路地铁2号线惠王陵地铁C口</v>
      </c>
      <c r="J4197" s="33" t="str">
        <f>VLOOKUP(B4197,辅助信息!E:I,4,FALSE)</f>
        <v>邹爱国</v>
      </c>
      <c r="K4197" s="33">
        <f>VLOOKUP(J4197,辅助信息!H:I,2,FALSE)</f>
        <v>13540231225</v>
      </c>
      <c r="L4197" s="102">
        <f>VLOOKUP(B4197,辅助信息!E:J,6,FALSE)</f>
        <v>0</v>
      </c>
      <c r="M4197" s="84">
        <v>45941</v>
      </c>
      <c r="O4197" s="55">
        <f ca="1" t="shared" si="214"/>
        <v>0</v>
      </c>
      <c r="P4197" s="55">
        <f ca="1" t="shared" si="215"/>
        <v>16</v>
      </c>
      <c r="Q4197" s="22" t="str">
        <f>VLOOKUP(B4197,辅助信息!E:M,9,FALSE)</f>
        <v>ZTWM-CDGS-XS-2025-0156-五冶钢构-2025年九月第一批次钢筋采购合同(三圣乡项目)-中铁物贸成都公司</v>
      </c>
      <c r="R4197" s="22" t="str">
        <f>_xlfn._xlws.FILTER(辅助信息!D:D,辅助信息!E:E=B4197)</f>
        <v>五冶钢构龙泉东洪片区70亩住宅、商业及配套工程项目一标段</v>
      </c>
    </row>
    <row r="4198" hidden="1" spans="2:18">
      <c r="B4198" s="128" t="s">
        <v>224</v>
      </c>
      <c r="C4198" s="63">
        <v>45939</v>
      </c>
      <c r="D4198" s="33" t="str">
        <f>VLOOKUP(B4198,辅助信息!E:K,7,FALSE)</f>
        <v>JWDDCD2025092400188</v>
      </c>
      <c r="E4198" s="33" t="str">
        <f>VLOOKUP(F4198,辅助信息!A:B,2,FALSE)</f>
        <v>螺纹钢</v>
      </c>
      <c r="F4198" s="33" t="s">
        <v>28</v>
      </c>
      <c r="G4198" s="29">
        <v>36</v>
      </c>
      <c r="H4198" s="127"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33" t="str">
        <f>VLOOKUP(B4198,辅助信息!E:I,3,FALSE)</f>
        <v>(五冶钢构龙泉东洪片区70亩住宅、商业及配套工程项目一标段)成都市龙泉驿外东洪路地铁2号线惠王陵地铁C口</v>
      </c>
      <c r="J4198" s="33" t="str">
        <f>VLOOKUP(B4198,辅助信息!E:I,4,FALSE)</f>
        <v>邹爱国</v>
      </c>
      <c r="K4198" s="33">
        <f>VLOOKUP(J4198,辅助信息!H:I,2,FALSE)</f>
        <v>13540231225</v>
      </c>
      <c r="L4198" s="102">
        <f>VLOOKUP(B4198,辅助信息!E:J,6,FALSE)</f>
        <v>0</v>
      </c>
      <c r="M4198" s="84">
        <v>45941</v>
      </c>
      <c r="O4198" s="55">
        <f ca="1" t="shared" si="214"/>
        <v>0</v>
      </c>
      <c r="P4198" s="55">
        <f ca="1" t="shared" si="215"/>
        <v>16</v>
      </c>
      <c r="Q4198" s="22" t="str">
        <f>VLOOKUP(B4198,辅助信息!E:M,9,FALSE)</f>
        <v>ZTWM-CDGS-XS-2025-0156-五冶钢构-2025年九月第一批次钢筋采购合同(三圣乡项目)-中铁物贸成都公司</v>
      </c>
      <c r="R4198" s="22" t="str">
        <f>_xlfn._xlws.FILTER(辅助信息!D:D,辅助信息!E:E=B4198)</f>
        <v>五冶钢构龙泉东洪片区70亩住宅、商业及配套工程项目一标段</v>
      </c>
    </row>
    <row r="4199" hidden="1" spans="2:18">
      <c r="B4199" s="128" t="s">
        <v>224</v>
      </c>
      <c r="C4199" s="63">
        <v>45939</v>
      </c>
      <c r="D4199" s="33" t="str">
        <f>VLOOKUP(B4199,辅助信息!E:K,7,FALSE)</f>
        <v>JWDDCD2025092400188</v>
      </c>
      <c r="E4199" s="33" t="str">
        <f>VLOOKUP(F4199,辅助信息!A:B,2,FALSE)</f>
        <v>螺纹钢</v>
      </c>
      <c r="F4199" s="33" t="s">
        <v>18</v>
      </c>
      <c r="G4199" s="29">
        <v>8</v>
      </c>
      <c r="H4199" s="127"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33" t="str">
        <f>VLOOKUP(B4199,辅助信息!E:I,3,FALSE)</f>
        <v>(五冶钢构龙泉东洪片区70亩住宅、商业及配套工程项目一标段)成都市龙泉驿外东洪路地铁2号线惠王陵地铁C口</v>
      </c>
      <c r="J4199" s="33" t="str">
        <f>VLOOKUP(B4199,辅助信息!E:I,4,FALSE)</f>
        <v>邹爱国</v>
      </c>
      <c r="K4199" s="33">
        <f>VLOOKUP(J4199,辅助信息!H:I,2,FALSE)</f>
        <v>13540231225</v>
      </c>
      <c r="L4199" s="102">
        <f>VLOOKUP(B4199,辅助信息!E:J,6,FALSE)</f>
        <v>0</v>
      </c>
      <c r="M4199" s="84">
        <v>45941</v>
      </c>
      <c r="O4199" s="55">
        <f ca="1" t="shared" si="214"/>
        <v>0</v>
      </c>
      <c r="P4199" s="55">
        <f ca="1" t="shared" si="215"/>
        <v>16</v>
      </c>
      <c r="Q4199" s="22" t="str">
        <f>VLOOKUP(B4199,辅助信息!E:M,9,FALSE)</f>
        <v>ZTWM-CDGS-XS-2025-0156-五冶钢构-2025年九月第一批次钢筋采购合同(三圣乡项目)-中铁物贸成都公司</v>
      </c>
      <c r="R4199" s="22" t="str">
        <f>_xlfn._xlws.FILTER(辅助信息!D:D,辅助信息!E:E=B4199)</f>
        <v>五冶钢构龙泉东洪片区70亩住宅、商业及配套工程项目一标段</v>
      </c>
    </row>
    <row r="4200" hidden="1" spans="2:18">
      <c r="B4200" s="128" t="s">
        <v>226</v>
      </c>
      <c r="C4200" s="63">
        <v>45939</v>
      </c>
      <c r="D4200" s="33" t="str">
        <f>VLOOKUP(B4200,辅助信息!E:K,7,FALSE)</f>
        <v>JWDDCD2025092400211</v>
      </c>
      <c r="E4200" s="33" t="str">
        <f>VLOOKUP(F4200,辅助信息!A:B,2,FALSE)</f>
        <v>盘螺</v>
      </c>
      <c r="F4200" s="33" t="s">
        <v>40</v>
      </c>
      <c r="G4200" s="29">
        <v>35</v>
      </c>
      <c r="H4200" s="127"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33" t="str">
        <f>VLOOKUP(B4200,辅助信息!E:I,3,FALSE)</f>
        <v>(五冶钢构龙泉东洪片区85亩住宅、商业及配套工程项目二标段)成都市龙泉驿外东洪路地铁2号线惠王陵地铁C口</v>
      </c>
      <c r="J4200" s="33" t="str">
        <f>VLOOKUP(B4200,辅助信息!E:I,4,FALSE)</f>
        <v>李渊</v>
      </c>
      <c r="K4200" s="33">
        <f>VLOOKUP(J4200,辅助信息!H:I,2,FALSE)</f>
        <v>18381013849</v>
      </c>
      <c r="L4200" s="102">
        <f>VLOOKUP(B4200,辅助信息!E:J,6,FALSE)</f>
        <v>0</v>
      </c>
      <c r="M4200" s="84">
        <v>45941</v>
      </c>
      <c r="O4200" s="55">
        <f ca="1" t="shared" si="214"/>
        <v>0</v>
      </c>
      <c r="P4200" s="55">
        <f ca="1" t="shared" si="215"/>
        <v>16</v>
      </c>
      <c r="Q4200" s="22" t="str">
        <f>VLOOKUP(B4200,辅助信息!E:M,9,FALSE)</f>
        <v>ZTWM-CDGS-XS-2025-0156-五冶钢构-2025年九月第一批次钢筋采购合同(三圣乡项目)-中铁物贸成都公司</v>
      </c>
      <c r="R4200" s="22" t="str">
        <f>_xlfn._xlws.FILTER(辅助信息!D:D,辅助信息!E:E=B4200)</f>
        <v>五冶钢构龙泉东洪片区85亩住宅、商业及配套工程项目二标段</v>
      </c>
    </row>
    <row r="4201" hidden="1" spans="2:18">
      <c r="B4201" s="128" t="s">
        <v>226</v>
      </c>
      <c r="C4201" s="63">
        <v>45939</v>
      </c>
      <c r="D4201" s="33" t="str">
        <f>VLOOKUP(B4201,辅助信息!E:K,7,FALSE)</f>
        <v>JWDDCD2025092400211</v>
      </c>
      <c r="E4201" s="33" t="str">
        <f>VLOOKUP(F4201,辅助信息!A:B,2,FALSE)</f>
        <v>盘螺</v>
      </c>
      <c r="F4201" s="33" t="s">
        <v>41</v>
      </c>
      <c r="G4201" s="29">
        <v>35</v>
      </c>
      <c r="H4201" s="127"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33" t="str">
        <f>VLOOKUP(B4201,辅助信息!E:I,3,FALSE)</f>
        <v>(五冶钢构龙泉东洪片区85亩住宅、商业及配套工程项目二标段)成都市龙泉驿外东洪路地铁2号线惠王陵地铁C口</v>
      </c>
      <c r="J4201" s="33" t="str">
        <f>VLOOKUP(B4201,辅助信息!E:I,4,FALSE)</f>
        <v>李渊</v>
      </c>
      <c r="K4201" s="33">
        <f>VLOOKUP(J4201,辅助信息!H:I,2,FALSE)</f>
        <v>18381013849</v>
      </c>
      <c r="L4201" s="102">
        <f>VLOOKUP(B4201,辅助信息!E:J,6,FALSE)</f>
        <v>0</v>
      </c>
      <c r="M4201" s="84">
        <v>45941</v>
      </c>
      <c r="O4201" s="55">
        <f ca="1" t="shared" si="214"/>
        <v>0</v>
      </c>
      <c r="P4201" s="55">
        <f ca="1" t="shared" si="215"/>
        <v>16</v>
      </c>
      <c r="Q4201" s="22" t="str">
        <f>VLOOKUP(B4201,辅助信息!E:M,9,FALSE)</f>
        <v>ZTWM-CDGS-XS-2025-0156-五冶钢构-2025年九月第一批次钢筋采购合同(三圣乡项目)-中铁物贸成都公司</v>
      </c>
      <c r="R4201" s="22" t="str">
        <f>_xlfn._xlws.FILTER(辅助信息!D:D,辅助信息!E:E=B4201)</f>
        <v>五冶钢构龙泉东洪片区85亩住宅、商业及配套工程项目二标段</v>
      </c>
    </row>
    <row r="4202" hidden="1" spans="2:18">
      <c r="B4202" s="128" t="s">
        <v>226</v>
      </c>
      <c r="C4202" s="63">
        <v>45939</v>
      </c>
      <c r="D4202" s="33" t="str">
        <f>VLOOKUP(B4202,辅助信息!E:K,7,FALSE)</f>
        <v>JWDDCD2025092400211</v>
      </c>
      <c r="E4202" s="33" t="str">
        <f>VLOOKUP(F4202,辅助信息!A:B,2,FALSE)</f>
        <v>盘螺</v>
      </c>
      <c r="F4202" s="33" t="s">
        <v>26</v>
      </c>
      <c r="G4202" s="29">
        <v>35</v>
      </c>
      <c r="H4202" s="127"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33" t="str">
        <f>VLOOKUP(B4202,辅助信息!E:I,3,FALSE)</f>
        <v>(五冶钢构龙泉东洪片区85亩住宅、商业及配套工程项目二标段)成都市龙泉驿外东洪路地铁2号线惠王陵地铁C口</v>
      </c>
      <c r="J4202" s="33" t="str">
        <f>VLOOKUP(B4202,辅助信息!E:I,4,FALSE)</f>
        <v>李渊</v>
      </c>
      <c r="K4202" s="33">
        <f>VLOOKUP(J4202,辅助信息!H:I,2,FALSE)</f>
        <v>18381013849</v>
      </c>
      <c r="L4202" s="102">
        <f>VLOOKUP(B4202,辅助信息!E:J,6,FALSE)</f>
        <v>0</v>
      </c>
      <c r="M4202" s="84">
        <v>45941</v>
      </c>
      <c r="O4202" s="55">
        <f ca="1" t="shared" si="214"/>
        <v>0</v>
      </c>
      <c r="P4202" s="55">
        <f ca="1" t="shared" si="215"/>
        <v>16</v>
      </c>
      <c r="Q4202" s="22" t="str">
        <f>VLOOKUP(B4202,辅助信息!E:M,9,FALSE)</f>
        <v>ZTWM-CDGS-XS-2025-0156-五冶钢构-2025年九月第一批次钢筋采购合同(三圣乡项目)-中铁物贸成都公司</v>
      </c>
      <c r="R4202" s="22" t="str">
        <f>_xlfn._xlws.FILTER(辅助信息!D:D,辅助信息!E:E=B4202)</f>
        <v>五冶钢构龙泉东洪片区85亩住宅、商业及配套工程项目二标段</v>
      </c>
    </row>
    <row r="4203" hidden="1" spans="2:18">
      <c r="B4203" s="128" t="s">
        <v>226</v>
      </c>
      <c r="C4203" s="63">
        <v>45939</v>
      </c>
      <c r="D4203" s="33" t="str">
        <f>VLOOKUP(B4203,辅助信息!E:K,7,FALSE)</f>
        <v>JWDDCD2025092400211</v>
      </c>
      <c r="E4203" s="33" t="str">
        <f>VLOOKUP(F4203,辅助信息!A:B,2,FALSE)</f>
        <v>螺纹钢</v>
      </c>
      <c r="F4203" s="33" t="s">
        <v>19</v>
      </c>
      <c r="G4203" s="29">
        <v>35</v>
      </c>
      <c r="H4203" s="127"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33" t="str">
        <f>VLOOKUP(B4203,辅助信息!E:I,3,FALSE)</f>
        <v>(五冶钢构龙泉东洪片区85亩住宅、商业及配套工程项目二标段)成都市龙泉驿外东洪路地铁2号线惠王陵地铁C口</v>
      </c>
      <c r="J4203" s="33" t="str">
        <f>VLOOKUP(B4203,辅助信息!E:I,4,FALSE)</f>
        <v>李渊</v>
      </c>
      <c r="K4203" s="33">
        <f>VLOOKUP(J4203,辅助信息!H:I,2,FALSE)</f>
        <v>18381013849</v>
      </c>
      <c r="L4203" s="102">
        <f>VLOOKUP(B4203,辅助信息!E:J,6,FALSE)</f>
        <v>0</v>
      </c>
      <c r="M4203" s="84">
        <v>45941</v>
      </c>
      <c r="O4203" s="55">
        <f ca="1" t="shared" si="214"/>
        <v>0</v>
      </c>
      <c r="P4203" s="55">
        <f ca="1" t="shared" si="215"/>
        <v>16</v>
      </c>
      <c r="Q4203" s="22" t="str">
        <f>VLOOKUP(B4203,辅助信息!E:M,9,FALSE)</f>
        <v>ZTWM-CDGS-XS-2025-0156-五冶钢构-2025年九月第一批次钢筋采购合同(三圣乡项目)-中铁物贸成都公司</v>
      </c>
      <c r="R4203" s="22" t="str">
        <f>_xlfn._xlws.FILTER(辅助信息!D:D,辅助信息!E:E=B4203)</f>
        <v>五冶钢构龙泉东洪片区85亩住宅、商业及配套工程项目二标段</v>
      </c>
    </row>
    <row r="4204" hidden="1" spans="2:18">
      <c r="B4204" s="128" t="s">
        <v>226</v>
      </c>
      <c r="C4204" s="63">
        <v>45939</v>
      </c>
      <c r="D4204" s="33" t="str">
        <f>VLOOKUP(B4204,辅助信息!E:K,7,FALSE)</f>
        <v>JWDDCD2025092400211</v>
      </c>
      <c r="E4204" s="33" t="str">
        <f>VLOOKUP(F4204,辅助信息!A:B,2,FALSE)</f>
        <v>螺纹钢</v>
      </c>
      <c r="F4204" s="33" t="s">
        <v>33</v>
      </c>
      <c r="G4204" s="29">
        <v>25</v>
      </c>
      <c r="H4204" s="127"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33" t="str">
        <f>VLOOKUP(B4204,辅助信息!E:I,3,FALSE)</f>
        <v>(五冶钢构龙泉东洪片区85亩住宅、商业及配套工程项目二标段)成都市龙泉驿外东洪路地铁2号线惠王陵地铁C口</v>
      </c>
      <c r="J4204" s="33" t="str">
        <f>VLOOKUP(B4204,辅助信息!E:I,4,FALSE)</f>
        <v>李渊</v>
      </c>
      <c r="K4204" s="33">
        <f>VLOOKUP(J4204,辅助信息!H:I,2,FALSE)</f>
        <v>18381013849</v>
      </c>
      <c r="L4204" s="102">
        <f>VLOOKUP(B4204,辅助信息!E:J,6,FALSE)</f>
        <v>0</v>
      </c>
      <c r="M4204" s="84">
        <v>45941</v>
      </c>
      <c r="O4204" s="55">
        <f ca="1" t="shared" si="214"/>
        <v>0</v>
      </c>
      <c r="P4204" s="55">
        <f ca="1" t="shared" si="215"/>
        <v>16</v>
      </c>
      <c r="Q4204" s="22" t="str">
        <f>VLOOKUP(B4204,辅助信息!E:M,9,FALSE)</f>
        <v>ZTWM-CDGS-XS-2025-0156-五冶钢构-2025年九月第一批次钢筋采购合同(三圣乡项目)-中铁物贸成都公司</v>
      </c>
      <c r="R4204" s="22" t="str">
        <f>_xlfn._xlws.FILTER(辅助信息!D:D,辅助信息!E:E=B4204)</f>
        <v>五冶钢构龙泉东洪片区85亩住宅、商业及配套工程项目二标段</v>
      </c>
    </row>
    <row r="4205" hidden="1" spans="2:18">
      <c r="B4205" s="128" t="s">
        <v>226</v>
      </c>
      <c r="C4205" s="63">
        <v>45939</v>
      </c>
      <c r="D4205" s="33" t="str">
        <f>VLOOKUP(B4205,辅助信息!E:K,7,FALSE)</f>
        <v>JWDDCD2025092400211</v>
      </c>
      <c r="E4205" s="33" t="str">
        <f>VLOOKUP(F4205,辅助信息!A:B,2,FALSE)</f>
        <v>螺纹钢</v>
      </c>
      <c r="F4205" s="33" t="s">
        <v>28</v>
      </c>
      <c r="G4205" s="29">
        <v>21</v>
      </c>
      <c r="H4205" s="127"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33" t="str">
        <f>VLOOKUP(B4205,辅助信息!E:I,3,FALSE)</f>
        <v>(五冶钢构龙泉东洪片区85亩住宅、商业及配套工程项目二标段)成都市龙泉驿外东洪路地铁2号线惠王陵地铁C口</v>
      </c>
      <c r="J4205" s="33" t="str">
        <f>VLOOKUP(B4205,辅助信息!E:I,4,FALSE)</f>
        <v>李渊</v>
      </c>
      <c r="K4205" s="33">
        <f>VLOOKUP(J4205,辅助信息!H:I,2,FALSE)</f>
        <v>18381013849</v>
      </c>
      <c r="L4205" s="102">
        <f>VLOOKUP(B4205,辅助信息!E:J,6,FALSE)</f>
        <v>0</v>
      </c>
      <c r="M4205" s="84">
        <v>45941</v>
      </c>
      <c r="O4205" s="55">
        <f ca="1" t="shared" si="214"/>
        <v>0</v>
      </c>
      <c r="P4205" s="55">
        <f ca="1" t="shared" si="215"/>
        <v>16</v>
      </c>
      <c r="Q4205" s="22" t="str">
        <f>VLOOKUP(B4205,辅助信息!E:M,9,FALSE)</f>
        <v>ZTWM-CDGS-XS-2025-0156-五冶钢构-2025年九月第一批次钢筋采购合同(三圣乡项目)-中铁物贸成都公司</v>
      </c>
      <c r="R4205" s="22" t="str">
        <f>_xlfn._xlws.FILTER(辅助信息!D:D,辅助信息!E:E=B4205)</f>
        <v>五冶钢构龙泉东洪片区85亩住宅、商业及配套工程项目二标段</v>
      </c>
    </row>
    <row r="4206" hidden="1" spans="2:18">
      <c r="B4206" s="128" t="s">
        <v>226</v>
      </c>
      <c r="C4206" s="63">
        <v>45939</v>
      </c>
      <c r="D4206" s="33" t="str">
        <f>VLOOKUP(B4206,辅助信息!E:K,7,FALSE)</f>
        <v>JWDDCD2025092400211</v>
      </c>
      <c r="E4206" s="33" t="str">
        <f>VLOOKUP(F4206,辅助信息!A:B,2,FALSE)</f>
        <v>螺纹钢</v>
      </c>
      <c r="F4206" s="33" t="s">
        <v>18</v>
      </c>
      <c r="G4206" s="29">
        <v>9</v>
      </c>
      <c r="H4206" s="127"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33" t="str">
        <f>VLOOKUP(B4206,辅助信息!E:I,3,FALSE)</f>
        <v>(五冶钢构龙泉东洪片区85亩住宅、商业及配套工程项目二标段)成都市龙泉驿外东洪路地铁2号线惠王陵地铁C口</v>
      </c>
      <c r="J4206" s="33" t="str">
        <f>VLOOKUP(B4206,辅助信息!E:I,4,FALSE)</f>
        <v>李渊</v>
      </c>
      <c r="K4206" s="33">
        <f>VLOOKUP(J4206,辅助信息!H:I,2,FALSE)</f>
        <v>18381013849</v>
      </c>
      <c r="L4206" s="102">
        <f>VLOOKUP(B4206,辅助信息!E:J,6,FALSE)</f>
        <v>0</v>
      </c>
      <c r="M4206" s="84">
        <v>45941</v>
      </c>
      <c r="O4206" s="55">
        <f ca="1" t="shared" si="214"/>
        <v>0</v>
      </c>
      <c r="P4206" s="55">
        <f ca="1" t="shared" si="215"/>
        <v>16</v>
      </c>
      <c r="Q4206" s="22" t="str">
        <f>VLOOKUP(B4206,辅助信息!E:M,9,FALSE)</f>
        <v>ZTWM-CDGS-XS-2025-0156-五冶钢构-2025年九月第一批次钢筋采购合同(三圣乡项目)-中铁物贸成都公司</v>
      </c>
      <c r="R4206" s="22" t="str">
        <f>_xlfn._xlws.FILTER(辅助信息!D:D,辅助信息!E:E=B4206)</f>
        <v>五冶钢构龙泉东洪片区85亩住宅、商业及配套工程项目二标段</v>
      </c>
    </row>
    <row r="4207" ht="22.5" hidden="1" spans="1:18">
      <c r="A4207" s="50" t="s">
        <v>234</v>
      </c>
      <c r="B4207" s="128" t="s">
        <v>229</v>
      </c>
      <c r="C4207" s="63">
        <v>45939</v>
      </c>
      <c r="D4207" s="33" t="str">
        <f>VLOOKUP(B4207,辅助信息!E:K,7,FALSE)</f>
        <v>JWDDCD2025092400212</v>
      </c>
      <c r="E4207" s="33" t="str">
        <f>VLOOKUP(F4207,辅助信息!A:B,2,FALSE)</f>
        <v>盘螺</v>
      </c>
      <c r="F4207" s="33" t="s">
        <v>49</v>
      </c>
      <c r="G4207" s="29">
        <v>8</v>
      </c>
      <c r="H4207" s="127"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33" t="str">
        <f>VLOOKUP(B4207,辅助信息!E:I,3,FALSE)</f>
        <v>(五冶钢构龙泉东洪片区85亩住宅、商业及配套工程项目三标段)成都市龙泉驿外东洪路地铁2号线惠王陵地铁C口</v>
      </c>
      <c r="J4207" s="33" t="str">
        <f>VLOOKUP(B4207,辅助信息!E:I,4,FALSE)</f>
        <v>王军宝</v>
      </c>
      <c r="K4207" s="33">
        <f>VLOOKUP(J4207,辅助信息!H:I,2,FALSE)</f>
        <v>13889142392</v>
      </c>
      <c r="L4207" s="102">
        <f>VLOOKUP(B4207,辅助信息!E:J,6,FALSE)</f>
        <v>0</v>
      </c>
      <c r="M4207" s="84">
        <v>45941</v>
      </c>
      <c r="O4207" s="55">
        <f ca="1" t="shared" si="214"/>
        <v>0</v>
      </c>
      <c r="P4207" s="55">
        <f ca="1" t="shared" si="215"/>
        <v>16</v>
      </c>
      <c r="Q4207" s="22" t="str">
        <f>VLOOKUP(B4207,辅助信息!E:M,9,FALSE)</f>
        <v>ZTWM-CDGS-XS-2025-0156-五冶钢构-2025年九月第一批次钢筋采购合同(三圣乡项目)-中铁物贸成都公司</v>
      </c>
      <c r="R4207" s="22" t="str">
        <f>_xlfn._xlws.FILTER(辅助信息!D:D,辅助信息!E:E=B4207)</f>
        <v>五冶钢构龙泉东洪片区85亩住宅、商业及配套工程项目三标段</v>
      </c>
    </row>
    <row r="4208" ht="22.5" hidden="1" spans="1:18">
      <c r="A4208" s="50" t="s">
        <v>234</v>
      </c>
      <c r="B4208" s="128" t="s">
        <v>229</v>
      </c>
      <c r="C4208" s="63">
        <v>45939</v>
      </c>
      <c r="D4208" s="33" t="str">
        <f>VLOOKUP(B4208,辅助信息!E:K,7,FALSE)</f>
        <v>JWDDCD2025092400212</v>
      </c>
      <c r="E4208" s="33" t="str">
        <f>VLOOKUP(F4208,辅助信息!A:B,2,FALSE)</f>
        <v>盘螺</v>
      </c>
      <c r="F4208" s="33" t="s">
        <v>40</v>
      </c>
      <c r="G4208" s="29">
        <v>69</v>
      </c>
      <c r="H4208" s="127"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33" t="str">
        <f>VLOOKUP(B4208,辅助信息!E:I,3,FALSE)</f>
        <v>(五冶钢构龙泉东洪片区85亩住宅、商业及配套工程项目三标段)成都市龙泉驿外东洪路地铁2号线惠王陵地铁C口</v>
      </c>
      <c r="J4208" s="33" t="str">
        <f>VLOOKUP(B4208,辅助信息!E:I,4,FALSE)</f>
        <v>王军宝</v>
      </c>
      <c r="K4208" s="33">
        <f>VLOOKUP(J4208,辅助信息!H:I,2,FALSE)</f>
        <v>13889142392</v>
      </c>
      <c r="L4208" s="102">
        <f>VLOOKUP(B4208,辅助信息!E:J,6,FALSE)</f>
        <v>0</v>
      </c>
      <c r="M4208" s="84">
        <v>45941</v>
      </c>
      <c r="O4208" s="55">
        <f ca="1" t="shared" si="214"/>
        <v>0</v>
      </c>
      <c r="P4208" s="55">
        <f ca="1" t="shared" si="215"/>
        <v>16</v>
      </c>
      <c r="Q4208" s="22" t="str">
        <f>VLOOKUP(B4208,辅助信息!E:M,9,FALSE)</f>
        <v>ZTWM-CDGS-XS-2025-0156-五冶钢构-2025年九月第一批次钢筋采购合同(三圣乡项目)-中铁物贸成都公司</v>
      </c>
      <c r="R4208" s="22" t="str">
        <f>_xlfn._xlws.FILTER(辅助信息!D:D,辅助信息!E:E=B4208)</f>
        <v>五冶钢构龙泉东洪片区85亩住宅、商业及配套工程项目三标段</v>
      </c>
    </row>
    <row r="4209" ht="22.5" hidden="1" spans="1:18">
      <c r="A4209" s="50" t="s">
        <v>234</v>
      </c>
      <c r="B4209" s="128" t="s">
        <v>229</v>
      </c>
      <c r="C4209" s="63">
        <v>45939</v>
      </c>
      <c r="D4209" s="33" t="str">
        <f>VLOOKUP(B4209,辅助信息!E:K,7,FALSE)</f>
        <v>JWDDCD2025092400212</v>
      </c>
      <c r="E4209" s="33" t="str">
        <f>VLOOKUP(F4209,辅助信息!A:B,2,FALSE)</f>
        <v>盘螺</v>
      </c>
      <c r="F4209" s="33" t="s">
        <v>41</v>
      </c>
      <c r="G4209" s="29">
        <v>12</v>
      </c>
      <c r="H4209" s="127"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33" t="str">
        <f>VLOOKUP(B4209,辅助信息!E:I,3,FALSE)</f>
        <v>(五冶钢构龙泉东洪片区85亩住宅、商业及配套工程项目三标段)成都市龙泉驿外东洪路地铁2号线惠王陵地铁C口</v>
      </c>
      <c r="J4209" s="33" t="str">
        <f>VLOOKUP(B4209,辅助信息!E:I,4,FALSE)</f>
        <v>王军宝</v>
      </c>
      <c r="K4209" s="33">
        <f>VLOOKUP(J4209,辅助信息!H:I,2,FALSE)</f>
        <v>13889142392</v>
      </c>
      <c r="L4209" s="102">
        <f>VLOOKUP(B4209,辅助信息!E:J,6,FALSE)</f>
        <v>0</v>
      </c>
      <c r="M4209" s="84">
        <v>45941</v>
      </c>
      <c r="O4209" s="55">
        <f ca="1" t="shared" si="214"/>
        <v>0</v>
      </c>
      <c r="P4209" s="55">
        <f ca="1" t="shared" si="215"/>
        <v>16</v>
      </c>
      <c r="Q4209" s="22" t="str">
        <f>VLOOKUP(B4209,辅助信息!E:M,9,FALSE)</f>
        <v>ZTWM-CDGS-XS-2025-0156-五冶钢构-2025年九月第一批次钢筋采购合同(三圣乡项目)-中铁物贸成都公司</v>
      </c>
      <c r="R4209" s="22" t="str">
        <f>_xlfn._xlws.FILTER(辅助信息!D:D,辅助信息!E:E=B4209)</f>
        <v>五冶钢构龙泉东洪片区85亩住宅、商业及配套工程项目三标段</v>
      </c>
    </row>
    <row r="4210" hidden="1" spans="2:18">
      <c r="B4210" s="128" t="s">
        <v>229</v>
      </c>
      <c r="C4210" s="63">
        <v>45939</v>
      </c>
      <c r="D4210" s="33" t="str">
        <f>VLOOKUP(B4210,辅助信息!E:K,7,FALSE)</f>
        <v>JWDDCD2025092400212</v>
      </c>
      <c r="E4210" s="33" t="str">
        <f>VLOOKUP(F4210,辅助信息!A:B,2,FALSE)</f>
        <v>螺纹钢</v>
      </c>
      <c r="F4210" s="33" t="s">
        <v>27</v>
      </c>
      <c r="G4210" s="29">
        <v>30</v>
      </c>
      <c r="H4210" s="127"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33" t="str">
        <f>VLOOKUP(B4210,辅助信息!E:I,3,FALSE)</f>
        <v>(五冶钢构龙泉东洪片区85亩住宅、商业及配套工程项目三标段)成都市龙泉驿外东洪路地铁2号线惠王陵地铁C口</v>
      </c>
      <c r="J4210" s="33" t="str">
        <f>VLOOKUP(B4210,辅助信息!E:I,4,FALSE)</f>
        <v>王军宝</v>
      </c>
      <c r="K4210" s="33">
        <f>VLOOKUP(J4210,辅助信息!H:I,2,FALSE)</f>
        <v>13889142392</v>
      </c>
      <c r="L4210" s="102">
        <f>VLOOKUP(B4210,辅助信息!E:J,6,FALSE)</f>
        <v>0</v>
      </c>
      <c r="M4210" s="84">
        <v>45941</v>
      </c>
      <c r="O4210" s="55">
        <f ca="1" t="shared" si="214"/>
        <v>0</v>
      </c>
      <c r="P4210" s="55">
        <f ca="1" t="shared" si="215"/>
        <v>16</v>
      </c>
      <c r="Q4210" s="22" t="str">
        <f>VLOOKUP(B4210,辅助信息!E:M,9,FALSE)</f>
        <v>ZTWM-CDGS-XS-2025-0156-五冶钢构-2025年九月第一批次钢筋采购合同(三圣乡项目)-中铁物贸成都公司</v>
      </c>
      <c r="R4210" s="22" t="str">
        <f>_xlfn._xlws.FILTER(辅助信息!D:D,辅助信息!E:E=B4210)</f>
        <v>五冶钢构龙泉东洪片区85亩住宅、商业及配套工程项目三标段</v>
      </c>
    </row>
    <row r="4211" hidden="1" spans="2:18">
      <c r="B4211" s="128" t="s">
        <v>229</v>
      </c>
      <c r="C4211" s="63">
        <v>45939</v>
      </c>
      <c r="D4211" s="33" t="str">
        <f>VLOOKUP(B4211,辅助信息!E:K,7,FALSE)</f>
        <v>JWDDCD2025092400212</v>
      </c>
      <c r="E4211" s="33" t="str">
        <f>VLOOKUP(F4211,辅助信息!A:B,2,FALSE)</f>
        <v>螺纹钢</v>
      </c>
      <c r="F4211" s="33" t="s">
        <v>19</v>
      </c>
      <c r="G4211" s="29">
        <v>6</v>
      </c>
      <c r="H4211" s="127"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33" t="str">
        <f>VLOOKUP(B4211,辅助信息!E:I,3,FALSE)</f>
        <v>(五冶钢构龙泉东洪片区85亩住宅、商业及配套工程项目三标段)成都市龙泉驿外东洪路地铁2号线惠王陵地铁C口</v>
      </c>
      <c r="J4211" s="33" t="str">
        <f>VLOOKUP(B4211,辅助信息!E:I,4,FALSE)</f>
        <v>王军宝</v>
      </c>
      <c r="K4211" s="33">
        <f>VLOOKUP(J4211,辅助信息!H:I,2,FALSE)</f>
        <v>13889142392</v>
      </c>
      <c r="L4211" s="102">
        <f>VLOOKUP(B4211,辅助信息!E:J,6,FALSE)</f>
        <v>0</v>
      </c>
      <c r="M4211" s="84">
        <v>45941</v>
      </c>
      <c r="O4211" s="55">
        <f ca="1" t="shared" si="214"/>
        <v>0</v>
      </c>
      <c r="P4211" s="55">
        <f ca="1" t="shared" si="215"/>
        <v>16</v>
      </c>
      <c r="Q4211" s="22" t="str">
        <f>VLOOKUP(B4211,辅助信息!E:M,9,FALSE)</f>
        <v>ZTWM-CDGS-XS-2025-0156-五冶钢构-2025年九月第一批次钢筋采购合同(三圣乡项目)-中铁物贸成都公司</v>
      </c>
      <c r="R4211" s="22" t="str">
        <f>_xlfn._xlws.FILTER(辅助信息!D:D,辅助信息!E:E=B4211)</f>
        <v>五冶钢构龙泉东洪片区85亩住宅、商业及配套工程项目三标段</v>
      </c>
    </row>
    <row r="4212" hidden="1" spans="2:18">
      <c r="B4212" s="128" t="s">
        <v>229</v>
      </c>
      <c r="C4212" s="63">
        <v>45939</v>
      </c>
      <c r="D4212" s="33" t="str">
        <f>VLOOKUP(B4212,辅助信息!E:K,7,FALSE)</f>
        <v>JWDDCD2025092400212</v>
      </c>
      <c r="E4212" s="33" t="str">
        <f>VLOOKUP(F4212,辅助信息!A:B,2,FALSE)</f>
        <v>螺纹钢</v>
      </c>
      <c r="F4212" s="33" t="s">
        <v>32</v>
      </c>
      <c r="G4212" s="29">
        <v>10</v>
      </c>
      <c r="H4212" s="127"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33" t="str">
        <f>VLOOKUP(B4212,辅助信息!E:I,3,FALSE)</f>
        <v>(五冶钢构龙泉东洪片区85亩住宅、商业及配套工程项目三标段)成都市龙泉驿外东洪路地铁2号线惠王陵地铁C口</v>
      </c>
      <c r="J4212" s="33" t="str">
        <f>VLOOKUP(B4212,辅助信息!E:I,4,FALSE)</f>
        <v>王军宝</v>
      </c>
      <c r="K4212" s="33">
        <f>VLOOKUP(J4212,辅助信息!H:I,2,FALSE)</f>
        <v>13889142392</v>
      </c>
      <c r="L4212" s="102">
        <f>VLOOKUP(B4212,辅助信息!E:J,6,FALSE)</f>
        <v>0</v>
      </c>
      <c r="M4212" s="84">
        <v>45941</v>
      </c>
      <c r="O4212" s="55">
        <f ca="1" t="shared" si="214"/>
        <v>0</v>
      </c>
      <c r="P4212" s="55">
        <f ca="1" t="shared" si="215"/>
        <v>16</v>
      </c>
      <c r="Q4212" s="22" t="str">
        <f>VLOOKUP(B4212,辅助信息!E:M,9,FALSE)</f>
        <v>ZTWM-CDGS-XS-2025-0156-五冶钢构-2025年九月第一批次钢筋采购合同(三圣乡项目)-中铁物贸成都公司</v>
      </c>
      <c r="R4212" s="22" t="str">
        <f>_xlfn._xlws.FILTER(辅助信息!D:D,辅助信息!E:E=B4212)</f>
        <v>五冶钢构龙泉东洪片区85亩住宅、商业及配套工程项目三标段</v>
      </c>
    </row>
    <row r="4213" hidden="1" spans="2:18">
      <c r="B4213" s="128" t="s">
        <v>229</v>
      </c>
      <c r="C4213" s="63">
        <v>45939</v>
      </c>
      <c r="D4213" s="33" t="str">
        <f>VLOOKUP(B4213,辅助信息!E:K,7,FALSE)</f>
        <v>JWDDCD2025092400212</v>
      </c>
      <c r="E4213" s="33" t="str">
        <f>VLOOKUP(F4213,辅助信息!A:B,2,FALSE)</f>
        <v>螺纹钢</v>
      </c>
      <c r="F4213" s="33" t="s">
        <v>30</v>
      </c>
      <c r="G4213" s="29">
        <v>14</v>
      </c>
      <c r="H4213" s="127"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33" t="str">
        <f>VLOOKUP(B4213,辅助信息!E:I,3,FALSE)</f>
        <v>(五冶钢构龙泉东洪片区85亩住宅、商业及配套工程项目三标段)成都市龙泉驿外东洪路地铁2号线惠王陵地铁C口</v>
      </c>
      <c r="J4213" s="33" t="str">
        <f>VLOOKUP(B4213,辅助信息!E:I,4,FALSE)</f>
        <v>王军宝</v>
      </c>
      <c r="K4213" s="33">
        <f>VLOOKUP(J4213,辅助信息!H:I,2,FALSE)</f>
        <v>13889142392</v>
      </c>
      <c r="L4213" s="102">
        <f>VLOOKUP(B4213,辅助信息!E:J,6,FALSE)</f>
        <v>0</v>
      </c>
      <c r="M4213" s="84">
        <v>45941</v>
      </c>
      <c r="O4213" s="55">
        <f ca="1" t="shared" si="214"/>
        <v>0</v>
      </c>
      <c r="P4213" s="55">
        <f ca="1" t="shared" si="215"/>
        <v>16</v>
      </c>
      <c r="Q4213" s="22" t="str">
        <f>VLOOKUP(B4213,辅助信息!E:M,9,FALSE)</f>
        <v>ZTWM-CDGS-XS-2025-0156-五冶钢构-2025年九月第一批次钢筋采购合同(三圣乡项目)-中铁物贸成都公司</v>
      </c>
      <c r="R4213" s="22" t="str">
        <f>_xlfn._xlws.FILTER(辅助信息!D:D,辅助信息!E:E=B4213)</f>
        <v>五冶钢构龙泉东洪片区85亩住宅、商业及配套工程项目三标段</v>
      </c>
    </row>
    <row r="4214" hidden="1" spans="2:18">
      <c r="B4214" s="128" t="s">
        <v>229</v>
      </c>
      <c r="C4214" s="63">
        <v>45939</v>
      </c>
      <c r="D4214" s="33" t="str">
        <f>VLOOKUP(B4214,辅助信息!E:K,7,FALSE)</f>
        <v>JWDDCD2025092400212</v>
      </c>
      <c r="E4214" s="33" t="str">
        <f>VLOOKUP(F4214,辅助信息!A:B,2,FALSE)</f>
        <v>螺纹钢</v>
      </c>
      <c r="F4214" s="33" t="s">
        <v>33</v>
      </c>
      <c r="G4214" s="29">
        <v>15</v>
      </c>
      <c r="H4214" s="127"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33" t="str">
        <f>VLOOKUP(B4214,辅助信息!E:I,3,FALSE)</f>
        <v>(五冶钢构龙泉东洪片区85亩住宅、商业及配套工程项目三标段)成都市龙泉驿外东洪路地铁2号线惠王陵地铁C口</v>
      </c>
      <c r="J4214" s="33" t="str">
        <f>VLOOKUP(B4214,辅助信息!E:I,4,FALSE)</f>
        <v>王军宝</v>
      </c>
      <c r="K4214" s="33">
        <f>VLOOKUP(J4214,辅助信息!H:I,2,FALSE)</f>
        <v>13889142392</v>
      </c>
      <c r="L4214" s="102">
        <f>VLOOKUP(B4214,辅助信息!E:J,6,FALSE)</f>
        <v>0</v>
      </c>
      <c r="M4214" s="84">
        <v>45941</v>
      </c>
      <c r="O4214" s="55">
        <f ca="1" t="shared" si="214"/>
        <v>0</v>
      </c>
      <c r="P4214" s="55">
        <f ca="1" t="shared" si="215"/>
        <v>16</v>
      </c>
      <c r="Q4214" s="22" t="str">
        <f>VLOOKUP(B4214,辅助信息!E:M,9,FALSE)</f>
        <v>ZTWM-CDGS-XS-2025-0156-五冶钢构-2025年九月第一批次钢筋采购合同(三圣乡项目)-中铁物贸成都公司</v>
      </c>
      <c r="R4214" s="22" t="str">
        <f>_xlfn._xlws.FILTER(辅助信息!D:D,辅助信息!E:E=B4214)</f>
        <v>五冶钢构龙泉东洪片区85亩住宅、商业及配套工程项目三标段</v>
      </c>
    </row>
    <row r="4215" hidden="1" spans="2:18">
      <c r="B4215" s="128" t="s">
        <v>229</v>
      </c>
      <c r="C4215" s="63">
        <v>45939</v>
      </c>
      <c r="D4215" s="33" t="str">
        <f>VLOOKUP(B4215,辅助信息!E:K,7,FALSE)</f>
        <v>JWDDCD2025092400212</v>
      </c>
      <c r="E4215" s="33" t="str">
        <f>VLOOKUP(F4215,辅助信息!A:B,2,FALSE)</f>
        <v>螺纹钢</v>
      </c>
      <c r="F4215" s="33" t="s">
        <v>28</v>
      </c>
      <c r="G4215" s="29">
        <v>8</v>
      </c>
      <c r="H4215" s="127"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33" t="str">
        <f>VLOOKUP(B4215,辅助信息!E:I,3,FALSE)</f>
        <v>(五冶钢构龙泉东洪片区85亩住宅、商业及配套工程项目三标段)成都市龙泉驿外东洪路地铁2号线惠王陵地铁C口</v>
      </c>
      <c r="J4215" s="33" t="str">
        <f>VLOOKUP(B4215,辅助信息!E:I,4,FALSE)</f>
        <v>王军宝</v>
      </c>
      <c r="K4215" s="33">
        <f>VLOOKUP(J4215,辅助信息!H:I,2,FALSE)</f>
        <v>13889142392</v>
      </c>
      <c r="L4215" s="102">
        <f>VLOOKUP(B4215,辅助信息!E:J,6,FALSE)</f>
        <v>0</v>
      </c>
      <c r="M4215" s="84">
        <v>45941</v>
      </c>
      <c r="O4215" s="55">
        <f ca="1" t="shared" si="214"/>
        <v>0</v>
      </c>
      <c r="P4215" s="55">
        <f ca="1" t="shared" si="215"/>
        <v>16</v>
      </c>
      <c r="Q4215" s="22" t="str">
        <f>VLOOKUP(B4215,辅助信息!E:M,9,FALSE)</f>
        <v>ZTWM-CDGS-XS-2025-0156-五冶钢构-2025年九月第一批次钢筋采购合同(三圣乡项目)-中铁物贸成都公司</v>
      </c>
      <c r="R4215" s="22" t="str">
        <f>_xlfn._xlws.FILTER(辅助信息!D:D,辅助信息!E:E=B4215)</f>
        <v>五冶钢构龙泉东洪片区85亩住宅、商业及配套工程项目三标段</v>
      </c>
    </row>
    <row r="4216" hidden="1" spans="2:18">
      <c r="B4216" s="128" t="s">
        <v>229</v>
      </c>
      <c r="C4216" s="63">
        <v>45939</v>
      </c>
      <c r="D4216" s="33" t="str">
        <f>VLOOKUP(B4216,辅助信息!E:K,7,FALSE)</f>
        <v>JWDDCD2025092400212</v>
      </c>
      <c r="E4216" s="33" t="str">
        <f>VLOOKUP(F4216,辅助信息!A:B,2,FALSE)</f>
        <v>螺纹钢</v>
      </c>
      <c r="F4216" s="33" t="s">
        <v>18</v>
      </c>
      <c r="G4216" s="29">
        <v>2</v>
      </c>
      <c r="H4216" s="127"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33" t="str">
        <f>VLOOKUP(B4216,辅助信息!E:I,3,FALSE)</f>
        <v>(五冶钢构龙泉东洪片区85亩住宅、商业及配套工程项目三标段)成都市龙泉驿外东洪路地铁2号线惠王陵地铁C口</v>
      </c>
      <c r="J4216" s="33" t="str">
        <f>VLOOKUP(B4216,辅助信息!E:I,4,FALSE)</f>
        <v>王军宝</v>
      </c>
      <c r="K4216" s="33">
        <f>VLOOKUP(J4216,辅助信息!H:I,2,FALSE)</f>
        <v>13889142392</v>
      </c>
      <c r="L4216" s="102">
        <f>VLOOKUP(B4216,辅助信息!E:J,6,FALSE)</f>
        <v>0</v>
      </c>
      <c r="M4216" s="84">
        <v>45941</v>
      </c>
      <c r="O4216" s="55">
        <f ca="1" t="shared" si="214"/>
        <v>0</v>
      </c>
      <c r="P4216" s="55">
        <f ca="1" t="shared" si="215"/>
        <v>16</v>
      </c>
      <c r="Q4216" s="22" t="str">
        <f>VLOOKUP(B4216,辅助信息!E:M,9,FALSE)</f>
        <v>ZTWM-CDGS-XS-2025-0156-五冶钢构-2025年九月第一批次钢筋采购合同(三圣乡项目)-中铁物贸成都公司</v>
      </c>
      <c r="R4216" s="22" t="str">
        <f>_xlfn._xlws.FILTER(辅助信息!D:D,辅助信息!E:E=B4216)</f>
        <v>五冶钢构龙泉东洪片区85亩住宅、商业及配套工程项目三标段</v>
      </c>
    </row>
    <row r="4217" hidden="1" spans="2:18">
      <c r="B4217" s="128" t="s">
        <v>228</v>
      </c>
      <c r="C4217" s="63">
        <v>45939</v>
      </c>
      <c r="D4217" s="33" t="str">
        <f>VLOOKUP(B4217,辅助信息!E:K,7,FALSE)</f>
        <v>JWDDCD2025092400190</v>
      </c>
      <c r="E4217" s="33" t="str">
        <f>VLOOKUP(F4217,辅助信息!A:B,2,FALSE)</f>
        <v>盘螺</v>
      </c>
      <c r="F4217" s="33" t="s">
        <v>40</v>
      </c>
      <c r="G4217" s="29">
        <v>18</v>
      </c>
      <c r="H4217" s="127"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33" t="str">
        <f>VLOOKUP(B4217,辅助信息!E:I,3,FALSE)</f>
        <v>(五冶钢构龙泉东洪片区70亩住宅、商业及配套工程项目二标段)成都市龙泉驿外东洪路地铁2号线惠王陵地铁C口</v>
      </c>
      <c r="J4217" s="33" t="str">
        <f>VLOOKUP(B4217,辅助信息!E:I,4,FALSE)</f>
        <v>蒋嗣伟</v>
      </c>
      <c r="K4217" s="33">
        <f>VLOOKUP(J4217,辅助信息!H:I,2,FALSE)</f>
        <v>15014331252</v>
      </c>
      <c r="L4217" s="102">
        <f>VLOOKUP(B4217,辅助信息!E:J,6,FALSE)</f>
        <v>0</v>
      </c>
      <c r="M4217" s="84">
        <v>45941</v>
      </c>
      <c r="O4217" s="55">
        <f ca="1" t="shared" si="214"/>
        <v>0</v>
      </c>
      <c r="P4217" s="55">
        <f ca="1" t="shared" si="215"/>
        <v>16</v>
      </c>
      <c r="Q4217" s="22" t="str">
        <f>VLOOKUP(B4217,辅助信息!E:M,9,FALSE)</f>
        <v>ZTWM-CDGS-XS-2025-0156-五冶钢构-2025年九月第一批次钢筋采购合同(三圣乡项目)-中铁物贸成都公司</v>
      </c>
      <c r="R4217" s="22" t="str">
        <f>_xlfn._xlws.FILTER(辅助信息!D:D,辅助信息!E:E=B4217)</f>
        <v>五冶钢构龙泉东洪片区70亩住宅、商业及配套工程项目二标段</v>
      </c>
    </row>
    <row r="4218" hidden="1" spans="2:18">
      <c r="B4218" s="128" t="s">
        <v>228</v>
      </c>
      <c r="C4218" s="63">
        <v>45939</v>
      </c>
      <c r="D4218" s="33" t="str">
        <f>VLOOKUP(B4218,辅助信息!E:K,7,FALSE)</f>
        <v>JWDDCD2025092400190</v>
      </c>
      <c r="E4218" s="33" t="str">
        <f>VLOOKUP(F4218,辅助信息!A:B,2,FALSE)</f>
        <v>盘螺</v>
      </c>
      <c r="F4218" s="33" t="s">
        <v>41</v>
      </c>
      <c r="G4218" s="29">
        <v>35</v>
      </c>
      <c r="H4218" s="127"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33" t="str">
        <f>VLOOKUP(B4218,辅助信息!E:I,3,FALSE)</f>
        <v>(五冶钢构龙泉东洪片区70亩住宅、商业及配套工程项目二标段)成都市龙泉驿外东洪路地铁2号线惠王陵地铁C口</v>
      </c>
      <c r="J4218" s="33" t="str">
        <f>VLOOKUP(B4218,辅助信息!E:I,4,FALSE)</f>
        <v>蒋嗣伟</v>
      </c>
      <c r="K4218" s="33">
        <f>VLOOKUP(J4218,辅助信息!H:I,2,FALSE)</f>
        <v>15014331252</v>
      </c>
      <c r="L4218" s="102">
        <f>VLOOKUP(B4218,辅助信息!E:J,6,FALSE)</f>
        <v>0</v>
      </c>
      <c r="M4218" s="84">
        <v>45941</v>
      </c>
      <c r="O4218" s="55">
        <f ca="1" t="shared" si="214"/>
        <v>0</v>
      </c>
      <c r="P4218" s="55">
        <f ca="1" t="shared" si="215"/>
        <v>16</v>
      </c>
      <c r="Q4218" s="22" t="str">
        <f>VLOOKUP(B4218,辅助信息!E:M,9,FALSE)</f>
        <v>ZTWM-CDGS-XS-2025-0156-五冶钢构-2025年九月第一批次钢筋采购合同(三圣乡项目)-中铁物贸成都公司</v>
      </c>
      <c r="R4218" s="22" t="str">
        <f>_xlfn._xlws.FILTER(辅助信息!D:D,辅助信息!E:E=B4218)</f>
        <v>五冶钢构龙泉东洪片区70亩住宅、商业及配套工程项目二标段</v>
      </c>
    </row>
    <row r="4219" hidden="1" spans="2:18">
      <c r="B4219" s="128" t="s">
        <v>228</v>
      </c>
      <c r="C4219" s="63">
        <v>45939</v>
      </c>
      <c r="D4219" s="33" t="str">
        <f>VLOOKUP(B4219,辅助信息!E:K,7,FALSE)</f>
        <v>JWDDCD2025092400190</v>
      </c>
      <c r="E4219" s="33" t="str">
        <f>VLOOKUP(F4219,辅助信息!A:B,2,FALSE)</f>
        <v>盘螺</v>
      </c>
      <c r="F4219" s="33" t="s">
        <v>26</v>
      </c>
      <c r="G4219" s="29">
        <v>17</v>
      </c>
      <c r="H4219" s="127"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33" t="str">
        <f>VLOOKUP(B4219,辅助信息!E:I,3,FALSE)</f>
        <v>(五冶钢构龙泉东洪片区70亩住宅、商业及配套工程项目二标段)成都市龙泉驿外东洪路地铁2号线惠王陵地铁C口</v>
      </c>
      <c r="J4219" s="33" t="str">
        <f>VLOOKUP(B4219,辅助信息!E:I,4,FALSE)</f>
        <v>蒋嗣伟</v>
      </c>
      <c r="K4219" s="33">
        <f>VLOOKUP(J4219,辅助信息!H:I,2,FALSE)</f>
        <v>15014331252</v>
      </c>
      <c r="L4219" s="102">
        <f>VLOOKUP(B4219,辅助信息!E:J,6,FALSE)</f>
        <v>0</v>
      </c>
      <c r="M4219" s="84">
        <v>45941</v>
      </c>
      <c r="O4219" s="55">
        <f ca="1" t="shared" si="214"/>
        <v>0</v>
      </c>
      <c r="P4219" s="55">
        <f ca="1" t="shared" si="215"/>
        <v>16</v>
      </c>
      <c r="Q4219" s="22" t="str">
        <f>VLOOKUP(B4219,辅助信息!E:M,9,FALSE)</f>
        <v>ZTWM-CDGS-XS-2025-0156-五冶钢构-2025年九月第一批次钢筋采购合同(三圣乡项目)-中铁物贸成都公司</v>
      </c>
      <c r="R4219" s="22" t="str">
        <f>_xlfn._xlws.FILTER(辅助信息!D:D,辅助信息!E:E=B4219)</f>
        <v>五冶钢构龙泉东洪片区70亩住宅、商业及配套工程项目二标段</v>
      </c>
    </row>
    <row r="4220" hidden="1" spans="2:18">
      <c r="B4220" s="128" t="s">
        <v>204</v>
      </c>
      <c r="C4220" s="136">
        <v>45939</v>
      </c>
      <c r="D4220" s="128" t="str">
        <f>VLOOKUP(B4220,辅助信息!E:K,7,FALSE)</f>
        <v>JWDDCD2025062200016</v>
      </c>
      <c r="E4220" s="128" t="str">
        <f>VLOOKUP(F4220,辅助信息!A:B,2,FALSE)</f>
        <v>螺纹钢</v>
      </c>
      <c r="F4220" s="128" t="s">
        <v>130</v>
      </c>
      <c r="G4220" s="139">
        <v>41</v>
      </c>
      <c r="H4220" s="127">
        <f>IF(SUMIFS('[1]2025年已发货'!$E:$E,'[1]2025年已发货'!$F:$F,C4220,'[1]2025年已发货'!$C:$C,F4220,'[1]2025年已发货'!$G:$G,I4220,'[1]2025年已发货'!$H:$H,J4220)=0,"未发货",SUMIFS('[1]2025年已发货'!$E:$E,'[1]2025年已发货'!$F:$F,C4220,'[1]2025年已发货'!$C:$C,F4220,'[1]2025年已发货'!$G:$G,I4220,'[1]2025年已发货'!$H:$H,J4220))</f>
        <v>41</v>
      </c>
      <c r="I4220" s="33" t="str">
        <f>VLOOKUP(B4220,辅助信息!E:I,3,FALSE)</f>
        <v>(武汉电气化局成达万高铁强电项目-达州主城区-达州南站)四川省达州市达川区达州南站</v>
      </c>
      <c r="J4220" s="33" t="str">
        <f>VLOOKUP(B4220,辅助信息!E:I,4,FALSE)</f>
        <v>杨人志</v>
      </c>
      <c r="K4220" s="33">
        <f>VLOOKUP(J4220,辅助信息!H:I,2,FALSE)</f>
        <v>18782679099</v>
      </c>
      <c r="L4220" s="102" t="str">
        <f>VLOOKUP(B4220,辅助信息!E:J,6,FALSE)</f>
        <v>锈货不收！！下雨天钢筋没盖篷布不收！！，装货前联系收货人核实到场规格,没提前告知进场规格现场不给予接收</v>
      </c>
      <c r="M4220" s="84">
        <v>45941</v>
      </c>
      <c r="O4220" s="55">
        <f ca="1" t="shared" si="214"/>
        <v>0</v>
      </c>
      <c r="P4220" s="55">
        <f ca="1" t="shared" si="215"/>
        <v>16</v>
      </c>
      <c r="Q4220" s="22" t="str">
        <f>VLOOKUP(B4220,辅助信息!E:M,9,FALSE)</f>
        <v>ZTWM-CDGS-XS-2025-0033-中铁武汉电气化局集团有限公司成达万高速铁路强电工程项目</v>
      </c>
      <c r="R4220" s="22" t="str">
        <f>_xlfn._xlws.FILTER(辅助信息!D:D,辅助信息!E:E=B4220)</f>
        <v>武汉电气化局成达万高铁强电项目</v>
      </c>
    </row>
    <row r="4221" hidden="1" spans="2:18">
      <c r="B4221" s="128" t="s">
        <v>204</v>
      </c>
      <c r="C4221" s="136">
        <v>45939</v>
      </c>
      <c r="D4221" s="128" t="str">
        <f>VLOOKUP(B4221,辅助信息!E:K,7,FALSE)</f>
        <v>JWDDCD2025062200016</v>
      </c>
      <c r="E4221" s="128" t="str">
        <f>VLOOKUP(F4221,辅助信息!A:B,2,FALSE)</f>
        <v>螺纹钢</v>
      </c>
      <c r="F4221" s="128" t="s">
        <v>28</v>
      </c>
      <c r="G4221" s="139">
        <v>3</v>
      </c>
      <c r="H4221" s="127">
        <f>IF(SUMIFS('[1]2025年已发货'!$E:$E,'[1]2025年已发货'!$F:$F,C4221,'[1]2025年已发货'!$C:$C,F4221,'[1]2025年已发货'!$G:$G,I4221,'[1]2025年已发货'!$H:$H,J4221)=0,"未发货",SUMIFS('[1]2025年已发货'!$E:$E,'[1]2025年已发货'!$F:$F,C4221,'[1]2025年已发货'!$C:$C,F4221,'[1]2025年已发货'!$G:$G,I4221,'[1]2025年已发货'!$H:$H,J4221))</f>
        <v>3</v>
      </c>
      <c r="I4221" s="33" t="str">
        <f>VLOOKUP(B4221,辅助信息!E:I,3,FALSE)</f>
        <v>(武汉电气化局成达万高铁强电项目-达州主城区-达州南站)四川省达州市达川区达州南站</v>
      </c>
      <c r="J4221" s="33" t="str">
        <f>VLOOKUP(B4221,辅助信息!E:I,4,FALSE)</f>
        <v>杨人志</v>
      </c>
      <c r="K4221" s="33">
        <f>VLOOKUP(J4221,辅助信息!H:I,2,FALSE)</f>
        <v>18782679099</v>
      </c>
      <c r="L4221" s="102" t="str">
        <f>VLOOKUP(B4221,辅助信息!E:J,6,FALSE)</f>
        <v>锈货不收！！下雨天钢筋没盖篷布不收！！，装货前联系收货人核实到场规格,没提前告知进场规格现场不给予接收</v>
      </c>
      <c r="M4221" s="84">
        <v>45941</v>
      </c>
      <c r="O4221" s="55">
        <f ca="1" t="shared" si="214"/>
        <v>0</v>
      </c>
      <c r="P4221" s="55">
        <f ca="1" t="shared" si="215"/>
        <v>16</v>
      </c>
      <c r="Q4221" s="22" t="str">
        <f>VLOOKUP(B4221,辅助信息!E:M,9,FALSE)</f>
        <v>ZTWM-CDGS-XS-2025-0033-中铁武汉电气化局集团有限公司成达万高速铁路强电工程项目</v>
      </c>
      <c r="R4221" s="22" t="str">
        <f>_xlfn._xlws.FILTER(辅助信息!D:D,辅助信息!E:E=B4221)</f>
        <v>武汉电气化局成达万高铁强电项目</v>
      </c>
    </row>
    <row r="4222" hidden="1" spans="2:18">
      <c r="B4222" s="128" t="s">
        <v>177</v>
      </c>
      <c r="C4222" s="63">
        <v>45939</v>
      </c>
      <c r="D4222" s="33" t="str">
        <f>VLOOKUP(B4222,辅助信息!E:K,7,FALSE)</f>
        <v>JWDDCD2025062200016</v>
      </c>
      <c r="E4222" s="33" t="str">
        <f>VLOOKUP(F4222,辅助信息!A:B,2,FALSE)</f>
        <v>螺纹钢</v>
      </c>
      <c r="F4222" s="33" t="s">
        <v>30</v>
      </c>
      <c r="G4222" s="29">
        <v>19</v>
      </c>
      <c r="H4222" s="127"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33" t="str">
        <f>VLOOKUP(B4222,辅助信息!E:I,3,FALSE)</f>
        <v>(武汉电气化局成达万高铁强电项目-南充营山)四川省南充市营山县保真路景阳名城南50米(保真路东)</v>
      </c>
      <c r="J4222" s="33" t="str">
        <f>VLOOKUP(B4222,辅助信息!E:I,4,FALSE)</f>
        <v>周开亮</v>
      </c>
      <c r="K4222" s="33">
        <f>VLOOKUP(J4222,辅助信息!H:I,2,FALSE)</f>
        <v>18381485052</v>
      </c>
      <c r="L4222" s="102" t="str">
        <f>VLOOKUP(B4222,辅助信息!E:J,6,FALSE)</f>
        <v>锈货不收！！下雨天钢筋没盖篷布不收！！，装货前联系收货人核实到场规格,没提前告知进场规格现场不给予接收</v>
      </c>
      <c r="M4222" s="84">
        <v>45941</v>
      </c>
      <c r="O4222" s="55">
        <f ca="1" t="shared" si="214"/>
        <v>0</v>
      </c>
      <c r="P4222" s="55">
        <f ca="1" t="shared" si="215"/>
        <v>16</v>
      </c>
      <c r="Q4222" s="22" t="str">
        <f>VLOOKUP(B4222,辅助信息!E:M,9,FALSE)</f>
        <v>ZTWM-CDGS-XS-2025-0033-中铁武汉电气化局集团有限公司成达万高速铁路强电工程项目</v>
      </c>
      <c r="R4222" s="22" t="str">
        <f>_xlfn._xlws.FILTER(辅助信息!D:D,辅助信息!E:E=B4222)</f>
        <v>武汉电气化局成达万高铁强电项目</v>
      </c>
    </row>
    <row r="4223" hidden="1" spans="2:18">
      <c r="B4223" s="128" t="s">
        <v>177</v>
      </c>
      <c r="C4223" s="63">
        <v>45939</v>
      </c>
      <c r="D4223" s="33" t="str">
        <f>VLOOKUP(B4223,辅助信息!E:K,7,FALSE)</f>
        <v>JWDDCD2025062200016</v>
      </c>
      <c r="E4223" s="33" t="str">
        <f>VLOOKUP(F4223,辅助信息!A:B,2,FALSE)</f>
        <v>螺纹钢</v>
      </c>
      <c r="F4223" s="33" t="s">
        <v>33</v>
      </c>
      <c r="G4223" s="29">
        <v>8</v>
      </c>
      <c r="H4223" s="127"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33" t="str">
        <f>VLOOKUP(B4223,辅助信息!E:I,3,FALSE)</f>
        <v>(武汉电气化局成达万高铁强电项目-南充营山)四川省南充市营山县保真路景阳名城南50米(保真路东)</v>
      </c>
      <c r="J4223" s="33" t="str">
        <f>VLOOKUP(B4223,辅助信息!E:I,4,FALSE)</f>
        <v>周开亮</v>
      </c>
      <c r="K4223" s="33">
        <f>VLOOKUP(J4223,辅助信息!H:I,2,FALSE)</f>
        <v>18381485052</v>
      </c>
      <c r="L4223" s="102" t="str">
        <f>VLOOKUP(B4223,辅助信息!E:J,6,FALSE)</f>
        <v>锈货不收！！下雨天钢筋没盖篷布不收！！，装货前联系收货人核实到场规格,没提前告知进场规格现场不给予接收</v>
      </c>
      <c r="M4223" s="84">
        <v>45941</v>
      </c>
      <c r="O4223" s="55">
        <f ca="1" t="shared" si="214"/>
        <v>0</v>
      </c>
      <c r="P4223" s="55">
        <f ca="1" t="shared" si="215"/>
        <v>16</v>
      </c>
      <c r="Q4223" s="22" t="str">
        <f>VLOOKUP(B4223,辅助信息!E:M,9,FALSE)</f>
        <v>ZTWM-CDGS-XS-2025-0033-中铁武汉电气化局集团有限公司成达万高速铁路强电工程项目</v>
      </c>
      <c r="R4223" s="22" t="str">
        <f>_xlfn._xlws.FILTER(辅助信息!D:D,辅助信息!E:E=B4223)</f>
        <v>武汉电气化局成达万高铁强电项目</v>
      </c>
    </row>
    <row r="4224" hidden="1" spans="2:18">
      <c r="B4224" s="128" t="s">
        <v>177</v>
      </c>
      <c r="C4224" s="63">
        <v>45939</v>
      </c>
      <c r="D4224" s="33" t="str">
        <f>VLOOKUP(B4224,辅助信息!E:K,7,FALSE)</f>
        <v>JWDDCD2025062200016</v>
      </c>
      <c r="E4224" s="33" t="str">
        <f>VLOOKUP(F4224,辅助信息!A:B,2,FALSE)</f>
        <v>螺纹钢</v>
      </c>
      <c r="F4224" s="33" t="s">
        <v>18</v>
      </c>
      <c r="G4224" s="29">
        <v>8</v>
      </c>
      <c r="H4224" s="127"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33" t="str">
        <f>VLOOKUP(B4224,辅助信息!E:I,3,FALSE)</f>
        <v>(武汉电气化局成达万高铁强电项目-南充营山)四川省南充市营山县保真路景阳名城南50米(保真路东)</v>
      </c>
      <c r="J4224" s="33" t="str">
        <f>VLOOKUP(B4224,辅助信息!E:I,4,FALSE)</f>
        <v>周开亮</v>
      </c>
      <c r="K4224" s="33">
        <f>VLOOKUP(J4224,辅助信息!H:I,2,FALSE)</f>
        <v>18381485052</v>
      </c>
      <c r="L4224" s="102" t="str">
        <f>VLOOKUP(B4224,辅助信息!E:J,6,FALSE)</f>
        <v>锈货不收！！下雨天钢筋没盖篷布不收！！，装货前联系收货人核实到场规格,没提前告知进场规格现场不给予接收</v>
      </c>
      <c r="M4224" s="84">
        <v>45941</v>
      </c>
      <c r="O4224" s="55">
        <f ca="1" t="shared" si="214"/>
        <v>0</v>
      </c>
      <c r="P4224" s="55">
        <f ca="1" t="shared" si="215"/>
        <v>16</v>
      </c>
      <c r="Q4224" s="22" t="str">
        <f>VLOOKUP(B4224,辅助信息!E:M,9,FALSE)</f>
        <v>ZTWM-CDGS-XS-2025-0033-中铁武汉电气化局集团有限公司成达万高速铁路强电工程项目</v>
      </c>
      <c r="R4224" s="22" t="str">
        <f>_xlfn._xlws.FILTER(辅助信息!D:D,辅助信息!E:E=B4224)</f>
        <v>武汉电气化局成达万高铁强电项目</v>
      </c>
    </row>
    <row r="4225" hidden="1" spans="2:18">
      <c r="B4225" s="128" t="s">
        <v>203</v>
      </c>
      <c r="C4225" s="63">
        <v>45939</v>
      </c>
      <c r="D4225" s="33" t="str">
        <f>VLOOKUP(B4225,辅助信息!E:K,7,FALSE)</f>
        <v>JWDDCD2025102100479</v>
      </c>
      <c r="E4225" s="33" t="str">
        <f>VLOOKUP(F4225,辅助信息!A:B,2,FALSE)</f>
        <v>盘螺</v>
      </c>
      <c r="F4225" s="33" t="s">
        <v>40</v>
      </c>
      <c r="G4225" s="29">
        <v>5</v>
      </c>
      <c r="H4225" s="127">
        <f>IF(SUMIFS('[1]2025年已发货'!$E:$E,'[1]2025年已发货'!$F:$F,C4225,'[1]2025年已发货'!$C:$C,F4225,'[1]2025年已发货'!$G:$G,I4225,'[1]2025年已发货'!$H:$H,J4225)=0,"未发货",SUMIFS('[1]2025年已发货'!$E:$E,'[1]2025年已发货'!$F:$F,C4225,'[1]2025年已发货'!$C:$C,F4225,'[1]2025年已发货'!$G:$G,I4225,'[1]2025年已发货'!$H:$H,J4225))</f>
        <v>5</v>
      </c>
      <c r="I4225" s="33" t="str">
        <f>VLOOKUP(B4225,辅助信息!E:I,3,FALSE)</f>
        <v>(五冶建设空港兴城怡心街道83亩项目)成都市双流区怡心街道高峰社区一组剑和路一段空港兴城怡心街道83亩项目中国五冶项目部</v>
      </c>
      <c r="J4225" s="33" t="str">
        <f>VLOOKUP(B4225,辅助信息!E:I,4,FALSE)</f>
        <v>王刚</v>
      </c>
      <c r="K4225" s="33">
        <f>VLOOKUP(J4225,辅助信息!H:I,2,FALSE)</f>
        <v>15881190525</v>
      </c>
      <c r="L4225" s="102"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84">
        <v>45941</v>
      </c>
      <c r="O4225" s="55">
        <f ca="1" t="shared" si="214"/>
        <v>0</v>
      </c>
      <c r="P4225" s="55">
        <f ca="1" t="shared" si="215"/>
        <v>16</v>
      </c>
      <c r="Q4225" s="22" t="str">
        <f>VLOOKUP(B4225,辅助信息!E:M,9,FALSE)</f>
        <v>ZTWM-CDGS-XS-2025-0073-五冶天府-成都怡心湖片区及龙泉驿医院等项目</v>
      </c>
      <c r="R4225" s="22" t="str">
        <f>_xlfn._xlws.FILTER(辅助信息!D:D,辅助信息!E:E=B4225)</f>
        <v>五冶建设空港兴城怡心街道83亩项目</v>
      </c>
    </row>
    <row r="4226" hidden="1" spans="2:18">
      <c r="B4226" s="128" t="s">
        <v>203</v>
      </c>
      <c r="C4226" s="63">
        <v>45939</v>
      </c>
      <c r="D4226" s="33" t="str">
        <f>VLOOKUP(B4226,辅助信息!E:K,7,FALSE)</f>
        <v>JWDDCD2025102100479</v>
      </c>
      <c r="E4226" s="33" t="str">
        <f>VLOOKUP(F4226,辅助信息!A:B,2,FALSE)</f>
        <v>盘螺</v>
      </c>
      <c r="F4226" s="33" t="s">
        <v>41</v>
      </c>
      <c r="G4226" s="29">
        <v>14</v>
      </c>
      <c r="H4226" s="127">
        <f>IF(SUMIFS('[1]2025年已发货'!$E:$E,'[1]2025年已发货'!$F:$F,C4226,'[1]2025年已发货'!$C:$C,F4226,'[1]2025年已发货'!$G:$G,I4226,'[1]2025年已发货'!$H:$H,J4226)=0,"未发货",SUMIFS('[1]2025年已发货'!$E:$E,'[1]2025年已发货'!$F:$F,C4226,'[1]2025年已发货'!$C:$C,F4226,'[1]2025年已发货'!$G:$G,I4226,'[1]2025年已发货'!$H:$H,J4226))</f>
        <v>14</v>
      </c>
      <c r="I4226" s="33" t="str">
        <f>VLOOKUP(B4226,辅助信息!E:I,3,FALSE)</f>
        <v>(五冶建设空港兴城怡心街道83亩项目)成都市双流区怡心街道高峰社区一组剑和路一段空港兴城怡心街道83亩项目中国五冶项目部</v>
      </c>
      <c r="J4226" s="33" t="str">
        <f>VLOOKUP(B4226,辅助信息!E:I,4,FALSE)</f>
        <v>王刚</v>
      </c>
      <c r="K4226" s="33">
        <f>VLOOKUP(J4226,辅助信息!H:I,2,FALSE)</f>
        <v>15881190525</v>
      </c>
      <c r="L4226" s="102"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84">
        <v>45941</v>
      </c>
      <c r="O4226" s="55">
        <f ca="1" t="shared" si="214"/>
        <v>0</v>
      </c>
      <c r="P4226" s="55">
        <f ca="1" t="shared" si="215"/>
        <v>16</v>
      </c>
      <c r="Q4226" s="22" t="str">
        <f>VLOOKUP(B4226,辅助信息!E:M,9,FALSE)</f>
        <v>ZTWM-CDGS-XS-2025-0073-五冶天府-成都怡心湖片区及龙泉驿医院等项目</v>
      </c>
      <c r="R4226" s="22" t="str">
        <f>_xlfn._xlws.FILTER(辅助信息!D:D,辅助信息!E:E=B4226)</f>
        <v>五冶建设空港兴城怡心街道83亩项目</v>
      </c>
    </row>
    <row r="4227" hidden="1" spans="2:18">
      <c r="B4227" s="128" t="s">
        <v>203</v>
      </c>
      <c r="C4227" s="63">
        <v>45939</v>
      </c>
      <c r="D4227" s="33" t="str">
        <f>VLOOKUP(B4227,辅助信息!E:K,7,FALSE)</f>
        <v>JWDDCD2025102100479</v>
      </c>
      <c r="E4227" s="33" t="str">
        <f>VLOOKUP(F4227,辅助信息!A:B,2,FALSE)</f>
        <v>螺纹钢</v>
      </c>
      <c r="F4227" s="33" t="s">
        <v>66</v>
      </c>
      <c r="G4227" s="29">
        <v>17</v>
      </c>
      <c r="H4227" s="127">
        <f>IF(SUMIFS('[1]2025年已发货'!$E:$E,'[1]2025年已发货'!$F:$F,C4227,'[1]2025年已发货'!$C:$C,F4227,'[1]2025年已发货'!$G:$G,I4227,'[1]2025年已发货'!$H:$H,J4227)=0,"未发货",SUMIFS('[1]2025年已发货'!$E:$E,'[1]2025年已发货'!$F:$F,C4227,'[1]2025年已发货'!$C:$C,F4227,'[1]2025年已发货'!$G:$G,I4227,'[1]2025年已发货'!$H:$H,J4227))</f>
        <v>17</v>
      </c>
      <c r="I4227" s="33" t="str">
        <f>VLOOKUP(B4227,辅助信息!E:I,3,FALSE)</f>
        <v>(五冶建设空港兴城怡心街道83亩项目)成都市双流区怡心街道高峰社区一组剑和路一段空港兴城怡心街道83亩项目中国五冶项目部</v>
      </c>
      <c r="J4227" s="33" t="str">
        <f>VLOOKUP(B4227,辅助信息!E:I,4,FALSE)</f>
        <v>王刚</v>
      </c>
      <c r="K4227" s="33">
        <f>VLOOKUP(J4227,辅助信息!H:I,2,FALSE)</f>
        <v>15881190525</v>
      </c>
      <c r="L4227" s="102"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84">
        <v>45941</v>
      </c>
      <c r="O4227" s="55">
        <f ca="1" t="shared" si="214"/>
        <v>0</v>
      </c>
      <c r="P4227" s="55">
        <f ca="1" t="shared" si="215"/>
        <v>16</v>
      </c>
      <c r="Q4227" s="22" t="str">
        <f>VLOOKUP(B4227,辅助信息!E:M,9,FALSE)</f>
        <v>ZTWM-CDGS-XS-2025-0073-五冶天府-成都怡心湖片区及龙泉驿医院等项目</v>
      </c>
      <c r="R4227" s="22" t="str">
        <f>_xlfn._xlws.FILTER(辅助信息!D:D,辅助信息!E:E=B4227)</f>
        <v>五冶建设空港兴城怡心街道83亩项目</v>
      </c>
    </row>
    <row r="4228" ht="22.5" hidden="1" spans="1:18">
      <c r="A4228" s="64" t="s">
        <v>235</v>
      </c>
      <c r="B4228" s="128" t="s">
        <v>169</v>
      </c>
      <c r="C4228" s="63">
        <v>45939</v>
      </c>
      <c r="D4228" s="33" t="str">
        <f>VLOOKUP(B4228,辅助信息!E:K,7,FALSE)</f>
        <v>JWDDCD2025051800044</v>
      </c>
      <c r="E4228" s="33" t="str">
        <f>VLOOKUP(F4228,辅助信息!A:B,2,FALSE)</f>
        <v>高线</v>
      </c>
      <c r="F4228" s="33" t="s">
        <v>51</v>
      </c>
      <c r="G4228" s="29">
        <v>32</v>
      </c>
      <c r="H4228" s="127"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33" t="str">
        <f>VLOOKUP(B4228,辅助信息!E:I,3,FALSE)</f>
        <v>(五冶建设龙泉芙蓉花语项目-1,3地块)龙泉驿区北川路双堰塘钓鱼东100米(北川路)</v>
      </c>
      <c r="J4228" s="33" t="str">
        <f>VLOOKUP(B4228,辅助信息!E:I,4,FALSE)</f>
        <v>祝斯阳</v>
      </c>
      <c r="K4228" s="33">
        <f>VLOOKUP(J4228,辅助信息!H:I,2,FALSE)</f>
        <v>15583590797</v>
      </c>
      <c r="L4228" s="102"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84">
        <v>45941</v>
      </c>
      <c r="O4228" s="55">
        <f ca="1" t="shared" si="214"/>
        <v>0</v>
      </c>
      <c r="P4228" s="55">
        <f ca="1" t="shared" si="215"/>
        <v>16</v>
      </c>
      <c r="Q4228" s="22" t="str">
        <f>VLOOKUP(B4228,辅助信息!E:M,9,FALSE)</f>
        <v>ZTWM-CDGS-XS-2025-0073-五冶天府-成都怡心湖片区及龙泉驿医院等项目</v>
      </c>
      <c r="R4228" s="22" t="str">
        <f>_xlfn._xlws.FILTER(辅助信息!D:D,辅助信息!E:E=B4228)</f>
        <v>五冶建设龙泉芙蓉花语项目</v>
      </c>
    </row>
    <row r="4229" ht="22.5" hidden="1" spans="1:18">
      <c r="A4229" s="64" t="s">
        <v>236</v>
      </c>
      <c r="B4229" s="128" t="s">
        <v>169</v>
      </c>
      <c r="C4229" s="63">
        <v>45939</v>
      </c>
      <c r="D4229" s="33" t="str">
        <f>VLOOKUP(B4229,辅助信息!E:K,7,FALSE)</f>
        <v>JWDDCD2025051800044</v>
      </c>
      <c r="E4229" s="33" t="str">
        <f>VLOOKUP(F4229,辅助信息!A:B,2,FALSE)</f>
        <v>螺纹钢</v>
      </c>
      <c r="F4229" s="33" t="s">
        <v>28</v>
      </c>
      <c r="G4229" s="29">
        <v>35</v>
      </c>
      <c r="H4229" s="127"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33" t="str">
        <f>VLOOKUP(B4229,辅助信息!E:I,3,FALSE)</f>
        <v>(五冶建设龙泉芙蓉花语项目-1,3地块)龙泉驿区北川路双堰塘钓鱼东100米(北川路)</v>
      </c>
      <c r="J4229" s="33" t="str">
        <f>VLOOKUP(B4229,辅助信息!E:I,4,FALSE)</f>
        <v>祝斯阳</v>
      </c>
      <c r="K4229" s="33">
        <f>VLOOKUP(J4229,辅助信息!H:I,2,FALSE)</f>
        <v>15583590797</v>
      </c>
      <c r="L4229" s="102"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84">
        <v>45941</v>
      </c>
      <c r="O4229" s="55">
        <f ca="1" t="shared" si="214"/>
        <v>0</v>
      </c>
      <c r="P4229" s="55">
        <f ca="1" t="shared" si="215"/>
        <v>16</v>
      </c>
      <c r="Q4229" s="22" t="str">
        <f>VLOOKUP(B4229,辅助信息!E:M,9,FALSE)</f>
        <v>ZTWM-CDGS-XS-2025-0073-五冶天府-成都怡心湖片区及龙泉驿医院等项目</v>
      </c>
      <c r="R4229" s="22" t="str">
        <f>_xlfn._xlws.FILTER(辅助信息!D:D,辅助信息!E:E=B4229)</f>
        <v>五冶建设龙泉芙蓉花语项目</v>
      </c>
    </row>
    <row r="4230" ht="22.5" hidden="1" spans="1:18">
      <c r="A4230" s="64" t="s">
        <v>237</v>
      </c>
      <c r="B4230" s="128" t="s">
        <v>169</v>
      </c>
      <c r="C4230" s="63">
        <v>45939</v>
      </c>
      <c r="D4230" s="33" t="str">
        <f>VLOOKUP(B4230,辅助信息!E:K,7,FALSE)</f>
        <v>JWDDCD2025051800044</v>
      </c>
      <c r="E4230" s="33" t="str">
        <f>VLOOKUP(F4230,辅助信息!A:B,2,FALSE)</f>
        <v>螺纹钢</v>
      </c>
      <c r="F4230" s="33" t="s">
        <v>28</v>
      </c>
      <c r="G4230" s="29">
        <v>35</v>
      </c>
      <c r="H4230" s="127"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33" t="str">
        <f>VLOOKUP(B4230,辅助信息!E:I,3,FALSE)</f>
        <v>(五冶建设龙泉芙蓉花语项目-1,3地块)龙泉驿区北川路双堰塘钓鱼东100米(北川路)</v>
      </c>
      <c r="J4230" s="33" t="str">
        <f>VLOOKUP(B4230,辅助信息!E:I,4,FALSE)</f>
        <v>祝斯阳</v>
      </c>
      <c r="K4230" s="33">
        <f>VLOOKUP(J4230,辅助信息!H:I,2,FALSE)</f>
        <v>15583590797</v>
      </c>
      <c r="L4230" s="102"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84">
        <v>45941</v>
      </c>
      <c r="O4230" s="55">
        <f ca="1" t="shared" si="214"/>
        <v>0</v>
      </c>
      <c r="P4230" s="55">
        <f ca="1" t="shared" si="215"/>
        <v>16</v>
      </c>
      <c r="Q4230" s="22" t="str">
        <f>VLOOKUP(B4230,辅助信息!E:M,9,FALSE)</f>
        <v>ZTWM-CDGS-XS-2025-0073-五冶天府-成都怡心湖片区及龙泉驿医院等项目</v>
      </c>
      <c r="R4230" s="22" t="str">
        <f>_xlfn._xlws.FILTER(辅助信息!D:D,辅助信息!E:E=B4230)</f>
        <v>五冶建设龙泉芙蓉花语项目</v>
      </c>
    </row>
    <row r="4231" hidden="1" spans="2:18">
      <c r="B4231" s="128" t="s">
        <v>192</v>
      </c>
      <c r="C4231" s="63">
        <v>45939</v>
      </c>
      <c r="D4231" s="33" t="str">
        <f>VLOOKUP(B4231,辅助信息!E:K,7,FALSE)</f>
        <v>JWDDCD2025102100475</v>
      </c>
      <c r="E4231" s="33" t="str">
        <f>VLOOKUP(F4231,辅助信息!A:B,2,FALSE)</f>
        <v>盘螺</v>
      </c>
      <c r="F4231" s="33" t="s">
        <v>40</v>
      </c>
      <c r="G4231" s="29">
        <v>12.5</v>
      </c>
      <c r="H4231" s="127"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33" t="str">
        <f>VLOOKUP(B4231,辅助信息!E:I,3,FALSE)</f>
        <v>(五冶建设成都国际铁路港多式联项目)四川省成都市青白江区桂平大道成都中远海运陆港多式联运有限公司</v>
      </c>
      <c r="J4231" s="33" t="str">
        <f>VLOOKUP(B4231,辅助信息!E:I,4,FALSE)</f>
        <v>黄勇杰</v>
      </c>
      <c r="K4231" s="33">
        <f>VLOOKUP(J4231,辅助信息!H:I,2,FALSE)</f>
        <v>13880580196</v>
      </c>
      <c r="L4231" s="102"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84">
        <v>45941</v>
      </c>
      <c r="O4231" s="55">
        <f ca="1" t="shared" si="214"/>
        <v>0</v>
      </c>
      <c r="P4231" s="55">
        <f ca="1" t="shared" si="215"/>
        <v>16</v>
      </c>
      <c r="Q4231" s="22" t="str">
        <f>VLOOKUP(B4231,辅助信息!E:M,9,FALSE)</f>
        <v>ZTWM-CDGS-XS-2025-0073-五冶天府-成都怡心湖片区及龙泉驿医院等项目</v>
      </c>
      <c r="R4231" s="22" t="str">
        <f>_xlfn._xlws.FILTER(辅助信息!D:D,辅助信息!E:E=B4231)</f>
        <v>五冶建设成都国际铁路港多式联项目</v>
      </c>
    </row>
    <row r="4232" hidden="1" spans="2:18">
      <c r="B4232" s="128" t="s">
        <v>192</v>
      </c>
      <c r="C4232" s="63">
        <v>45939</v>
      </c>
      <c r="D4232" s="33" t="str">
        <f>VLOOKUP(B4232,辅助信息!E:K,7,FALSE)</f>
        <v>JWDDCD2025102100475</v>
      </c>
      <c r="E4232" s="33" t="str">
        <f>VLOOKUP(F4232,辅助信息!A:B,2,FALSE)</f>
        <v>盘螺</v>
      </c>
      <c r="F4232" s="33" t="s">
        <v>26</v>
      </c>
      <c r="G4232" s="29">
        <v>12.5</v>
      </c>
      <c r="H4232" s="127"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33" t="str">
        <f>VLOOKUP(B4232,辅助信息!E:I,3,FALSE)</f>
        <v>(五冶建设成都国际铁路港多式联项目)四川省成都市青白江区桂平大道成都中远海运陆港多式联运有限公司</v>
      </c>
      <c r="J4232" s="33" t="str">
        <f>VLOOKUP(B4232,辅助信息!E:I,4,FALSE)</f>
        <v>黄勇杰</v>
      </c>
      <c r="K4232" s="33">
        <f>VLOOKUP(J4232,辅助信息!H:I,2,FALSE)</f>
        <v>13880580196</v>
      </c>
      <c r="L4232" s="102"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84">
        <v>45941</v>
      </c>
      <c r="O4232" s="55">
        <f ca="1" t="shared" si="214"/>
        <v>0</v>
      </c>
      <c r="P4232" s="55">
        <f ca="1" t="shared" si="215"/>
        <v>16</v>
      </c>
      <c r="Q4232" s="22" t="str">
        <f>VLOOKUP(B4232,辅助信息!E:M,9,FALSE)</f>
        <v>ZTWM-CDGS-XS-2025-0073-五冶天府-成都怡心湖片区及龙泉驿医院等项目</v>
      </c>
      <c r="R4232" s="22" t="str">
        <f>_xlfn._xlws.FILTER(辅助信息!D:D,辅助信息!E:E=B4232)</f>
        <v>五冶建设成都国际铁路港多式联项目</v>
      </c>
    </row>
    <row r="4233" hidden="1" spans="2:18">
      <c r="B4233" s="128" t="s">
        <v>192</v>
      </c>
      <c r="C4233" s="63">
        <v>45939</v>
      </c>
      <c r="D4233" s="33" t="str">
        <f>VLOOKUP(B4233,辅助信息!E:K,7,FALSE)</f>
        <v>JWDDCD2025102100475</v>
      </c>
      <c r="E4233" s="33" t="str">
        <f>VLOOKUP(F4233,辅助信息!A:B,2,FALSE)</f>
        <v>螺纹钢</v>
      </c>
      <c r="F4233" s="33" t="s">
        <v>65</v>
      </c>
      <c r="G4233" s="29">
        <v>10</v>
      </c>
      <c r="H4233" s="127"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33" t="str">
        <f>VLOOKUP(B4233,辅助信息!E:I,3,FALSE)</f>
        <v>(五冶建设成都国际铁路港多式联项目)四川省成都市青白江区桂平大道成都中远海运陆港多式联运有限公司</v>
      </c>
      <c r="J4233" s="33" t="str">
        <f>VLOOKUP(B4233,辅助信息!E:I,4,FALSE)</f>
        <v>黄勇杰</v>
      </c>
      <c r="K4233" s="33">
        <f>VLOOKUP(J4233,辅助信息!H:I,2,FALSE)</f>
        <v>13880580196</v>
      </c>
      <c r="L4233" s="102"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84">
        <v>45941</v>
      </c>
      <c r="O4233" s="55">
        <f ca="1" t="shared" si="214"/>
        <v>0</v>
      </c>
      <c r="P4233" s="55">
        <f ca="1" t="shared" si="215"/>
        <v>16</v>
      </c>
      <c r="Q4233" s="22" t="str">
        <f>VLOOKUP(B4233,辅助信息!E:M,9,FALSE)</f>
        <v>ZTWM-CDGS-XS-2025-0073-五冶天府-成都怡心湖片区及龙泉驿医院等项目</v>
      </c>
      <c r="R4233" s="22" t="str">
        <f>_xlfn._xlws.FILTER(辅助信息!D:D,辅助信息!E:E=B4233)</f>
        <v>五冶建设成都国际铁路港多式联项目</v>
      </c>
    </row>
    <row r="4234" hidden="1" spans="2:18">
      <c r="B4234" s="128" t="s">
        <v>231</v>
      </c>
      <c r="C4234" s="63">
        <v>45939</v>
      </c>
      <c r="D4234" s="33" t="str">
        <f>VLOOKUP(B4234,辅助信息!E:K,7,FALSE)</f>
        <v>JWDDCD2025102100481</v>
      </c>
      <c r="E4234" s="33" t="str">
        <f>VLOOKUP(F4234,辅助信息!A:B,2,FALSE)</f>
        <v>盘螺</v>
      </c>
      <c r="F4234" s="33" t="s">
        <v>40</v>
      </c>
      <c r="G4234" s="29">
        <v>2</v>
      </c>
      <c r="H4234" s="127"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33" t="str">
        <f>VLOOKUP(B4234,辅助信息!E:I,3,FALSE)</f>
        <v>(五冶建设成都盐道街中学初中部改扩建工程-一标)四川省成都市锦江区春熙路街道盐道街4号（盐道街中学初中部）</v>
      </c>
      <c r="J4234" s="33" t="str">
        <f>VLOOKUP(B4234,辅助信息!E:I,4,FALSE)</f>
        <v>谢鑫</v>
      </c>
      <c r="K4234" s="33">
        <f>VLOOKUP(J4234,辅助信息!H:I,2,FALSE)</f>
        <v>18228465067</v>
      </c>
      <c r="L4234" s="102" t="str">
        <f>VLOOKUP(B4234,辅助信息!E:J,6,FALSE)</f>
        <v>联系实际收货人（易前刚18228465067）五冶建设送货单,6份材质书,锈货不收，装货前联系收货人核实到场规格,没提前告知进场规格现场不给予接收</v>
      </c>
      <c r="O4234" s="55" t="str">
        <f ca="1" t="shared" si="214"/>
        <v/>
      </c>
      <c r="P4234" s="55" t="str">
        <f ca="1" t="shared" si="215"/>
        <v/>
      </c>
      <c r="Q4234" s="22" t="str">
        <f>VLOOKUP(B4234,辅助信息!E:M,9,FALSE)</f>
        <v>ZTWM-CDGS-XS-2025-0073-五冶天府-成都怡心湖片区及龙泉驿医院等项目</v>
      </c>
      <c r="R4234" s="22" t="str">
        <f>_xlfn._xlws.FILTER(辅助信息!D:D,辅助信息!E:E=B4234)</f>
        <v>五冶建设成都盐道街中学初中部改扩建工程-一标</v>
      </c>
    </row>
    <row r="4235" hidden="1" spans="2:18">
      <c r="B4235" s="128" t="s">
        <v>231</v>
      </c>
      <c r="C4235" s="63">
        <v>45939</v>
      </c>
      <c r="D4235" s="33" t="str">
        <f>VLOOKUP(B4235,辅助信息!E:K,7,FALSE)</f>
        <v>JWDDCD2025102100481</v>
      </c>
      <c r="E4235" s="33" t="str">
        <f>VLOOKUP(F4235,辅助信息!A:B,2,FALSE)</f>
        <v>盘螺</v>
      </c>
      <c r="F4235" s="33" t="s">
        <v>26</v>
      </c>
      <c r="G4235" s="29">
        <v>12</v>
      </c>
      <c r="H4235" s="127"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33" t="str">
        <f>VLOOKUP(B4235,辅助信息!E:I,3,FALSE)</f>
        <v>(五冶建设成都盐道街中学初中部改扩建工程-一标)四川省成都市锦江区春熙路街道盐道街4号（盐道街中学初中部）</v>
      </c>
      <c r="J4235" s="33" t="str">
        <f>VLOOKUP(B4235,辅助信息!E:I,4,FALSE)</f>
        <v>谢鑫</v>
      </c>
      <c r="K4235" s="33">
        <f>VLOOKUP(J4235,辅助信息!H:I,2,FALSE)</f>
        <v>18228465067</v>
      </c>
      <c r="L4235" s="102" t="str">
        <f>VLOOKUP(B4235,辅助信息!E:J,6,FALSE)</f>
        <v>联系实际收货人（易前刚18228465067）五冶建设送货单,6份材质书,锈货不收，装货前联系收货人核实到场规格,没提前告知进场规格现场不给予接收</v>
      </c>
      <c r="O4235" s="55" t="str">
        <f ca="1" t="shared" si="214"/>
        <v/>
      </c>
      <c r="P4235" s="55" t="str">
        <f ca="1" t="shared" si="215"/>
        <v/>
      </c>
      <c r="Q4235" s="22" t="str">
        <f>VLOOKUP(B4235,辅助信息!E:M,9,FALSE)</f>
        <v>ZTWM-CDGS-XS-2025-0073-五冶天府-成都怡心湖片区及龙泉驿医院等项目</v>
      </c>
      <c r="R4235" s="22" t="str">
        <f>_xlfn._xlws.FILTER(辅助信息!D:D,辅助信息!E:E=B4235)</f>
        <v>五冶建设成都盐道街中学初中部改扩建工程-一标</v>
      </c>
    </row>
    <row r="4236" hidden="1" spans="2:18">
      <c r="B4236" s="128" t="s">
        <v>231</v>
      </c>
      <c r="C4236" s="63">
        <v>45939</v>
      </c>
      <c r="D4236" s="33" t="str">
        <f>VLOOKUP(B4236,辅助信息!E:K,7,FALSE)</f>
        <v>JWDDCD2025102100481</v>
      </c>
      <c r="E4236" s="33" t="str">
        <f>VLOOKUP(F4236,辅助信息!A:B,2,FALSE)</f>
        <v>螺纹钢</v>
      </c>
      <c r="F4236" s="33" t="s">
        <v>30</v>
      </c>
      <c r="G4236" s="29">
        <v>3</v>
      </c>
      <c r="H4236" s="127"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33" t="str">
        <f>VLOOKUP(B4236,辅助信息!E:I,3,FALSE)</f>
        <v>(五冶建设成都盐道街中学初中部改扩建工程-一标)四川省成都市锦江区春熙路街道盐道街4号（盐道街中学初中部）</v>
      </c>
      <c r="J4236" s="33" t="str">
        <f>VLOOKUP(B4236,辅助信息!E:I,4,FALSE)</f>
        <v>谢鑫</v>
      </c>
      <c r="K4236" s="33">
        <f>VLOOKUP(J4236,辅助信息!H:I,2,FALSE)</f>
        <v>18228465067</v>
      </c>
      <c r="L4236" s="102" t="str">
        <f>VLOOKUP(B4236,辅助信息!E:J,6,FALSE)</f>
        <v>联系实际收货人（易前刚18228465067）五冶建设送货单,6份材质书,锈货不收，装货前联系收货人核实到场规格,没提前告知进场规格现场不给予接收</v>
      </c>
      <c r="O4236" s="55" t="str">
        <f ca="1" t="shared" si="214"/>
        <v/>
      </c>
      <c r="P4236" s="55" t="str">
        <f ca="1" t="shared" si="215"/>
        <v/>
      </c>
      <c r="Q4236" s="22" t="str">
        <f>VLOOKUP(B4236,辅助信息!E:M,9,FALSE)</f>
        <v>ZTWM-CDGS-XS-2025-0073-五冶天府-成都怡心湖片区及龙泉驿医院等项目</v>
      </c>
      <c r="R4236" s="22" t="str">
        <f>_xlfn._xlws.FILTER(辅助信息!D:D,辅助信息!E:E=B4236)</f>
        <v>五冶建设成都盐道街中学初中部改扩建工程-一标</v>
      </c>
    </row>
    <row r="4237" hidden="1" spans="2:18">
      <c r="B4237" s="128" t="s">
        <v>231</v>
      </c>
      <c r="C4237" s="63">
        <v>45939</v>
      </c>
      <c r="D4237" s="33" t="str">
        <f>VLOOKUP(B4237,辅助信息!E:K,7,FALSE)</f>
        <v>JWDDCD2025102100481</v>
      </c>
      <c r="E4237" s="33" t="str">
        <f>VLOOKUP(F4237,辅助信息!A:B,2,FALSE)</f>
        <v>螺纹钢</v>
      </c>
      <c r="F4237" s="33" t="s">
        <v>28</v>
      </c>
      <c r="G4237" s="29">
        <v>6</v>
      </c>
      <c r="H4237" s="127"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33" t="str">
        <f>VLOOKUP(B4237,辅助信息!E:I,3,FALSE)</f>
        <v>(五冶建设成都盐道街中学初中部改扩建工程-一标)四川省成都市锦江区春熙路街道盐道街4号（盐道街中学初中部）</v>
      </c>
      <c r="J4237" s="33" t="str">
        <f>VLOOKUP(B4237,辅助信息!E:I,4,FALSE)</f>
        <v>谢鑫</v>
      </c>
      <c r="K4237" s="33">
        <f>VLOOKUP(J4237,辅助信息!H:I,2,FALSE)</f>
        <v>18228465067</v>
      </c>
      <c r="L4237" s="102" t="str">
        <f>VLOOKUP(B4237,辅助信息!E:J,6,FALSE)</f>
        <v>联系实际收货人（易前刚18228465067）五冶建设送货单,6份材质书,锈货不收，装货前联系收货人核实到场规格,没提前告知进场规格现场不给予接收</v>
      </c>
      <c r="O4237" s="55" t="str">
        <f ca="1" t="shared" si="214"/>
        <v/>
      </c>
      <c r="P4237" s="55" t="str">
        <f ca="1" t="shared" si="215"/>
        <v/>
      </c>
      <c r="Q4237" s="22" t="str">
        <f>VLOOKUP(B4237,辅助信息!E:M,9,FALSE)</f>
        <v>ZTWM-CDGS-XS-2025-0073-五冶天府-成都怡心湖片区及龙泉驿医院等项目</v>
      </c>
      <c r="R4237" s="22" t="str">
        <f>_xlfn._xlws.FILTER(辅助信息!D:D,辅助信息!E:E=B4237)</f>
        <v>五冶建设成都盐道街中学初中部改扩建工程-一标</v>
      </c>
    </row>
    <row r="4238" hidden="1" spans="2:18">
      <c r="B4238" s="128" t="s">
        <v>231</v>
      </c>
      <c r="C4238" s="63">
        <v>45939</v>
      </c>
      <c r="D4238" s="33" t="str">
        <f>VLOOKUP(B4238,辅助信息!E:K,7,FALSE)</f>
        <v>JWDDCD2025102100481</v>
      </c>
      <c r="E4238" s="33" t="str">
        <f>VLOOKUP(F4238,辅助信息!A:B,2,FALSE)</f>
        <v>螺纹钢</v>
      </c>
      <c r="F4238" s="33" t="s">
        <v>65</v>
      </c>
      <c r="G4238" s="29">
        <v>12</v>
      </c>
      <c r="H4238" s="127"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33" t="str">
        <f>VLOOKUP(B4238,辅助信息!E:I,3,FALSE)</f>
        <v>(五冶建设成都盐道街中学初中部改扩建工程-一标)四川省成都市锦江区春熙路街道盐道街4号（盐道街中学初中部）</v>
      </c>
      <c r="J4238" s="33" t="str">
        <f>VLOOKUP(B4238,辅助信息!E:I,4,FALSE)</f>
        <v>谢鑫</v>
      </c>
      <c r="K4238" s="33">
        <f>VLOOKUP(J4238,辅助信息!H:I,2,FALSE)</f>
        <v>18228465067</v>
      </c>
      <c r="L4238" s="102" t="str">
        <f>VLOOKUP(B4238,辅助信息!E:J,6,FALSE)</f>
        <v>联系实际收货人（易前刚18228465067）五冶建设送货单,6份材质书,锈货不收，装货前联系收货人核实到场规格,没提前告知进场规格现场不给予接收</v>
      </c>
      <c r="O4238" s="55" t="str">
        <f ca="1" t="shared" si="214"/>
        <v/>
      </c>
      <c r="P4238" s="55" t="str">
        <f ca="1" t="shared" si="215"/>
        <v/>
      </c>
      <c r="Q4238" s="22" t="str">
        <f>VLOOKUP(B4238,辅助信息!E:M,9,FALSE)</f>
        <v>ZTWM-CDGS-XS-2025-0073-五冶天府-成都怡心湖片区及龙泉驿医院等项目</v>
      </c>
      <c r="R4238" s="22" t="str">
        <f>_xlfn._xlws.FILTER(辅助信息!D:D,辅助信息!E:E=B4238)</f>
        <v>五冶建设成都盐道街中学初中部改扩建工程-一标</v>
      </c>
    </row>
    <row r="4239" hidden="1" spans="2:18">
      <c r="B4239" s="128" t="s">
        <v>112</v>
      </c>
      <c r="C4239" s="63">
        <v>45939</v>
      </c>
      <c r="D4239" s="33" t="str">
        <f>VLOOKUP(B4239,辅助信息!E:K,7,FALSE)</f>
        <v>JWDDCD2025052800131</v>
      </c>
      <c r="E4239" s="33" t="str">
        <f>VLOOKUP(F4239,辅助信息!A:B,2,FALSE)</f>
        <v>盘螺</v>
      </c>
      <c r="F4239" s="33" t="s">
        <v>49</v>
      </c>
      <c r="G4239" s="29">
        <v>12</v>
      </c>
      <c r="H4239" s="127"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33" t="str">
        <f>VLOOKUP(B4239,辅助信息!E:I,3,FALSE)</f>
        <v>（商投建工达州中医药科技园-4工区-10号楼）达州市通川区达州中医药职业学院犀牛大道北段</v>
      </c>
      <c r="J4239" s="33" t="str">
        <f>VLOOKUP(B4239,辅助信息!E:I,4,FALSE)</f>
        <v>张扬</v>
      </c>
      <c r="K4239" s="33">
        <f>VLOOKUP(J4239,辅助信息!H:I,2,FALSE)</f>
        <v>18381904567</v>
      </c>
      <c r="L4239" s="102" t="str">
        <f>VLOOKUP(B4239,辅助信息!E:J,6,FALSE)</f>
        <v>控制炉批号！多了现场不收！,优先安排达钢,提前联系到场规格及数量</v>
      </c>
      <c r="O4239" s="55" t="str">
        <f ca="1" t="shared" si="214"/>
        <v/>
      </c>
      <c r="P4239" s="55" t="str">
        <f ca="1" t="shared" si="215"/>
        <v/>
      </c>
      <c r="Q4239" s="22" t="str">
        <f>VLOOKUP(B4239,辅助信息!E:M,9,FALSE)</f>
        <v>ZTWM-CDGS-XS-2024-0134-商投建工达州中医药科技成果示范园项目</v>
      </c>
      <c r="R4239" s="22" t="str">
        <f>_xlfn._xlws.FILTER(辅助信息!D:D,辅助信息!E:E=B4239)</f>
        <v>商投建工达州中医药科技园</v>
      </c>
    </row>
    <row r="4240" hidden="1" spans="2:18">
      <c r="B4240" s="128" t="s">
        <v>112</v>
      </c>
      <c r="C4240" s="63">
        <v>45939</v>
      </c>
      <c r="D4240" s="33" t="str">
        <f>VLOOKUP(B4240,辅助信息!E:K,7,FALSE)</f>
        <v>JWDDCD2025052800131</v>
      </c>
      <c r="E4240" s="33" t="str">
        <f>VLOOKUP(F4240,辅助信息!A:B,2,FALSE)</f>
        <v>盘螺</v>
      </c>
      <c r="F4240" s="33" t="s">
        <v>40</v>
      </c>
      <c r="G4240" s="29">
        <v>24</v>
      </c>
      <c r="H4240" s="127"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33" t="str">
        <f>VLOOKUP(B4240,辅助信息!E:I,3,FALSE)</f>
        <v>（商投建工达州中医药科技园-4工区-10号楼）达州市通川区达州中医药职业学院犀牛大道北段</v>
      </c>
      <c r="J4240" s="33" t="str">
        <f>VLOOKUP(B4240,辅助信息!E:I,4,FALSE)</f>
        <v>张扬</v>
      </c>
      <c r="K4240" s="33">
        <f>VLOOKUP(J4240,辅助信息!H:I,2,FALSE)</f>
        <v>18381904567</v>
      </c>
      <c r="L4240" s="102" t="str">
        <f>VLOOKUP(B4240,辅助信息!E:J,6,FALSE)</f>
        <v>控制炉批号！多了现场不收！,优先安排达钢,提前联系到场规格及数量</v>
      </c>
      <c r="O4240" s="55" t="str">
        <f ca="1" t="shared" si="214"/>
        <v/>
      </c>
      <c r="P4240" s="55" t="str">
        <f ca="1" t="shared" si="215"/>
        <v/>
      </c>
      <c r="Q4240" s="22" t="str">
        <f>VLOOKUP(B4240,辅助信息!E:M,9,FALSE)</f>
        <v>ZTWM-CDGS-XS-2024-0134-商投建工达州中医药科技成果示范园项目</v>
      </c>
      <c r="R4240" s="22" t="str">
        <f>_xlfn._xlws.FILTER(辅助信息!D:D,辅助信息!E:E=B4240)</f>
        <v>商投建工达州中医药科技园</v>
      </c>
    </row>
    <row r="4241" hidden="1" spans="2:18">
      <c r="B4241" s="128" t="s">
        <v>112</v>
      </c>
      <c r="C4241" s="63">
        <v>45939</v>
      </c>
      <c r="D4241" s="33" t="str">
        <f>VLOOKUP(B4241,辅助信息!E:K,7,FALSE)</f>
        <v>JWDDCD2025052800131</v>
      </c>
      <c r="E4241" s="33" t="str">
        <f>VLOOKUP(F4241,辅助信息!A:B,2,FALSE)</f>
        <v>螺纹钢</v>
      </c>
      <c r="F4241" s="33" t="s">
        <v>32</v>
      </c>
      <c r="G4241" s="29">
        <v>3</v>
      </c>
      <c r="H4241" s="127"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33" t="str">
        <f>VLOOKUP(B4241,辅助信息!E:I,3,FALSE)</f>
        <v>（商投建工达州中医药科技园-4工区-10号楼）达州市通川区达州中医药职业学院犀牛大道北段</v>
      </c>
      <c r="J4241" s="33" t="str">
        <f>VLOOKUP(B4241,辅助信息!E:I,4,FALSE)</f>
        <v>张扬</v>
      </c>
      <c r="K4241" s="33">
        <f>VLOOKUP(J4241,辅助信息!H:I,2,FALSE)</f>
        <v>18381904567</v>
      </c>
      <c r="L4241" s="102" t="str">
        <f>VLOOKUP(B4241,辅助信息!E:J,6,FALSE)</f>
        <v>控制炉批号！多了现场不收！,优先安排达钢,提前联系到场规格及数量</v>
      </c>
      <c r="O4241" s="55" t="str">
        <f ca="1" t="shared" si="214"/>
        <v/>
      </c>
      <c r="P4241" s="55" t="str">
        <f ca="1" t="shared" si="215"/>
        <v/>
      </c>
      <c r="Q4241" s="22" t="str">
        <f>VLOOKUP(B4241,辅助信息!E:M,9,FALSE)</f>
        <v>ZTWM-CDGS-XS-2024-0134-商投建工达州中医药科技成果示范园项目</v>
      </c>
      <c r="R4241" s="22" t="str">
        <f>_xlfn._xlws.FILTER(辅助信息!D:D,辅助信息!E:E=B4241)</f>
        <v>商投建工达州中医药科技园</v>
      </c>
    </row>
    <row r="4242" hidden="1" spans="2:18">
      <c r="B4242" s="128" t="s">
        <v>112</v>
      </c>
      <c r="C4242" s="63">
        <v>45939</v>
      </c>
      <c r="D4242" s="33" t="str">
        <f>VLOOKUP(B4242,辅助信息!E:K,7,FALSE)</f>
        <v>JWDDCD2025052800131</v>
      </c>
      <c r="E4242" s="33" t="str">
        <f>VLOOKUP(F4242,辅助信息!A:B,2,FALSE)</f>
        <v>螺纹钢</v>
      </c>
      <c r="F4242" s="33" t="s">
        <v>18</v>
      </c>
      <c r="G4242" s="29">
        <v>12</v>
      </c>
      <c r="H4242" s="127"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33" t="str">
        <f>VLOOKUP(B4242,辅助信息!E:I,3,FALSE)</f>
        <v>（商投建工达州中医药科技园-4工区-10号楼）达州市通川区达州中医药职业学院犀牛大道北段</v>
      </c>
      <c r="J4242" s="33" t="str">
        <f>VLOOKUP(B4242,辅助信息!E:I,4,FALSE)</f>
        <v>张扬</v>
      </c>
      <c r="K4242" s="33">
        <f>VLOOKUP(J4242,辅助信息!H:I,2,FALSE)</f>
        <v>18381904567</v>
      </c>
      <c r="L4242" s="102" t="str">
        <f>VLOOKUP(B4242,辅助信息!E:J,6,FALSE)</f>
        <v>控制炉批号！多了现场不收！,优先安排达钢,提前联系到场规格及数量</v>
      </c>
      <c r="O4242" s="55" t="str">
        <f ca="1" t="shared" si="214"/>
        <v/>
      </c>
      <c r="P4242" s="55" t="str">
        <f ca="1" t="shared" si="215"/>
        <v/>
      </c>
      <c r="Q4242" s="22" t="str">
        <f>VLOOKUP(B4242,辅助信息!E:M,9,FALSE)</f>
        <v>ZTWM-CDGS-XS-2024-0134-商投建工达州中医药科技成果示范园项目</v>
      </c>
      <c r="R4242" s="22" t="str">
        <f>_xlfn._xlws.FILTER(辅助信息!D:D,辅助信息!E:E=B4242)</f>
        <v>商投建工达州中医药科技园</v>
      </c>
    </row>
    <row r="4243" hidden="1" spans="2:18">
      <c r="B4243" s="128" t="s">
        <v>112</v>
      </c>
      <c r="C4243" s="63">
        <v>45939</v>
      </c>
      <c r="D4243" s="33" t="str">
        <f>VLOOKUP(B4243,辅助信息!E:K,7,FALSE)</f>
        <v>JWDDCD2025052800131</v>
      </c>
      <c r="E4243" s="33" t="str">
        <f>VLOOKUP(F4243,辅助信息!A:B,2,FALSE)</f>
        <v>螺纹钢</v>
      </c>
      <c r="F4243" s="33" t="s">
        <v>21</v>
      </c>
      <c r="G4243" s="29">
        <v>12</v>
      </c>
      <c r="H4243" s="127"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33" t="str">
        <f>VLOOKUP(B4243,辅助信息!E:I,3,FALSE)</f>
        <v>（商投建工达州中医药科技园-4工区-10号楼）达州市通川区达州中医药职业学院犀牛大道北段</v>
      </c>
      <c r="J4243" s="33" t="str">
        <f>VLOOKUP(B4243,辅助信息!E:I,4,FALSE)</f>
        <v>张扬</v>
      </c>
      <c r="K4243" s="33">
        <f>VLOOKUP(J4243,辅助信息!H:I,2,FALSE)</f>
        <v>18381904567</v>
      </c>
      <c r="L4243" s="102" t="str">
        <f>VLOOKUP(B4243,辅助信息!E:J,6,FALSE)</f>
        <v>控制炉批号！多了现场不收！,优先安排达钢,提前联系到场规格及数量</v>
      </c>
      <c r="O4243" s="55" t="str">
        <f ca="1" t="shared" si="214"/>
        <v/>
      </c>
      <c r="P4243" s="55" t="str">
        <f ca="1" t="shared" si="215"/>
        <v/>
      </c>
      <c r="Q4243" s="22" t="str">
        <f>VLOOKUP(B4243,辅助信息!E:M,9,FALSE)</f>
        <v>ZTWM-CDGS-XS-2024-0134-商投建工达州中医药科技成果示范园项目</v>
      </c>
      <c r="R4243" s="22" t="str">
        <f>_xlfn._xlws.FILTER(辅助信息!D:D,辅助信息!E:E=B4243)</f>
        <v>商投建工达州中医药科技园</v>
      </c>
    </row>
    <row r="4244" hidden="1" spans="2:18">
      <c r="B4244" s="128" t="s">
        <v>112</v>
      </c>
      <c r="C4244" s="63">
        <v>45939</v>
      </c>
      <c r="D4244" s="33" t="str">
        <f>VLOOKUP(B4244,辅助信息!E:K,7,FALSE)</f>
        <v>JWDDCD2025052800131</v>
      </c>
      <c r="E4244" s="33" t="str">
        <f>VLOOKUP(F4244,辅助信息!A:B,2,FALSE)</f>
        <v>螺纹钢</v>
      </c>
      <c r="F4244" s="33" t="s">
        <v>58</v>
      </c>
      <c r="G4244" s="29">
        <v>12</v>
      </c>
      <c r="H4244" s="127"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33" t="str">
        <f>VLOOKUP(B4244,辅助信息!E:I,3,FALSE)</f>
        <v>（商投建工达州中医药科技园-4工区-10号楼）达州市通川区达州中医药职业学院犀牛大道北段</v>
      </c>
      <c r="J4244" s="33" t="str">
        <f>VLOOKUP(B4244,辅助信息!E:I,4,FALSE)</f>
        <v>张扬</v>
      </c>
      <c r="K4244" s="33">
        <f>VLOOKUP(J4244,辅助信息!H:I,2,FALSE)</f>
        <v>18381904567</v>
      </c>
      <c r="L4244" s="102" t="str">
        <f>VLOOKUP(B4244,辅助信息!E:J,6,FALSE)</f>
        <v>控制炉批号！多了现场不收！,优先安排达钢,提前联系到场规格及数量</v>
      </c>
      <c r="O4244" s="55" t="str">
        <f ca="1" t="shared" si="214"/>
        <v/>
      </c>
      <c r="P4244" s="55" t="str">
        <f ca="1" t="shared" si="215"/>
        <v/>
      </c>
      <c r="Q4244" s="22" t="str">
        <f>VLOOKUP(B4244,辅助信息!E:M,9,FALSE)</f>
        <v>ZTWM-CDGS-XS-2024-0134-商投建工达州中医药科技成果示范园项目</v>
      </c>
      <c r="R4244" s="22" t="str">
        <f>_xlfn._xlws.FILTER(辅助信息!D:D,辅助信息!E:E=B4244)</f>
        <v>商投建工达州中医药科技园</v>
      </c>
    </row>
    <row r="4245" hidden="1" spans="2:18">
      <c r="B4245" s="128" t="s">
        <v>112</v>
      </c>
      <c r="C4245" s="63">
        <v>45939</v>
      </c>
      <c r="D4245" s="33" t="str">
        <f>VLOOKUP(B4245,辅助信息!E:K,7,FALSE)</f>
        <v>JWDDCD2025052800131</v>
      </c>
      <c r="E4245" s="33" t="str">
        <f>VLOOKUP(F4245,辅助信息!A:B,2,FALSE)</f>
        <v>螺纹钢</v>
      </c>
      <c r="F4245" s="33" t="s">
        <v>22</v>
      </c>
      <c r="G4245" s="29">
        <v>21</v>
      </c>
      <c r="H4245" s="127"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33" t="str">
        <f>VLOOKUP(B4245,辅助信息!E:I,3,FALSE)</f>
        <v>（商投建工达州中医药科技园-4工区-10号楼）达州市通川区达州中医药职业学院犀牛大道北段</v>
      </c>
      <c r="J4245" s="33" t="str">
        <f>VLOOKUP(B4245,辅助信息!E:I,4,FALSE)</f>
        <v>张扬</v>
      </c>
      <c r="K4245" s="33">
        <f>VLOOKUP(J4245,辅助信息!H:I,2,FALSE)</f>
        <v>18381904567</v>
      </c>
      <c r="L4245" s="102" t="str">
        <f>VLOOKUP(B4245,辅助信息!E:J,6,FALSE)</f>
        <v>控制炉批号！多了现场不收！,优先安排达钢,提前联系到场规格及数量</v>
      </c>
      <c r="O4245" s="55" t="str">
        <f ca="1" t="shared" si="214"/>
        <v/>
      </c>
      <c r="P4245" s="55" t="str">
        <f ca="1" t="shared" si="215"/>
        <v/>
      </c>
      <c r="Q4245" s="22" t="str">
        <f>VLOOKUP(B4245,辅助信息!E:M,9,FALSE)</f>
        <v>ZTWM-CDGS-XS-2024-0134-商投建工达州中医药科技成果示范园项目</v>
      </c>
      <c r="R4245" s="22" t="str">
        <f>_xlfn._xlws.FILTER(辅助信息!D:D,辅助信息!E:E=B4245)</f>
        <v>商投建工达州中医药科技园</v>
      </c>
    </row>
    <row r="4246" hidden="1" spans="1:18">
      <c r="A4246" s="122"/>
      <c r="B4246" s="129" t="s">
        <v>231</v>
      </c>
      <c r="C4246" s="63">
        <v>45940</v>
      </c>
      <c r="D4246" s="113" t="str">
        <f>VLOOKUP(B4246,辅助信息!E:K,7,FALSE)</f>
        <v>JWDDCD2025102100481</v>
      </c>
      <c r="E4246" s="113" t="str">
        <f>VLOOKUP(F4246,辅助信息!A:B,2,FALSE)</f>
        <v>螺纹钢</v>
      </c>
      <c r="F4246" s="113" t="s">
        <v>32</v>
      </c>
      <c r="G4246" s="114">
        <v>3</v>
      </c>
      <c r="H4246" s="127">
        <v>3</v>
      </c>
      <c r="I4246" s="113" t="str">
        <f>VLOOKUP(B4246,辅助信息!E:I,3,FALSE)</f>
        <v>(五冶建设成都盐道街中学初中部改扩建工程-一标)四川省成都市锦江区春熙路街道盐道街4号（盐道街中学初中部）</v>
      </c>
      <c r="J4246" s="113" t="str">
        <f>VLOOKUP(B4246,辅助信息!E:I,4,FALSE)</f>
        <v>谢鑫</v>
      </c>
      <c r="K4246" s="113">
        <f>VLOOKUP(J4246,辅助信息!H:I,2,FALSE)</f>
        <v>18228465067</v>
      </c>
      <c r="L4246" s="115" t="str">
        <f>VLOOKUP(B4246,辅助信息!E:J,6,FALSE)</f>
        <v>联系实际收货人（易前刚18228465067）五冶建设送货单,6份材质书,锈货不收，装货前联系收货人核实到场规格,没提前告知进场规格现场不给予接收</v>
      </c>
      <c r="O4246" s="55" t="str">
        <f ca="1" t="shared" si="214"/>
        <v/>
      </c>
      <c r="P4246" s="55" t="str">
        <f ca="1" t="shared" si="215"/>
        <v/>
      </c>
      <c r="Q4246" s="22" t="str">
        <f>VLOOKUP(B4246,辅助信息!E:M,9,FALSE)</f>
        <v>ZTWM-CDGS-XS-2025-0073-五冶天府-成都怡心湖片区及龙泉驿医院等项目</v>
      </c>
      <c r="R4246" s="22" t="str">
        <f>_xlfn._xlws.FILTER(辅助信息!D:D,辅助信息!E:E=B4246)</f>
        <v>五冶建设成都盐道街中学初中部改扩建工程-一标</v>
      </c>
    </row>
    <row r="4247" hidden="1" spans="1:18">
      <c r="A4247" s="122"/>
      <c r="B4247" s="129" t="s">
        <v>231</v>
      </c>
      <c r="C4247" s="63">
        <v>45940</v>
      </c>
      <c r="D4247" s="113" t="str">
        <f>VLOOKUP(B4247,辅助信息!E:K,7,FALSE)</f>
        <v>JWDDCD2025102100481</v>
      </c>
      <c r="E4247" s="113" t="str">
        <f>VLOOKUP(F4247,辅助信息!A:B,2,FALSE)</f>
        <v>螺纹钢</v>
      </c>
      <c r="F4247" s="113" t="s">
        <v>28</v>
      </c>
      <c r="G4247" s="114">
        <v>22</v>
      </c>
      <c r="H4247" s="127">
        <v>22</v>
      </c>
      <c r="I4247" s="113" t="str">
        <f>VLOOKUP(B4247,辅助信息!E:I,3,FALSE)</f>
        <v>(五冶建设成都盐道街中学初中部改扩建工程-一标)四川省成都市锦江区春熙路街道盐道街4号（盐道街中学初中部）</v>
      </c>
      <c r="J4247" s="113" t="str">
        <f>VLOOKUP(B4247,辅助信息!E:I,4,FALSE)</f>
        <v>谢鑫</v>
      </c>
      <c r="K4247" s="113">
        <f>VLOOKUP(J4247,辅助信息!H:I,2,FALSE)</f>
        <v>18228465067</v>
      </c>
      <c r="L4247" s="115" t="str">
        <f>VLOOKUP(B4247,辅助信息!E:J,6,FALSE)</f>
        <v>联系实际收货人（易前刚18228465067）五冶建设送货单,6份材质书,锈货不收，装货前联系收货人核实到场规格,没提前告知进场规格现场不给予接收</v>
      </c>
      <c r="O4247" s="55" t="str">
        <f ca="1" t="shared" si="214"/>
        <v/>
      </c>
      <c r="P4247" s="55" t="str">
        <f ca="1" t="shared" si="215"/>
        <v/>
      </c>
      <c r="Q4247" s="22" t="str">
        <f>VLOOKUP(B4247,辅助信息!E:M,9,FALSE)</f>
        <v>ZTWM-CDGS-XS-2025-0073-五冶天府-成都怡心湖片区及龙泉驿医院等项目</v>
      </c>
      <c r="R4247" s="22" t="str">
        <f>_xlfn._xlws.FILTER(辅助信息!D:D,辅助信息!E:E=B4247)</f>
        <v>五冶建设成都盐道街中学初中部改扩建工程-一标</v>
      </c>
    </row>
    <row r="4248" hidden="1" spans="1:18">
      <c r="A4248" s="122"/>
      <c r="B4248" s="129" t="s">
        <v>231</v>
      </c>
      <c r="C4248" s="63">
        <v>45940</v>
      </c>
      <c r="D4248" s="113" t="str">
        <f>VLOOKUP(B4248,辅助信息!E:K,7,FALSE)</f>
        <v>JWDDCD2025102100481</v>
      </c>
      <c r="E4248" s="113" t="str">
        <f>VLOOKUP(F4248,辅助信息!A:B,2,FALSE)</f>
        <v>螺纹钢</v>
      </c>
      <c r="F4248" s="113" t="s">
        <v>65</v>
      </c>
      <c r="G4248" s="114">
        <v>10</v>
      </c>
      <c r="H4248" s="127">
        <v>10</v>
      </c>
      <c r="I4248" s="113" t="str">
        <f>VLOOKUP(B4248,辅助信息!E:I,3,FALSE)</f>
        <v>(五冶建设成都盐道街中学初中部改扩建工程-一标)四川省成都市锦江区春熙路街道盐道街4号（盐道街中学初中部）</v>
      </c>
      <c r="J4248" s="113" t="str">
        <f>VLOOKUP(B4248,辅助信息!E:I,4,FALSE)</f>
        <v>谢鑫</v>
      </c>
      <c r="K4248" s="113">
        <f>VLOOKUP(J4248,辅助信息!H:I,2,FALSE)</f>
        <v>18228465067</v>
      </c>
      <c r="L4248" s="115" t="str">
        <f>VLOOKUP(B4248,辅助信息!E:J,6,FALSE)</f>
        <v>联系实际收货人（易前刚18228465067）五冶建设送货单,6份材质书,锈货不收，装货前联系收货人核实到场规格,没提前告知进场规格现场不给予接收</v>
      </c>
      <c r="O4248" s="55" t="str">
        <f ca="1" t="shared" si="214"/>
        <v/>
      </c>
      <c r="P4248" s="55" t="str">
        <f ca="1" t="shared" si="215"/>
        <v/>
      </c>
      <c r="Q4248" s="22" t="str">
        <f>VLOOKUP(B4248,辅助信息!E:M,9,FALSE)</f>
        <v>ZTWM-CDGS-XS-2025-0073-五冶天府-成都怡心湖片区及龙泉驿医院等项目</v>
      </c>
      <c r="R4248" s="22" t="str">
        <f>_xlfn._xlws.FILTER(辅助信息!D:D,辅助信息!E:E=B4248)</f>
        <v>五冶建设成都盐道街中学初中部改扩建工程-一标</v>
      </c>
    </row>
    <row r="4249" hidden="1" spans="1:18">
      <c r="A4249" s="121" t="s">
        <v>233</v>
      </c>
      <c r="B4249" s="129" t="s">
        <v>196</v>
      </c>
      <c r="C4249" s="63">
        <v>45940</v>
      </c>
      <c r="D4249" s="113" t="str">
        <f>VLOOKUP(B4249,辅助信息!E:K,7,FALSE)</f>
        <v>JWDDCD2025102100476</v>
      </c>
      <c r="E4249" s="113" t="str">
        <f>VLOOKUP(F4249,辅助信息!A:B,2,FALSE)</f>
        <v>螺纹钢</v>
      </c>
      <c r="F4249" s="113" t="s">
        <v>27</v>
      </c>
      <c r="G4249" s="114">
        <v>30</v>
      </c>
      <c r="H4249" s="127">
        <f>IF(SUMIFS('[1]2025年已发货'!$E:$E,'[1]2025年已发货'!$F:$F,C4249,'[1]2025年已发货'!$C:$C,F4249,'[1]2025年已发货'!$G:$G,I4249,'[1]2025年已发货'!$H:$H,J4249)=0,"未发货",SUMIFS('[1]2025年已发货'!$E:$E,'[1]2025年已发货'!$F:$F,C4249,'[1]2025年已发货'!$C:$C,F4249,'[1]2025年已发货'!$G:$G,I4249,'[1]2025年已发货'!$H:$H,J4249))</f>
        <v>30</v>
      </c>
      <c r="I4249" s="113" t="str">
        <f>VLOOKUP(B4249,辅助信息!E:I,3,FALSE)</f>
        <v>(五冶建设师大附中外语校新建教学楼工程)四川省成都市成华区大观堰2号(四川师范大学附属中学外国语学校)</v>
      </c>
      <c r="J4249" s="113" t="str">
        <f>VLOOKUP(B4249,辅助信息!E:I,4,FALSE)</f>
        <v>蔡浩</v>
      </c>
      <c r="K4249" s="113">
        <f>VLOOKUP(J4249,辅助信息!H:I,2,FALSE)</f>
        <v>13980880820</v>
      </c>
      <c r="L4249" s="115"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84">
        <v>45940</v>
      </c>
      <c r="O4249" s="55">
        <f ca="1" t="shared" si="214"/>
        <v>0</v>
      </c>
      <c r="P4249" s="55">
        <f ca="1" t="shared" si="215"/>
        <v>17</v>
      </c>
      <c r="Q4249" s="22" t="str">
        <f>VLOOKUP(B4249,辅助信息!E:M,9,FALSE)</f>
        <v>ZTWM-CDGS-XS-2025-0073-五冶天府-成都怡心湖片区及龙泉驿医院等项目</v>
      </c>
      <c r="R4249" s="22" t="str">
        <f>_xlfn._xlws.FILTER(辅助信息!D:D,辅助信息!E:E=B4249)</f>
        <v>五冶建设师大附中外语校新建教学楼工程</v>
      </c>
    </row>
    <row r="4250" hidden="1" spans="1:18">
      <c r="A4250" s="121"/>
      <c r="B4250" s="129" t="s">
        <v>196</v>
      </c>
      <c r="C4250" s="63">
        <v>45940</v>
      </c>
      <c r="D4250" s="113" t="str">
        <f>VLOOKUP(B4250,辅助信息!E:K,7,FALSE)</f>
        <v>JWDDCD2025102100476</v>
      </c>
      <c r="E4250" s="113" t="str">
        <f>VLOOKUP(F4250,辅助信息!A:B,2,FALSE)</f>
        <v>螺纹钢</v>
      </c>
      <c r="F4250" s="113" t="s">
        <v>66</v>
      </c>
      <c r="G4250" s="114">
        <v>5</v>
      </c>
      <c r="H4250" s="127">
        <f>IF(SUMIFS('[1]2025年已发货'!$E:$E,'[1]2025年已发货'!$F:$F,C4250,'[1]2025年已发货'!$C:$C,F4250,'[1]2025年已发货'!$G:$G,I4250,'[1]2025年已发货'!$H:$H,J4250)=0,"未发货",SUMIFS('[1]2025年已发货'!$E:$E,'[1]2025年已发货'!$F:$F,C4250,'[1]2025年已发货'!$C:$C,F4250,'[1]2025年已发货'!$G:$G,I4250,'[1]2025年已发货'!$H:$H,J4250))</f>
        <v>5</v>
      </c>
      <c r="I4250" s="113" t="str">
        <f>VLOOKUP(B4250,辅助信息!E:I,3,FALSE)</f>
        <v>(五冶建设师大附中外语校新建教学楼工程)四川省成都市成华区大观堰2号(四川师范大学附属中学外国语学校)</v>
      </c>
      <c r="J4250" s="113" t="str">
        <f>VLOOKUP(B4250,辅助信息!E:I,4,FALSE)</f>
        <v>蔡浩</v>
      </c>
      <c r="K4250" s="113">
        <f>VLOOKUP(J4250,辅助信息!H:I,2,FALSE)</f>
        <v>13980880820</v>
      </c>
      <c r="L4250" s="115"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84">
        <v>45940</v>
      </c>
      <c r="O4250" s="55">
        <f ca="1" t="shared" si="214"/>
        <v>0</v>
      </c>
      <c r="P4250" s="55">
        <f ca="1" t="shared" si="215"/>
        <v>17</v>
      </c>
      <c r="Q4250" s="22" t="str">
        <f>VLOOKUP(B4250,辅助信息!E:M,9,FALSE)</f>
        <v>ZTWM-CDGS-XS-2025-0073-五冶天府-成都怡心湖片区及龙泉驿医院等项目</v>
      </c>
      <c r="R4250" s="22" t="str">
        <f>_xlfn._xlws.FILTER(辅助信息!D:D,辅助信息!E:E=B4250)</f>
        <v>五冶建设师大附中外语校新建教学楼工程</v>
      </c>
    </row>
    <row r="4251" hidden="1" spans="1:18">
      <c r="A4251" s="121"/>
      <c r="B4251" s="129" t="s">
        <v>196</v>
      </c>
      <c r="C4251" s="63">
        <v>45940</v>
      </c>
      <c r="D4251" s="113" t="str">
        <f>VLOOKUP(B4251,辅助信息!E:K,7,FALSE)</f>
        <v>JWDDCD2025102100476</v>
      </c>
      <c r="E4251" s="113" t="str">
        <f>VLOOKUP(F4251,辅助信息!A:B,2,FALSE)</f>
        <v>螺纹钢</v>
      </c>
      <c r="F4251" s="113" t="s">
        <v>21</v>
      </c>
      <c r="G4251" s="114">
        <v>5</v>
      </c>
      <c r="H4251" s="127">
        <f>IF(SUMIFS('[1]2025年已发货'!$E:$E,'[1]2025年已发货'!$F:$F,C4251,'[1]2025年已发货'!$C:$C,F4251,'[1]2025年已发货'!$G:$G,I4251,'[1]2025年已发货'!$H:$H,J4251)=0,"未发货",SUMIFS('[1]2025年已发货'!$E:$E,'[1]2025年已发货'!$F:$F,C4251,'[1]2025年已发货'!$C:$C,F4251,'[1]2025年已发货'!$G:$G,I4251,'[1]2025年已发货'!$H:$H,J4251))</f>
        <v>5</v>
      </c>
      <c r="I4251" s="113" t="str">
        <f>VLOOKUP(B4251,辅助信息!E:I,3,FALSE)</f>
        <v>(五冶建设师大附中外语校新建教学楼工程)四川省成都市成华区大观堰2号(四川师范大学附属中学外国语学校)</v>
      </c>
      <c r="J4251" s="113" t="str">
        <f>VLOOKUP(B4251,辅助信息!E:I,4,FALSE)</f>
        <v>蔡浩</v>
      </c>
      <c r="K4251" s="113">
        <f>VLOOKUP(J4251,辅助信息!H:I,2,FALSE)</f>
        <v>13980880820</v>
      </c>
      <c r="L4251" s="115"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84">
        <v>45940</v>
      </c>
      <c r="O4251" s="55">
        <f ca="1" t="shared" si="214"/>
        <v>0</v>
      </c>
      <c r="P4251" s="55">
        <f ca="1" t="shared" si="215"/>
        <v>17</v>
      </c>
      <c r="Q4251" s="22" t="str">
        <f>VLOOKUP(B4251,辅助信息!E:M,9,FALSE)</f>
        <v>ZTWM-CDGS-XS-2025-0073-五冶天府-成都怡心湖片区及龙泉驿医院等项目</v>
      </c>
      <c r="R4251" s="22" t="str">
        <f>_xlfn._xlws.FILTER(辅助信息!D:D,辅助信息!E:E=B4251)</f>
        <v>五冶建设师大附中外语校新建教学楼工程</v>
      </c>
    </row>
    <row r="4252" hidden="1" spans="1:18">
      <c r="A4252" s="121"/>
      <c r="B4252" s="129" t="s">
        <v>196</v>
      </c>
      <c r="C4252" s="63">
        <v>45940</v>
      </c>
      <c r="D4252" s="113" t="str">
        <f>VLOOKUP(B4252,辅助信息!E:K,7,FALSE)</f>
        <v>JWDDCD2025102100476</v>
      </c>
      <c r="E4252" s="113" t="str">
        <f>VLOOKUP(F4252,辅助信息!A:B,2,FALSE)</f>
        <v>螺纹钢</v>
      </c>
      <c r="F4252" s="113" t="s">
        <v>46</v>
      </c>
      <c r="G4252" s="114">
        <v>5</v>
      </c>
      <c r="H4252" s="127">
        <f>IF(SUMIFS('[1]2025年已发货'!$E:$E,'[1]2025年已发货'!$F:$F,C4252,'[1]2025年已发货'!$C:$C,F4252,'[1]2025年已发货'!$G:$G,I4252,'[1]2025年已发货'!$H:$H,J4252)=0,"未发货",SUMIFS('[1]2025年已发货'!$E:$E,'[1]2025年已发货'!$F:$F,C4252,'[1]2025年已发货'!$C:$C,F4252,'[1]2025年已发货'!$G:$G,I4252,'[1]2025年已发货'!$H:$H,J4252))</f>
        <v>5</v>
      </c>
      <c r="I4252" s="113" t="str">
        <f>VLOOKUP(B4252,辅助信息!E:I,3,FALSE)</f>
        <v>(五冶建设师大附中外语校新建教学楼工程)四川省成都市成华区大观堰2号(四川师范大学附属中学外国语学校)</v>
      </c>
      <c r="J4252" s="113" t="str">
        <f>VLOOKUP(B4252,辅助信息!E:I,4,FALSE)</f>
        <v>蔡浩</v>
      </c>
      <c r="K4252" s="113">
        <f>VLOOKUP(J4252,辅助信息!H:I,2,FALSE)</f>
        <v>13980880820</v>
      </c>
      <c r="L4252" s="115"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84">
        <v>45940</v>
      </c>
      <c r="O4252" s="55">
        <f ca="1" t="shared" si="214"/>
        <v>0</v>
      </c>
      <c r="P4252" s="55">
        <f ca="1" t="shared" si="215"/>
        <v>17</v>
      </c>
      <c r="Q4252" s="22" t="str">
        <f>VLOOKUP(B4252,辅助信息!E:M,9,FALSE)</f>
        <v>ZTWM-CDGS-XS-2025-0073-五冶天府-成都怡心湖片区及龙泉驿医院等项目</v>
      </c>
      <c r="R4252" s="22" t="str">
        <f>_xlfn._xlws.FILTER(辅助信息!D:D,辅助信息!E:E=B4252)</f>
        <v>五冶建设师大附中外语校新建教学楼工程</v>
      </c>
    </row>
    <row r="4253" hidden="1" spans="1:18">
      <c r="A4253" s="121"/>
      <c r="B4253" s="129" t="s">
        <v>196</v>
      </c>
      <c r="C4253" s="63">
        <v>45940</v>
      </c>
      <c r="D4253" s="113" t="str">
        <f>VLOOKUP(B4253,辅助信息!E:K,7,FALSE)</f>
        <v>JWDDCD2025102100476</v>
      </c>
      <c r="E4253" s="113" t="str">
        <f>VLOOKUP(F4253,辅助信息!A:B,2,FALSE)</f>
        <v>螺纹钢</v>
      </c>
      <c r="F4253" s="113" t="s">
        <v>22</v>
      </c>
      <c r="G4253" s="114">
        <v>40</v>
      </c>
      <c r="H4253" s="127">
        <f>IF(SUMIFS('[1]2025年已发货'!$E:$E,'[1]2025年已发货'!$F:$F,C4253,'[1]2025年已发货'!$C:$C,F4253,'[1]2025年已发货'!$G:$G,I4253,'[1]2025年已发货'!$H:$H,J4253)=0,"未发货",SUMIFS('[1]2025年已发货'!$E:$E,'[1]2025年已发货'!$F:$F,C4253,'[1]2025年已发货'!$C:$C,F4253,'[1]2025年已发货'!$G:$G,I4253,'[1]2025年已发货'!$H:$H,J4253))</f>
        <v>40</v>
      </c>
      <c r="I4253" s="113" t="str">
        <f>VLOOKUP(B4253,辅助信息!E:I,3,FALSE)</f>
        <v>(五冶建设师大附中外语校新建教学楼工程)四川省成都市成华区大观堰2号(四川师范大学附属中学外国语学校)</v>
      </c>
      <c r="J4253" s="113" t="str">
        <f>VLOOKUP(B4253,辅助信息!E:I,4,FALSE)</f>
        <v>蔡浩</v>
      </c>
      <c r="K4253" s="113">
        <f>VLOOKUP(J4253,辅助信息!H:I,2,FALSE)</f>
        <v>13980880820</v>
      </c>
      <c r="L4253" s="115"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84">
        <v>45940</v>
      </c>
      <c r="O4253" s="55">
        <f ca="1" t="shared" si="214"/>
        <v>0</v>
      </c>
      <c r="P4253" s="55">
        <f ca="1" t="shared" si="215"/>
        <v>17</v>
      </c>
      <c r="Q4253" s="22" t="str">
        <f>VLOOKUP(B4253,辅助信息!E:M,9,FALSE)</f>
        <v>ZTWM-CDGS-XS-2025-0073-五冶天府-成都怡心湖片区及龙泉驿医院等项目</v>
      </c>
      <c r="R4253" s="22" t="str">
        <f>_xlfn._xlws.FILTER(辅助信息!D:D,辅助信息!E:E=B4253)</f>
        <v>五冶建设师大附中外语校新建教学楼工程</v>
      </c>
    </row>
    <row r="4254" hidden="1" spans="1:18">
      <c r="A4254" s="121"/>
      <c r="B4254" s="129" t="s">
        <v>196</v>
      </c>
      <c r="C4254" s="63">
        <v>45940</v>
      </c>
      <c r="D4254" s="113" t="str">
        <f>VLOOKUP(B4254,辅助信息!E:K,7,FALSE)</f>
        <v>JWDDCD2025102100476</v>
      </c>
      <c r="E4254" s="113" t="str">
        <f>VLOOKUP(F4254,辅助信息!A:B,2,FALSE)</f>
        <v>螺纹钢</v>
      </c>
      <c r="F4254" s="113" t="s">
        <v>181</v>
      </c>
      <c r="G4254" s="114">
        <v>7.5</v>
      </c>
      <c r="H4254" s="127">
        <f>IF(SUMIFS('[1]2025年已发货'!$E:$E,'[1]2025年已发货'!$F:$F,C4254,'[1]2025年已发货'!$C:$C,F4254,'[1]2025年已发货'!$G:$G,I4254,'[1]2025年已发货'!$H:$H,J4254)=0,"未发货",SUMIFS('[1]2025年已发货'!$E:$E,'[1]2025年已发货'!$F:$F,C4254,'[1]2025年已发货'!$C:$C,F4254,'[1]2025年已发货'!$G:$G,I4254,'[1]2025年已发货'!$H:$H,J4254))</f>
        <v>7.5</v>
      </c>
      <c r="I4254" s="113" t="str">
        <f>VLOOKUP(B4254,辅助信息!E:I,3,FALSE)</f>
        <v>(五冶建设师大附中外语校新建教学楼工程)四川省成都市成华区大观堰2号(四川师范大学附属中学外国语学校)</v>
      </c>
      <c r="J4254" s="113" t="str">
        <f>VLOOKUP(B4254,辅助信息!E:I,4,FALSE)</f>
        <v>蔡浩</v>
      </c>
      <c r="K4254" s="113">
        <f>VLOOKUP(J4254,辅助信息!H:I,2,FALSE)</f>
        <v>13980880820</v>
      </c>
      <c r="L4254" s="115"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84">
        <v>45940</v>
      </c>
      <c r="O4254" s="55">
        <f ca="1" t="shared" si="214"/>
        <v>0</v>
      </c>
      <c r="P4254" s="55">
        <f ca="1" t="shared" si="215"/>
        <v>17</v>
      </c>
      <c r="Q4254" s="22" t="str">
        <f>VLOOKUP(B4254,辅助信息!E:M,9,FALSE)</f>
        <v>ZTWM-CDGS-XS-2025-0073-五冶天府-成都怡心湖片区及龙泉驿医院等项目</v>
      </c>
      <c r="R4254" s="22" t="str">
        <f>_xlfn._xlws.FILTER(辅助信息!D:D,辅助信息!E:E=B4254)</f>
        <v>五冶建设师大附中外语校新建教学楼工程</v>
      </c>
    </row>
    <row r="4255" hidden="1" spans="1:18">
      <c r="A4255" s="121"/>
      <c r="B4255" s="129" t="s">
        <v>196</v>
      </c>
      <c r="C4255" s="63">
        <v>45940</v>
      </c>
      <c r="D4255" s="113" t="str">
        <f>VLOOKUP(B4255,辅助信息!E:K,7,FALSE)</f>
        <v>JWDDCD2025102100476</v>
      </c>
      <c r="E4255" s="113" t="str">
        <f>VLOOKUP(F4255,辅助信息!A:B,2,FALSE)</f>
        <v>螺纹钢</v>
      </c>
      <c r="F4255" s="113" t="s">
        <v>182</v>
      </c>
      <c r="G4255" s="114">
        <v>12.5</v>
      </c>
      <c r="H4255" s="127">
        <f>IF(SUMIFS('[1]2025年已发货'!$E:$E,'[1]2025年已发货'!$F:$F,C4255,'[1]2025年已发货'!$C:$C,F4255,'[1]2025年已发货'!$G:$G,I4255,'[1]2025年已发货'!$H:$H,J4255)=0,"未发货",SUMIFS('[1]2025年已发货'!$E:$E,'[1]2025年已发货'!$F:$F,C4255,'[1]2025年已发货'!$C:$C,F4255,'[1]2025年已发货'!$G:$G,I4255,'[1]2025年已发货'!$H:$H,J4255))</f>
        <v>12.5</v>
      </c>
      <c r="I4255" s="113" t="str">
        <f>VLOOKUP(B4255,辅助信息!E:I,3,FALSE)</f>
        <v>(五冶建设师大附中外语校新建教学楼工程)四川省成都市成华区大观堰2号(四川师范大学附属中学外国语学校)</v>
      </c>
      <c r="J4255" s="113" t="str">
        <f>VLOOKUP(B4255,辅助信息!E:I,4,FALSE)</f>
        <v>蔡浩</v>
      </c>
      <c r="K4255" s="113">
        <f>VLOOKUP(J4255,辅助信息!H:I,2,FALSE)</f>
        <v>13980880820</v>
      </c>
      <c r="L4255" s="115"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84">
        <v>45940</v>
      </c>
      <c r="O4255" s="55">
        <f ca="1" t="shared" si="214"/>
        <v>0</v>
      </c>
      <c r="P4255" s="55">
        <f ca="1" t="shared" si="215"/>
        <v>17</v>
      </c>
      <c r="Q4255" s="22" t="str">
        <f>VLOOKUP(B4255,辅助信息!E:M,9,FALSE)</f>
        <v>ZTWM-CDGS-XS-2025-0073-五冶天府-成都怡心湖片区及龙泉驿医院等项目</v>
      </c>
      <c r="R4255" s="22" t="str">
        <f>_xlfn._xlws.FILTER(辅助信息!D:D,辅助信息!E:E=B4255)</f>
        <v>五冶建设师大附中外语校新建教学楼工程</v>
      </c>
    </row>
    <row r="4256" hidden="1" spans="2:18">
      <c r="B4256" s="129" t="s">
        <v>186</v>
      </c>
      <c r="C4256" s="63">
        <v>45940</v>
      </c>
      <c r="D4256" s="113" t="str">
        <f>VLOOKUP(B4256,辅助信息!E:K,7,FALSE)</f>
        <v>JWDDCD2025072900123</v>
      </c>
      <c r="E4256" s="113" t="str">
        <f>VLOOKUP(F4256,辅助信息!A:B,2,FALSE)</f>
        <v>螺纹钢</v>
      </c>
      <c r="F4256" s="113" t="s">
        <v>76</v>
      </c>
      <c r="G4256" s="114">
        <v>35</v>
      </c>
      <c r="H4256" s="127">
        <f>IF(SUMIFS('[1]2025年已发货'!$E:$E,'[1]2025年已发货'!$F:$F,C4256,'[1]2025年已发货'!$C:$C,F4256,'[1]2025年已发货'!$G:$G,I4256,'[1]2025年已发货'!$H:$H,J4256)=0,"未发货",SUMIFS('[1]2025年已发货'!$E:$E,'[1]2025年已发货'!$F:$F,C4256,'[1]2025年已发货'!$C:$C,F4256,'[1]2025年已发货'!$G:$G,I4256,'[1]2025年已发货'!$H:$H,J4256))</f>
        <v>35</v>
      </c>
      <c r="I4256" s="113" t="str">
        <f>VLOOKUP(B4256,辅助信息!E:I,3,FALSE)</f>
        <v>(乐山市校地共建产教融合基地建设项目二标段)四川省乐山市市中区苏稽镇</v>
      </c>
      <c r="J4256" s="113" t="str">
        <f>VLOOKUP(B4256,辅助信息!E:I,4,FALSE)</f>
        <v>彭江涛</v>
      </c>
      <c r="K4256" s="113">
        <f>VLOOKUP(J4256,辅助信息!H:I,2,FALSE)</f>
        <v>13990276572</v>
      </c>
      <c r="L4256" s="115" t="str">
        <f>VLOOKUP(B4256,辅助信息!E:J,6,FALSE)</f>
        <v>联系实际收货人（彭江涛13990276572）现场要求炉批号控制2个以下，超2个不给予签收。提前联系到场规格及数量</v>
      </c>
      <c r="O4256" s="55" t="str">
        <f ca="1" t="shared" ref="O4256:O4319" si="216">IF(OR(M4256="",N4256&lt;&gt;""),"",MAX(M4256-TODAY(),0))</f>
        <v/>
      </c>
      <c r="P4256" s="55" t="str">
        <f ca="1" t="shared" ref="P4256:P4319" si="217">IF(M4256="","",IF(N4256&lt;&gt;"",MAX(N4256-M4256,0),IF(TODAY()&gt;M4256,TODAY()-M4256,0)))</f>
        <v/>
      </c>
      <c r="Q4256" s="22" t="str">
        <f>VLOOKUP(B4256,辅助信息!E:M,9,FALSE)</f>
        <v>ZTWM-CDGS-XS-2025-0126-四川机司-乐山市校地共建产教融合基地配套设施项目施工二标段钢筋采购合同</v>
      </c>
      <c r="R4256" s="22" t="str">
        <f>_xlfn._xlws.FILTER(辅助信息!D:D,辅助信息!E:E=B4256)</f>
        <v>乐山市校地共建产教融合基地建设项目二标段</v>
      </c>
    </row>
    <row r="4257" hidden="1" spans="2:18">
      <c r="B4257" s="129" t="s">
        <v>92</v>
      </c>
      <c r="C4257" s="63">
        <v>45940</v>
      </c>
      <c r="D4257" s="113" t="str">
        <f>VLOOKUP(B4257,辅助信息!E:K,7,FALSE)</f>
        <v>JWDDCD2025051800046</v>
      </c>
      <c r="E4257" s="113" t="str">
        <f>VLOOKUP(F4257,辅助信息!A:B,2,FALSE)</f>
        <v>盘螺</v>
      </c>
      <c r="F4257" s="113" t="s">
        <v>49</v>
      </c>
      <c r="G4257" s="114">
        <v>2.5</v>
      </c>
      <c r="H4257" s="127"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13" t="str">
        <f>VLOOKUP(B4257,辅助信息!E:I,3,FALSE)</f>
        <v>（华西萌海科创农业生态谷）成都市简阳市白金山水库</v>
      </c>
      <c r="J4257" s="113" t="str">
        <f>VLOOKUP(B4257,辅助信息!E:I,4,FALSE)</f>
        <v>石清国</v>
      </c>
      <c r="K4257" s="113">
        <f>VLOOKUP(J4257,辅助信息!H:I,2,FALSE)</f>
        <v>13458642015</v>
      </c>
      <c r="L4257" s="115" t="str">
        <f>VLOOKUP(B4257,辅助信息!E:J,6,FALSE)</f>
        <v>优先威钢,我方卸车,新老国标钢厂不加价可直发</v>
      </c>
      <c r="M4257" s="141">
        <v>45942</v>
      </c>
      <c r="O4257" s="55">
        <f ca="1" t="shared" si="216"/>
        <v>0</v>
      </c>
      <c r="P4257" s="55">
        <f ca="1" t="shared" si="217"/>
        <v>15</v>
      </c>
      <c r="Q4257" s="22" t="str">
        <f>VLOOKUP(B4257,辅助信息!E:M,9,FALSE)</f>
        <v>ZTWM-CDGS-XS-2024-0092-华西-萌海科创农业生态谷</v>
      </c>
      <c r="R4257" s="22" t="str">
        <f>_xlfn._xlws.FILTER(辅助信息!D:D,辅助信息!E:E=B4257)</f>
        <v>华西萌海-科创农业生态谷</v>
      </c>
    </row>
    <row r="4258" hidden="1" spans="2:18">
      <c r="B4258" s="129" t="s">
        <v>92</v>
      </c>
      <c r="C4258" s="63">
        <v>45940</v>
      </c>
      <c r="D4258" s="113" t="str">
        <f>VLOOKUP(B4258,辅助信息!E:K,7,FALSE)</f>
        <v>JWDDCD2025051800046</v>
      </c>
      <c r="E4258" s="113" t="str">
        <f>VLOOKUP(F4258,辅助信息!A:B,2,FALSE)</f>
        <v>盘螺</v>
      </c>
      <c r="F4258" s="113" t="s">
        <v>40</v>
      </c>
      <c r="G4258" s="114">
        <v>20</v>
      </c>
      <c r="H4258" s="127"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13" t="str">
        <f>VLOOKUP(B4258,辅助信息!E:I,3,FALSE)</f>
        <v>（华西萌海科创农业生态谷）成都市简阳市白金山水库</v>
      </c>
      <c r="J4258" s="113" t="str">
        <f>VLOOKUP(B4258,辅助信息!E:I,4,FALSE)</f>
        <v>石清国</v>
      </c>
      <c r="K4258" s="113">
        <f>VLOOKUP(J4258,辅助信息!H:I,2,FALSE)</f>
        <v>13458642015</v>
      </c>
      <c r="L4258" s="115" t="str">
        <f>VLOOKUP(B4258,辅助信息!E:J,6,FALSE)</f>
        <v>优先威钢,我方卸车,新老国标钢厂不加价可直发</v>
      </c>
      <c r="M4258" s="141">
        <v>45942</v>
      </c>
      <c r="O4258" s="55">
        <f ca="1" t="shared" si="216"/>
        <v>0</v>
      </c>
      <c r="P4258" s="55">
        <f ca="1" t="shared" si="217"/>
        <v>15</v>
      </c>
      <c r="Q4258" s="22" t="str">
        <f>VLOOKUP(B4258,辅助信息!E:M,9,FALSE)</f>
        <v>ZTWM-CDGS-XS-2024-0092-华西-萌海科创农业生态谷</v>
      </c>
      <c r="R4258" s="22" t="str">
        <f>_xlfn._xlws.FILTER(辅助信息!D:D,辅助信息!E:E=B4258)</f>
        <v>华西萌海-科创农业生态谷</v>
      </c>
    </row>
    <row r="4259" hidden="1" spans="2:18">
      <c r="B4259" s="129" t="s">
        <v>92</v>
      </c>
      <c r="C4259" s="63">
        <v>45940</v>
      </c>
      <c r="D4259" s="113" t="str">
        <f>VLOOKUP(B4259,辅助信息!E:K,7,FALSE)</f>
        <v>JWDDCD2025051800046</v>
      </c>
      <c r="E4259" s="113" t="str">
        <f>VLOOKUP(F4259,辅助信息!A:B,2,FALSE)</f>
        <v>盘螺</v>
      </c>
      <c r="F4259" s="113" t="s">
        <v>41</v>
      </c>
      <c r="G4259" s="114">
        <v>15</v>
      </c>
      <c r="H4259" s="127">
        <f>IF(SUMIFS('[1]2025年已发货'!$E:$E,'[1]2025年已发货'!$F:$F,C4259,'[1]2025年已发货'!$C:$C,F4259,'[1]2025年已发货'!$G:$G,I4259,'[1]2025年已发货'!$H:$H,J4259)=0,"未发货",SUMIFS('[1]2025年已发货'!$E:$E,'[1]2025年已发货'!$F:$F,C4259,'[1]2025年已发货'!$C:$C,F4259,'[1]2025年已发货'!$G:$G,I4259,'[1]2025年已发货'!$H:$H,J4259))</f>
        <v>15</v>
      </c>
      <c r="I4259" s="113" t="str">
        <f>VLOOKUP(B4259,辅助信息!E:I,3,FALSE)</f>
        <v>（华西萌海科创农业生态谷）成都市简阳市白金山水库</v>
      </c>
      <c r="J4259" s="113" t="str">
        <f>VLOOKUP(B4259,辅助信息!E:I,4,FALSE)</f>
        <v>石清国</v>
      </c>
      <c r="K4259" s="113">
        <f>VLOOKUP(J4259,辅助信息!H:I,2,FALSE)</f>
        <v>13458642015</v>
      </c>
      <c r="L4259" s="115" t="str">
        <f>VLOOKUP(B4259,辅助信息!E:J,6,FALSE)</f>
        <v>优先威钢,我方卸车,新老国标钢厂不加价可直发</v>
      </c>
      <c r="M4259" s="141">
        <v>45942</v>
      </c>
      <c r="O4259" s="55">
        <f ca="1" t="shared" si="216"/>
        <v>0</v>
      </c>
      <c r="P4259" s="55">
        <f ca="1" t="shared" si="217"/>
        <v>15</v>
      </c>
      <c r="Q4259" s="22" t="str">
        <f>VLOOKUP(B4259,辅助信息!E:M,9,FALSE)</f>
        <v>ZTWM-CDGS-XS-2024-0092-华西-萌海科创农业生态谷</v>
      </c>
      <c r="R4259" s="22" t="str">
        <f>_xlfn._xlws.FILTER(辅助信息!D:D,辅助信息!E:E=B4259)</f>
        <v>华西萌海-科创农业生态谷</v>
      </c>
    </row>
    <row r="4260" hidden="1" spans="2:18">
      <c r="B4260" s="129" t="s">
        <v>92</v>
      </c>
      <c r="C4260" s="63">
        <v>45940</v>
      </c>
      <c r="D4260" s="113" t="str">
        <f>VLOOKUP(B4260,辅助信息!E:K,7,FALSE)</f>
        <v>JWDDCD2025051800046</v>
      </c>
      <c r="E4260" s="113" t="str">
        <f>VLOOKUP(F4260,辅助信息!A:B,2,FALSE)</f>
        <v>盘螺</v>
      </c>
      <c r="F4260" s="113" t="s">
        <v>26</v>
      </c>
      <c r="G4260" s="114">
        <v>5</v>
      </c>
      <c r="H4260" s="127"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13" t="str">
        <f>VLOOKUP(B4260,辅助信息!E:I,3,FALSE)</f>
        <v>（华西萌海科创农业生态谷）成都市简阳市白金山水库</v>
      </c>
      <c r="J4260" s="113" t="str">
        <f>VLOOKUP(B4260,辅助信息!E:I,4,FALSE)</f>
        <v>石清国</v>
      </c>
      <c r="K4260" s="113">
        <f>VLOOKUP(J4260,辅助信息!H:I,2,FALSE)</f>
        <v>13458642015</v>
      </c>
      <c r="L4260" s="115" t="str">
        <f>VLOOKUP(B4260,辅助信息!E:J,6,FALSE)</f>
        <v>优先威钢,我方卸车,新老国标钢厂不加价可直发</v>
      </c>
      <c r="M4260" s="141">
        <v>45942</v>
      </c>
      <c r="O4260" s="55">
        <f ca="1" t="shared" si="216"/>
        <v>0</v>
      </c>
      <c r="P4260" s="55">
        <f ca="1" t="shared" si="217"/>
        <v>15</v>
      </c>
      <c r="Q4260" s="22" t="str">
        <f>VLOOKUP(B4260,辅助信息!E:M,9,FALSE)</f>
        <v>ZTWM-CDGS-XS-2024-0092-华西-萌海科创农业生态谷</v>
      </c>
      <c r="R4260" s="22" t="str">
        <f>_xlfn._xlws.FILTER(辅助信息!D:D,辅助信息!E:E=B4260)</f>
        <v>华西萌海-科创农业生态谷</v>
      </c>
    </row>
    <row r="4261" hidden="1" spans="2:18">
      <c r="B4261" s="129" t="s">
        <v>92</v>
      </c>
      <c r="C4261" s="63">
        <v>45940</v>
      </c>
      <c r="D4261" s="113" t="str">
        <f>VLOOKUP(B4261,辅助信息!E:K,7,FALSE)</f>
        <v>JWDDCD2025051800046</v>
      </c>
      <c r="E4261" s="113" t="str">
        <f>VLOOKUP(F4261,辅助信息!A:B,2,FALSE)</f>
        <v>螺纹钢</v>
      </c>
      <c r="F4261" s="113" t="s">
        <v>27</v>
      </c>
      <c r="G4261" s="114">
        <v>5</v>
      </c>
      <c r="H4261" s="127">
        <f>IF(SUMIFS('[1]2025年已发货'!$E:$E,'[1]2025年已发货'!$F:$F,C4261,'[1]2025年已发货'!$C:$C,F4261,'[1]2025年已发货'!$G:$G,I4261,'[1]2025年已发货'!$H:$H,J4261)=0,"未发货",SUMIFS('[1]2025年已发货'!$E:$E,'[1]2025年已发货'!$F:$F,C4261,'[1]2025年已发货'!$C:$C,F4261,'[1]2025年已发货'!$G:$G,I4261,'[1]2025年已发货'!$H:$H,J4261))</f>
        <v>5</v>
      </c>
      <c r="I4261" s="113" t="str">
        <f>VLOOKUP(B4261,辅助信息!E:I,3,FALSE)</f>
        <v>（华西萌海科创农业生态谷）成都市简阳市白金山水库</v>
      </c>
      <c r="J4261" s="113" t="str">
        <f>VLOOKUP(B4261,辅助信息!E:I,4,FALSE)</f>
        <v>石清国</v>
      </c>
      <c r="K4261" s="113">
        <f>VLOOKUP(J4261,辅助信息!H:I,2,FALSE)</f>
        <v>13458642015</v>
      </c>
      <c r="L4261" s="115" t="str">
        <f>VLOOKUP(B4261,辅助信息!E:J,6,FALSE)</f>
        <v>优先威钢,我方卸车,新老国标钢厂不加价可直发</v>
      </c>
      <c r="M4261" s="141">
        <v>45942</v>
      </c>
      <c r="O4261" s="55">
        <f ca="1" t="shared" si="216"/>
        <v>0</v>
      </c>
      <c r="P4261" s="55">
        <f ca="1" t="shared" si="217"/>
        <v>15</v>
      </c>
      <c r="Q4261" s="22" t="str">
        <f>VLOOKUP(B4261,辅助信息!E:M,9,FALSE)</f>
        <v>ZTWM-CDGS-XS-2024-0092-华西-萌海科创农业生态谷</v>
      </c>
      <c r="R4261" s="22" t="str">
        <f>_xlfn._xlws.FILTER(辅助信息!D:D,辅助信息!E:E=B4261)</f>
        <v>华西萌海-科创农业生态谷</v>
      </c>
    </row>
    <row r="4262" hidden="1" spans="2:18">
      <c r="B4262" s="129" t="s">
        <v>92</v>
      </c>
      <c r="C4262" s="63">
        <v>45940</v>
      </c>
      <c r="D4262" s="113" t="str">
        <f>VLOOKUP(B4262,辅助信息!E:K,7,FALSE)</f>
        <v>JWDDCD2025051800046</v>
      </c>
      <c r="E4262" s="113" t="str">
        <f>VLOOKUP(F4262,辅助信息!A:B,2,FALSE)</f>
        <v>螺纹钢</v>
      </c>
      <c r="F4262" s="113" t="s">
        <v>19</v>
      </c>
      <c r="G4262" s="114">
        <v>5</v>
      </c>
      <c r="H4262" s="127">
        <f>IF(SUMIFS('[1]2025年已发货'!$E:$E,'[1]2025年已发货'!$F:$F,C4262,'[1]2025年已发货'!$C:$C,F4262,'[1]2025年已发货'!$G:$G,I4262,'[1]2025年已发货'!$H:$H,J4262)=0,"未发货",SUMIFS('[1]2025年已发货'!$E:$E,'[1]2025年已发货'!$F:$F,C4262,'[1]2025年已发货'!$C:$C,F4262,'[1]2025年已发货'!$G:$G,I4262,'[1]2025年已发货'!$H:$H,J4262))</f>
        <v>5</v>
      </c>
      <c r="I4262" s="113" t="str">
        <f>VLOOKUP(B4262,辅助信息!E:I,3,FALSE)</f>
        <v>（华西萌海科创农业生态谷）成都市简阳市白金山水库</v>
      </c>
      <c r="J4262" s="113" t="str">
        <f>VLOOKUP(B4262,辅助信息!E:I,4,FALSE)</f>
        <v>石清国</v>
      </c>
      <c r="K4262" s="113">
        <f>VLOOKUP(J4262,辅助信息!H:I,2,FALSE)</f>
        <v>13458642015</v>
      </c>
      <c r="L4262" s="115" t="str">
        <f>VLOOKUP(B4262,辅助信息!E:J,6,FALSE)</f>
        <v>优先威钢,我方卸车,新老国标钢厂不加价可直发</v>
      </c>
      <c r="M4262" s="141">
        <v>45942</v>
      </c>
      <c r="O4262" s="55">
        <f ca="1" t="shared" si="216"/>
        <v>0</v>
      </c>
      <c r="P4262" s="55">
        <f ca="1" t="shared" si="217"/>
        <v>15</v>
      </c>
      <c r="Q4262" s="22" t="str">
        <f>VLOOKUP(B4262,辅助信息!E:M,9,FALSE)</f>
        <v>ZTWM-CDGS-XS-2024-0092-华西-萌海科创农业生态谷</v>
      </c>
      <c r="R4262" s="22" t="str">
        <f>_xlfn._xlws.FILTER(辅助信息!D:D,辅助信息!E:E=B4262)</f>
        <v>华西萌海-科创农业生态谷</v>
      </c>
    </row>
    <row r="4263" hidden="1" spans="2:18">
      <c r="B4263" s="129" t="s">
        <v>92</v>
      </c>
      <c r="C4263" s="63">
        <v>45940</v>
      </c>
      <c r="D4263" s="113" t="str">
        <f>VLOOKUP(B4263,辅助信息!E:K,7,FALSE)</f>
        <v>JWDDCD2025051800046</v>
      </c>
      <c r="E4263" s="113" t="str">
        <f>VLOOKUP(F4263,辅助信息!A:B,2,FALSE)</f>
        <v>螺纹钢</v>
      </c>
      <c r="F4263" s="113" t="s">
        <v>45</v>
      </c>
      <c r="G4263" s="114">
        <v>3</v>
      </c>
      <c r="H4263" s="127">
        <f>IF(SUMIFS('[1]2025年已发货'!$E:$E,'[1]2025年已发货'!$F:$F,C4263,'[1]2025年已发货'!$C:$C,F4263,'[1]2025年已发货'!$G:$G,I4263,'[1]2025年已发货'!$H:$H,J4263)=0,"未发货",SUMIFS('[1]2025年已发货'!$E:$E,'[1]2025年已发货'!$F:$F,C4263,'[1]2025年已发货'!$C:$C,F4263,'[1]2025年已发货'!$G:$G,I4263,'[1]2025年已发货'!$H:$H,J4263))</f>
        <v>3</v>
      </c>
      <c r="I4263" s="113" t="str">
        <f>VLOOKUP(B4263,辅助信息!E:I,3,FALSE)</f>
        <v>（华西萌海科创农业生态谷）成都市简阳市白金山水库</v>
      </c>
      <c r="J4263" s="113" t="str">
        <f>VLOOKUP(B4263,辅助信息!E:I,4,FALSE)</f>
        <v>石清国</v>
      </c>
      <c r="K4263" s="113">
        <f>VLOOKUP(J4263,辅助信息!H:I,2,FALSE)</f>
        <v>13458642015</v>
      </c>
      <c r="L4263" s="115" t="str">
        <f>VLOOKUP(B4263,辅助信息!E:J,6,FALSE)</f>
        <v>优先威钢,我方卸车,新老国标钢厂不加价可直发</v>
      </c>
      <c r="M4263" s="141">
        <v>45942</v>
      </c>
      <c r="O4263" s="55">
        <f ca="1" t="shared" si="216"/>
        <v>0</v>
      </c>
      <c r="P4263" s="55">
        <f ca="1" t="shared" si="217"/>
        <v>15</v>
      </c>
      <c r="Q4263" s="22" t="str">
        <f>VLOOKUP(B4263,辅助信息!E:M,9,FALSE)</f>
        <v>ZTWM-CDGS-XS-2024-0092-华西-萌海科创农业生态谷</v>
      </c>
      <c r="R4263" s="22" t="str">
        <f>_xlfn._xlws.FILTER(辅助信息!D:D,辅助信息!E:E=B4263)</f>
        <v>华西萌海-科创农业生态谷</v>
      </c>
    </row>
    <row r="4264" hidden="1" spans="2:18">
      <c r="B4264" s="129" t="s">
        <v>92</v>
      </c>
      <c r="C4264" s="63">
        <v>45940</v>
      </c>
      <c r="D4264" s="113" t="str">
        <f>VLOOKUP(B4264,辅助信息!E:K,7,FALSE)</f>
        <v>JWDDCD2025051800046</v>
      </c>
      <c r="E4264" s="113" t="str">
        <f>VLOOKUP(F4264,辅助信息!A:B,2,FALSE)</f>
        <v>螺纹钢</v>
      </c>
      <c r="F4264" s="113" t="s">
        <v>58</v>
      </c>
      <c r="G4264" s="114">
        <v>3</v>
      </c>
      <c r="H4264" s="127">
        <f>IF(SUMIFS('[1]2025年已发货'!$E:$E,'[1]2025年已发货'!$F:$F,C4264,'[1]2025年已发货'!$C:$C,F4264,'[1]2025年已发货'!$G:$G,I4264,'[1]2025年已发货'!$H:$H,J4264)=0,"未发货",SUMIFS('[1]2025年已发货'!$E:$E,'[1]2025年已发货'!$F:$F,C4264,'[1]2025年已发货'!$C:$C,F4264,'[1]2025年已发货'!$G:$G,I4264,'[1]2025年已发货'!$H:$H,J4264))</f>
        <v>3</v>
      </c>
      <c r="I4264" s="113" t="str">
        <f>VLOOKUP(B4264,辅助信息!E:I,3,FALSE)</f>
        <v>（华西萌海科创农业生态谷）成都市简阳市白金山水库</v>
      </c>
      <c r="J4264" s="113" t="str">
        <f>VLOOKUP(B4264,辅助信息!E:I,4,FALSE)</f>
        <v>石清国</v>
      </c>
      <c r="K4264" s="113">
        <f>VLOOKUP(J4264,辅助信息!H:I,2,FALSE)</f>
        <v>13458642015</v>
      </c>
      <c r="L4264" s="115" t="str">
        <f>VLOOKUP(B4264,辅助信息!E:J,6,FALSE)</f>
        <v>优先威钢,我方卸车,新老国标钢厂不加价可直发</v>
      </c>
      <c r="M4264" s="141">
        <v>45942</v>
      </c>
      <c r="O4264" s="55">
        <f ca="1" t="shared" si="216"/>
        <v>0</v>
      </c>
      <c r="P4264" s="55">
        <f ca="1" t="shared" si="217"/>
        <v>15</v>
      </c>
      <c r="Q4264" s="22" t="str">
        <f>VLOOKUP(B4264,辅助信息!E:M,9,FALSE)</f>
        <v>ZTWM-CDGS-XS-2024-0092-华西-萌海科创农业生态谷</v>
      </c>
      <c r="R4264" s="22" t="str">
        <f>_xlfn._xlws.FILTER(辅助信息!D:D,辅助信息!E:E=B4264)</f>
        <v>华西萌海-科创农业生态谷</v>
      </c>
    </row>
    <row r="4265" hidden="1" spans="2:18">
      <c r="B4265" s="129" t="s">
        <v>92</v>
      </c>
      <c r="C4265" s="63">
        <v>45940</v>
      </c>
      <c r="D4265" s="113" t="str">
        <f>VLOOKUP(B4265,辅助信息!E:K,7,FALSE)</f>
        <v>JWDDCD2025051800046</v>
      </c>
      <c r="E4265" s="113" t="str">
        <f>VLOOKUP(F4265,辅助信息!A:B,2,FALSE)</f>
        <v>螺纹钢</v>
      </c>
      <c r="F4265" s="113" t="s">
        <v>22</v>
      </c>
      <c r="G4265" s="114">
        <v>6</v>
      </c>
      <c r="H4265" s="127">
        <f>IF(SUMIFS('[1]2025年已发货'!$E:$E,'[1]2025年已发货'!$F:$F,C4265,'[1]2025年已发货'!$C:$C,F4265,'[1]2025年已发货'!$G:$G,I4265,'[1]2025年已发货'!$H:$H,J4265)=0,"未发货",SUMIFS('[1]2025年已发货'!$E:$E,'[1]2025年已发货'!$F:$F,C4265,'[1]2025年已发货'!$C:$C,F4265,'[1]2025年已发货'!$G:$G,I4265,'[1]2025年已发货'!$H:$H,J4265))</f>
        <v>6</v>
      </c>
      <c r="I4265" s="113" t="str">
        <f>VLOOKUP(B4265,辅助信息!E:I,3,FALSE)</f>
        <v>（华西萌海科创农业生态谷）成都市简阳市白金山水库</v>
      </c>
      <c r="J4265" s="113" t="str">
        <f>VLOOKUP(B4265,辅助信息!E:I,4,FALSE)</f>
        <v>石清国</v>
      </c>
      <c r="K4265" s="113">
        <f>VLOOKUP(J4265,辅助信息!H:I,2,FALSE)</f>
        <v>13458642015</v>
      </c>
      <c r="L4265" s="115" t="str">
        <f>VLOOKUP(B4265,辅助信息!E:J,6,FALSE)</f>
        <v>优先威钢,我方卸车,新老国标钢厂不加价可直发</v>
      </c>
      <c r="M4265" s="141">
        <v>45942</v>
      </c>
      <c r="O4265" s="55">
        <f ca="1" t="shared" si="216"/>
        <v>0</v>
      </c>
      <c r="P4265" s="55">
        <f ca="1" t="shared" si="217"/>
        <v>15</v>
      </c>
      <c r="Q4265" s="22" t="str">
        <f>VLOOKUP(B4265,辅助信息!E:M,9,FALSE)</f>
        <v>ZTWM-CDGS-XS-2024-0092-华西-萌海科创农业生态谷</v>
      </c>
      <c r="R4265" s="22" t="str">
        <f>_xlfn._xlws.FILTER(辅助信息!D:D,辅助信息!E:E=B4265)</f>
        <v>华西萌海-科创农业生态谷</v>
      </c>
    </row>
    <row r="4266" hidden="1" spans="2:18">
      <c r="B4266" s="129" t="s">
        <v>228</v>
      </c>
      <c r="C4266" s="63">
        <v>45940</v>
      </c>
      <c r="D4266" s="113" t="str">
        <f>VLOOKUP(B4266,辅助信息!E:K,7,FALSE)</f>
        <v>JWDDCD2025092400190</v>
      </c>
      <c r="E4266" s="113" t="str">
        <f>VLOOKUP(F4266,辅助信息!A:B,2,FALSE)</f>
        <v>螺纹钢</v>
      </c>
      <c r="F4266" s="113" t="s">
        <v>27</v>
      </c>
      <c r="G4266" s="114">
        <v>70</v>
      </c>
      <c r="H4266" s="127">
        <f>IF(SUMIFS('[1]2025年已发货'!$E:$E,'[1]2025年已发货'!$F:$F,C4266,'[1]2025年已发货'!$C:$C,F4266,'[1]2025年已发货'!$G:$G,I4266,'[1]2025年已发货'!$H:$H,J4266)=0,"未发货",SUMIFS('[1]2025年已发货'!$E:$E,'[1]2025年已发货'!$F:$F,C4266,'[1]2025年已发货'!$C:$C,F4266,'[1]2025年已发货'!$G:$G,I4266,'[1]2025年已发货'!$H:$H,J4266))</f>
        <v>70</v>
      </c>
      <c r="I4266" s="113" t="str">
        <f>VLOOKUP(B4266,辅助信息!E:I,3,FALSE)</f>
        <v>(五冶钢构龙泉东洪片区70亩住宅、商业及配套工程项目二标段)成都市龙泉驿外东洪路地铁2号线惠王陵地铁C口</v>
      </c>
      <c r="J4266" s="113" t="str">
        <f>VLOOKUP(B4266,辅助信息!E:I,4,FALSE)</f>
        <v>蒋嗣伟</v>
      </c>
      <c r="K4266" s="113">
        <f>VLOOKUP(J4266,辅助信息!H:I,2,FALSE)</f>
        <v>15014331252</v>
      </c>
      <c r="L4266" s="115">
        <f>VLOOKUP(B4266,辅助信息!E:J,6,FALSE)</f>
        <v>0</v>
      </c>
      <c r="M4266" s="84">
        <v>45941</v>
      </c>
      <c r="O4266" s="55">
        <f ca="1" t="shared" si="216"/>
        <v>0</v>
      </c>
      <c r="P4266" s="55">
        <f ca="1" t="shared" si="217"/>
        <v>16</v>
      </c>
      <c r="Q4266" s="22" t="str">
        <f>VLOOKUP(B4266,辅助信息!E:M,9,FALSE)</f>
        <v>ZTWM-CDGS-XS-2025-0156-五冶钢构-2025年九月第一批次钢筋采购合同(三圣乡项目)-中铁物贸成都公司</v>
      </c>
      <c r="R4266" s="22" t="str">
        <f>_xlfn._xlws.FILTER(辅助信息!D:D,辅助信息!E:E=B4266)</f>
        <v>五冶钢构龙泉东洪片区70亩住宅、商业及配套工程项目二标段</v>
      </c>
    </row>
    <row r="4267" hidden="1" spans="2:18">
      <c r="B4267" s="129" t="s">
        <v>228</v>
      </c>
      <c r="C4267" s="63">
        <v>45940</v>
      </c>
      <c r="D4267" s="113" t="str">
        <f>VLOOKUP(B4267,辅助信息!E:K,7,FALSE)</f>
        <v>JWDDCD2025092400190</v>
      </c>
      <c r="E4267" s="113" t="str">
        <f>VLOOKUP(F4267,辅助信息!A:B,2,FALSE)</f>
        <v>螺纹钢</v>
      </c>
      <c r="F4267" s="113" t="s">
        <v>32</v>
      </c>
      <c r="G4267" s="114">
        <v>35</v>
      </c>
      <c r="H4267" s="127"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13" t="str">
        <f>VLOOKUP(B4267,辅助信息!E:I,3,FALSE)</f>
        <v>(五冶钢构龙泉东洪片区70亩住宅、商业及配套工程项目二标段)成都市龙泉驿外东洪路地铁2号线惠王陵地铁C口</v>
      </c>
      <c r="J4267" s="113" t="str">
        <f>VLOOKUP(B4267,辅助信息!E:I,4,FALSE)</f>
        <v>蒋嗣伟</v>
      </c>
      <c r="K4267" s="113">
        <f>VLOOKUP(J4267,辅助信息!H:I,2,FALSE)</f>
        <v>15014331252</v>
      </c>
      <c r="L4267" s="115">
        <f>VLOOKUP(B4267,辅助信息!E:J,6,FALSE)</f>
        <v>0</v>
      </c>
      <c r="M4267" s="84">
        <v>45941</v>
      </c>
      <c r="O4267" s="55">
        <f ca="1" t="shared" si="216"/>
        <v>0</v>
      </c>
      <c r="P4267" s="55">
        <f ca="1" t="shared" si="217"/>
        <v>16</v>
      </c>
      <c r="Q4267" s="22" t="str">
        <f>VLOOKUP(B4267,辅助信息!E:M,9,FALSE)</f>
        <v>ZTWM-CDGS-XS-2025-0156-五冶钢构-2025年九月第一批次钢筋采购合同(三圣乡项目)-中铁物贸成都公司</v>
      </c>
      <c r="R4267" s="22" t="str">
        <f>_xlfn._xlws.FILTER(辅助信息!D:D,辅助信息!E:E=B4267)</f>
        <v>五冶钢构龙泉东洪片区70亩住宅、商业及配套工程项目二标段</v>
      </c>
    </row>
    <row r="4268" hidden="1" spans="2:18">
      <c r="B4268" s="129" t="s">
        <v>228</v>
      </c>
      <c r="C4268" s="63">
        <v>45940</v>
      </c>
      <c r="D4268" s="113" t="str">
        <f>VLOOKUP(B4268,辅助信息!E:K,7,FALSE)</f>
        <v>JWDDCD2025092400190</v>
      </c>
      <c r="E4268" s="113" t="str">
        <f>VLOOKUP(F4268,辅助信息!A:B,2,FALSE)</f>
        <v>螺纹钢</v>
      </c>
      <c r="F4268" s="113" t="s">
        <v>30</v>
      </c>
      <c r="G4268" s="114">
        <v>20</v>
      </c>
      <c r="H4268" s="127"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13" t="str">
        <f>VLOOKUP(B4268,辅助信息!E:I,3,FALSE)</f>
        <v>(五冶钢构龙泉东洪片区70亩住宅、商业及配套工程项目二标段)成都市龙泉驿外东洪路地铁2号线惠王陵地铁C口</v>
      </c>
      <c r="J4268" s="113" t="str">
        <f>VLOOKUP(B4268,辅助信息!E:I,4,FALSE)</f>
        <v>蒋嗣伟</v>
      </c>
      <c r="K4268" s="113">
        <f>VLOOKUP(J4268,辅助信息!H:I,2,FALSE)</f>
        <v>15014331252</v>
      </c>
      <c r="L4268" s="115">
        <f>VLOOKUP(B4268,辅助信息!E:J,6,FALSE)</f>
        <v>0</v>
      </c>
      <c r="M4268" s="84">
        <v>45941</v>
      </c>
      <c r="O4268" s="55">
        <f ca="1" t="shared" si="216"/>
        <v>0</v>
      </c>
      <c r="P4268" s="55">
        <f ca="1" t="shared" si="217"/>
        <v>16</v>
      </c>
      <c r="Q4268" s="22" t="str">
        <f>VLOOKUP(B4268,辅助信息!E:M,9,FALSE)</f>
        <v>ZTWM-CDGS-XS-2025-0156-五冶钢构-2025年九月第一批次钢筋采购合同(三圣乡项目)-中铁物贸成都公司</v>
      </c>
      <c r="R4268" s="22" t="str">
        <f>_xlfn._xlws.FILTER(辅助信息!D:D,辅助信息!E:E=B4268)</f>
        <v>五冶钢构龙泉东洪片区70亩住宅、商业及配套工程项目二标段</v>
      </c>
    </row>
    <row r="4269" hidden="1" spans="2:18">
      <c r="B4269" s="129" t="s">
        <v>228</v>
      </c>
      <c r="C4269" s="63">
        <v>45940</v>
      </c>
      <c r="D4269" s="113" t="str">
        <f>VLOOKUP(B4269,辅助信息!E:K,7,FALSE)</f>
        <v>JWDDCD2025092400190</v>
      </c>
      <c r="E4269" s="113" t="str">
        <f>VLOOKUP(F4269,辅助信息!A:B,2,FALSE)</f>
        <v>螺纹钢</v>
      </c>
      <c r="F4269" s="113" t="s">
        <v>28</v>
      </c>
      <c r="G4269" s="114">
        <v>12</v>
      </c>
      <c r="H4269" s="127"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13" t="str">
        <f>VLOOKUP(B4269,辅助信息!E:I,3,FALSE)</f>
        <v>(五冶钢构龙泉东洪片区70亩住宅、商业及配套工程项目二标段)成都市龙泉驿外东洪路地铁2号线惠王陵地铁C口</v>
      </c>
      <c r="J4269" s="113" t="str">
        <f>VLOOKUP(B4269,辅助信息!E:I,4,FALSE)</f>
        <v>蒋嗣伟</v>
      </c>
      <c r="K4269" s="113">
        <f>VLOOKUP(J4269,辅助信息!H:I,2,FALSE)</f>
        <v>15014331252</v>
      </c>
      <c r="L4269" s="115">
        <f>VLOOKUP(B4269,辅助信息!E:J,6,FALSE)</f>
        <v>0</v>
      </c>
      <c r="M4269" s="84">
        <v>45941</v>
      </c>
      <c r="O4269" s="55">
        <f ca="1" t="shared" si="216"/>
        <v>0</v>
      </c>
      <c r="P4269" s="55">
        <f ca="1" t="shared" si="217"/>
        <v>16</v>
      </c>
      <c r="Q4269" s="22" t="str">
        <f>VLOOKUP(B4269,辅助信息!E:M,9,FALSE)</f>
        <v>ZTWM-CDGS-XS-2025-0156-五冶钢构-2025年九月第一批次钢筋采购合同(三圣乡项目)-中铁物贸成都公司</v>
      </c>
      <c r="R4269" s="22" t="str">
        <f>_xlfn._xlws.FILTER(辅助信息!D:D,辅助信息!E:E=B4269)</f>
        <v>五冶钢构龙泉东洪片区70亩住宅、商业及配套工程项目二标段</v>
      </c>
    </row>
    <row r="4270" hidden="1" spans="2:18">
      <c r="B4270" s="129" t="s">
        <v>228</v>
      </c>
      <c r="C4270" s="63">
        <v>45940</v>
      </c>
      <c r="D4270" s="113" t="str">
        <f>VLOOKUP(B4270,辅助信息!E:K,7,FALSE)</f>
        <v>JWDDCD2025092400190</v>
      </c>
      <c r="E4270" s="113" t="str">
        <f>VLOOKUP(F4270,辅助信息!A:B,2,FALSE)</f>
        <v>螺纹钢</v>
      </c>
      <c r="F4270" s="113" t="s">
        <v>46</v>
      </c>
      <c r="G4270" s="114">
        <v>3</v>
      </c>
      <c r="H4270" s="127"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13" t="str">
        <f>VLOOKUP(B4270,辅助信息!E:I,3,FALSE)</f>
        <v>(五冶钢构龙泉东洪片区70亩住宅、商业及配套工程项目二标段)成都市龙泉驿外东洪路地铁2号线惠王陵地铁C口</v>
      </c>
      <c r="J4270" s="113" t="str">
        <f>VLOOKUP(B4270,辅助信息!E:I,4,FALSE)</f>
        <v>蒋嗣伟</v>
      </c>
      <c r="K4270" s="113">
        <f>VLOOKUP(J4270,辅助信息!H:I,2,FALSE)</f>
        <v>15014331252</v>
      </c>
      <c r="L4270" s="115">
        <f>VLOOKUP(B4270,辅助信息!E:J,6,FALSE)</f>
        <v>0</v>
      </c>
      <c r="M4270" s="84">
        <v>45941</v>
      </c>
      <c r="O4270" s="55">
        <f ca="1" t="shared" si="216"/>
        <v>0</v>
      </c>
      <c r="P4270" s="55">
        <f ca="1" t="shared" si="217"/>
        <v>16</v>
      </c>
      <c r="Q4270" s="22" t="str">
        <f>VLOOKUP(B4270,辅助信息!E:M,9,FALSE)</f>
        <v>ZTWM-CDGS-XS-2025-0156-五冶钢构-2025年九月第一批次钢筋采购合同(三圣乡项目)-中铁物贸成都公司</v>
      </c>
      <c r="R4270" s="22" t="str">
        <f>_xlfn._xlws.FILTER(辅助信息!D:D,辅助信息!E:E=B4270)</f>
        <v>五冶钢构龙泉东洪片区70亩住宅、商业及配套工程项目二标段</v>
      </c>
    </row>
    <row r="4271" hidden="1" spans="2:18">
      <c r="B4271" s="129" t="s">
        <v>224</v>
      </c>
      <c r="C4271" s="63">
        <v>45940</v>
      </c>
      <c r="D4271" s="113" t="str">
        <f>VLOOKUP(B4271,辅助信息!E:K,7,FALSE)</f>
        <v>JWDDCD2025092400188</v>
      </c>
      <c r="E4271" s="113" t="str">
        <f>VLOOKUP(F4271,辅助信息!A:B,2,FALSE)</f>
        <v>盘螺</v>
      </c>
      <c r="F4271" s="113" t="s">
        <v>40</v>
      </c>
      <c r="G4271" s="114">
        <v>40</v>
      </c>
      <c r="H4271" s="127"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13" t="str">
        <f>VLOOKUP(B4271,辅助信息!E:I,3,FALSE)</f>
        <v>(五冶钢构龙泉东洪片区70亩住宅、商业及配套工程项目一标段)成都市龙泉驿外东洪路地铁2号线惠王陵地铁C口</v>
      </c>
      <c r="J4271" s="113" t="str">
        <f>VLOOKUP(B4271,辅助信息!E:I,4,FALSE)</f>
        <v>邹爱国</v>
      </c>
      <c r="K4271" s="113">
        <f>VLOOKUP(J4271,辅助信息!H:I,2,FALSE)</f>
        <v>13540231225</v>
      </c>
      <c r="L4271" s="115">
        <f>VLOOKUP(B4271,辅助信息!E:J,6,FALSE)</f>
        <v>0</v>
      </c>
      <c r="M4271" s="84">
        <v>45941</v>
      </c>
      <c r="O4271" s="55">
        <f ca="1" t="shared" si="216"/>
        <v>0</v>
      </c>
      <c r="P4271" s="55">
        <f ca="1" t="shared" si="217"/>
        <v>16</v>
      </c>
      <c r="Q4271" s="22" t="str">
        <f>VLOOKUP(B4271,辅助信息!E:M,9,FALSE)</f>
        <v>ZTWM-CDGS-XS-2025-0156-五冶钢构-2025年九月第一批次钢筋采购合同(三圣乡项目)-中铁物贸成都公司</v>
      </c>
      <c r="R4271" s="22" t="str">
        <f>_xlfn._xlws.FILTER(辅助信息!D:D,辅助信息!E:E=B4271)</f>
        <v>五冶钢构龙泉东洪片区70亩住宅、商业及配套工程项目一标段</v>
      </c>
    </row>
    <row r="4272" hidden="1" spans="2:18">
      <c r="B4272" s="129" t="s">
        <v>224</v>
      </c>
      <c r="C4272" s="63">
        <v>45940</v>
      </c>
      <c r="D4272" s="113" t="str">
        <f>VLOOKUP(B4272,辅助信息!E:K,7,FALSE)</f>
        <v>JWDDCD2025092400188</v>
      </c>
      <c r="E4272" s="113" t="str">
        <f>VLOOKUP(F4272,辅助信息!A:B,2,FALSE)</f>
        <v>盘螺</v>
      </c>
      <c r="F4272" s="113" t="s">
        <v>41</v>
      </c>
      <c r="G4272" s="114">
        <v>30</v>
      </c>
      <c r="H4272" s="127"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13" t="str">
        <f>VLOOKUP(B4272,辅助信息!E:I,3,FALSE)</f>
        <v>(五冶钢构龙泉东洪片区70亩住宅、商业及配套工程项目一标段)成都市龙泉驿外东洪路地铁2号线惠王陵地铁C口</v>
      </c>
      <c r="J4272" s="113" t="str">
        <f>VLOOKUP(B4272,辅助信息!E:I,4,FALSE)</f>
        <v>邹爱国</v>
      </c>
      <c r="K4272" s="113">
        <f>VLOOKUP(J4272,辅助信息!H:I,2,FALSE)</f>
        <v>13540231225</v>
      </c>
      <c r="L4272" s="115">
        <f>VLOOKUP(B4272,辅助信息!E:J,6,FALSE)</f>
        <v>0</v>
      </c>
      <c r="M4272" s="84">
        <v>45941</v>
      </c>
      <c r="O4272" s="55">
        <f ca="1" t="shared" si="216"/>
        <v>0</v>
      </c>
      <c r="P4272" s="55">
        <f ca="1" t="shared" si="217"/>
        <v>16</v>
      </c>
      <c r="Q4272" s="22" t="str">
        <f>VLOOKUP(B4272,辅助信息!E:M,9,FALSE)</f>
        <v>ZTWM-CDGS-XS-2025-0156-五冶钢构-2025年九月第一批次钢筋采购合同(三圣乡项目)-中铁物贸成都公司</v>
      </c>
      <c r="R4272" s="22" t="str">
        <f>_xlfn._xlws.FILTER(辅助信息!D:D,辅助信息!E:E=B4272)</f>
        <v>五冶钢构龙泉东洪片区70亩住宅、商业及配套工程项目一标段</v>
      </c>
    </row>
    <row r="4273" hidden="1" spans="2:18">
      <c r="B4273" s="129" t="s">
        <v>224</v>
      </c>
      <c r="C4273" s="63">
        <v>45940</v>
      </c>
      <c r="D4273" s="113" t="str">
        <f>VLOOKUP(B4273,辅助信息!E:K,7,FALSE)</f>
        <v>JWDDCD2025092400188</v>
      </c>
      <c r="E4273" s="113" t="str">
        <f>VLOOKUP(F4273,辅助信息!A:B,2,FALSE)</f>
        <v>螺纹钢</v>
      </c>
      <c r="F4273" s="113" t="s">
        <v>27</v>
      </c>
      <c r="G4273" s="114">
        <f>30+45</f>
        <v>75</v>
      </c>
      <c r="H4273" s="127"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13" t="str">
        <f>VLOOKUP(B4273,辅助信息!E:I,3,FALSE)</f>
        <v>(五冶钢构龙泉东洪片区70亩住宅、商业及配套工程项目一标段)成都市龙泉驿外东洪路地铁2号线惠王陵地铁C口</v>
      </c>
      <c r="J4273" s="113" t="str">
        <f>VLOOKUP(B4273,辅助信息!E:I,4,FALSE)</f>
        <v>邹爱国</v>
      </c>
      <c r="K4273" s="113">
        <f>VLOOKUP(J4273,辅助信息!H:I,2,FALSE)</f>
        <v>13540231225</v>
      </c>
      <c r="L4273" s="115">
        <f>VLOOKUP(B4273,辅助信息!E:J,6,FALSE)</f>
        <v>0</v>
      </c>
      <c r="M4273" s="84">
        <v>45941</v>
      </c>
      <c r="O4273" s="55">
        <f ca="1" t="shared" si="216"/>
        <v>0</v>
      </c>
      <c r="P4273" s="55">
        <f ca="1" t="shared" si="217"/>
        <v>16</v>
      </c>
      <c r="Q4273" s="22" t="str">
        <f>VLOOKUP(B4273,辅助信息!E:M,9,FALSE)</f>
        <v>ZTWM-CDGS-XS-2025-0156-五冶钢构-2025年九月第一批次钢筋采购合同(三圣乡项目)-中铁物贸成都公司</v>
      </c>
      <c r="R4273" s="22" t="str">
        <f>_xlfn._xlws.FILTER(辅助信息!D:D,辅助信息!E:E=B4273)</f>
        <v>五冶钢构龙泉东洪片区70亩住宅、商业及配套工程项目一标段</v>
      </c>
    </row>
    <row r="4274" hidden="1" spans="2:18">
      <c r="B4274" s="129" t="s">
        <v>224</v>
      </c>
      <c r="C4274" s="63">
        <v>45940</v>
      </c>
      <c r="D4274" s="113" t="str">
        <f>VLOOKUP(B4274,辅助信息!E:K,7,FALSE)</f>
        <v>JWDDCD2025092400188</v>
      </c>
      <c r="E4274" s="113" t="str">
        <f>VLOOKUP(F4274,辅助信息!A:B,2,FALSE)</f>
        <v>螺纹钢</v>
      </c>
      <c r="F4274" s="113" t="s">
        <v>19</v>
      </c>
      <c r="G4274" s="114">
        <v>13</v>
      </c>
      <c r="H4274" s="127"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13" t="str">
        <f>VLOOKUP(B4274,辅助信息!E:I,3,FALSE)</f>
        <v>(五冶钢构龙泉东洪片区70亩住宅、商业及配套工程项目一标段)成都市龙泉驿外东洪路地铁2号线惠王陵地铁C口</v>
      </c>
      <c r="J4274" s="113" t="str">
        <f>VLOOKUP(B4274,辅助信息!E:I,4,FALSE)</f>
        <v>邹爱国</v>
      </c>
      <c r="K4274" s="113">
        <f>VLOOKUP(J4274,辅助信息!H:I,2,FALSE)</f>
        <v>13540231225</v>
      </c>
      <c r="L4274" s="115">
        <f>VLOOKUP(B4274,辅助信息!E:J,6,FALSE)</f>
        <v>0</v>
      </c>
      <c r="M4274" s="84">
        <v>45941</v>
      </c>
      <c r="O4274" s="55">
        <f ca="1" t="shared" si="216"/>
        <v>0</v>
      </c>
      <c r="P4274" s="55">
        <f ca="1" t="shared" si="217"/>
        <v>16</v>
      </c>
      <c r="Q4274" s="22" t="str">
        <f>VLOOKUP(B4274,辅助信息!E:M,9,FALSE)</f>
        <v>ZTWM-CDGS-XS-2025-0156-五冶钢构-2025年九月第一批次钢筋采购合同(三圣乡项目)-中铁物贸成都公司</v>
      </c>
      <c r="R4274" s="22" t="str">
        <f>_xlfn._xlws.FILTER(辅助信息!D:D,辅助信息!E:E=B4274)</f>
        <v>五冶钢构龙泉东洪片区70亩住宅、商业及配套工程项目一标段</v>
      </c>
    </row>
    <row r="4275" hidden="1" spans="2:18">
      <c r="B4275" s="129" t="s">
        <v>224</v>
      </c>
      <c r="C4275" s="63">
        <v>45940</v>
      </c>
      <c r="D4275" s="113" t="str">
        <f>VLOOKUP(B4275,辅助信息!E:K,7,FALSE)</f>
        <v>JWDDCD2025092400188</v>
      </c>
      <c r="E4275" s="113" t="str">
        <f>VLOOKUP(F4275,辅助信息!A:B,2,FALSE)</f>
        <v>螺纹钢</v>
      </c>
      <c r="F4275" s="113" t="s">
        <v>32</v>
      </c>
      <c r="G4275" s="114">
        <v>16</v>
      </c>
      <c r="H4275" s="127"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13" t="str">
        <f>VLOOKUP(B4275,辅助信息!E:I,3,FALSE)</f>
        <v>(五冶钢构龙泉东洪片区70亩住宅、商业及配套工程项目一标段)成都市龙泉驿外东洪路地铁2号线惠王陵地铁C口</v>
      </c>
      <c r="J4275" s="113" t="str">
        <f>VLOOKUP(B4275,辅助信息!E:I,4,FALSE)</f>
        <v>邹爱国</v>
      </c>
      <c r="K4275" s="113">
        <f>VLOOKUP(J4275,辅助信息!H:I,2,FALSE)</f>
        <v>13540231225</v>
      </c>
      <c r="L4275" s="115">
        <f>VLOOKUP(B4275,辅助信息!E:J,6,FALSE)</f>
        <v>0</v>
      </c>
      <c r="M4275" s="84">
        <v>45941</v>
      </c>
      <c r="O4275" s="55">
        <f ca="1" t="shared" si="216"/>
        <v>0</v>
      </c>
      <c r="P4275" s="55">
        <f ca="1" t="shared" si="217"/>
        <v>16</v>
      </c>
      <c r="Q4275" s="22" t="str">
        <f>VLOOKUP(B4275,辅助信息!E:M,9,FALSE)</f>
        <v>ZTWM-CDGS-XS-2025-0156-五冶钢构-2025年九月第一批次钢筋采购合同(三圣乡项目)-中铁物贸成都公司</v>
      </c>
      <c r="R4275" s="22" t="str">
        <f>_xlfn._xlws.FILTER(辅助信息!D:D,辅助信息!E:E=B4275)</f>
        <v>五冶钢构龙泉东洪片区70亩住宅、商业及配套工程项目一标段</v>
      </c>
    </row>
    <row r="4276" hidden="1" spans="2:18">
      <c r="B4276" s="129" t="s">
        <v>224</v>
      </c>
      <c r="C4276" s="63">
        <v>45940</v>
      </c>
      <c r="D4276" s="113" t="str">
        <f>VLOOKUP(B4276,辅助信息!E:K,7,FALSE)</f>
        <v>JWDDCD2025092400188</v>
      </c>
      <c r="E4276" s="113" t="str">
        <f>VLOOKUP(F4276,辅助信息!A:B,2,FALSE)</f>
        <v>螺纹钢</v>
      </c>
      <c r="F4276" s="113" t="s">
        <v>30</v>
      </c>
      <c r="G4276" s="114">
        <v>20</v>
      </c>
      <c r="H4276" s="127"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13" t="str">
        <f>VLOOKUP(B4276,辅助信息!E:I,3,FALSE)</f>
        <v>(五冶钢构龙泉东洪片区70亩住宅、商业及配套工程项目一标段)成都市龙泉驿外东洪路地铁2号线惠王陵地铁C口</v>
      </c>
      <c r="J4276" s="113" t="str">
        <f>VLOOKUP(B4276,辅助信息!E:I,4,FALSE)</f>
        <v>邹爱国</v>
      </c>
      <c r="K4276" s="113">
        <f>VLOOKUP(J4276,辅助信息!H:I,2,FALSE)</f>
        <v>13540231225</v>
      </c>
      <c r="L4276" s="115">
        <f>VLOOKUP(B4276,辅助信息!E:J,6,FALSE)</f>
        <v>0</v>
      </c>
      <c r="M4276" s="84">
        <v>45941</v>
      </c>
      <c r="O4276" s="55">
        <f ca="1" t="shared" si="216"/>
        <v>0</v>
      </c>
      <c r="P4276" s="55">
        <f ca="1" t="shared" si="217"/>
        <v>16</v>
      </c>
      <c r="Q4276" s="22" t="str">
        <f>VLOOKUP(B4276,辅助信息!E:M,9,FALSE)</f>
        <v>ZTWM-CDGS-XS-2025-0156-五冶钢构-2025年九月第一批次钢筋采购合同(三圣乡项目)-中铁物贸成都公司</v>
      </c>
      <c r="R4276" s="22" t="str">
        <f>_xlfn._xlws.FILTER(辅助信息!D:D,辅助信息!E:E=B4276)</f>
        <v>五冶钢构龙泉东洪片区70亩住宅、商业及配套工程项目一标段</v>
      </c>
    </row>
    <row r="4277" hidden="1" spans="2:18">
      <c r="B4277" s="129" t="s">
        <v>224</v>
      </c>
      <c r="C4277" s="63">
        <v>45940</v>
      </c>
      <c r="D4277" s="113" t="str">
        <f>VLOOKUP(B4277,辅助信息!E:K,7,FALSE)</f>
        <v>JWDDCD2025092400188</v>
      </c>
      <c r="E4277" s="113" t="str">
        <f>VLOOKUP(F4277,辅助信息!A:B,2,FALSE)</f>
        <v>螺纹钢</v>
      </c>
      <c r="F4277" s="113" t="s">
        <v>33</v>
      </c>
      <c r="G4277" s="114">
        <v>28</v>
      </c>
      <c r="H4277" s="127"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13" t="str">
        <f>VLOOKUP(B4277,辅助信息!E:I,3,FALSE)</f>
        <v>(五冶钢构龙泉东洪片区70亩住宅、商业及配套工程项目一标段)成都市龙泉驿外东洪路地铁2号线惠王陵地铁C口</v>
      </c>
      <c r="J4277" s="113" t="str">
        <f>VLOOKUP(B4277,辅助信息!E:I,4,FALSE)</f>
        <v>邹爱国</v>
      </c>
      <c r="K4277" s="113">
        <f>VLOOKUP(J4277,辅助信息!H:I,2,FALSE)</f>
        <v>13540231225</v>
      </c>
      <c r="L4277" s="115">
        <f>VLOOKUP(B4277,辅助信息!E:J,6,FALSE)</f>
        <v>0</v>
      </c>
      <c r="M4277" s="84">
        <v>45941</v>
      </c>
      <c r="O4277" s="55">
        <f ca="1" t="shared" si="216"/>
        <v>0</v>
      </c>
      <c r="P4277" s="55">
        <f ca="1" t="shared" si="217"/>
        <v>16</v>
      </c>
      <c r="Q4277" s="22" t="str">
        <f>VLOOKUP(B4277,辅助信息!E:M,9,FALSE)</f>
        <v>ZTWM-CDGS-XS-2025-0156-五冶钢构-2025年九月第一批次钢筋采购合同(三圣乡项目)-中铁物贸成都公司</v>
      </c>
      <c r="R4277" s="22" t="str">
        <f>_xlfn._xlws.FILTER(辅助信息!D:D,辅助信息!E:E=B4277)</f>
        <v>五冶钢构龙泉东洪片区70亩住宅、商业及配套工程项目一标段</v>
      </c>
    </row>
    <row r="4278" hidden="1" spans="2:18">
      <c r="B4278" s="129" t="s">
        <v>224</v>
      </c>
      <c r="C4278" s="63">
        <v>45940</v>
      </c>
      <c r="D4278" s="113" t="str">
        <f>VLOOKUP(B4278,辅助信息!E:K,7,FALSE)</f>
        <v>JWDDCD2025092400188</v>
      </c>
      <c r="E4278" s="113" t="str">
        <f>VLOOKUP(F4278,辅助信息!A:B,2,FALSE)</f>
        <v>螺纹钢</v>
      </c>
      <c r="F4278" s="113" t="s">
        <v>28</v>
      </c>
      <c r="G4278" s="114">
        <v>36</v>
      </c>
      <c r="H4278" s="127"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13" t="str">
        <f>VLOOKUP(B4278,辅助信息!E:I,3,FALSE)</f>
        <v>(五冶钢构龙泉东洪片区70亩住宅、商业及配套工程项目一标段)成都市龙泉驿外东洪路地铁2号线惠王陵地铁C口</v>
      </c>
      <c r="J4278" s="113" t="str">
        <f>VLOOKUP(B4278,辅助信息!E:I,4,FALSE)</f>
        <v>邹爱国</v>
      </c>
      <c r="K4278" s="113">
        <f>VLOOKUP(J4278,辅助信息!H:I,2,FALSE)</f>
        <v>13540231225</v>
      </c>
      <c r="L4278" s="115">
        <f>VLOOKUP(B4278,辅助信息!E:J,6,FALSE)</f>
        <v>0</v>
      </c>
      <c r="M4278" s="84">
        <v>45941</v>
      </c>
      <c r="O4278" s="55">
        <f ca="1" t="shared" si="216"/>
        <v>0</v>
      </c>
      <c r="P4278" s="55">
        <f ca="1" t="shared" si="217"/>
        <v>16</v>
      </c>
      <c r="Q4278" s="22" t="str">
        <f>VLOOKUP(B4278,辅助信息!E:M,9,FALSE)</f>
        <v>ZTWM-CDGS-XS-2025-0156-五冶钢构-2025年九月第一批次钢筋采购合同(三圣乡项目)-中铁物贸成都公司</v>
      </c>
      <c r="R4278" s="22" t="str">
        <f>_xlfn._xlws.FILTER(辅助信息!D:D,辅助信息!E:E=B4278)</f>
        <v>五冶钢构龙泉东洪片区70亩住宅、商业及配套工程项目一标段</v>
      </c>
    </row>
    <row r="4279" hidden="1" spans="2:18">
      <c r="B4279" s="129" t="s">
        <v>224</v>
      </c>
      <c r="C4279" s="63">
        <v>45940</v>
      </c>
      <c r="D4279" s="113" t="str">
        <f>VLOOKUP(B4279,辅助信息!E:K,7,FALSE)</f>
        <v>JWDDCD2025092400188</v>
      </c>
      <c r="E4279" s="113" t="str">
        <f>VLOOKUP(F4279,辅助信息!A:B,2,FALSE)</f>
        <v>螺纹钢</v>
      </c>
      <c r="F4279" s="113" t="s">
        <v>18</v>
      </c>
      <c r="G4279" s="114">
        <v>8</v>
      </c>
      <c r="H4279" s="127"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13" t="str">
        <f>VLOOKUP(B4279,辅助信息!E:I,3,FALSE)</f>
        <v>(五冶钢构龙泉东洪片区70亩住宅、商业及配套工程项目一标段)成都市龙泉驿外东洪路地铁2号线惠王陵地铁C口</v>
      </c>
      <c r="J4279" s="113" t="str">
        <f>VLOOKUP(B4279,辅助信息!E:I,4,FALSE)</f>
        <v>邹爱国</v>
      </c>
      <c r="K4279" s="113">
        <f>VLOOKUP(J4279,辅助信息!H:I,2,FALSE)</f>
        <v>13540231225</v>
      </c>
      <c r="L4279" s="115">
        <f>VLOOKUP(B4279,辅助信息!E:J,6,FALSE)</f>
        <v>0</v>
      </c>
      <c r="M4279" s="84">
        <v>45941</v>
      </c>
      <c r="O4279" s="55">
        <f ca="1" t="shared" si="216"/>
        <v>0</v>
      </c>
      <c r="P4279" s="55">
        <f ca="1" t="shared" si="217"/>
        <v>16</v>
      </c>
      <c r="Q4279" s="22" t="str">
        <f>VLOOKUP(B4279,辅助信息!E:M,9,FALSE)</f>
        <v>ZTWM-CDGS-XS-2025-0156-五冶钢构-2025年九月第一批次钢筋采购合同(三圣乡项目)-中铁物贸成都公司</v>
      </c>
      <c r="R4279" s="22" t="str">
        <f>_xlfn._xlws.FILTER(辅助信息!D:D,辅助信息!E:E=B4279)</f>
        <v>五冶钢构龙泉东洪片区70亩住宅、商业及配套工程项目一标段</v>
      </c>
    </row>
    <row r="4280" hidden="1" spans="2:18">
      <c r="B4280" s="129" t="s">
        <v>226</v>
      </c>
      <c r="C4280" s="63">
        <v>45940</v>
      </c>
      <c r="D4280" s="113" t="str">
        <f>VLOOKUP(B4280,辅助信息!E:K,7,FALSE)</f>
        <v>JWDDCD2025092400211</v>
      </c>
      <c r="E4280" s="113" t="str">
        <f>VLOOKUP(F4280,辅助信息!A:B,2,FALSE)</f>
        <v>盘螺</v>
      </c>
      <c r="F4280" s="113" t="s">
        <v>40</v>
      </c>
      <c r="G4280" s="114">
        <v>35</v>
      </c>
      <c r="H4280" s="127"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13" t="str">
        <f>VLOOKUP(B4280,辅助信息!E:I,3,FALSE)</f>
        <v>(五冶钢构龙泉东洪片区85亩住宅、商业及配套工程项目二标段)成都市龙泉驿外东洪路地铁2号线惠王陵地铁C口</v>
      </c>
      <c r="J4280" s="113" t="str">
        <f>VLOOKUP(B4280,辅助信息!E:I,4,FALSE)</f>
        <v>李渊</v>
      </c>
      <c r="K4280" s="113">
        <f>VLOOKUP(J4280,辅助信息!H:I,2,FALSE)</f>
        <v>18381013849</v>
      </c>
      <c r="L4280" s="115">
        <f>VLOOKUP(B4280,辅助信息!E:J,6,FALSE)</f>
        <v>0</v>
      </c>
      <c r="M4280" s="84">
        <v>45941</v>
      </c>
      <c r="O4280" s="55">
        <f ca="1" t="shared" si="216"/>
        <v>0</v>
      </c>
      <c r="P4280" s="55">
        <f ca="1" t="shared" si="217"/>
        <v>16</v>
      </c>
      <c r="Q4280" s="22" t="str">
        <f>VLOOKUP(B4280,辅助信息!E:M,9,FALSE)</f>
        <v>ZTWM-CDGS-XS-2025-0156-五冶钢构-2025年九月第一批次钢筋采购合同(三圣乡项目)-中铁物贸成都公司</v>
      </c>
      <c r="R4280" s="22" t="str">
        <f>_xlfn._xlws.FILTER(辅助信息!D:D,辅助信息!E:E=B4280)</f>
        <v>五冶钢构龙泉东洪片区85亩住宅、商业及配套工程项目二标段</v>
      </c>
    </row>
    <row r="4281" hidden="1" spans="2:18">
      <c r="B4281" s="129" t="s">
        <v>226</v>
      </c>
      <c r="C4281" s="63">
        <v>45940</v>
      </c>
      <c r="D4281" s="113" t="str">
        <f>VLOOKUP(B4281,辅助信息!E:K,7,FALSE)</f>
        <v>JWDDCD2025092400211</v>
      </c>
      <c r="E4281" s="113" t="str">
        <f>VLOOKUP(F4281,辅助信息!A:B,2,FALSE)</f>
        <v>盘螺</v>
      </c>
      <c r="F4281" s="113" t="s">
        <v>41</v>
      </c>
      <c r="G4281" s="114">
        <v>35</v>
      </c>
      <c r="H4281" s="127"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13" t="str">
        <f>VLOOKUP(B4281,辅助信息!E:I,3,FALSE)</f>
        <v>(五冶钢构龙泉东洪片区85亩住宅、商业及配套工程项目二标段)成都市龙泉驿外东洪路地铁2号线惠王陵地铁C口</v>
      </c>
      <c r="J4281" s="113" t="str">
        <f>VLOOKUP(B4281,辅助信息!E:I,4,FALSE)</f>
        <v>李渊</v>
      </c>
      <c r="K4281" s="113">
        <f>VLOOKUP(J4281,辅助信息!H:I,2,FALSE)</f>
        <v>18381013849</v>
      </c>
      <c r="L4281" s="115">
        <f>VLOOKUP(B4281,辅助信息!E:J,6,FALSE)</f>
        <v>0</v>
      </c>
      <c r="M4281" s="84">
        <v>45941</v>
      </c>
      <c r="O4281" s="55">
        <f ca="1" t="shared" si="216"/>
        <v>0</v>
      </c>
      <c r="P4281" s="55">
        <f ca="1" t="shared" si="217"/>
        <v>16</v>
      </c>
      <c r="Q4281" s="22" t="str">
        <f>VLOOKUP(B4281,辅助信息!E:M,9,FALSE)</f>
        <v>ZTWM-CDGS-XS-2025-0156-五冶钢构-2025年九月第一批次钢筋采购合同(三圣乡项目)-中铁物贸成都公司</v>
      </c>
      <c r="R4281" s="22" t="str">
        <f>_xlfn._xlws.FILTER(辅助信息!D:D,辅助信息!E:E=B4281)</f>
        <v>五冶钢构龙泉东洪片区85亩住宅、商业及配套工程项目二标段</v>
      </c>
    </row>
    <row r="4282" hidden="1" spans="2:18">
      <c r="B4282" s="129" t="s">
        <v>226</v>
      </c>
      <c r="C4282" s="63">
        <v>45940</v>
      </c>
      <c r="D4282" s="113" t="str">
        <f>VLOOKUP(B4282,辅助信息!E:K,7,FALSE)</f>
        <v>JWDDCD2025092400211</v>
      </c>
      <c r="E4282" s="113" t="str">
        <f>VLOOKUP(F4282,辅助信息!A:B,2,FALSE)</f>
        <v>盘螺</v>
      </c>
      <c r="F4282" s="113" t="s">
        <v>26</v>
      </c>
      <c r="G4282" s="114">
        <v>35</v>
      </c>
      <c r="H4282" s="127"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13" t="str">
        <f>VLOOKUP(B4282,辅助信息!E:I,3,FALSE)</f>
        <v>(五冶钢构龙泉东洪片区85亩住宅、商业及配套工程项目二标段)成都市龙泉驿外东洪路地铁2号线惠王陵地铁C口</v>
      </c>
      <c r="J4282" s="113" t="str">
        <f>VLOOKUP(B4282,辅助信息!E:I,4,FALSE)</f>
        <v>李渊</v>
      </c>
      <c r="K4282" s="113">
        <f>VLOOKUP(J4282,辅助信息!H:I,2,FALSE)</f>
        <v>18381013849</v>
      </c>
      <c r="L4282" s="115">
        <f>VLOOKUP(B4282,辅助信息!E:J,6,FALSE)</f>
        <v>0</v>
      </c>
      <c r="M4282" s="84">
        <v>45941</v>
      </c>
      <c r="O4282" s="55">
        <f ca="1" t="shared" si="216"/>
        <v>0</v>
      </c>
      <c r="P4282" s="55">
        <f ca="1" t="shared" si="217"/>
        <v>16</v>
      </c>
      <c r="Q4282" s="22" t="str">
        <f>VLOOKUP(B4282,辅助信息!E:M,9,FALSE)</f>
        <v>ZTWM-CDGS-XS-2025-0156-五冶钢构-2025年九月第一批次钢筋采购合同(三圣乡项目)-中铁物贸成都公司</v>
      </c>
      <c r="R4282" s="22" t="str">
        <f>_xlfn._xlws.FILTER(辅助信息!D:D,辅助信息!E:E=B4282)</f>
        <v>五冶钢构龙泉东洪片区85亩住宅、商业及配套工程项目二标段</v>
      </c>
    </row>
    <row r="4283" hidden="1" spans="2:18">
      <c r="B4283" s="129" t="s">
        <v>226</v>
      </c>
      <c r="C4283" s="63">
        <v>45940</v>
      </c>
      <c r="D4283" s="113" t="str">
        <f>VLOOKUP(B4283,辅助信息!E:K,7,FALSE)</f>
        <v>JWDDCD2025092400211</v>
      </c>
      <c r="E4283" s="113" t="str">
        <f>VLOOKUP(F4283,辅助信息!A:B,2,FALSE)</f>
        <v>螺纹钢</v>
      </c>
      <c r="F4283" s="113" t="s">
        <v>19</v>
      </c>
      <c r="G4283" s="114">
        <v>35</v>
      </c>
      <c r="H4283" s="127"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13" t="str">
        <f>VLOOKUP(B4283,辅助信息!E:I,3,FALSE)</f>
        <v>(五冶钢构龙泉东洪片区85亩住宅、商业及配套工程项目二标段)成都市龙泉驿外东洪路地铁2号线惠王陵地铁C口</v>
      </c>
      <c r="J4283" s="113" t="str">
        <f>VLOOKUP(B4283,辅助信息!E:I,4,FALSE)</f>
        <v>李渊</v>
      </c>
      <c r="K4283" s="113">
        <f>VLOOKUP(J4283,辅助信息!H:I,2,FALSE)</f>
        <v>18381013849</v>
      </c>
      <c r="L4283" s="115">
        <f>VLOOKUP(B4283,辅助信息!E:J,6,FALSE)</f>
        <v>0</v>
      </c>
      <c r="M4283" s="84">
        <v>45941</v>
      </c>
      <c r="O4283" s="55">
        <f ca="1" t="shared" si="216"/>
        <v>0</v>
      </c>
      <c r="P4283" s="55">
        <f ca="1" t="shared" si="217"/>
        <v>16</v>
      </c>
      <c r="Q4283" s="22" t="str">
        <f>VLOOKUP(B4283,辅助信息!E:M,9,FALSE)</f>
        <v>ZTWM-CDGS-XS-2025-0156-五冶钢构-2025年九月第一批次钢筋采购合同(三圣乡项目)-中铁物贸成都公司</v>
      </c>
      <c r="R4283" s="22" t="str">
        <f>_xlfn._xlws.FILTER(辅助信息!D:D,辅助信息!E:E=B4283)</f>
        <v>五冶钢构龙泉东洪片区85亩住宅、商业及配套工程项目二标段</v>
      </c>
    </row>
    <row r="4284" hidden="1" spans="2:18">
      <c r="B4284" s="129" t="s">
        <v>226</v>
      </c>
      <c r="C4284" s="63">
        <v>45940</v>
      </c>
      <c r="D4284" s="113" t="str">
        <f>VLOOKUP(B4284,辅助信息!E:K,7,FALSE)</f>
        <v>JWDDCD2025092400211</v>
      </c>
      <c r="E4284" s="113" t="str">
        <f>VLOOKUP(F4284,辅助信息!A:B,2,FALSE)</f>
        <v>螺纹钢</v>
      </c>
      <c r="F4284" s="113" t="s">
        <v>33</v>
      </c>
      <c r="G4284" s="114">
        <v>25</v>
      </c>
      <c r="H4284" s="127"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13" t="str">
        <f>VLOOKUP(B4284,辅助信息!E:I,3,FALSE)</f>
        <v>(五冶钢构龙泉东洪片区85亩住宅、商业及配套工程项目二标段)成都市龙泉驿外东洪路地铁2号线惠王陵地铁C口</v>
      </c>
      <c r="J4284" s="113" t="str">
        <f>VLOOKUP(B4284,辅助信息!E:I,4,FALSE)</f>
        <v>李渊</v>
      </c>
      <c r="K4284" s="113">
        <f>VLOOKUP(J4284,辅助信息!H:I,2,FALSE)</f>
        <v>18381013849</v>
      </c>
      <c r="L4284" s="115">
        <f>VLOOKUP(B4284,辅助信息!E:J,6,FALSE)</f>
        <v>0</v>
      </c>
      <c r="M4284" s="84">
        <v>45941</v>
      </c>
      <c r="O4284" s="55">
        <f ca="1" t="shared" si="216"/>
        <v>0</v>
      </c>
      <c r="P4284" s="55">
        <f ca="1" t="shared" si="217"/>
        <v>16</v>
      </c>
      <c r="Q4284" s="22" t="str">
        <f>VLOOKUP(B4284,辅助信息!E:M,9,FALSE)</f>
        <v>ZTWM-CDGS-XS-2025-0156-五冶钢构-2025年九月第一批次钢筋采购合同(三圣乡项目)-中铁物贸成都公司</v>
      </c>
      <c r="R4284" s="22" t="str">
        <f>_xlfn._xlws.FILTER(辅助信息!D:D,辅助信息!E:E=B4284)</f>
        <v>五冶钢构龙泉东洪片区85亩住宅、商业及配套工程项目二标段</v>
      </c>
    </row>
    <row r="4285" hidden="1" spans="2:18">
      <c r="B4285" s="129" t="s">
        <v>226</v>
      </c>
      <c r="C4285" s="63">
        <v>45940</v>
      </c>
      <c r="D4285" s="113" t="str">
        <f>VLOOKUP(B4285,辅助信息!E:K,7,FALSE)</f>
        <v>JWDDCD2025092400211</v>
      </c>
      <c r="E4285" s="113" t="str">
        <f>VLOOKUP(F4285,辅助信息!A:B,2,FALSE)</f>
        <v>螺纹钢</v>
      </c>
      <c r="F4285" s="113" t="s">
        <v>28</v>
      </c>
      <c r="G4285" s="114">
        <v>21</v>
      </c>
      <c r="H4285" s="127"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13" t="str">
        <f>VLOOKUP(B4285,辅助信息!E:I,3,FALSE)</f>
        <v>(五冶钢构龙泉东洪片区85亩住宅、商业及配套工程项目二标段)成都市龙泉驿外东洪路地铁2号线惠王陵地铁C口</v>
      </c>
      <c r="J4285" s="113" t="str">
        <f>VLOOKUP(B4285,辅助信息!E:I,4,FALSE)</f>
        <v>李渊</v>
      </c>
      <c r="K4285" s="113">
        <f>VLOOKUP(J4285,辅助信息!H:I,2,FALSE)</f>
        <v>18381013849</v>
      </c>
      <c r="L4285" s="115">
        <f>VLOOKUP(B4285,辅助信息!E:J,6,FALSE)</f>
        <v>0</v>
      </c>
      <c r="M4285" s="84">
        <v>45941</v>
      </c>
      <c r="O4285" s="55">
        <f ca="1" t="shared" si="216"/>
        <v>0</v>
      </c>
      <c r="P4285" s="55">
        <f ca="1" t="shared" si="217"/>
        <v>16</v>
      </c>
      <c r="Q4285" s="22" t="str">
        <f>VLOOKUP(B4285,辅助信息!E:M,9,FALSE)</f>
        <v>ZTWM-CDGS-XS-2025-0156-五冶钢构-2025年九月第一批次钢筋采购合同(三圣乡项目)-中铁物贸成都公司</v>
      </c>
      <c r="R4285" s="22" t="str">
        <f>_xlfn._xlws.FILTER(辅助信息!D:D,辅助信息!E:E=B4285)</f>
        <v>五冶钢构龙泉东洪片区85亩住宅、商业及配套工程项目二标段</v>
      </c>
    </row>
    <row r="4286" hidden="1" spans="2:18">
      <c r="B4286" s="129" t="s">
        <v>226</v>
      </c>
      <c r="C4286" s="63">
        <v>45940</v>
      </c>
      <c r="D4286" s="113" t="str">
        <f>VLOOKUP(B4286,辅助信息!E:K,7,FALSE)</f>
        <v>JWDDCD2025092400211</v>
      </c>
      <c r="E4286" s="113" t="str">
        <f>VLOOKUP(F4286,辅助信息!A:B,2,FALSE)</f>
        <v>螺纹钢</v>
      </c>
      <c r="F4286" s="113" t="s">
        <v>18</v>
      </c>
      <c r="G4286" s="114">
        <v>9</v>
      </c>
      <c r="H4286" s="127"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13" t="str">
        <f>VLOOKUP(B4286,辅助信息!E:I,3,FALSE)</f>
        <v>(五冶钢构龙泉东洪片区85亩住宅、商业及配套工程项目二标段)成都市龙泉驿外东洪路地铁2号线惠王陵地铁C口</v>
      </c>
      <c r="J4286" s="113" t="str">
        <f>VLOOKUP(B4286,辅助信息!E:I,4,FALSE)</f>
        <v>李渊</v>
      </c>
      <c r="K4286" s="113">
        <f>VLOOKUP(J4286,辅助信息!H:I,2,FALSE)</f>
        <v>18381013849</v>
      </c>
      <c r="L4286" s="115">
        <f>VLOOKUP(B4286,辅助信息!E:J,6,FALSE)</f>
        <v>0</v>
      </c>
      <c r="M4286" s="84">
        <v>45941</v>
      </c>
      <c r="O4286" s="55">
        <f ca="1" t="shared" si="216"/>
        <v>0</v>
      </c>
      <c r="P4286" s="55">
        <f ca="1" t="shared" si="217"/>
        <v>16</v>
      </c>
      <c r="Q4286" s="22" t="str">
        <f>VLOOKUP(B4286,辅助信息!E:M,9,FALSE)</f>
        <v>ZTWM-CDGS-XS-2025-0156-五冶钢构-2025年九月第一批次钢筋采购合同(三圣乡项目)-中铁物贸成都公司</v>
      </c>
      <c r="R4286" s="22" t="str">
        <f>_xlfn._xlws.FILTER(辅助信息!D:D,辅助信息!E:E=B4286)</f>
        <v>五冶钢构龙泉东洪片区85亩住宅、商业及配套工程项目二标段</v>
      </c>
    </row>
    <row r="4287" ht="22.5" hidden="1" spans="1:18">
      <c r="A4287" s="64" t="s">
        <v>234</v>
      </c>
      <c r="B4287" s="129" t="s">
        <v>229</v>
      </c>
      <c r="C4287" s="63">
        <v>45940</v>
      </c>
      <c r="D4287" s="113" t="str">
        <f>VLOOKUP(B4287,辅助信息!E:K,7,FALSE)</f>
        <v>JWDDCD2025092400212</v>
      </c>
      <c r="E4287" s="113" t="str">
        <f>VLOOKUP(F4287,辅助信息!A:B,2,FALSE)</f>
        <v>盘螺</v>
      </c>
      <c r="F4287" s="113" t="s">
        <v>49</v>
      </c>
      <c r="G4287" s="114">
        <v>8</v>
      </c>
      <c r="H4287" s="127"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13" t="str">
        <f>VLOOKUP(B4287,辅助信息!E:I,3,FALSE)</f>
        <v>(五冶钢构龙泉东洪片区85亩住宅、商业及配套工程项目三标段)成都市龙泉驿外东洪路地铁2号线惠王陵地铁C口</v>
      </c>
      <c r="J4287" s="113" t="str">
        <f>VLOOKUP(B4287,辅助信息!E:I,4,FALSE)</f>
        <v>王军宝</v>
      </c>
      <c r="K4287" s="113">
        <f>VLOOKUP(J4287,辅助信息!H:I,2,FALSE)</f>
        <v>13889142392</v>
      </c>
      <c r="L4287" s="115">
        <f>VLOOKUP(B4287,辅助信息!E:J,6,FALSE)</f>
        <v>0</v>
      </c>
      <c r="M4287" s="84">
        <v>45941</v>
      </c>
      <c r="O4287" s="55">
        <f ca="1" t="shared" si="216"/>
        <v>0</v>
      </c>
      <c r="P4287" s="55">
        <f ca="1" t="shared" si="217"/>
        <v>16</v>
      </c>
      <c r="Q4287" s="22" t="str">
        <f>VLOOKUP(B4287,辅助信息!E:M,9,FALSE)</f>
        <v>ZTWM-CDGS-XS-2025-0156-五冶钢构-2025年九月第一批次钢筋采购合同(三圣乡项目)-中铁物贸成都公司</v>
      </c>
      <c r="R4287" s="22" t="str">
        <f>_xlfn._xlws.FILTER(辅助信息!D:D,辅助信息!E:E=B4287)</f>
        <v>五冶钢构龙泉东洪片区85亩住宅、商业及配套工程项目三标段</v>
      </c>
    </row>
    <row r="4288" ht="22.5" hidden="1" spans="1:18">
      <c r="A4288" s="64" t="s">
        <v>234</v>
      </c>
      <c r="B4288" s="129" t="s">
        <v>229</v>
      </c>
      <c r="C4288" s="63">
        <v>45940</v>
      </c>
      <c r="D4288" s="113" t="str">
        <f>VLOOKUP(B4288,辅助信息!E:K,7,FALSE)</f>
        <v>JWDDCD2025092400212</v>
      </c>
      <c r="E4288" s="113" t="str">
        <f>VLOOKUP(F4288,辅助信息!A:B,2,FALSE)</f>
        <v>盘螺</v>
      </c>
      <c r="F4288" s="113" t="s">
        <v>40</v>
      </c>
      <c r="G4288" s="114">
        <v>69</v>
      </c>
      <c r="H4288" s="127"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13" t="str">
        <f>VLOOKUP(B4288,辅助信息!E:I,3,FALSE)</f>
        <v>(五冶钢构龙泉东洪片区85亩住宅、商业及配套工程项目三标段)成都市龙泉驿外东洪路地铁2号线惠王陵地铁C口</v>
      </c>
      <c r="J4288" s="113" t="str">
        <f>VLOOKUP(B4288,辅助信息!E:I,4,FALSE)</f>
        <v>王军宝</v>
      </c>
      <c r="K4288" s="113">
        <f>VLOOKUP(J4288,辅助信息!H:I,2,FALSE)</f>
        <v>13889142392</v>
      </c>
      <c r="L4288" s="115">
        <f>VLOOKUP(B4288,辅助信息!E:J,6,FALSE)</f>
        <v>0</v>
      </c>
      <c r="M4288" s="84">
        <v>45941</v>
      </c>
      <c r="O4288" s="55">
        <f ca="1" t="shared" si="216"/>
        <v>0</v>
      </c>
      <c r="P4288" s="55">
        <f ca="1" t="shared" si="217"/>
        <v>16</v>
      </c>
      <c r="Q4288" s="22" t="str">
        <f>VLOOKUP(B4288,辅助信息!E:M,9,FALSE)</f>
        <v>ZTWM-CDGS-XS-2025-0156-五冶钢构-2025年九月第一批次钢筋采购合同(三圣乡项目)-中铁物贸成都公司</v>
      </c>
      <c r="R4288" s="22" t="str">
        <f>_xlfn._xlws.FILTER(辅助信息!D:D,辅助信息!E:E=B4288)</f>
        <v>五冶钢构龙泉东洪片区85亩住宅、商业及配套工程项目三标段</v>
      </c>
    </row>
    <row r="4289" ht="22.5" hidden="1" spans="1:18">
      <c r="A4289" s="64" t="s">
        <v>234</v>
      </c>
      <c r="B4289" s="129" t="s">
        <v>229</v>
      </c>
      <c r="C4289" s="63">
        <v>45940</v>
      </c>
      <c r="D4289" s="113" t="str">
        <f>VLOOKUP(B4289,辅助信息!E:K,7,FALSE)</f>
        <v>JWDDCD2025092400212</v>
      </c>
      <c r="E4289" s="113" t="str">
        <f>VLOOKUP(F4289,辅助信息!A:B,2,FALSE)</f>
        <v>盘螺</v>
      </c>
      <c r="F4289" s="113" t="s">
        <v>41</v>
      </c>
      <c r="G4289" s="114">
        <v>12</v>
      </c>
      <c r="H4289" s="127"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13" t="str">
        <f>VLOOKUP(B4289,辅助信息!E:I,3,FALSE)</f>
        <v>(五冶钢构龙泉东洪片区85亩住宅、商业及配套工程项目三标段)成都市龙泉驿外东洪路地铁2号线惠王陵地铁C口</v>
      </c>
      <c r="J4289" s="113" t="str">
        <f>VLOOKUP(B4289,辅助信息!E:I,4,FALSE)</f>
        <v>王军宝</v>
      </c>
      <c r="K4289" s="113">
        <f>VLOOKUP(J4289,辅助信息!H:I,2,FALSE)</f>
        <v>13889142392</v>
      </c>
      <c r="L4289" s="115">
        <f>VLOOKUP(B4289,辅助信息!E:J,6,FALSE)</f>
        <v>0</v>
      </c>
      <c r="M4289" s="84">
        <v>45941</v>
      </c>
      <c r="O4289" s="55">
        <f ca="1" t="shared" si="216"/>
        <v>0</v>
      </c>
      <c r="P4289" s="55">
        <f ca="1" t="shared" si="217"/>
        <v>16</v>
      </c>
      <c r="Q4289" s="22" t="str">
        <f>VLOOKUP(B4289,辅助信息!E:M,9,FALSE)</f>
        <v>ZTWM-CDGS-XS-2025-0156-五冶钢构-2025年九月第一批次钢筋采购合同(三圣乡项目)-中铁物贸成都公司</v>
      </c>
      <c r="R4289" s="22" t="str">
        <f>_xlfn._xlws.FILTER(辅助信息!D:D,辅助信息!E:E=B4289)</f>
        <v>五冶钢构龙泉东洪片区85亩住宅、商业及配套工程项目三标段</v>
      </c>
    </row>
    <row r="4290" hidden="1" spans="2:18">
      <c r="B4290" s="129" t="s">
        <v>229</v>
      </c>
      <c r="C4290" s="63">
        <v>45940</v>
      </c>
      <c r="D4290" s="113" t="str">
        <f>VLOOKUP(B4290,辅助信息!E:K,7,FALSE)</f>
        <v>JWDDCD2025092400212</v>
      </c>
      <c r="E4290" s="113" t="str">
        <f>VLOOKUP(F4290,辅助信息!A:B,2,FALSE)</f>
        <v>螺纹钢</v>
      </c>
      <c r="F4290" s="113" t="s">
        <v>27</v>
      </c>
      <c r="G4290" s="114">
        <v>30</v>
      </c>
      <c r="H4290" s="127"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13" t="str">
        <f>VLOOKUP(B4290,辅助信息!E:I,3,FALSE)</f>
        <v>(五冶钢构龙泉东洪片区85亩住宅、商业及配套工程项目三标段)成都市龙泉驿外东洪路地铁2号线惠王陵地铁C口</v>
      </c>
      <c r="J4290" s="113" t="str">
        <f>VLOOKUP(B4290,辅助信息!E:I,4,FALSE)</f>
        <v>王军宝</v>
      </c>
      <c r="K4290" s="113">
        <f>VLOOKUP(J4290,辅助信息!H:I,2,FALSE)</f>
        <v>13889142392</v>
      </c>
      <c r="L4290" s="115">
        <f>VLOOKUP(B4290,辅助信息!E:J,6,FALSE)</f>
        <v>0</v>
      </c>
      <c r="M4290" s="84">
        <v>45941</v>
      </c>
      <c r="O4290" s="55">
        <f ca="1" t="shared" si="216"/>
        <v>0</v>
      </c>
      <c r="P4290" s="55">
        <f ca="1" t="shared" si="217"/>
        <v>16</v>
      </c>
      <c r="Q4290" s="22" t="str">
        <f>VLOOKUP(B4290,辅助信息!E:M,9,FALSE)</f>
        <v>ZTWM-CDGS-XS-2025-0156-五冶钢构-2025年九月第一批次钢筋采购合同(三圣乡项目)-中铁物贸成都公司</v>
      </c>
      <c r="R4290" s="22" t="str">
        <f>_xlfn._xlws.FILTER(辅助信息!D:D,辅助信息!E:E=B4290)</f>
        <v>五冶钢构龙泉东洪片区85亩住宅、商业及配套工程项目三标段</v>
      </c>
    </row>
    <row r="4291" hidden="1" spans="2:18">
      <c r="B4291" s="129" t="s">
        <v>229</v>
      </c>
      <c r="C4291" s="63">
        <v>45940</v>
      </c>
      <c r="D4291" s="113" t="str">
        <f>VLOOKUP(B4291,辅助信息!E:K,7,FALSE)</f>
        <v>JWDDCD2025092400212</v>
      </c>
      <c r="E4291" s="113" t="str">
        <f>VLOOKUP(F4291,辅助信息!A:B,2,FALSE)</f>
        <v>螺纹钢</v>
      </c>
      <c r="F4291" s="113" t="s">
        <v>19</v>
      </c>
      <c r="G4291" s="114">
        <v>6</v>
      </c>
      <c r="H4291" s="127"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13" t="str">
        <f>VLOOKUP(B4291,辅助信息!E:I,3,FALSE)</f>
        <v>(五冶钢构龙泉东洪片区85亩住宅、商业及配套工程项目三标段)成都市龙泉驿外东洪路地铁2号线惠王陵地铁C口</v>
      </c>
      <c r="J4291" s="113" t="str">
        <f>VLOOKUP(B4291,辅助信息!E:I,4,FALSE)</f>
        <v>王军宝</v>
      </c>
      <c r="K4291" s="113">
        <f>VLOOKUP(J4291,辅助信息!H:I,2,FALSE)</f>
        <v>13889142392</v>
      </c>
      <c r="L4291" s="115">
        <f>VLOOKUP(B4291,辅助信息!E:J,6,FALSE)</f>
        <v>0</v>
      </c>
      <c r="M4291" s="84">
        <v>45941</v>
      </c>
      <c r="O4291" s="55">
        <f ca="1" t="shared" si="216"/>
        <v>0</v>
      </c>
      <c r="P4291" s="55">
        <f ca="1" t="shared" si="217"/>
        <v>16</v>
      </c>
      <c r="Q4291" s="22" t="str">
        <f>VLOOKUP(B4291,辅助信息!E:M,9,FALSE)</f>
        <v>ZTWM-CDGS-XS-2025-0156-五冶钢构-2025年九月第一批次钢筋采购合同(三圣乡项目)-中铁物贸成都公司</v>
      </c>
      <c r="R4291" s="22" t="str">
        <f>_xlfn._xlws.FILTER(辅助信息!D:D,辅助信息!E:E=B4291)</f>
        <v>五冶钢构龙泉东洪片区85亩住宅、商业及配套工程项目三标段</v>
      </c>
    </row>
    <row r="4292" hidden="1" spans="2:18">
      <c r="B4292" s="129" t="s">
        <v>229</v>
      </c>
      <c r="C4292" s="63">
        <v>45940</v>
      </c>
      <c r="D4292" s="113" t="str">
        <f>VLOOKUP(B4292,辅助信息!E:K,7,FALSE)</f>
        <v>JWDDCD2025092400212</v>
      </c>
      <c r="E4292" s="113" t="str">
        <f>VLOOKUP(F4292,辅助信息!A:B,2,FALSE)</f>
        <v>螺纹钢</v>
      </c>
      <c r="F4292" s="113" t="s">
        <v>32</v>
      </c>
      <c r="G4292" s="114">
        <v>10</v>
      </c>
      <c r="H4292" s="127"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13" t="str">
        <f>VLOOKUP(B4292,辅助信息!E:I,3,FALSE)</f>
        <v>(五冶钢构龙泉东洪片区85亩住宅、商业及配套工程项目三标段)成都市龙泉驿外东洪路地铁2号线惠王陵地铁C口</v>
      </c>
      <c r="J4292" s="113" t="str">
        <f>VLOOKUP(B4292,辅助信息!E:I,4,FALSE)</f>
        <v>王军宝</v>
      </c>
      <c r="K4292" s="113">
        <f>VLOOKUP(J4292,辅助信息!H:I,2,FALSE)</f>
        <v>13889142392</v>
      </c>
      <c r="L4292" s="115">
        <f>VLOOKUP(B4292,辅助信息!E:J,6,FALSE)</f>
        <v>0</v>
      </c>
      <c r="M4292" s="84">
        <v>45941</v>
      </c>
      <c r="O4292" s="55">
        <f ca="1" t="shared" si="216"/>
        <v>0</v>
      </c>
      <c r="P4292" s="55">
        <f ca="1" t="shared" si="217"/>
        <v>16</v>
      </c>
      <c r="Q4292" s="22" t="str">
        <f>VLOOKUP(B4292,辅助信息!E:M,9,FALSE)</f>
        <v>ZTWM-CDGS-XS-2025-0156-五冶钢构-2025年九月第一批次钢筋采购合同(三圣乡项目)-中铁物贸成都公司</v>
      </c>
      <c r="R4292" s="22" t="str">
        <f>_xlfn._xlws.FILTER(辅助信息!D:D,辅助信息!E:E=B4292)</f>
        <v>五冶钢构龙泉东洪片区85亩住宅、商业及配套工程项目三标段</v>
      </c>
    </row>
    <row r="4293" hidden="1" spans="2:18">
      <c r="B4293" s="129" t="s">
        <v>229</v>
      </c>
      <c r="C4293" s="63">
        <v>45940</v>
      </c>
      <c r="D4293" s="113" t="str">
        <f>VLOOKUP(B4293,辅助信息!E:K,7,FALSE)</f>
        <v>JWDDCD2025092400212</v>
      </c>
      <c r="E4293" s="113" t="str">
        <f>VLOOKUP(F4293,辅助信息!A:B,2,FALSE)</f>
        <v>螺纹钢</v>
      </c>
      <c r="F4293" s="113" t="s">
        <v>30</v>
      </c>
      <c r="G4293" s="114">
        <v>14</v>
      </c>
      <c r="H4293" s="127"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13" t="str">
        <f>VLOOKUP(B4293,辅助信息!E:I,3,FALSE)</f>
        <v>(五冶钢构龙泉东洪片区85亩住宅、商业及配套工程项目三标段)成都市龙泉驿外东洪路地铁2号线惠王陵地铁C口</v>
      </c>
      <c r="J4293" s="113" t="str">
        <f>VLOOKUP(B4293,辅助信息!E:I,4,FALSE)</f>
        <v>王军宝</v>
      </c>
      <c r="K4293" s="113">
        <f>VLOOKUP(J4293,辅助信息!H:I,2,FALSE)</f>
        <v>13889142392</v>
      </c>
      <c r="L4293" s="115">
        <f>VLOOKUP(B4293,辅助信息!E:J,6,FALSE)</f>
        <v>0</v>
      </c>
      <c r="M4293" s="84">
        <v>45941</v>
      </c>
      <c r="O4293" s="55">
        <f ca="1" t="shared" si="216"/>
        <v>0</v>
      </c>
      <c r="P4293" s="55">
        <f ca="1" t="shared" si="217"/>
        <v>16</v>
      </c>
      <c r="Q4293" s="22" t="str">
        <f>VLOOKUP(B4293,辅助信息!E:M,9,FALSE)</f>
        <v>ZTWM-CDGS-XS-2025-0156-五冶钢构-2025年九月第一批次钢筋采购合同(三圣乡项目)-中铁物贸成都公司</v>
      </c>
      <c r="R4293" s="22" t="str">
        <f>_xlfn._xlws.FILTER(辅助信息!D:D,辅助信息!E:E=B4293)</f>
        <v>五冶钢构龙泉东洪片区85亩住宅、商业及配套工程项目三标段</v>
      </c>
    </row>
    <row r="4294" hidden="1" spans="2:18">
      <c r="B4294" s="129" t="s">
        <v>229</v>
      </c>
      <c r="C4294" s="63">
        <v>45940</v>
      </c>
      <c r="D4294" s="113" t="str">
        <f>VLOOKUP(B4294,辅助信息!E:K,7,FALSE)</f>
        <v>JWDDCD2025092400212</v>
      </c>
      <c r="E4294" s="113" t="str">
        <f>VLOOKUP(F4294,辅助信息!A:B,2,FALSE)</f>
        <v>螺纹钢</v>
      </c>
      <c r="F4294" s="113" t="s">
        <v>33</v>
      </c>
      <c r="G4294" s="114">
        <v>15</v>
      </c>
      <c r="H4294" s="127"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13" t="str">
        <f>VLOOKUP(B4294,辅助信息!E:I,3,FALSE)</f>
        <v>(五冶钢构龙泉东洪片区85亩住宅、商业及配套工程项目三标段)成都市龙泉驿外东洪路地铁2号线惠王陵地铁C口</v>
      </c>
      <c r="J4294" s="113" t="str">
        <f>VLOOKUP(B4294,辅助信息!E:I,4,FALSE)</f>
        <v>王军宝</v>
      </c>
      <c r="K4294" s="113">
        <f>VLOOKUP(J4294,辅助信息!H:I,2,FALSE)</f>
        <v>13889142392</v>
      </c>
      <c r="L4294" s="115">
        <f>VLOOKUP(B4294,辅助信息!E:J,6,FALSE)</f>
        <v>0</v>
      </c>
      <c r="M4294" s="84">
        <v>45941</v>
      </c>
      <c r="O4294" s="55">
        <f ca="1" t="shared" si="216"/>
        <v>0</v>
      </c>
      <c r="P4294" s="55">
        <f ca="1" t="shared" si="217"/>
        <v>16</v>
      </c>
      <c r="Q4294" s="22" t="str">
        <f>VLOOKUP(B4294,辅助信息!E:M,9,FALSE)</f>
        <v>ZTWM-CDGS-XS-2025-0156-五冶钢构-2025年九月第一批次钢筋采购合同(三圣乡项目)-中铁物贸成都公司</v>
      </c>
      <c r="R4294" s="22" t="str">
        <f>_xlfn._xlws.FILTER(辅助信息!D:D,辅助信息!E:E=B4294)</f>
        <v>五冶钢构龙泉东洪片区85亩住宅、商业及配套工程项目三标段</v>
      </c>
    </row>
    <row r="4295" hidden="1" spans="2:18">
      <c r="B4295" s="129" t="s">
        <v>229</v>
      </c>
      <c r="C4295" s="63">
        <v>45940</v>
      </c>
      <c r="D4295" s="113" t="str">
        <f>VLOOKUP(B4295,辅助信息!E:K,7,FALSE)</f>
        <v>JWDDCD2025092400212</v>
      </c>
      <c r="E4295" s="113" t="str">
        <f>VLOOKUP(F4295,辅助信息!A:B,2,FALSE)</f>
        <v>螺纹钢</v>
      </c>
      <c r="F4295" s="113" t="s">
        <v>28</v>
      </c>
      <c r="G4295" s="114">
        <v>8</v>
      </c>
      <c r="H4295" s="127"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13" t="str">
        <f>VLOOKUP(B4295,辅助信息!E:I,3,FALSE)</f>
        <v>(五冶钢构龙泉东洪片区85亩住宅、商业及配套工程项目三标段)成都市龙泉驿外东洪路地铁2号线惠王陵地铁C口</v>
      </c>
      <c r="J4295" s="113" t="str">
        <f>VLOOKUP(B4295,辅助信息!E:I,4,FALSE)</f>
        <v>王军宝</v>
      </c>
      <c r="K4295" s="113">
        <f>VLOOKUP(J4295,辅助信息!H:I,2,FALSE)</f>
        <v>13889142392</v>
      </c>
      <c r="L4295" s="115">
        <f>VLOOKUP(B4295,辅助信息!E:J,6,FALSE)</f>
        <v>0</v>
      </c>
      <c r="M4295" s="84">
        <v>45941</v>
      </c>
      <c r="O4295" s="55">
        <f ca="1" t="shared" si="216"/>
        <v>0</v>
      </c>
      <c r="P4295" s="55">
        <f ca="1" t="shared" si="217"/>
        <v>16</v>
      </c>
      <c r="Q4295" s="22" t="str">
        <f>VLOOKUP(B4295,辅助信息!E:M,9,FALSE)</f>
        <v>ZTWM-CDGS-XS-2025-0156-五冶钢构-2025年九月第一批次钢筋采购合同(三圣乡项目)-中铁物贸成都公司</v>
      </c>
      <c r="R4295" s="22" t="str">
        <f>_xlfn._xlws.FILTER(辅助信息!D:D,辅助信息!E:E=B4295)</f>
        <v>五冶钢构龙泉东洪片区85亩住宅、商业及配套工程项目三标段</v>
      </c>
    </row>
    <row r="4296" hidden="1" spans="2:18">
      <c r="B4296" s="129" t="s">
        <v>229</v>
      </c>
      <c r="C4296" s="63">
        <v>45940</v>
      </c>
      <c r="D4296" s="113" t="str">
        <f>VLOOKUP(B4296,辅助信息!E:K,7,FALSE)</f>
        <v>JWDDCD2025092400212</v>
      </c>
      <c r="E4296" s="113" t="str">
        <f>VLOOKUP(F4296,辅助信息!A:B,2,FALSE)</f>
        <v>螺纹钢</v>
      </c>
      <c r="F4296" s="113" t="s">
        <v>18</v>
      </c>
      <c r="G4296" s="114">
        <v>2</v>
      </c>
      <c r="H4296" s="127"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13" t="str">
        <f>VLOOKUP(B4296,辅助信息!E:I,3,FALSE)</f>
        <v>(五冶钢构龙泉东洪片区85亩住宅、商业及配套工程项目三标段)成都市龙泉驿外东洪路地铁2号线惠王陵地铁C口</v>
      </c>
      <c r="J4296" s="113" t="str">
        <f>VLOOKUP(B4296,辅助信息!E:I,4,FALSE)</f>
        <v>王军宝</v>
      </c>
      <c r="K4296" s="113">
        <f>VLOOKUP(J4296,辅助信息!H:I,2,FALSE)</f>
        <v>13889142392</v>
      </c>
      <c r="L4296" s="115">
        <f>VLOOKUP(B4296,辅助信息!E:J,6,FALSE)</f>
        <v>0</v>
      </c>
      <c r="M4296" s="84">
        <v>45941</v>
      </c>
      <c r="O4296" s="55">
        <f ca="1" t="shared" si="216"/>
        <v>0</v>
      </c>
      <c r="P4296" s="55">
        <f ca="1" t="shared" si="217"/>
        <v>16</v>
      </c>
      <c r="Q4296" s="22" t="str">
        <f>VLOOKUP(B4296,辅助信息!E:M,9,FALSE)</f>
        <v>ZTWM-CDGS-XS-2025-0156-五冶钢构-2025年九月第一批次钢筋采购合同(三圣乡项目)-中铁物贸成都公司</v>
      </c>
      <c r="R4296" s="22" t="str">
        <f>_xlfn._xlws.FILTER(辅助信息!D:D,辅助信息!E:E=B4296)</f>
        <v>五冶钢构龙泉东洪片区85亩住宅、商业及配套工程项目三标段</v>
      </c>
    </row>
    <row r="4297" hidden="1" spans="2:18">
      <c r="B4297" s="129" t="s">
        <v>228</v>
      </c>
      <c r="C4297" s="63">
        <v>45940</v>
      </c>
      <c r="D4297" s="113" t="str">
        <f>VLOOKUP(B4297,辅助信息!E:K,7,FALSE)</f>
        <v>JWDDCD2025092400190</v>
      </c>
      <c r="E4297" s="113" t="str">
        <f>VLOOKUP(F4297,辅助信息!A:B,2,FALSE)</f>
        <v>盘螺</v>
      </c>
      <c r="F4297" s="113" t="s">
        <v>40</v>
      </c>
      <c r="G4297" s="114">
        <v>18</v>
      </c>
      <c r="H4297" s="127"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13" t="str">
        <f>VLOOKUP(B4297,辅助信息!E:I,3,FALSE)</f>
        <v>(五冶钢构龙泉东洪片区70亩住宅、商业及配套工程项目二标段)成都市龙泉驿外东洪路地铁2号线惠王陵地铁C口</v>
      </c>
      <c r="J4297" s="113" t="str">
        <f>VLOOKUP(B4297,辅助信息!E:I,4,FALSE)</f>
        <v>蒋嗣伟</v>
      </c>
      <c r="K4297" s="113">
        <f>VLOOKUP(J4297,辅助信息!H:I,2,FALSE)</f>
        <v>15014331252</v>
      </c>
      <c r="L4297" s="115">
        <f>VLOOKUP(B4297,辅助信息!E:J,6,FALSE)</f>
        <v>0</v>
      </c>
      <c r="M4297" s="84">
        <v>45941</v>
      </c>
      <c r="O4297" s="55">
        <f ca="1" t="shared" si="216"/>
        <v>0</v>
      </c>
      <c r="P4297" s="55">
        <f ca="1" t="shared" si="217"/>
        <v>16</v>
      </c>
      <c r="Q4297" s="22" t="str">
        <f>VLOOKUP(B4297,辅助信息!E:M,9,FALSE)</f>
        <v>ZTWM-CDGS-XS-2025-0156-五冶钢构-2025年九月第一批次钢筋采购合同(三圣乡项目)-中铁物贸成都公司</v>
      </c>
      <c r="R4297" s="22" t="str">
        <f>_xlfn._xlws.FILTER(辅助信息!D:D,辅助信息!E:E=B4297)</f>
        <v>五冶钢构龙泉东洪片区70亩住宅、商业及配套工程项目二标段</v>
      </c>
    </row>
    <row r="4298" hidden="1" spans="2:18">
      <c r="B4298" s="129" t="s">
        <v>228</v>
      </c>
      <c r="C4298" s="63">
        <v>45940</v>
      </c>
      <c r="D4298" s="113" t="str">
        <f>VLOOKUP(B4298,辅助信息!E:K,7,FALSE)</f>
        <v>JWDDCD2025092400190</v>
      </c>
      <c r="E4298" s="113" t="str">
        <f>VLOOKUP(F4298,辅助信息!A:B,2,FALSE)</f>
        <v>盘螺</v>
      </c>
      <c r="F4298" s="113" t="s">
        <v>41</v>
      </c>
      <c r="G4298" s="114">
        <v>35</v>
      </c>
      <c r="H4298" s="127"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13" t="str">
        <f>VLOOKUP(B4298,辅助信息!E:I,3,FALSE)</f>
        <v>(五冶钢构龙泉东洪片区70亩住宅、商业及配套工程项目二标段)成都市龙泉驿外东洪路地铁2号线惠王陵地铁C口</v>
      </c>
      <c r="J4298" s="113" t="str">
        <f>VLOOKUP(B4298,辅助信息!E:I,4,FALSE)</f>
        <v>蒋嗣伟</v>
      </c>
      <c r="K4298" s="113">
        <f>VLOOKUP(J4298,辅助信息!H:I,2,FALSE)</f>
        <v>15014331252</v>
      </c>
      <c r="L4298" s="115">
        <f>VLOOKUP(B4298,辅助信息!E:J,6,FALSE)</f>
        <v>0</v>
      </c>
      <c r="M4298" s="84">
        <v>45941</v>
      </c>
      <c r="O4298" s="55">
        <f ca="1" t="shared" si="216"/>
        <v>0</v>
      </c>
      <c r="P4298" s="55">
        <f ca="1" t="shared" si="217"/>
        <v>16</v>
      </c>
      <c r="Q4298" s="22" t="str">
        <f>VLOOKUP(B4298,辅助信息!E:M,9,FALSE)</f>
        <v>ZTWM-CDGS-XS-2025-0156-五冶钢构-2025年九月第一批次钢筋采购合同(三圣乡项目)-中铁物贸成都公司</v>
      </c>
      <c r="R4298" s="22" t="str">
        <f>_xlfn._xlws.FILTER(辅助信息!D:D,辅助信息!E:E=B4298)</f>
        <v>五冶钢构龙泉东洪片区70亩住宅、商业及配套工程项目二标段</v>
      </c>
    </row>
    <row r="4299" hidden="1" spans="2:18">
      <c r="B4299" s="129" t="s">
        <v>228</v>
      </c>
      <c r="C4299" s="63">
        <v>45940</v>
      </c>
      <c r="D4299" s="113" t="str">
        <f>VLOOKUP(B4299,辅助信息!E:K,7,FALSE)</f>
        <v>JWDDCD2025092400190</v>
      </c>
      <c r="E4299" s="113" t="str">
        <f>VLOOKUP(F4299,辅助信息!A:B,2,FALSE)</f>
        <v>盘螺</v>
      </c>
      <c r="F4299" s="113" t="s">
        <v>26</v>
      </c>
      <c r="G4299" s="114">
        <v>17</v>
      </c>
      <c r="H4299" s="127"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13" t="str">
        <f>VLOOKUP(B4299,辅助信息!E:I,3,FALSE)</f>
        <v>(五冶钢构龙泉东洪片区70亩住宅、商业及配套工程项目二标段)成都市龙泉驿外东洪路地铁2号线惠王陵地铁C口</v>
      </c>
      <c r="J4299" s="113" t="str">
        <f>VLOOKUP(B4299,辅助信息!E:I,4,FALSE)</f>
        <v>蒋嗣伟</v>
      </c>
      <c r="K4299" s="113">
        <f>VLOOKUP(J4299,辅助信息!H:I,2,FALSE)</f>
        <v>15014331252</v>
      </c>
      <c r="L4299" s="115">
        <f>VLOOKUP(B4299,辅助信息!E:J,6,FALSE)</f>
        <v>0</v>
      </c>
      <c r="M4299" s="84">
        <v>45941</v>
      </c>
      <c r="O4299" s="55">
        <f ca="1" t="shared" si="216"/>
        <v>0</v>
      </c>
      <c r="P4299" s="55">
        <f ca="1" t="shared" si="217"/>
        <v>16</v>
      </c>
      <c r="Q4299" s="22" t="str">
        <f>VLOOKUP(B4299,辅助信息!E:M,9,FALSE)</f>
        <v>ZTWM-CDGS-XS-2025-0156-五冶钢构-2025年九月第一批次钢筋采购合同(三圣乡项目)-中铁物贸成都公司</v>
      </c>
      <c r="R4299" s="22" t="str">
        <f>_xlfn._xlws.FILTER(辅助信息!D:D,辅助信息!E:E=B4299)</f>
        <v>五冶钢构龙泉东洪片区70亩住宅、商业及配套工程项目二标段</v>
      </c>
    </row>
    <row r="4300" ht="22.5" hidden="1" spans="1:18">
      <c r="A4300" s="121" t="s">
        <v>235</v>
      </c>
      <c r="B4300" s="129" t="s">
        <v>169</v>
      </c>
      <c r="C4300" s="63">
        <v>45940</v>
      </c>
      <c r="D4300" s="113" t="str">
        <f>VLOOKUP(B4300,辅助信息!E:K,7,FALSE)</f>
        <v>JWDDCD2025051800044</v>
      </c>
      <c r="E4300" s="113" t="str">
        <f>VLOOKUP(F4300,辅助信息!A:B,2,FALSE)</f>
        <v>高线</v>
      </c>
      <c r="F4300" s="113" t="s">
        <v>51</v>
      </c>
      <c r="G4300" s="114">
        <v>32</v>
      </c>
      <c r="H4300" s="127">
        <v>32</v>
      </c>
      <c r="I4300" s="113" t="str">
        <f>VLOOKUP(B4300,辅助信息!E:I,3,FALSE)</f>
        <v>(五冶建设龙泉芙蓉花语项目-1,3地块)龙泉驿区北川路双堰塘钓鱼东100米(北川路)</v>
      </c>
      <c r="J4300" s="113" t="str">
        <f>VLOOKUP(B4300,辅助信息!E:I,4,FALSE)</f>
        <v>祝斯阳</v>
      </c>
      <c r="K4300" s="113">
        <f>VLOOKUP(J4300,辅助信息!H:I,2,FALSE)</f>
        <v>15583590797</v>
      </c>
      <c r="L4300" s="115"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84">
        <v>45941</v>
      </c>
      <c r="O4300" s="55">
        <f ca="1" t="shared" si="216"/>
        <v>0</v>
      </c>
      <c r="P4300" s="55">
        <f ca="1" t="shared" si="217"/>
        <v>16</v>
      </c>
      <c r="Q4300" s="22" t="str">
        <f>VLOOKUP(B4300,辅助信息!E:M,9,FALSE)</f>
        <v>ZTWM-CDGS-XS-2025-0073-五冶天府-成都怡心湖片区及龙泉驿医院等项目</v>
      </c>
      <c r="R4300" s="22" t="str">
        <f>_xlfn._xlws.FILTER(辅助信息!D:D,辅助信息!E:E=B4300)</f>
        <v>五冶建设龙泉芙蓉花语项目</v>
      </c>
    </row>
    <row r="4301" ht="22.5" hidden="1" spans="1:18">
      <c r="A4301" s="121" t="s">
        <v>236</v>
      </c>
      <c r="B4301" s="129" t="s">
        <v>169</v>
      </c>
      <c r="C4301" s="63">
        <v>45940</v>
      </c>
      <c r="D4301" s="113" t="str">
        <f>VLOOKUP(B4301,辅助信息!E:K,7,FALSE)</f>
        <v>JWDDCD2025051800044</v>
      </c>
      <c r="E4301" s="113" t="str">
        <f>VLOOKUP(F4301,辅助信息!A:B,2,FALSE)</f>
        <v>螺纹钢</v>
      </c>
      <c r="F4301" s="113" t="s">
        <v>28</v>
      </c>
      <c r="G4301" s="114">
        <v>35</v>
      </c>
      <c r="H4301" s="127">
        <v>35</v>
      </c>
      <c r="I4301" s="113" t="str">
        <f>VLOOKUP(B4301,辅助信息!E:I,3,FALSE)</f>
        <v>(五冶建设龙泉芙蓉花语项目-1,3地块)龙泉驿区北川路双堰塘钓鱼东100米(北川路)</v>
      </c>
      <c r="J4301" s="113" t="str">
        <f>VLOOKUP(B4301,辅助信息!E:I,4,FALSE)</f>
        <v>祝斯阳</v>
      </c>
      <c r="K4301" s="113">
        <f>VLOOKUP(J4301,辅助信息!H:I,2,FALSE)</f>
        <v>15583590797</v>
      </c>
      <c r="L4301" s="115"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84">
        <v>45941</v>
      </c>
      <c r="O4301" s="55">
        <f ca="1" t="shared" si="216"/>
        <v>0</v>
      </c>
      <c r="P4301" s="55">
        <f ca="1" t="shared" si="217"/>
        <v>16</v>
      </c>
      <c r="Q4301" s="22" t="str">
        <f>VLOOKUP(B4301,辅助信息!E:M,9,FALSE)</f>
        <v>ZTWM-CDGS-XS-2025-0073-五冶天府-成都怡心湖片区及龙泉驿医院等项目</v>
      </c>
      <c r="R4301" s="22" t="str">
        <f>_xlfn._xlws.FILTER(辅助信息!D:D,辅助信息!E:E=B4301)</f>
        <v>五冶建设龙泉芙蓉花语项目</v>
      </c>
    </row>
    <row r="4302" ht="22.5" hidden="1" spans="1:18">
      <c r="A4302" s="121" t="s">
        <v>237</v>
      </c>
      <c r="B4302" s="129" t="s">
        <v>169</v>
      </c>
      <c r="C4302" s="63">
        <v>45940</v>
      </c>
      <c r="D4302" s="113" t="str">
        <f>VLOOKUP(B4302,辅助信息!E:K,7,FALSE)</f>
        <v>JWDDCD2025051800044</v>
      </c>
      <c r="E4302" s="113" t="str">
        <f>VLOOKUP(F4302,辅助信息!A:B,2,FALSE)</f>
        <v>螺纹钢</v>
      </c>
      <c r="F4302" s="113" t="s">
        <v>28</v>
      </c>
      <c r="G4302" s="114">
        <v>35</v>
      </c>
      <c r="H4302" s="127">
        <v>35</v>
      </c>
      <c r="I4302" s="113" t="str">
        <f>VLOOKUP(B4302,辅助信息!E:I,3,FALSE)</f>
        <v>(五冶建设龙泉芙蓉花语项目-1,3地块)龙泉驿区北川路双堰塘钓鱼东100米(北川路)</v>
      </c>
      <c r="J4302" s="113" t="str">
        <f>VLOOKUP(B4302,辅助信息!E:I,4,FALSE)</f>
        <v>祝斯阳</v>
      </c>
      <c r="K4302" s="113">
        <f>VLOOKUP(J4302,辅助信息!H:I,2,FALSE)</f>
        <v>15583590797</v>
      </c>
      <c r="L4302" s="115"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84">
        <v>45941</v>
      </c>
      <c r="O4302" s="55">
        <f ca="1" t="shared" si="216"/>
        <v>0</v>
      </c>
      <c r="P4302" s="55">
        <f ca="1" t="shared" si="217"/>
        <v>16</v>
      </c>
      <c r="Q4302" s="22" t="str">
        <f>VLOOKUP(B4302,辅助信息!E:M,9,FALSE)</f>
        <v>ZTWM-CDGS-XS-2025-0073-五冶天府-成都怡心湖片区及龙泉驿医院等项目</v>
      </c>
      <c r="R4302" s="22" t="str">
        <f>_xlfn._xlws.FILTER(辅助信息!D:D,辅助信息!E:E=B4302)</f>
        <v>五冶建设龙泉芙蓉花语项目</v>
      </c>
    </row>
    <row r="4303" hidden="1" spans="2:18">
      <c r="B4303" s="129" t="s">
        <v>192</v>
      </c>
      <c r="C4303" s="63">
        <v>45940</v>
      </c>
      <c r="D4303" s="113" t="str">
        <f>VLOOKUP(B4303,辅助信息!E:K,7,FALSE)</f>
        <v>JWDDCD2025102100475</v>
      </c>
      <c r="E4303" s="113" t="str">
        <f>VLOOKUP(F4303,辅助信息!A:B,2,FALSE)</f>
        <v>盘螺</v>
      </c>
      <c r="F4303" s="113" t="s">
        <v>40</v>
      </c>
      <c r="G4303" s="114">
        <v>12.5</v>
      </c>
      <c r="H4303" s="127">
        <f>IF(SUMIFS('[1]2025年已发货'!$E:$E,'[1]2025年已发货'!$F:$F,C4303,'[1]2025年已发货'!$C:$C,F4303,'[1]2025年已发货'!$G:$G,I4303,'[1]2025年已发货'!$H:$H,J4303)=0,"未发货",SUMIFS('[1]2025年已发货'!$E:$E,'[1]2025年已发货'!$F:$F,C4303,'[1]2025年已发货'!$C:$C,F4303,'[1]2025年已发货'!$G:$G,I4303,'[1]2025年已发货'!$H:$H,J4303))</f>
        <v>12.5</v>
      </c>
      <c r="I4303" s="113" t="str">
        <f>VLOOKUP(B4303,辅助信息!E:I,3,FALSE)</f>
        <v>(五冶建设成都国际铁路港多式联项目)四川省成都市青白江区桂平大道成都中远海运陆港多式联运有限公司</v>
      </c>
      <c r="J4303" s="113" t="str">
        <f>VLOOKUP(B4303,辅助信息!E:I,4,FALSE)</f>
        <v>黄勇杰</v>
      </c>
      <c r="K4303" s="113">
        <f>VLOOKUP(J4303,辅助信息!H:I,2,FALSE)</f>
        <v>13880580196</v>
      </c>
      <c r="L4303" s="115"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84">
        <v>45941</v>
      </c>
      <c r="O4303" s="55">
        <f ca="1" t="shared" si="216"/>
        <v>0</v>
      </c>
      <c r="P4303" s="55">
        <f ca="1" t="shared" si="217"/>
        <v>16</v>
      </c>
      <c r="Q4303" s="22" t="str">
        <f>VLOOKUP(B4303,辅助信息!E:M,9,FALSE)</f>
        <v>ZTWM-CDGS-XS-2025-0073-五冶天府-成都怡心湖片区及龙泉驿医院等项目</v>
      </c>
      <c r="R4303" s="22" t="str">
        <f>_xlfn._xlws.FILTER(辅助信息!D:D,辅助信息!E:E=B4303)</f>
        <v>五冶建设成都国际铁路港多式联项目</v>
      </c>
    </row>
    <row r="4304" hidden="1" spans="2:18">
      <c r="B4304" s="129" t="s">
        <v>192</v>
      </c>
      <c r="C4304" s="63">
        <v>45940</v>
      </c>
      <c r="D4304" s="113" t="str">
        <f>VLOOKUP(B4304,辅助信息!E:K,7,FALSE)</f>
        <v>JWDDCD2025102100475</v>
      </c>
      <c r="E4304" s="113" t="str">
        <f>VLOOKUP(F4304,辅助信息!A:B,2,FALSE)</f>
        <v>盘螺</v>
      </c>
      <c r="F4304" s="113" t="s">
        <v>26</v>
      </c>
      <c r="G4304" s="114">
        <v>12.5</v>
      </c>
      <c r="H4304" s="127">
        <f>IF(SUMIFS('[1]2025年已发货'!$E:$E,'[1]2025年已发货'!$F:$F,C4304,'[1]2025年已发货'!$C:$C,F4304,'[1]2025年已发货'!$G:$G,I4304,'[1]2025年已发货'!$H:$H,J4304)=0,"未发货",SUMIFS('[1]2025年已发货'!$E:$E,'[1]2025年已发货'!$F:$F,C4304,'[1]2025年已发货'!$C:$C,F4304,'[1]2025年已发货'!$G:$G,I4304,'[1]2025年已发货'!$H:$H,J4304))</f>
        <v>12.5</v>
      </c>
      <c r="I4304" s="113" t="str">
        <f>VLOOKUP(B4304,辅助信息!E:I,3,FALSE)</f>
        <v>(五冶建设成都国际铁路港多式联项目)四川省成都市青白江区桂平大道成都中远海运陆港多式联运有限公司</v>
      </c>
      <c r="J4304" s="113" t="str">
        <f>VLOOKUP(B4304,辅助信息!E:I,4,FALSE)</f>
        <v>黄勇杰</v>
      </c>
      <c r="K4304" s="113">
        <f>VLOOKUP(J4304,辅助信息!H:I,2,FALSE)</f>
        <v>13880580196</v>
      </c>
      <c r="L4304" s="115"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84">
        <v>45941</v>
      </c>
      <c r="O4304" s="55">
        <f ca="1" t="shared" si="216"/>
        <v>0</v>
      </c>
      <c r="P4304" s="55">
        <f ca="1" t="shared" si="217"/>
        <v>16</v>
      </c>
      <c r="Q4304" s="22" t="str">
        <f>VLOOKUP(B4304,辅助信息!E:M,9,FALSE)</f>
        <v>ZTWM-CDGS-XS-2025-0073-五冶天府-成都怡心湖片区及龙泉驿医院等项目</v>
      </c>
      <c r="R4304" s="22" t="str">
        <f>_xlfn._xlws.FILTER(辅助信息!D:D,辅助信息!E:E=B4304)</f>
        <v>五冶建设成都国际铁路港多式联项目</v>
      </c>
    </row>
    <row r="4305" hidden="1" spans="2:18">
      <c r="B4305" s="129" t="s">
        <v>192</v>
      </c>
      <c r="C4305" s="63">
        <v>45940</v>
      </c>
      <c r="D4305" s="113" t="str">
        <f>VLOOKUP(B4305,辅助信息!E:K,7,FALSE)</f>
        <v>JWDDCD2025102100475</v>
      </c>
      <c r="E4305" s="113" t="str">
        <f>VLOOKUP(F4305,辅助信息!A:B,2,FALSE)</f>
        <v>螺纹钢</v>
      </c>
      <c r="F4305" s="113" t="s">
        <v>65</v>
      </c>
      <c r="G4305" s="114">
        <v>10</v>
      </c>
      <c r="H4305" s="127">
        <f>IF(SUMIFS('[1]2025年已发货'!$E:$E,'[1]2025年已发货'!$F:$F,C4305,'[1]2025年已发货'!$C:$C,F4305,'[1]2025年已发货'!$G:$G,I4305,'[1]2025年已发货'!$H:$H,J4305)=0,"未发货",SUMIFS('[1]2025年已发货'!$E:$E,'[1]2025年已发货'!$F:$F,C4305,'[1]2025年已发货'!$C:$C,F4305,'[1]2025年已发货'!$G:$G,I4305,'[1]2025年已发货'!$H:$H,J4305))</f>
        <v>10</v>
      </c>
      <c r="I4305" s="113" t="str">
        <f>VLOOKUP(B4305,辅助信息!E:I,3,FALSE)</f>
        <v>(五冶建设成都国际铁路港多式联项目)四川省成都市青白江区桂平大道成都中远海运陆港多式联运有限公司</v>
      </c>
      <c r="J4305" s="113" t="str">
        <f>VLOOKUP(B4305,辅助信息!E:I,4,FALSE)</f>
        <v>黄勇杰</v>
      </c>
      <c r="K4305" s="113">
        <f>VLOOKUP(J4305,辅助信息!H:I,2,FALSE)</f>
        <v>13880580196</v>
      </c>
      <c r="L4305" s="115"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84">
        <v>45941</v>
      </c>
      <c r="O4305" s="55">
        <f ca="1" t="shared" si="216"/>
        <v>0</v>
      </c>
      <c r="P4305" s="55">
        <f ca="1" t="shared" si="217"/>
        <v>16</v>
      </c>
      <c r="Q4305" s="22" t="str">
        <f>VLOOKUP(B4305,辅助信息!E:M,9,FALSE)</f>
        <v>ZTWM-CDGS-XS-2025-0073-五冶天府-成都怡心湖片区及龙泉驿医院等项目</v>
      </c>
      <c r="R4305" s="22" t="str">
        <f>_xlfn._xlws.FILTER(辅助信息!D:D,辅助信息!E:E=B4305)</f>
        <v>五冶建设成都国际铁路港多式联项目</v>
      </c>
    </row>
    <row r="4306" hidden="1" spans="2:18">
      <c r="B4306" s="129" t="s">
        <v>231</v>
      </c>
      <c r="C4306" s="63">
        <v>45940</v>
      </c>
      <c r="D4306" s="113" t="str">
        <f>VLOOKUP(B4306,辅助信息!E:K,7,FALSE)</f>
        <v>JWDDCD2025102100481</v>
      </c>
      <c r="E4306" s="113" t="str">
        <f>VLOOKUP(F4306,辅助信息!A:B,2,FALSE)</f>
        <v>盘螺</v>
      </c>
      <c r="F4306" s="113" t="s">
        <v>40</v>
      </c>
      <c r="G4306" s="114">
        <v>2</v>
      </c>
      <c r="H4306" s="127">
        <v>2</v>
      </c>
      <c r="I4306" s="113" t="str">
        <f>VLOOKUP(B4306,辅助信息!E:I,3,FALSE)</f>
        <v>(五冶建设成都盐道街中学初中部改扩建工程-一标)四川省成都市锦江区春熙路街道盐道街4号（盐道街中学初中部）</v>
      </c>
      <c r="J4306" s="113" t="str">
        <f>VLOOKUP(B4306,辅助信息!E:I,4,FALSE)</f>
        <v>谢鑫</v>
      </c>
      <c r="K4306" s="113">
        <f>VLOOKUP(J4306,辅助信息!H:I,2,FALSE)</f>
        <v>18228465067</v>
      </c>
      <c r="L4306" s="115" t="str">
        <f>VLOOKUP(B4306,辅助信息!E:J,6,FALSE)</f>
        <v>联系实际收货人（易前刚18228465067）五冶建设送货单,6份材质书,锈货不收，装货前联系收货人核实到场规格,没提前告知进场规格现场不给予接收</v>
      </c>
      <c r="O4306" s="55" t="str">
        <f ca="1" t="shared" si="216"/>
        <v/>
      </c>
      <c r="P4306" s="55" t="str">
        <f ca="1" t="shared" si="217"/>
        <v/>
      </c>
      <c r="Q4306" s="22" t="str">
        <f>VLOOKUP(B4306,辅助信息!E:M,9,FALSE)</f>
        <v>ZTWM-CDGS-XS-2025-0073-五冶天府-成都怡心湖片区及龙泉驿医院等项目</v>
      </c>
      <c r="R4306" s="22" t="str">
        <f>_xlfn._xlws.FILTER(辅助信息!D:D,辅助信息!E:E=B4306)</f>
        <v>五冶建设成都盐道街中学初中部改扩建工程-一标</v>
      </c>
    </row>
    <row r="4307" hidden="1" spans="2:18">
      <c r="B4307" s="129" t="s">
        <v>231</v>
      </c>
      <c r="C4307" s="63">
        <v>45940</v>
      </c>
      <c r="D4307" s="113" t="str">
        <f>VLOOKUP(B4307,辅助信息!E:K,7,FALSE)</f>
        <v>JWDDCD2025102100481</v>
      </c>
      <c r="E4307" s="113" t="str">
        <f>VLOOKUP(F4307,辅助信息!A:B,2,FALSE)</f>
        <v>盘螺</v>
      </c>
      <c r="F4307" s="113" t="s">
        <v>26</v>
      </c>
      <c r="G4307" s="114">
        <v>12</v>
      </c>
      <c r="H4307" s="127">
        <v>12</v>
      </c>
      <c r="I4307" s="113" t="str">
        <f>VLOOKUP(B4307,辅助信息!E:I,3,FALSE)</f>
        <v>(五冶建设成都盐道街中学初中部改扩建工程-一标)四川省成都市锦江区春熙路街道盐道街4号（盐道街中学初中部）</v>
      </c>
      <c r="J4307" s="113" t="str">
        <f>VLOOKUP(B4307,辅助信息!E:I,4,FALSE)</f>
        <v>谢鑫</v>
      </c>
      <c r="K4307" s="113">
        <f>VLOOKUP(J4307,辅助信息!H:I,2,FALSE)</f>
        <v>18228465067</v>
      </c>
      <c r="L4307" s="115" t="str">
        <f>VLOOKUP(B4307,辅助信息!E:J,6,FALSE)</f>
        <v>联系实际收货人（易前刚18228465067）五冶建设送货单,6份材质书,锈货不收，装货前联系收货人核实到场规格,没提前告知进场规格现场不给予接收</v>
      </c>
      <c r="O4307" s="55" t="str">
        <f ca="1" t="shared" si="216"/>
        <v/>
      </c>
      <c r="P4307" s="55" t="str">
        <f ca="1" t="shared" si="217"/>
        <v/>
      </c>
      <c r="Q4307" s="22" t="str">
        <f>VLOOKUP(B4307,辅助信息!E:M,9,FALSE)</f>
        <v>ZTWM-CDGS-XS-2025-0073-五冶天府-成都怡心湖片区及龙泉驿医院等项目</v>
      </c>
      <c r="R4307" s="22" t="str">
        <f>_xlfn._xlws.FILTER(辅助信息!D:D,辅助信息!E:E=B4307)</f>
        <v>五冶建设成都盐道街中学初中部改扩建工程-一标</v>
      </c>
    </row>
    <row r="4308" hidden="1" spans="2:18">
      <c r="B4308" s="129" t="s">
        <v>231</v>
      </c>
      <c r="C4308" s="63">
        <v>45940</v>
      </c>
      <c r="D4308" s="113" t="str">
        <f>VLOOKUP(B4308,辅助信息!E:K,7,FALSE)</f>
        <v>JWDDCD2025102100481</v>
      </c>
      <c r="E4308" s="113" t="str">
        <f>VLOOKUP(F4308,辅助信息!A:B,2,FALSE)</f>
        <v>螺纹钢</v>
      </c>
      <c r="F4308" s="113" t="s">
        <v>30</v>
      </c>
      <c r="G4308" s="114">
        <v>3</v>
      </c>
      <c r="H4308" s="127">
        <v>3</v>
      </c>
      <c r="I4308" s="113" t="str">
        <f>VLOOKUP(B4308,辅助信息!E:I,3,FALSE)</f>
        <v>(五冶建设成都盐道街中学初中部改扩建工程-一标)四川省成都市锦江区春熙路街道盐道街4号（盐道街中学初中部）</v>
      </c>
      <c r="J4308" s="113" t="str">
        <f>VLOOKUP(B4308,辅助信息!E:I,4,FALSE)</f>
        <v>谢鑫</v>
      </c>
      <c r="K4308" s="113">
        <f>VLOOKUP(J4308,辅助信息!H:I,2,FALSE)</f>
        <v>18228465067</v>
      </c>
      <c r="L4308" s="115" t="str">
        <f>VLOOKUP(B4308,辅助信息!E:J,6,FALSE)</f>
        <v>联系实际收货人（易前刚18228465067）五冶建设送货单,6份材质书,锈货不收，装货前联系收货人核实到场规格,没提前告知进场规格现场不给予接收</v>
      </c>
      <c r="O4308" s="55" t="str">
        <f ca="1" t="shared" si="216"/>
        <v/>
      </c>
      <c r="P4308" s="55" t="str">
        <f ca="1" t="shared" si="217"/>
        <v/>
      </c>
      <c r="Q4308" s="22" t="str">
        <f>VLOOKUP(B4308,辅助信息!E:M,9,FALSE)</f>
        <v>ZTWM-CDGS-XS-2025-0073-五冶天府-成都怡心湖片区及龙泉驿医院等项目</v>
      </c>
      <c r="R4308" s="22" t="str">
        <f>_xlfn._xlws.FILTER(辅助信息!D:D,辅助信息!E:E=B4308)</f>
        <v>五冶建设成都盐道街中学初中部改扩建工程-一标</v>
      </c>
    </row>
    <row r="4309" hidden="1" spans="2:18">
      <c r="B4309" s="129" t="s">
        <v>231</v>
      </c>
      <c r="C4309" s="63">
        <v>45940</v>
      </c>
      <c r="D4309" s="113" t="str">
        <f>VLOOKUP(B4309,辅助信息!E:K,7,FALSE)</f>
        <v>JWDDCD2025102100481</v>
      </c>
      <c r="E4309" s="113" t="str">
        <f>VLOOKUP(F4309,辅助信息!A:B,2,FALSE)</f>
        <v>螺纹钢</v>
      </c>
      <c r="F4309" s="113" t="s">
        <v>28</v>
      </c>
      <c r="G4309" s="114">
        <v>6</v>
      </c>
      <c r="H4309" s="127">
        <v>6</v>
      </c>
      <c r="I4309" s="113" t="str">
        <f>VLOOKUP(B4309,辅助信息!E:I,3,FALSE)</f>
        <v>(五冶建设成都盐道街中学初中部改扩建工程-一标)四川省成都市锦江区春熙路街道盐道街4号（盐道街中学初中部）</v>
      </c>
      <c r="J4309" s="113" t="str">
        <f>VLOOKUP(B4309,辅助信息!E:I,4,FALSE)</f>
        <v>谢鑫</v>
      </c>
      <c r="K4309" s="113">
        <f>VLOOKUP(J4309,辅助信息!H:I,2,FALSE)</f>
        <v>18228465067</v>
      </c>
      <c r="L4309" s="115" t="str">
        <f>VLOOKUP(B4309,辅助信息!E:J,6,FALSE)</f>
        <v>联系实际收货人（易前刚18228465067）五冶建设送货单,6份材质书,锈货不收，装货前联系收货人核实到场规格,没提前告知进场规格现场不给予接收</v>
      </c>
      <c r="O4309" s="55" t="str">
        <f ca="1" t="shared" si="216"/>
        <v/>
      </c>
      <c r="P4309" s="55" t="str">
        <f ca="1" t="shared" si="217"/>
        <v/>
      </c>
      <c r="Q4309" s="22" t="str">
        <f>VLOOKUP(B4309,辅助信息!E:M,9,FALSE)</f>
        <v>ZTWM-CDGS-XS-2025-0073-五冶天府-成都怡心湖片区及龙泉驿医院等项目</v>
      </c>
      <c r="R4309" s="22" t="str">
        <f>_xlfn._xlws.FILTER(辅助信息!D:D,辅助信息!E:E=B4309)</f>
        <v>五冶建设成都盐道街中学初中部改扩建工程-一标</v>
      </c>
    </row>
    <row r="4310" hidden="1" spans="2:18">
      <c r="B4310" s="129" t="s">
        <v>231</v>
      </c>
      <c r="C4310" s="63">
        <v>45940</v>
      </c>
      <c r="D4310" s="113" t="str">
        <f>VLOOKUP(B4310,辅助信息!E:K,7,FALSE)</f>
        <v>JWDDCD2025102100481</v>
      </c>
      <c r="E4310" s="113" t="str">
        <f>VLOOKUP(F4310,辅助信息!A:B,2,FALSE)</f>
        <v>螺纹钢</v>
      </c>
      <c r="F4310" s="113" t="s">
        <v>65</v>
      </c>
      <c r="G4310" s="114">
        <v>12</v>
      </c>
      <c r="H4310" s="127">
        <v>12</v>
      </c>
      <c r="I4310" s="113" t="str">
        <f>VLOOKUP(B4310,辅助信息!E:I,3,FALSE)</f>
        <v>(五冶建设成都盐道街中学初中部改扩建工程-一标)四川省成都市锦江区春熙路街道盐道街4号（盐道街中学初中部）</v>
      </c>
      <c r="J4310" s="113" t="str">
        <f>VLOOKUP(B4310,辅助信息!E:I,4,FALSE)</f>
        <v>谢鑫</v>
      </c>
      <c r="K4310" s="113">
        <f>VLOOKUP(J4310,辅助信息!H:I,2,FALSE)</f>
        <v>18228465067</v>
      </c>
      <c r="L4310" s="115" t="str">
        <f>VLOOKUP(B4310,辅助信息!E:J,6,FALSE)</f>
        <v>联系实际收货人（易前刚18228465067）五冶建设送货单,6份材质书,锈货不收，装货前联系收货人核实到场规格,没提前告知进场规格现场不给予接收</v>
      </c>
      <c r="O4310" s="55" t="str">
        <f ca="1" t="shared" si="216"/>
        <v/>
      </c>
      <c r="P4310" s="55" t="str">
        <f ca="1" t="shared" si="217"/>
        <v/>
      </c>
      <c r="Q4310" s="22" t="str">
        <f>VLOOKUP(B4310,辅助信息!E:M,9,FALSE)</f>
        <v>ZTWM-CDGS-XS-2025-0073-五冶天府-成都怡心湖片区及龙泉驿医院等项目</v>
      </c>
      <c r="R4310" s="22" t="str">
        <f>_xlfn._xlws.FILTER(辅助信息!D:D,辅助信息!E:E=B4310)</f>
        <v>五冶建设成都盐道街中学初中部改扩建工程-一标</v>
      </c>
    </row>
    <row r="4311" hidden="1" spans="2:18">
      <c r="B4311" s="129" t="s">
        <v>112</v>
      </c>
      <c r="C4311" s="63">
        <v>45940</v>
      </c>
      <c r="D4311" s="113" t="str">
        <f>VLOOKUP(B4311,辅助信息!E:K,7,FALSE)</f>
        <v>JWDDCD2025052800131</v>
      </c>
      <c r="E4311" s="113" t="str">
        <f>VLOOKUP(F4311,辅助信息!A:B,2,FALSE)</f>
        <v>盘螺</v>
      </c>
      <c r="F4311" s="113" t="s">
        <v>49</v>
      </c>
      <c r="G4311" s="114">
        <v>12</v>
      </c>
      <c r="H4311" s="127"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13" t="str">
        <f>VLOOKUP(B4311,辅助信息!E:I,3,FALSE)</f>
        <v>（商投建工达州中医药科技园-4工区-10号楼）达州市通川区达州中医药职业学院犀牛大道北段</v>
      </c>
      <c r="J4311" s="113" t="str">
        <f>VLOOKUP(B4311,辅助信息!E:I,4,FALSE)</f>
        <v>张扬</v>
      </c>
      <c r="K4311" s="113">
        <f>VLOOKUP(J4311,辅助信息!H:I,2,FALSE)</f>
        <v>18381904567</v>
      </c>
      <c r="L4311" s="115" t="str">
        <f>VLOOKUP(B4311,辅助信息!E:J,6,FALSE)</f>
        <v>控制炉批号！多了现场不收！,优先安排达钢,提前联系到场规格及数量</v>
      </c>
      <c r="O4311" s="55" t="str">
        <f ca="1" t="shared" si="216"/>
        <v/>
      </c>
      <c r="P4311" s="55" t="str">
        <f ca="1" t="shared" si="217"/>
        <v/>
      </c>
      <c r="Q4311" s="22" t="str">
        <f>VLOOKUP(B4311,辅助信息!E:M,9,FALSE)</f>
        <v>ZTWM-CDGS-XS-2024-0134-商投建工达州中医药科技成果示范园项目</v>
      </c>
      <c r="R4311" s="22" t="str">
        <f>_xlfn._xlws.FILTER(辅助信息!D:D,辅助信息!E:E=B4311)</f>
        <v>商投建工达州中医药科技园</v>
      </c>
    </row>
    <row r="4312" hidden="1" spans="2:18">
      <c r="B4312" s="129" t="s">
        <v>112</v>
      </c>
      <c r="C4312" s="63">
        <v>45940</v>
      </c>
      <c r="D4312" s="113" t="str">
        <f>VLOOKUP(B4312,辅助信息!E:K,7,FALSE)</f>
        <v>JWDDCD2025052800131</v>
      </c>
      <c r="E4312" s="113" t="str">
        <f>VLOOKUP(F4312,辅助信息!A:B,2,FALSE)</f>
        <v>盘螺</v>
      </c>
      <c r="F4312" s="113" t="s">
        <v>40</v>
      </c>
      <c r="G4312" s="114">
        <v>24</v>
      </c>
      <c r="H4312" s="127"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13" t="str">
        <f>VLOOKUP(B4312,辅助信息!E:I,3,FALSE)</f>
        <v>（商投建工达州中医药科技园-4工区-10号楼）达州市通川区达州中医药职业学院犀牛大道北段</v>
      </c>
      <c r="J4312" s="113" t="str">
        <f>VLOOKUP(B4312,辅助信息!E:I,4,FALSE)</f>
        <v>张扬</v>
      </c>
      <c r="K4312" s="113">
        <f>VLOOKUP(J4312,辅助信息!H:I,2,FALSE)</f>
        <v>18381904567</v>
      </c>
      <c r="L4312" s="115" t="str">
        <f>VLOOKUP(B4312,辅助信息!E:J,6,FALSE)</f>
        <v>控制炉批号！多了现场不收！,优先安排达钢,提前联系到场规格及数量</v>
      </c>
      <c r="O4312" s="55" t="str">
        <f ca="1" t="shared" si="216"/>
        <v/>
      </c>
      <c r="P4312" s="55" t="str">
        <f ca="1" t="shared" si="217"/>
        <v/>
      </c>
      <c r="Q4312" s="22" t="str">
        <f>VLOOKUP(B4312,辅助信息!E:M,9,FALSE)</f>
        <v>ZTWM-CDGS-XS-2024-0134-商投建工达州中医药科技成果示范园项目</v>
      </c>
      <c r="R4312" s="22" t="str">
        <f>_xlfn._xlws.FILTER(辅助信息!D:D,辅助信息!E:E=B4312)</f>
        <v>商投建工达州中医药科技园</v>
      </c>
    </row>
    <row r="4313" hidden="1" spans="2:18">
      <c r="B4313" s="129" t="s">
        <v>112</v>
      </c>
      <c r="C4313" s="63">
        <v>45940</v>
      </c>
      <c r="D4313" s="113" t="str">
        <f>VLOOKUP(B4313,辅助信息!E:K,7,FALSE)</f>
        <v>JWDDCD2025052800131</v>
      </c>
      <c r="E4313" s="113" t="str">
        <f>VLOOKUP(F4313,辅助信息!A:B,2,FALSE)</f>
        <v>螺纹钢</v>
      </c>
      <c r="F4313" s="113" t="s">
        <v>32</v>
      </c>
      <c r="G4313" s="114">
        <v>3</v>
      </c>
      <c r="H4313" s="127"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13" t="str">
        <f>VLOOKUP(B4313,辅助信息!E:I,3,FALSE)</f>
        <v>（商投建工达州中医药科技园-4工区-10号楼）达州市通川区达州中医药职业学院犀牛大道北段</v>
      </c>
      <c r="J4313" s="113" t="str">
        <f>VLOOKUP(B4313,辅助信息!E:I,4,FALSE)</f>
        <v>张扬</v>
      </c>
      <c r="K4313" s="113">
        <f>VLOOKUP(J4313,辅助信息!H:I,2,FALSE)</f>
        <v>18381904567</v>
      </c>
      <c r="L4313" s="115" t="str">
        <f>VLOOKUP(B4313,辅助信息!E:J,6,FALSE)</f>
        <v>控制炉批号！多了现场不收！,优先安排达钢,提前联系到场规格及数量</v>
      </c>
      <c r="O4313" s="55" t="str">
        <f ca="1" t="shared" si="216"/>
        <v/>
      </c>
      <c r="P4313" s="55" t="str">
        <f ca="1" t="shared" si="217"/>
        <v/>
      </c>
      <c r="Q4313" s="22" t="str">
        <f>VLOOKUP(B4313,辅助信息!E:M,9,FALSE)</f>
        <v>ZTWM-CDGS-XS-2024-0134-商投建工达州中医药科技成果示范园项目</v>
      </c>
      <c r="R4313" s="22" t="str">
        <f>_xlfn._xlws.FILTER(辅助信息!D:D,辅助信息!E:E=B4313)</f>
        <v>商投建工达州中医药科技园</v>
      </c>
    </row>
    <row r="4314" hidden="1" spans="2:18">
      <c r="B4314" s="129" t="s">
        <v>112</v>
      </c>
      <c r="C4314" s="63">
        <v>45940</v>
      </c>
      <c r="D4314" s="113" t="str">
        <f>VLOOKUP(B4314,辅助信息!E:K,7,FALSE)</f>
        <v>JWDDCD2025052800131</v>
      </c>
      <c r="E4314" s="113" t="str">
        <f>VLOOKUP(F4314,辅助信息!A:B,2,FALSE)</f>
        <v>螺纹钢</v>
      </c>
      <c r="F4314" s="113" t="s">
        <v>18</v>
      </c>
      <c r="G4314" s="114">
        <v>12</v>
      </c>
      <c r="H4314" s="127"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13" t="str">
        <f>VLOOKUP(B4314,辅助信息!E:I,3,FALSE)</f>
        <v>（商投建工达州中医药科技园-4工区-10号楼）达州市通川区达州中医药职业学院犀牛大道北段</v>
      </c>
      <c r="J4314" s="113" t="str">
        <f>VLOOKUP(B4314,辅助信息!E:I,4,FALSE)</f>
        <v>张扬</v>
      </c>
      <c r="K4314" s="113">
        <f>VLOOKUP(J4314,辅助信息!H:I,2,FALSE)</f>
        <v>18381904567</v>
      </c>
      <c r="L4314" s="115" t="str">
        <f>VLOOKUP(B4314,辅助信息!E:J,6,FALSE)</f>
        <v>控制炉批号！多了现场不收！,优先安排达钢,提前联系到场规格及数量</v>
      </c>
      <c r="O4314" s="55" t="str">
        <f ca="1" t="shared" si="216"/>
        <v/>
      </c>
      <c r="P4314" s="55" t="str">
        <f ca="1" t="shared" si="217"/>
        <v/>
      </c>
      <c r="Q4314" s="22" t="str">
        <f>VLOOKUP(B4314,辅助信息!E:M,9,FALSE)</f>
        <v>ZTWM-CDGS-XS-2024-0134-商投建工达州中医药科技成果示范园项目</v>
      </c>
      <c r="R4314" s="22" t="str">
        <f>_xlfn._xlws.FILTER(辅助信息!D:D,辅助信息!E:E=B4314)</f>
        <v>商投建工达州中医药科技园</v>
      </c>
    </row>
    <row r="4315" hidden="1" spans="2:18">
      <c r="B4315" s="129" t="s">
        <v>112</v>
      </c>
      <c r="C4315" s="63">
        <v>45940</v>
      </c>
      <c r="D4315" s="113" t="str">
        <f>VLOOKUP(B4315,辅助信息!E:K,7,FALSE)</f>
        <v>JWDDCD2025052800131</v>
      </c>
      <c r="E4315" s="113" t="str">
        <f>VLOOKUP(F4315,辅助信息!A:B,2,FALSE)</f>
        <v>螺纹钢</v>
      </c>
      <c r="F4315" s="113" t="s">
        <v>21</v>
      </c>
      <c r="G4315" s="114">
        <v>12</v>
      </c>
      <c r="H4315" s="127"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13" t="str">
        <f>VLOOKUP(B4315,辅助信息!E:I,3,FALSE)</f>
        <v>（商投建工达州中医药科技园-4工区-10号楼）达州市通川区达州中医药职业学院犀牛大道北段</v>
      </c>
      <c r="J4315" s="113" t="str">
        <f>VLOOKUP(B4315,辅助信息!E:I,4,FALSE)</f>
        <v>张扬</v>
      </c>
      <c r="K4315" s="113">
        <f>VLOOKUP(J4315,辅助信息!H:I,2,FALSE)</f>
        <v>18381904567</v>
      </c>
      <c r="L4315" s="115" t="str">
        <f>VLOOKUP(B4315,辅助信息!E:J,6,FALSE)</f>
        <v>控制炉批号！多了现场不收！,优先安排达钢,提前联系到场规格及数量</v>
      </c>
      <c r="O4315" s="55" t="str">
        <f ca="1" t="shared" si="216"/>
        <v/>
      </c>
      <c r="P4315" s="55" t="str">
        <f ca="1" t="shared" si="217"/>
        <v/>
      </c>
      <c r="Q4315" s="22" t="str">
        <f>VLOOKUP(B4315,辅助信息!E:M,9,FALSE)</f>
        <v>ZTWM-CDGS-XS-2024-0134-商投建工达州中医药科技成果示范园项目</v>
      </c>
      <c r="R4315" s="22" t="str">
        <f>_xlfn._xlws.FILTER(辅助信息!D:D,辅助信息!E:E=B4315)</f>
        <v>商投建工达州中医药科技园</v>
      </c>
    </row>
    <row r="4316" hidden="1" spans="2:18">
      <c r="B4316" s="129" t="s">
        <v>112</v>
      </c>
      <c r="C4316" s="63">
        <v>45940</v>
      </c>
      <c r="D4316" s="113" t="str">
        <f>VLOOKUP(B4316,辅助信息!E:K,7,FALSE)</f>
        <v>JWDDCD2025052800131</v>
      </c>
      <c r="E4316" s="113" t="str">
        <f>VLOOKUP(F4316,辅助信息!A:B,2,FALSE)</f>
        <v>螺纹钢</v>
      </c>
      <c r="F4316" s="113" t="s">
        <v>58</v>
      </c>
      <c r="G4316" s="114">
        <v>12</v>
      </c>
      <c r="H4316" s="127"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13" t="str">
        <f>VLOOKUP(B4316,辅助信息!E:I,3,FALSE)</f>
        <v>（商投建工达州中医药科技园-4工区-10号楼）达州市通川区达州中医药职业学院犀牛大道北段</v>
      </c>
      <c r="J4316" s="113" t="str">
        <f>VLOOKUP(B4316,辅助信息!E:I,4,FALSE)</f>
        <v>张扬</v>
      </c>
      <c r="K4316" s="113">
        <f>VLOOKUP(J4316,辅助信息!H:I,2,FALSE)</f>
        <v>18381904567</v>
      </c>
      <c r="L4316" s="115" t="str">
        <f>VLOOKUP(B4316,辅助信息!E:J,6,FALSE)</f>
        <v>控制炉批号！多了现场不收！,优先安排达钢,提前联系到场规格及数量</v>
      </c>
      <c r="O4316" s="55" t="str">
        <f ca="1" t="shared" si="216"/>
        <v/>
      </c>
      <c r="P4316" s="55" t="str">
        <f ca="1" t="shared" si="217"/>
        <v/>
      </c>
      <c r="Q4316" s="22" t="str">
        <f>VLOOKUP(B4316,辅助信息!E:M,9,FALSE)</f>
        <v>ZTWM-CDGS-XS-2024-0134-商投建工达州中医药科技成果示范园项目</v>
      </c>
      <c r="R4316" s="22" t="str">
        <f>_xlfn._xlws.FILTER(辅助信息!D:D,辅助信息!E:E=B4316)</f>
        <v>商投建工达州中医药科技园</v>
      </c>
    </row>
    <row r="4317" hidden="1" spans="2:18">
      <c r="B4317" s="129" t="s">
        <v>112</v>
      </c>
      <c r="C4317" s="63">
        <v>45940</v>
      </c>
      <c r="D4317" s="113" t="str">
        <f>VLOOKUP(B4317,辅助信息!E:K,7,FALSE)</f>
        <v>JWDDCD2025052800131</v>
      </c>
      <c r="E4317" s="113" t="str">
        <f>VLOOKUP(F4317,辅助信息!A:B,2,FALSE)</f>
        <v>螺纹钢</v>
      </c>
      <c r="F4317" s="113" t="s">
        <v>22</v>
      </c>
      <c r="G4317" s="114">
        <v>21</v>
      </c>
      <c r="H4317" s="127"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13" t="str">
        <f>VLOOKUP(B4317,辅助信息!E:I,3,FALSE)</f>
        <v>（商投建工达州中医药科技园-4工区-10号楼）达州市通川区达州中医药职业学院犀牛大道北段</v>
      </c>
      <c r="J4317" s="113" t="str">
        <f>VLOOKUP(B4317,辅助信息!E:I,4,FALSE)</f>
        <v>张扬</v>
      </c>
      <c r="K4317" s="113">
        <f>VLOOKUP(J4317,辅助信息!H:I,2,FALSE)</f>
        <v>18381904567</v>
      </c>
      <c r="L4317" s="115" t="str">
        <f>VLOOKUP(B4317,辅助信息!E:J,6,FALSE)</f>
        <v>控制炉批号！多了现场不收！,优先安排达钢,提前联系到场规格及数量</v>
      </c>
      <c r="O4317" s="55" t="str">
        <f ca="1" t="shared" si="216"/>
        <v/>
      </c>
      <c r="P4317" s="55" t="str">
        <f ca="1" t="shared" si="217"/>
        <v/>
      </c>
      <c r="Q4317" s="22" t="str">
        <f>VLOOKUP(B4317,辅助信息!E:M,9,FALSE)</f>
        <v>ZTWM-CDGS-XS-2024-0134-商投建工达州中医药科技成果示范园项目</v>
      </c>
      <c r="R4317" s="22" t="str">
        <f>_xlfn._xlws.FILTER(辅助信息!D:D,辅助信息!E:E=B4317)</f>
        <v>商投建工达州中医药科技园</v>
      </c>
    </row>
    <row r="4318" hidden="1" spans="2:18">
      <c r="B4318" s="128" t="s">
        <v>187</v>
      </c>
      <c r="C4318" s="63">
        <v>45940</v>
      </c>
      <c r="D4318" s="33" t="str">
        <f>VLOOKUP(B4318,辅助信息!E:K,7,FALSE)</f>
        <v>JWDDCD2025072900121</v>
      </c>
      <c r="E4318" s="33" t="str">
        <f>VLOOKUP(F4318,辅助信息!A:B,2,FALSE)</f>
        <v>盘螺</v>
      </c>
      <c r="F4318" s="33" t="s">
        <v>40</v>
      </c>
      <c r="G4318" s="29">
        <v>35</v>
      </c>
      <c r="H4318" s="127"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33" t="str">
        <f>VLOOKUP(B4318,辅助信息!E:I,3,FALSE)</f>
        <v>(乐山市校地共建产教融合基地建设项目一标段)四川省乐山市市中区苏稽镇周山嘴</v>
      </c>
      <c r="J4318" s="33" t="str">
        <f>VLOOKUP(B4318,辅助信息!E:I,4,FALSE)</f>
        <v>范增云</v>
      </c>
      <c r="K4318" s="33">
        <f>VLOOKUP(J4318,辅助信息!H:I,2,FALSE)</f>
        <v>13668153241</v>
      </c>
      <c r="L4318" s="102" t="str">
        <f>VLOOKUP(B4318,辅助信息!E:J,6,FALSE)</f>
        <v>联系实际收货人（范增云13668153241）现场要求炉批号控制2个以下，超2个不给予签收。提前联系到场规格及数量</v>
      </c>
      <c r="O4318" s="55" t="str">
        <f ca="1" t="shared" si="216"/>
        <v/>
      </c>
      <c r="P4318" s="55" t="str">
        <f ca="1" t="shared" si="217"/>
        <v/>
      </c>
      <c r="Q4318" s="22" t="str">
        <f>VLOOKUP(B4318,辅助信息!E:M,9,FALSE)</f>
        <v>ZTWM-CDGS-XS-2025-0125-四川机司-乐山市校地共建产教融合基地配套设施项目施工一标段钢筋采购合同</v>
      </c>
      <c r="R4318" s="22" t="str">
        <f>_xlfn._xlws.FILTER(辅助信息!D:D,辅助信息!E:E=B4318)</f>
        <v>乐山市校地共建产教融合基地建设项目一标段</v>
      </c>
    </row>
    <row r="4319" hidden="1" spans="2:18">
      <c r="B4319" s="128" t="s">
        <v>187</v>
      </c>
      <c r="C4319" s="63">
        <v>45940</v>
      </c>
      <c r="D4319" s="33" t="str">
        <f>VLOOKUP(B4319,辅助信息!E:K,7,FALSE)</f>
        <v>JWDDCD2025072900121</v>
      </c>
      <c r="E4319" s="33" t="str">
        <f>VLOOKUP(F4319,辅助信息!A:B,2,FALSE)</f>
        <v>盘螺</v>
      </c>
      <c r="F4319" s="33" t="s">
        <v>41</v>
      </c>
      <c r="G4319" s="29">
        <v>11</v>
      </c>
      <c r="H4319" s="127">
        <f>IF(SUMIFS('[1]2025年已发货'!$E:$E,'[1]2025年已发货'!$F:$F,C4319,'[1]2025年已发货'!$C:$C,F4319,'[1]2025年已发货'!$G:$G,I4319,'[1]2025年已发货'!$H:$H,J4319)=0,"未发货",SUMIFS('[1]2025年已发货'!$E:$E,'[1]2025年已发货'!$F:$F,C4319,'[1]2025年已发货'!$C:$C,F4319,'[1]2025年已发货'!$G:$G,I4319,'[1]2025年已发货'!$H:$H,J4319))</f>
        <v>11</v>
      </c>
      <c r="I4319" s="33" t="str">
        <f>VLOOKUP(B4319,辅助信息!E:I,3,FALSE)</f>
        <v>(乐山市校地共建产教融合基地建设项目一标段)四川省乐山市市中区苏稽镇周山嘴</v>
      </c>
      <c r="J4319" s="33" t="str">
        <f>VLOOKUP(B4319,辅助信息!E:I,4,FALSE)</f>
        <v>范增云</v>
      </c>
      <c r="K4319" s="33">
        <f>VLOOKUP(J4319,辅助信息!H:I,2,FALSE)</f>
        <v>13668153241</v>
      </c>
      <c r="L4319" s="102" t="str">
        <f>VLOOKUP(B4319,辅助信息!E:J,6,FALSE)</f>
        <v>联系实际收货人（范增云13668153241）现场要求炉批号控制2个以下，超2个不给予签收。提前联系到场规格及数量</v>
      </c>
      <c r="O4319" s="55" t="str">
        <f ca="1" t="shared" si="216"/>
        <v/>
      </c>
      <c r="P4319" s="55" t="str">
        <f ca="1" t="shared" si="217"/>
        <v/>
      </c>
      <c r="Q4319" s="22" t="str">
        <f>VLOOKUP(B4319,辅助信息!E:M,9,FALSE)</f>
        <v>ZTWM-CDGS-XS-2025-0125-四川机司-乐山市校地共建产教融合基地配套设施项目施工一标段钢筋采购合同</v>
      </c>
      <c r="R4319" s="22" t="str">
        <f>_xlfn._xlws.FILTER(辅助信息!D:D,辅助信息!E:E=B4319)</f>
        <v>乐山市校地共建产教融合基地建设项目一标段</v>
      </c>
    </row>
    <row r="4320" hidden="1" spans="2:18">
      <c r="B4320" s="128" t="s">
        <v>187</v>
      </c>
      <c r="C4320" s="63">
        <v>45940</v>
      </c>
      <c r="D4320" s="33" t="str">
        <f>VLOOKUP(B4320,辅助信息!E:K,7,FALSE)</f>
        <v>JWDDCD2025072900121</v>
      </c>
      <c r="E4320" s="33" t="str">
        <f>VLOOKUP(F4320,辅助信息!A:B,2,FALSE)</f>
        <v>螺纹钢</v>
      </c>
      <c r="F4320" s="33" t="s">
        <v>22</v>
      </c>
      <c r="G4320" s="29">
        <v>35</v>
      </c>
      <c r="H4320" s="127">
        <f>IF(SUMIFS('[1]2025年已发货'!$E:$E,'[1]2025年已发货'!$F:$F,C4320,'[1]2025年已发货'!$C:$C,F4320,'[1]2025年已发货'!$G:$G,I4320,'[1]2025年已发货'!$H:$H,J4320)=0,"未发货",SUMIFS('[1]2025年已发货'!$E:$E,'[1]2025年已发货'!$F:$F,C4320,'[1]2025年已发货'!$C:$C,F4320,'[1]2025年已发货'!$G:$G,I4320,'[1]2025年已发货'!$H:$H,J4320))</f>
        <v>35</v>
      </c>
      <c r="I4320" s="33" t="str">
        <f>VLOOKUP(B4320,辅助信息!E:I,3,FALSE)</f>
        <v>(乐山市校地共建产教融合基地建设项目一标段)四川省乐山市市中区苏稽镇周山嘴</v>
      </c>
      <c r="J4320" s="33" t="str">
        <f>VLOOKUP(B4320,辅助信息!E:I,4,FALSE)</f>
        <v>范增云</v>
      </c>
      <c r="K4320" s="33">
        <f>VLOOKUP(J4320,辅助信息!H:I,2,FALSE)</f>
        <v>13668153241</v>
      </c>
      <c r="L4320" s="102" t="str">
        <f>VLOOKUP(B4320,辅助信息!E:J,6,FALSE)</f>
        <v>联系实际收货人（范增云13668153241）现场要求炉批号控制2个以下，超2个不给予签收。提前联系到场规格及数量</v>
      </c>
      <c r="O4320" s="55" t="str">
        <f ca="1" t="shared" ref="O4320:O4383" si="218">IF(OR(M4320="",N4320&lt;&gt;""),"",MAX(M4320-TODAY(),0))</f>
        <v/>
      </c>
      <c r="P4320" s="55" t="str">
        <f ca="1" t="shared" ref="P4320:P4383" si="219">IF(M4320="","",IF(N4320&lt;&gt;"",MAX(N4320-M4320,0),IF(TODAY()&gt;M4320,TODAY()-M4320,0)))</f>
        <v/>
      </c>
      <c r="Q4320" s="22" t="str">
        <f>VLOOKUP(B4320,辅助信息!E:M,9,FALSE)</f>
        <v>ZTWM-CDGS-XS-2025-0125-四川机司-乐山市校地共建产教融合基地配套设施项目施工一标段钢筋采购合同</v>
      </c>
      <c r="R4320" s="22" t="str">
        <f>_xlfn._xlws.FILTER(辅助信息!D:D,辅助信息!E:E=B4320)</f>
        <v>乐山市校地共建产教融合基地建设项目一标段</v>
      </c>
    </row>
    <row r="4321" hidden="1" spans="2:18">
      <c r="B4321" s="128" t="s">
        <v>187</v>
      </c>
      <c r="C4321" s="63">
        <v>45940</v>
      </c>
      <c r="D4321" s="33" t="str">
        <f>VLOOKUP(B4321,辅助信息!E:K,7,FALSE)</f>
        <v>JWDDCD2025072900121</v>
      </c>
      <c r="E4321" s="33" t="str">
        <f>VLOOKUP(F4321,辅助信息!A:B,2,FALSE)</f>
        <v>螺纹钢</v>
      </c>
      <c r="F4321" s="33" t="s">
        <v>182</v>
      </c>
      <c r="G4321" s="29">
        <v>12</v>
      </c>
      <c r="H4321" s="127">
        <f>IF(SUMIFS('[1]2025年已发货'!$E:$E,'[1]2025年已发货'!$F:$F,C4321,'[1]2025年已发货'!$C:$C,F4321,'[1]2025年已发货'!$G:$G,I4321,'[1]2025年已发货'!$H:$H,J4321)=0,"未发货",SUMIFS('[1]2025年已发货'!$E:$E,'[1]2025年已发货'!$F:$F,C4321,'[1]2025年已发货'!$C:$C,F4321,'[1]2025年已发货'!$G:$G,I4321,'[1]2025年已发货'!$H:$H,J4321))</f>
        <v>12</v>
      </c>
      <c r="I4321" s="33" t="str">
        <f>VLOOKUP(B4321,辅助信息!E:I,3,FALSE)</f>
        <v>(乐山市校地共建产教融合基地建设项目一标段)四川省乐山市市中区苏稽镇周山嘴</v>
      </c>
      <c r="J4321" s="33" t="str">
        <f>VLOOKUP(B4321,辅助信息!E:I,4,FALSE)</f>
        <v>范增云</v>
      </c>
      <c r="K4321" s="33">
        <f>VLOOKUP(J4321,辅助信息!H:I,2,FALSE)</f>
        <v>13668153241</v>
      </c>
      <c r="L4321" s="102" t="str">
        <f>VLOOKUP(B4321,辅助信息!E:J,6,FALSE)</f>
        <v>联系实际收货人（范增云13668153241）现场要求炉批号控制2个以下，超2个不给予签收。提前联系到场规格及数量</v>
      </c>
      <c r="O4321" s="55" t="str">
        <f ca="1" t="shared" si="218"/>
        <v/>
      </c>
      <c r="P4321" s="55" t="str">
        <f ca="1" t="shared" si="219"/>
        <v/>
      </c>
      <c r="Q4321" s="22" t="str">
        <f>VLOOKUP(B4321,辅助信息!E:M,9,FALSE)</f>
        <v>ZTWM-CDGS-XS-2025-0125-四川机司-乐山市校地共建产教融合基地配套设施项目施工一标段钢筋采购合同</v>
      </c>
      <c r="R4321" s="22" t="str">
        <f>_xlfn._xlws.FILTER(辅助信息!D:D,辅助信息!E:E=B4321)</f>
        <v>乐山市校地共建产教融合基地建设项目一标段</v>
      </c>
    </row>
    <row r="4322" hidden="1" spans="2:18">
      <c r="B4322" s="128" t="s">
        <v>187</v>
      </c>
      <c r="C4322" s="63">
        <v>45940</v>
      </c>
      <c r="D4322" s="33" t="str">
        <f>VLOOKUP(B4322,辅助信息!E:K,7,FALSE)</f>
        <v>JWDDCD2025072900121</v>
      </c>
      <c r="E4322" s="33" t="str">
        <f>VLOOKUP(F4322,辅助信息!A:B,2,FALSE)</f>
        <v>螺纹钢</v>
      </c>
      <c r="F4322" s="33" t="s">
        <v>199</v>
      </c>
      <c r="G4322" s="29">
        <v>6</v>
      </c>
      <c r="H4322" s="127">
        <f>IF(SUMIFS('[1]2025年已发货'!$E:$E,'[1]2025年已发货'!$F:$F,C4322,'[1]2025年已发货'!$C:$C,F4322,'[1]2025年已发货'!$G:$G,I4322,'[1]2025年已发货'!$H:$H,J4322)=0,"未发货",SUMIFS('[1]2025年已发货'!$E:$E,'[1]2025年已发货'!$F:$F,C4322,'[1]2025年已发货'!$C:$C,F4322,'[1]2025年已发货'!$G:$G,I4322,'[1]2025年已发货'!$H:$H,J4322))</f>
        <v>6</v>
      </c>
      <c r="I4322" s="33" t="str">
        <f>VLOOKUP(B4322,辅助信息!E:I,3,FALSE)</f>
        <v>(乐山市校地共建产教融合基地建设项目一标段)四川省乐山市市中区苏稽镇周山嘴</v>
      </c>
      <c r="J4322" s="33" t="str">
        <f>VLOOKUP(B4322,辅助信息!E:I,4,FALSE)</f>
        <v>范增云</v>
      </c>
      <c r="K4322" s="33">
        <f>VLOOKUP(J4322,辅助信息!H:I,2,FALSE)</f>
        <v>13668153241</v>
      </c>
      <c r="L4322" s="102" t="str">
        <f>VLOOKUP(B4322,辅助信息!E:J,6,FALSE)</f>
        <v>联系实际收货人（范增云13668153241）现场要求炉批号控制2个以下，超2个不给予签收。提前联系到场规格及数量</v>
      </c>
      <c r="O4322" s="55" t="str">
        <f ca="1" t="shared" si="218"/>
        <v/>
      </c>
      <c r="P4322" s="55" t="str">
        <f ca="1" t="shared" si="219"/>
        <v/>
      </c>
      <c r="Q4322" s="22" t="str">
        <f>VLOOKUP(B4322,辅助信息!E:M,9,FALSE)</f>
        <v>ZTWM-CDGS-XS-2025-0125-四川机司-乐山市校地共建产教融合基地配套设施项目施工一标段钢筋采购合同</v>
      </c>
      <c r="R4322" s="22" t="str">
        <f>_xlfn._xlws.FILTER(辅助信息!D:D,辅助信息!E:E=B4322)</f>
        <v>乐山市校地共建产教融合基地建设项目一标段</v>
      </c>
    </row>
    <row r="4323" hidden="1" spans="2:18">
      <c r="B4323" s="128" t="s">
        <v>187</v>
      </c>
      <c r="C4323" s="63">
        <v>45940</v>
      </c>
      <c r="D4323" s="33" t="str">
        <f>VLOOKUP(B4323,辅助信息!E:K,7,FALSE)</f>
        <v>JWDDCD2025072900121</v>
      </c>
      <c r="E4323" s="33" t="str">
        <f>VLOOKUP(F4323,辅助信息!A:B,2,FALSE)</f>
        <v>螺纹钢</v>
      </c>
      <c r="F4323" s="33" t="s">
        <v>142</v>
      </c>
      <c r="G4323" s="29">
        <v>35</v>
      </c>
      <c r="H4323" s="127"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33" t="str">
        <f>VLOOKUP(B4323,辅助信息!E:I,3,FALSE)</f>
        <v>(乐山市校地共建产教融合基地建设项目一标段)四川省乐山市市中区苏稽镇周山嘴</v>
      </c>
      <c r="J4323" s="33" t="str">
        <f>VLOOKUP(B4323,辅助信息!E:I,4,FALSE)</f>
        <v>范增云</v>
      </c>
      <c r="K4323" s="33">
        <f>VLOOKUP(J4323,辅助信息!H:I,2,FALSE)</f>
        <v>13668153241</v>
      </c>
      <c r="L4323" s="102" t="str">
        <f>VLOOKUP(B4323,辅助信息!E:J,6,FALSE)</f>
        <v>联系实际收货人（范增云13668153241）现场要求炉批号控制2个以下，超2个不给予签收。提前联系到场规格及数量</v>
      </c>
      <c r="O4323" s="55" t="str">
        <f ca="1" t="shared" si="218"/>
        <v/>
      </c>
      <c r="P4323" s="55" t="str">
        <f ca="1" t="shared" si="219"/>
        <v/>
      </c>
      <c r="Q4323" s="22" t="str">
        <f>VLOOKUP(B4323,辅助信息!E:M,9,FALSE)</f>
        <v>ZTWM-CDGS-XS-2025-0125-四川机司-乐山市校地共建产教融合基地配套设施项目施工一标段钢筋采购合同</v>
      </c>
      <c r="R4323" s="22" t="str">
        <f>_xlfn._xlws.FILTER(辅助信息!D:D,辅助信息!E:E=B4323)</f>
        <v>乐山市校地共建产教融合基地建设项目一标段</v>
      </c>
    </row>
    <row r="4324" hidden="1" spans="2:18">
      <c r="B4324" s="128" t="s">
        <v>187</v>
      </c>
      <c r="C4324" s="63">
        <v>45940</v>
      </c>
      <c r="D4324" s="33" t="str">
        <f>VLOOKUP(B4324,辅助信息!E:K,7,FALSE)</f>
        <v>JWDDCD2025072900121</v>
      </c>
      <c r="E4324" s="33" t="str">
        <f>VLOOKUP(F4324,辅助信息!A:B,2,FALSE)</f>
        <v>螺纹钢</v>
      </c>
      <c r="F4324" s="33" t="s">
        <v>201</v>
      </c>
      <c r="G4324" s="29">
        <v>6</v>
      </c>
      <c r="H4324" s="127">
        <f>IF(SUMIFS('[1]2025年已发货'!$E:$E,'[1]2025年已发货'!$F:$F,C4324,'[1]2025年已发货'!$C:$C,F4324,'[1]2025年已发货'!$G:$G,I4324,'[1]2025年已发货'!$H:$H,J4324)=0,"未发货",SUMIFS('[1]2025年已发货'!$E:$E,'[1]2025年已发货'!$F:$F,C4324,'[1]2025年已发货'!$C:$C,F4324,'[1]2025年已发货'!$G:$G,I4324,'[1]2025年已发货'!$H:$H,J4324))</f>
        <v>6</v>
      </c>
      <c r="I4324" s="33" t="str">
        <f>VLOOKUP(B4324,辅助信息!E:I,3,FALSE)</f>
        <v>(乐山市校地共建产教融合基地建设项目一标段)四川省乐山市市中区苏稽镇周山嘴</v>
      </c>
      <c r="J4324" s="33" t="str">
        <f>VLOOKUP(B4324,辅助信息!E:I,4,FALSE)</f>
        <v>范增云</v>
      </c>
      <c r="K4324" s="33">
        <f>VLOOKUP(J4324,辅助信息!H:I,2,FALSE)</f>
        <v>13668153241</v>
      </c>
      <c r="L4324" s="102" t="str">
        <f>VLOOKUP(B4324,辅助信息!E:J,6,FALSE)</f>
        <v>联系实际收货人（范增云13668153241）现场要求炉批号控制2个以下，超2个不给予签收。提前联系到场规格及数量</v>
      </c>
      <c r="O4324" s="55" t="str">
        <f ca="1" t="shared" si="218"/>
        <v/>
      </c>
      <c r="P4324" s="55" t="str">
        <f ca="1" t="shared" si="219"/>
        <v/>
      </c>
      <c r="Q4324" s="22" t="str">
        <f>VLOOKUP(B4324,辅助信息!E:M,9,FALSE)</f>
        <v>ZTWM-CDGS-XS-2025-0125-四川机司-乐山市校地共建产教融合基地配套设施项目施工一标段钢筋采购合同</v>
      </c>
      <c r="R4324" s="22" t="str">
        <f>_xlfn._xlws.FILTER(辅助信息!D:D,辅助信息!E:E=B4324)</f>
        <v>乐山市校地共建产教融合基地建设项目一标段</v>
      </c>
    </row>
    <row r="4325" hidden="1" spans="2:18">
      <c r="B4325" s="128" t="s">
        <v>203</v>
      </c>
      <c r="C4325" s="63">
        <v>45940</v>
      </c>
      <c r="D4325" s="33" t="str">
        <f>VLOOKUP(B4325,辅助信息!E:K,7,FALSE)</f>
        <v>JWDDCD2025102100479</v>
      </c>
      <c r="E4325" s="33" t="str">
        <f>VLOOKUP(F4325,辅助信息!A:B,2,FALSE)</f>
        <v>盘螺</v>
      </c>
      <c r="F4325" s="33" t="s">
        <v>40</v>
      </c>
      <c r="G4325" s="29">
        <v>14</v>
      </c>
      <c r="H4325" s="127"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33" t="str">
        <f>VLOOKUP(B4325,辅助信息!E:I,3,FALSE)</f>
        <v>(五冶建设空港兴城怡心街道83亩项目)成都市双流区怡心街道高峰社区一组剑和路一段空港兴城怡心街道83亩项目中国五冶项目部</v>
      </c>
      <c r="J4325" s="33" t="str">
        <f>VLOOKUP(B4325,辅助信息!E:I,4,FALSE)</f>
        <v>王刚</v>
      </c>
      <c r="K4325" s="33">
        <f>VLOOKUP(J4325,辅助信息!H:I,2,FALSE)</f>
        <v>15881190525</v>
      </c>
      <c r="L4325" s="102"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55" t="str">
        <f ca="1" t="shared" si="218"/>
        <v/>
      </c>
      <c r="P4325" s="55" t="str">
        <f ca="1" t="shared" si="219"/>
        <v/>
      </c>
      <c r="Q4325" s="22" t="str">
        <f>VLOOKUP(B4325,辅助信息!E:M,9,FALSE)</f>
        <v>ZTWM-CDGS-XS-2025-0073-五冶天府-成都怡心湖片区及龙泉驿医院等项目</v>
      </c>
      <c r="R4325" s="22" t="str">
        <f>_xlfn._xlws.FILTER(辅助信息!D:D,辅助信息!E:E=B4325)</f>
        <v>五冶建设空港兴城怡心街道83亩项目</v>
      </c>
    </row>
    <row r="4326" hidden="1" spans="2:18">
      <c r="B4326" s="128" t="s">
        <v>203</v>
      </c>
      <c r="C4326" s="63">
        <v>45940</v>
      </c>
      <c r="D4326" s="33" t="str">
        <f>VLOOKUP(B4326,辅助信息!E:K,7,FALSE)</f>
        <v>JWDDCD2025102100479</v>
      </c>
      <c r="E4326" s="33" t="str">
        <f>VLOOKUP(F4326,辅助信息!A:B,2,FALSE)</f>
        <v>盘螺</v>
      </c>
      <c r="F4326" s="33" t="s">
        <v>41</v>
      </c>
      <c r="G4326" s="29">
        <v>18</v>
      </c>
      <c r="H4326" s="127"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33" t="str">
        <f>VLOOKUP(B4326,辅助信息!E:I,3,FALSE)</f>
        <v>(五冶建设空港兴城怡心街道83亩项目)成都市双流区怡心街道高峰社区一组剑和路一段空港兴城怡心街道83亩项目中国五冶项目部</v>
      </c>
      <c r="J4326" s="33" t="str">
        <f>VLOOKUP(B4326,辅助信息!E:I,4,FALSE)</f>
        <v>王刚</v>
      </c>
      <c r="K4326" s="33">
        <f>VLOOKUP(J4326,辅助信息!H:I,2,FALSE)</f>
        <v>15881190525</v>
      </c>
      <c r="L4326" s="102"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55" t="str">
        <f ca="1" t="shared" si="218"/>
        <v/>
      </c>
      <c r="P4326" s="55" t="str">
        <f ca="1" t="shared" si="219"/>
        <v/>
      </c>
      <c r="Q4326" s="22" t="str">
        <f>VLOOKUP(B4326,辅助信息!E:M,9,FALSE)</f>
        <v>ZTWM-CDGS-XS-2025-0073-五冶天府-成都怡心湖片区及龙泉驿医院等项目</v>
      </c>
      <c r="R4326" s="22" t="str">
        <f>_xlfn._xlws.FILTER(辅助信息!D:D,辅助信息!E:E=B4326)</f>
        <v>五冶建设空港兴城怡心街道83亩项目</v>
      </c>
    </row>
    <row r="4327" hidden="1" spans="2:18">
      <c r="B4327" s="128" t="s">
        <v>203</v>
      </c>
      <c r="C4327" s="63">
        <v>45940</v>
      </c>
      <c r="D4327" s="33" t="str">
        <f>VLOOKUP(B4327,辅助信息!E:K,7,FALSE)</f>
        <v>JWDDCD2025102100479</v>
      </c>
      <c r="E4327" s="33" t="str">
        <f>VLOOKUP(F4327,辅助信息!A:B,2,FALSE)</f>
        <v>螺纹钢</v>
      </c>
      <c r="F4327" s="33" t="s">
        <v>27</v>
      </c>
      <c r="G4327" s="29">
        <v>20</v>
      </c>
      <c r="H4327" s="127"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33" t="str">
        <f>VLOOKUP(B4327,辅助信息!E:I,3,FALSE)</f>
        <v>(五冶建设空港兴城怡心街道83亩项目)成都市双流区怡心街道高峰社区一组剑和路一段空港兴城怡心街道83亩项目中国五冶项目部</v>
      </c>
      <c r="J4327" s="33" t="str">
        <f>VLOOKUP(B4327,辅助信息!E:I,4,FALSE)</f>
        <v>王刚</v>
      </c>
      <c r="K4327" s="33">
        <f>VLOOKUP(J4327,辅助信息!H:I,2,FALSE)</f>
        <v>15881190525</v>
      </c>
      <c r="L4327" s="102"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55" t="str">
        <f ca="1" t="shared" si="218"/>
        <v/>
      </c>
      <c r="P4327" s="55" t="str">
        <f ca="1" t="shared" si="219"/>
        <v/>
      </c>
      <c r="Q4327" s="22" t="str">
        <f>VLOOKUP(B4327,辅助信息!E:M,9,FALSE)</f>
        <v>ZTWM-CDGS-XS-2025-0073-五冶天府-成都怡心湖片区及龙泉驿医院等项目</v>
      </c>
      <c r="R4327" s="22" t="str">
        <f>_xlfn._xlws.FILTER(辅助信息!D:D,辅助信息!E:E=B4327)</f>
        <v>五冶建设空港兴城怡心街道83亩项目</v>
      </c>
    </row>
    <row r="4328" hidden="1" spans="2:18">
      <c r="B4328" s="128" t="s">
        <v>203</v>
      </c>
      <c r="C4328" s="63">
        <v>45940</v>
      </c>
      <c r="D4328" s="33" t="str">
        <f>VLOOKUP(B4328,辅助信息!E:K,7,FALSE)</f>
        <v>JWDDCD2025102100479</v>
      </c>
      <c r="E4328" s="33" t="str">
        <f>VLOOKUP(F4328,辅助信息!A:B,2,FALSE)</f>
        <v>螺纹钢</v>
      </c>
      <c r="F4328" s="33" t="s">
        <v>19</v>
      </c>
      <c r="G4328" s="29">
        <v>30</v>
      </c>
      <c r="H4328" s="127"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33" t="str">
        <f>VLOOKUP(B4328,辅助信息!E:I,3,FALSE)</f>
        <v>(五冶建设空港兴城怡心街道83亩项目)成都市双流区怡心街道高峰社区一组剑和路一段空港兴城怡心街道83亩项目中国五冶项目部</v>
      </c>
      <c r="J4328" s="33" t="str">
        <f>VLOOKUP(B4328,辅助信息!E:I,4,FALSE)</f>
        <v>王刚</v>
      </c>
      <c r="K4328" s="33">
        <f>VLOOKUP(J4328,辅助信息!H:I,2,FALSE)</f>
        <v>15881190525</v>
      </c>
      <c r="L4328" s="102"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55" t="str">
        <f ca="1" t="shared" si="218"/>
        <v/>
      </c>
      <c r="P4328" s="55" t="str">
        <f ca="1" t="shared" si="219"/>
        <v/>
      </c>
      <c r="Q4328" s="22" t="str">
        <f>VLOOKUP(B4328,辅助信息!E:M,9,FALSE)</f>
        <v>ZTWM-CDGS-XS-2025-0073-五冶天府-成都怡心湖片区及龙泉驿医院等项目</v>
      </c>
      <c r="R4328" s="22" t="str">
        <f>_xlfn._xlws.FILTER(辅助信息!D:D,辅助信息!E:E=B4328)</f>
        <v>五冶建设空港兴城怡心街道83亩项目</v>
      </c>
    </row>
    <row r="4329" hidden="1" spans="2:18">
      <c r="B4329" s="128" t="s">
        <v>203</v>
      </c>
      <c r="C4329" s="63">
        <v>45940</v>
      </c>
      <c r="D4329" s="33" t="str">
        <f>VLOOKUP(B4329,辅助信息!E:K,7,FALSE)</f>
        <v>JWDDCD2025102100479</v>
      </c>
      <c r="E4329" s="33" t="str">
        <f>VLOOKUP(F4329,辅助信息!A:B,2,FALSE)</f>
        <v>螺纹钢</v>
      </c>
      <c r="F4329" s="33" t="s">
        <v>32</v>
      </c>
      <c r="G4329" s="29">
        <v>15</v>
      </c>
      <c r="H4329" s="127"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33" t="str">
        <f>VLOOKUP(B4329,辅助信息!E:I,3,FALSE)</f>
        <v>(五冶建设空港兴城怡心街道83亩项目)成都市双流区怡心街道高峰社区一组剑和路一段空港兴城怡心街道83亩项目中国五冶项目部</v>
      </c>
      <c r="J4329" s="33" t="str">
        <f>VLOOKUP(B4329,辅助信息!E:I,4,FALSE)</f>
        <v>王刚</v>
      </c>
      <c r="K4329" s="33">
        <f>VLOOKUP(J4329,辅助信息!H:I,2,FALSE)</f>
        <v>15881190525</v>
      </c>
      <c r="L4329" s="102"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55" t="str">
        <f ca="1" t="shared" si="218"/>
        <v/>
      </c>
      <c r="P4329" s="55" t="str">
        <f ca="1" t="shared" si="219"/>
        <v/>
      </c>
      <c r="Q4329" s="22" t="str">
        <f>VLOOKUP(B4329,辅助信息!E:M,9,FALSE)</f>
        <v>ZTWM-CDGS-XS-2025-0073-五冶天府-成都怡心湖片区及龙泉驿医院等项目</v>
      </c>
      <c r="R4329" s="22" t="str">
        <f>_xlfn._xlws.FILTER(辅助信息!D:D,辅助信息!E:E=B4329)</f>
        <v>五冶建设空港兴城怡心街道83亩项目</v>
      </c>
    </row>
    <row r="4330" hidden="1" spans="2:18">
      <c r="B4330" s="128" t="s">
        <v>203</v>
      </c>
      <c r="C4330" s="63">
        <v>45940</v>
      </c>
      <c r="D4330" s="33" t="str">
        <f>VLOOKUP(B4330,辅助信息!E:K,7,FALSE)</f>
        <v>JWDDCD2025102100479</v>
      </c>
      <c r="E4330" s="33" t="str">
        <f>VLOOKUP(F4330,辅助信息!A:B,2,FALSE)</f>
        <v>螺纹钢</v>
      </c>
      <c r="F4330" s="33" t="s">
        <v>30</v>
      </c>
      <c r="G4330" s="29">
        <v>3</v>
      </c>
      <c r="H4330" s="127"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33" t="str">
        <f>VLOOKUP(B4330,辅助信息!E:I,3,FALSE)</f>
        <v>(五冶建设空港兴城怡心街道83亩项目)成都市双流区怡心街道高峰社区一组剑和路一段空港兴城怡心街道83亩项目中国五冶项目部</v>
      </c>
      <c r="J4330" s="33" t="str">
        <f>VLOOKUP(B4330,辅助信息!E:I,4,FALSE)</f>
        <v>王刚</v>
      </c>
      <c r="K4330" s="33">
        <f>VLOOKUP(J4330,辅助信息!H:I,2,FALSE)</f>
        <v>15881190525</v>
      </c>
      <c r="L4330" s="102"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55" t="str">
        <f ca="1" t="shared" si="218"/>
        <v/>
      </c>
      <c r="P4330" s="55" t="str">
        <f ca="1" t="shared" si="219"/>
        <v/>
      </c>
      <c r="Q4330" s="22" t="str">
        <f>VLOOKUP(B4330,辅助信息!E:M,9,FALSE)</f>
        <v>ZTWM-CDGS-XS-2025-0073-五冶天府-成都怡心湖片区及龙泉驿医院等项目</v>
      </c>
      <c r="R4330" s="22" t="str">
        <f>_xlfn._xlws.FILTER(辅助信息!D:D,辅助信息!E:E=B4330)</f>
        <v>五冶建设空港兴城怡心街道83亩项目</v>
      </c>
    </row>
    <row r="4331" hidden="1" spans="2:18">
      <c r="B4331" s="128" t="s">
        <v>203</v>
      </c>
      <c r="C4331" s="63">
        <v>45940</v>
      </c>
      <c r="D4331" s="33" t="str">
        <f>VLOOKUP(B4331,辅助信息!E:K,7,FALSE)</f>
        <v>JWDDCD2025102100479</v>
      </c>
      <c r="E4331" s="33" t="str">
        <f>VLOOKUP(F4331,辅助信息!A:B,2,FALSE)</f>
        <v>螺纹钢</v>
      </c>
      <c r="F4331" s="33" t="s">
        <v>33</v>
      </c>
      <c r="G4331" s="29">
        <v>3</v>
      </c>
      <c r="H4331" s="127"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33" t="str">
        <f>VLOOKUP(B4331,辅助信息!E:I,3,FALSE)</f>
        <v>(五冶建设空港兴城怡心街道83亩项目)成都市双流区怡心街道高峰社区一组剑和路一段空港兴城怡心街道83亩项目中国五冶项目部</v>
      </c>
      <c r="J4331" s="33" t="str">
        <f>VLOOKUP(B4331,辅助信息!E:I,4,FALSE)</f>
        <v>王刚</v>
      </c>
      <c r="K4331" s="33">
        <f>VLOOKUP(J4331,辅助信息!H:I,2,FALSE)</f>
        <v>15881190525</v>
      </c>
      <c r="L4331" s="102"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55" t="str">
        <f ca="1" t="shared" si="218"/>
        <v/>
      </c>
      <c r="P4331" s="55" t="str">
        <f ca="1" t="shared" si="219"/>
        <v/>
      </c>
      <c r="Q4331" s="22" t="str">
        <f>VLOOKUP(B4331,辅助信息!E:M,9,FALSE)</f>
        <v>ZTWM-CDGS-XS-2025-0073-五冶天府-成都怡心湖片区及龙泉驿医院等项目</v>
      </c>
      <c r="R4331" s="22" t="str">
        <f>_xlfn._xlws.FILTER(辅助信息!D:D,辅助信息!E:E=B4331)</f>
        <v>五冶建设空港兴城怡心街道83亩项目</v>
      </c>
    </row>
    <row r="4332" hidden="1" spans="2:18">
      <c r="B4332" s="128" t="s">
        <v>203</v>
      </c>
      <c r="C4332" s="63">
        <v>45940</v>
      </c>
      <c r="D4332" s="33" t="str">
        <f>VLOOKUP(B4332,辅助信息!E:K,7,FALSE)</f>
        <v>JWDDCD2025102100479</v>
      </c>
      <c r="E4332" s="33" t="str">
        <f>VLOOKUP(F4332,辅助信息!A:B,2,FALSE)</f>
        <v>螺纹钢</v>
      </c>
      <c r="F4332" s="33" t="s">
        <v>28</v>
      </c>
      <c r="G4332" s="29">
        <v>3</v>
      </c>
      <c r="H4332" s="127"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33" t="str">
        <f>VLOOKUP(B4332,辅助信息!E:I,3,FALSE)</f>
        <v>(五冶建设空港兴城怡心街道83亩项目)成都市双流区怡心街道高峰社区一组剑和路一段空港兴城怡心街道83亩项目中国五冶项目部</v>
      </c>
      <c r="J4332" s="33" t="str">
        <f>VLOOKUP(B4332,辅助信息!E:I,4,FALSE)</f>
        <v>王刚</v>
      </c>
      <c r="K4332" s="33">
        <f>VLOOKUP(J4332,辅助信息!H:I,2,FALSE)</f>
        <v>15881190525</v>
      </c>
      <c r="L4332" s="102"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55" t="str">
        <f ca="1" t="shared" si="218"/>
        <v/>
      </c>
      <c r="P4332" s="55" t="str">
        <f ca="1" t="shared" si="219"/>
        <v/>
      </c>
      <c r="Q4332" s="22" t="str">
        <f>VLOOKUP(B4332,辅助信息!E:M,9,FALSE)</f>
        <v>ZTWM-CDGS-XS-2025-0073-五冶天府-成都怡心湖片区及龙泉驿医院等项目</v>
      </c>
      <c r="R4332" s="22" t="str">
        <f>_xlfn._xlws.FILTER(辅助信息!D:D,辅助信息!E:E=B4332)</f>
        <v>五冶建设空港兴城怡心街道83亩项目</v>
      </c>
    </row>
    <row r="4333" hidden="1" spans="2:18">
      <c r="B4333" s="128" t="s">
        <v>203</v>
      </c>
      <c r="C4333" s="63">
        <v>45940</v>
      </c>
      <c r="D4333" s="33" t="str">
        <f>VLOOKUP(B4333,辅助信息!E:K,7,FALSE)</f>
        <v>JWDDCD2025102100479</v>
      </c>
      <c r="E4333" s="33" t="str">
        <f>VLOOKUP(F4333,辅助信息!A:B,2,FALSE)</f>
        <v>螺纹钢</v>
      </c>
      <c r="F4333" s="33" t="s">
        <v>82</v>
      </c>
      <c r="G4333" s="29">
        <v>2.5</v>
      </c>
      <c r="H4333" s="127"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33" t="str">
        <f>VLOOKUP(B4333,辅助信息!E:I,3,FALSE)</f>
        <v>(五冶建设空港兴城怡心街道83亩项目)成都市双流区怡心街道高峰社区一组剑和路一段空港兴城怡心街道83亩项目中国五冶项目部</v>
      </c>
      <c r="J4333" s="33" t="str">
        <f>VLOOKUP(B4333,辅助信息!E:I,4,FALSE)</f>
        <v>王刚</v>
      </c>
      <c r="K4333" s="33">
        <f>VLOOKUP(J4333,辅助信息!H:I,2,FALSE)</f>
        <v>15881190525</v>
      </c>
      <c r="L4333" s="102"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55" t="str">
        <f ca="1" t="shared" si="218"/>
        <v/>
      </c>
      <c r="P4333" s="55" t="str">
        <f ca="1" t="shared" si="219"/>
        <v/>
      </c>
      <c r="Q4333" s="22" t="str">
        <f>VLOOKUP(B4333,辅助信息!E:M,9,FALSE)</f>
        <v>ZTWM-CDGS-XS-2025-0073-五冶天府-成都怡心湖片区及龙泉驿医院等项目</v>
      </c>
      <c r="R4333" s="22" t="str">
        <f>_xlfn._xlws.FILTER(辅助信息!D:D,辅助信息!E:E=B4333)</f>
        <v>五冶建设空港兴城怡心街道83亩项目</v>
      </c>
    </row>
    <row r="4334" hidden="1" spans="2:18">
      <c r="B4334" s="128" t="s">
        <v>203</v>
      </c>
      <c r="C4334" s="63">
        <v>45940</v>
      </c>
      <c r="D4334" s="33" t="str">
        <f>VLOOKUP(B4334,辅助信息!E:K,7,FALSE)</f>
        <v>JWDDCD2025102100479</v>
      </c>
      <c r="E4334" s="33" t="str">
        <f>VLOOKUP(F4334,辅助信息!A:B,2,FALSE)</f>
        <v>螺纹钢</v>
      </c>
      <c r="F4334" s="33" t="s">
        <v>21</v>
      </c>
      <c r="G4334" s="29">
        <v>2.5</v>
      </c>
      <c r="H4334" s="127"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33" t="str">
        <f>VLOOKUP(B4334,辅助信息!E:I,3,FALSE)</f>
        <v>(五冶建设空港兴城怡心街道83亩项目)成都市双流区怡心街道高峰社区一组剑和路一段空港兴城怡心街道83亩项目中国五冶项目部</v>
      </c>
      <c r="J4334" s="33" t="str">
        <f>VLOOKUP(B4334,辅助信息!E:I,4,FALSE)</f>
        <v>王刚</v>
      </c>
      <c r="K4334" s="33">
        <f>VLOOKUP(J4334,辅助信息!H:I,2,FALSE)</f>
        <v>15881190525</v>
      </c>
      <c r="L4334" s="102"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55" t="str">
        <f ca="1" t="shared" si="218"/>
        <v/>
      </c>
      <c r="P4334" s="55" t="str">
        <f ca="1" t="shared" si="219"/>
        <v/>
      </c>
      <c r="Q4334" s="22" t="str">
        <f>VLOOKUP(B4334,辅助信息!E:M,9,FALSE)</f>
        <v>ZTWM-CDGS-XS-2025-0073-五冶天府-成都怡心湖片区及龙泉驿医院等项目</v>
      </c>
      <c r="R4334" s="22" t="str">
        <f>_xlfn._xlws.FILTER(辅助信息!D:D,辅助信息!E:E=B4334)</f>
        <v>五冶建设空港兴城怡心街道83亩项目</v>
      </c>
    </row>
    <row r="4335" hidden="1" spans="2:18">
      <c r="B4335" s="128" t="s">
        <v>203</v>
      </c>
      <c r="C4335" s="63">
        <v>45940</v>
      </c>
      <c r="D4335" s="33" t="str">
        <f>VLOOKUP(B4335,辅助信息!E:K,7,FALSE)</f>
        <v>JWDDCD2025102100479</v>
      </c>
      <c r="E4335" s="33" t="str">
        <f>VLOOKUP(F4335,辅助信息!A:B,2,FALSE)</f>
        <v>螺纹钢</v>
      </c>
      <c r="F4335" s="33" t="s">
        <v>58</v>
      </c>
      <c r="G4335" s="29">
        <v>15</v>
      </c>
      <c r="H4335" s="127"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33" t="str">
        <f>VLOOKUP(B4335,辅助信息!E:I,3,FALSE)</f>
        <v>(五冶建设空港兴城怡心街道83亩项目)成都市双流区怡心街道高峰社区一组剑和路一段空港兴城怡心街道83亩项目中国五冶项目部</v>
      </c>
      <c r="J4335" s="33" t="str">
        <f>VLOOKUP(B4335,辅助信息!E:I,4,FALSE)</f>
        <v>王刚</v>
      </c>
      <c r="K4335" s="33">
        <f>VLOOKUP(J4335,辅助信息!H:I,2,FALSE)</f>
        <v>15881190525</v>
      </c>
      <c r="L4335" s="102"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55" t="str">
        <f ca="1" t="shared" si="218"/>
        <v/>
      </c>
      <c r="P4335" s="55" t="str">
        <f ca="1" t="shared" si="219"/>
        <v/>
      </c>
      <c r="Q4335" s="22" t="str">
        <f>VLOOKUP(B4335,辅助信息!E:M,9,FALSE)</f>
        <v>ZTWM-CDGS-XS-2025-0073-五冶天府-成都怡心湖片区及龙泉驿医院等项目</v>
      </c>
      <c r="R4335" s="22" t="str">
        <f>_xlfn._xlws.FILTER(辅助信息!D:D,辅助信息!E:E=B4335)</f>
        <v>五冶建设空港兴城怡心街道83亩项目</v>
      </c>
    </row>
    <row r="4336" hidden="1" spans="2:18">
      <c r="B4336" s="128" t="s">
        <v>203</v>
      </c>
      <c r="C4336" s="63">
        <v>45940</v>
      </c>
      <c r="D4336" s="33" t="str">
        <f>VLOOKUP(B4336,辅助信息!E:K,7,FALSE)</f>
        <v>JWDDCD2025102100479</v>
      </c>
      <c r="E4336" s="33" t="str">
        <f>VLOOKUP(F4336,辅助信息!A:B,2,FALSE)</f>
        <v>螺纹钢</v>
      </c>
      <c r="F4336" s="33" t="s">
        <v>46</v>
      </c>
      <c r="G4336" s="29">
        <v>5</v>
      </c>
      <c r="H4336" s="127"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33" t="str">
        <f>VLOOKUP(B4336,辅助信息!E:I,3,FALSE)</f>
        <v>(五冶建设空港兴城怡心街道83亩项目)成都市双流区怡心街道高峰社区一组剑和路一段空港兴城怡心街道83亩项目中国五冶项目部</v>
      </c>
      <c r="J4336" s="33" t="str">
        <f>VLOOKUP(B4336,辅助信息!E:I,4,FALSE)</f>
        <v>王刚</v>
      </c>
      <c r="K4336" s="33">
        <f>VLOOKUP(J4336,辅助信息!H:I,2,FALSE)</f>
        <v>15881190525</v>
      </c>
      <c r="L4336" s="102"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55" t="str">
        <f ca="1" t="shared" si="218"/>
        <v/>
      </c>
      <c r="P4336" s="55" t="str">
        <f ca="1" t="shared" si="219"/>
        <v/>
      </c>
      <c r="Q4336" s="22" t="str">
        <f>VLOOKUP(B4336,辅助信息!E:M,9,FALSE)</f>
        <v>ZTWM-CDGS-XS-2025-0073-五冶天府-成都怡心湖片区及龙泉驿医院等项目</v>
      </c>
      <c r="R4336" s="22" t="str">
        <f>_xlfn._xlws.FILTER(辅助信息!D:D,辅助信息!E:E=B4336)</f>
        <v>五冶建设空港兴城怡心街道83亩项目</v>
      </c>
    </row>
    <row r="4337" hidden="1" spans="2:18">
      <c r="B4337" s="128" t="s">
        <v>203</v>
      </c>
      <c r="C4337" s="63">
        <v>45940</v>
      </c>
      <c r="D4337" s="33" t="str">
        <f>VLOOKUP(B4337,辅助信息!E:K,7,FALSE)</f>
        <v>JWDDCD2025102100479</v>
      </c>
      <c r="E4337" s="33" t="str">
        <f>VLOOKUP(F4337,辅助信息!A:B,2,FALSE)</f>
        <v>螺纹钢</v>
      </c>
      <c r="F4337" s="33" t="s">
        <v>22</v>
      </c>
      <c r="G4337" s="29">
        <v>10</v>
      </c>
      <c r="H4337" s="127"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33" t="str">
        <f>VLOOKUP(B4337,辅助信息!E:I,3,FALSE)</f>
        <v>(五冶建设空港兴城怡心街道83亩项目)成都市双流区怡心街道高峰社区一组剑和路一段空港兴城怡心街道83亩项目中国五冶项目部</v>
      </c>
      <c r="J4337" s="33" t="str">
        <f>VLOOKUP(B4337,辅助信息!E:I,4,FALSE)</f>
        <v>王刚</v>
      </c>
      <c r="K4337" s="33">
        <f>VLOOKUP(J4337,辅助信息!H:I,2,FALSE)</f>
        <v>15881190525</v>
      </c>
      <c r="L4337" s="102"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55" t="str">
        <f ca="1" t="shared" si="218"/>
        <v/>
      </c>
      <c r="P4337" s="55" t="str">
        <f ca="1" t="shared" si="219"/>
        <v/>
      </c>
      <c r="Q4337" s="22" t="str">
        <f>VLOOKUP(B4337,辅助信息!E:M,9,FALSE)</f>
        <v>ZTWM-CDGS-XS-2025-0073-五冶天府-成都怡心湖片区及龙泉驿医院等项目</v>
      </c>
      <c r="R4337" s="22" t="str">
        <f>_xlfn._xlws.FILTER(辅助信息!D:D,辅助信息!E:E=B4337)</f>
        <v>五冶建设空港兴城怡心街道83亩项目</v>
      </c>
    </row>
    <row r="4338" hidden="1" spans="2:18">
      <c r="B4338" s="129" t="s">
        <v>92</v>
      </c>
      <c r="C4338" s="63">
        <v>45941</v>
      </c>
      <c r="D4338" s="113" t="str">
        <f>VLOOKUP(B4338,辅助信息!E:K,7,FALSE)</f>
        <v>JWDDCD2025051800046</v>
      </c>
      <c r="E4338" s="113" t="str">
        <f>VLOOKUP(F4338,辅助信息!A:B,2,FALSE)</f>
        <v>盘螺</v>
      </c>
      <c r="F4338" s="113" t="s">
        <v>49</v>
      </c>
      <c r="G4338" s="114">
        <v>2.5</v>
      </c>
      <c r="H4338" s="127"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13" t="str">
        <f>VLOOKUP(B4338,辅助信息!E:I,3,FALSE)</f>
        <v>（华西萌海科创农业生态谷）成都市简阳市白金山水库</v>
      </c>
      <c r="J4338" s="113" t="str">
        <f>VLOOKUP(B4338,辅助信息!E:I,4,FALSE)</f>
        <v>石清国</v>
      </c>
      <c r="K4338" s="113">
        <f>VLOOKUP(J4338,辅助信息!H:I,2,FALSE)</f>
        <v>13458642015</v>
      </c>
      <c r="L4338" s="115" t="str">
        <f>VLOOKUP(B4338,辅助信息!E:J,6,FALSE)</f>
        <v>优先威钢,我方卸车,新老国标钢厂不加价可直发</v>
      </c>
      <c r="M4338" s="141">
        <v>45942</v>
      </c>
      <c r="O4338" s="55">
        <f ca="1" t="shared" si="218"/>
        <v>0</v>
      </c>
      <c r="P4338" s="55">
        <f ca="1" t="shared" si="219"/>
        <v>15</v>
      </c>
      <c r="Q4338" s="22" t="str">
        <f>VLOOKUP(B4338,辅助信息!E:M,9,FALSE)</f>
        <v>ZTWM-CDGS-XS-2024-0092-华西-萌海科创农业生态谷</v>
      </c>
      <c r="R4338" s="22" t="str">
        <f>_xlfn._xlws.FILTER(辅助信息!D:D,辅助信息!E:E=B4338)</f>
        <v>华西萌海-科创农业生态谷</v>
      </c>
    </row>
    <row r="4339" hidden="1" spans="2:18">
      <c r="B4339" s="129" t="s">
        <v>92</v>
      </c>
      <c r="C4339" s="63">
        <v>45941</v>
      </c>
      <c r="D4339" s="113" t="str">
        <f>VLOOKUP(B4339,辅助信息!E:K,7,FALSE)</f>
        <v>JWDDCD2025051800046</v>
      </c>
      <c r="E4339" s="113" t="str">
        <f>VLOOKUP(F4339,辅助信息!A:B,2,FALSE)</f>
        <v>盘螺</v>
      </c>
      <c r="F4339" s="113" t="s">
        <v>40</v>
      </c>
      <c r="G4339" s="114">
        <v>20</v>
      </c>
      <c r="H4339" s="127"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13" t="str">
        <f>VLOOKUP(B4339,辅助信息!E:I,3,FALSE)</f>
        <v>（华西萌海科创农业生态谷）成都市简阳市白金山水库</v>
      </c>
      <c r="J4339" s="113" t="str">
        <f>VLOOKUP(B4339,辅助信息!E:I,4,FALSE)</f>
        <v>石清国</v>
      </c>
      <c r="K4339" s="113">
        <f>VLOOKUP(J4339,辅助信息!H:I,2,FALSE)</f>
        <v>13458642015</v>
      </c>
      <c r="L4339" s="115" t="str">
        <f>VLOOKUP(B4339,辅助信息!E:J,6,FALSE)</f>
        <v>优先威钢,我方卸车,新老国标钢厂不加价可直发</v>
      </c>
      <c r="M4339" s="141">
        <v>45942</v>
      </c>
      <c r="O4339" s="55">
        <f ca="1" t="shared" si="218"/>
        <v>0</v>
      </c>
      <c r="P4339" s="55">
        <f ca="1" t="shared" si="219"/>
        <v>15</v>
      </c>
      <c r="Q4339" s="22" t="str">
        <f>VLOOKUP(B4339,辅助信息!E:M,9,FALSE)</f>
        <v>ZTWM-CDGS-XS-2024-0092-华西-萌海科创农业生态谷</v>
      </c>
      <c r="R4339" s="22" t="str">
        <f>_xlfn._xlws.FILTER(辅助信息!D:D,辅助信息!E:E=B4339)</f>
        <v>华西萌海-科创农业生态谷</v>
      </c>
    </row>
    <row r="4340" hidden="1" spans="2:18">
      <c r="B4340" s="129" t="s">
        <v>92</v>
      </c>
      <c r="C4340" s="63">
        <v>45941</v>
      </c>
      <c r="D4340" s="113" t="str">
        <f>VLOOKUP(B4340,辅助信息!E:K,7,FALSE)</f>
        <v>JWDDCD2025051800046</v>
      </c>
      <c r="E4340" s="113" t="str">
        <f>VLOOKUP(F4340,辅助信息!A:B,2,FALSE)</f>
        <v>盘螺</v>
      </c>
      <c r="F4340" s="113" t="s">
        <v>26</v>
      </c>
      <c r="G4340" s="114">
        <v>5</v>
      </c>
      <c r="H4340" s="127"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13" t="str">
        <f>VLOOKUP(B4340,辅助信息!E:I,3,FALSE)</f>
        <v>（华西萌海科创农业生态谷）成都市简阳市白金山水库</v>
      </c>
      <c r="J4340" s="113" t="str">
        <f>VLOOKUP(B4340,辅助信息!E:I,4,FALSE)</f>
        <v>石清国</v>
      </c>
      <c r="K4340" s="113">
        <f>VLOOKUP(J4340,辅助信息!H:I,2,FALSE)</f>
        <v>13458642015</v>
      </c>
      <c r="L4340" s="115" t="str">
        <f>VLOOKUP(B4340,辅助信息!E:J,6,FALSE)</f>
        <v>优先威钢,我方卸车,新老国标钢厂不加价可直发</v>
      </c>
      <c r="M4340" s="141">
        <v>45942</v>
      </c>
      <c r="O4340" s="55">
        <f ca="1" t="shared" si="218"/>
        <v>0</v>
      </c>
      <c r="P4340" s="55">
        <f ca="1" t="shared" si="219"/>
        <v>15</v>
      </c>
      <c r="Q4340" s="22" t="str">
        <f>VLOOKUP(B4340,辅助信息!E:M,9,FALSE)</f>
        <v>ZTWM-CDGS-XS-2024-0092-华西-萌海科创农业生态谷</v>
      </c>
      <c r="R4340" s="22" t="str">
        <f>_xlfn._xlws.FILTER(辅助信息!D:D,辅助信息!E:E=B4340)</f>
        <v>华西萌海-科创农业生态谷</v>
      </c>
    </row>
    <row r="4341" hidden="1" spans="2:18">
      <c r="B4341" s="129" t="s">
        <v>228</v>
      </c>
      <c r="C4341" s="63">
        <v>45941</v>
      </c>
      <c r="D4341" s="113" t="str">
        <f>VLOOKUP(B4341,辅助信息!E:K,7,FALSE)</f>
        <v>JWDDCD2025092400190</v>
      </c>
      <c r="E4341" s="113" t="str">
        <f>VLOOKUP(F4341,辅助信息!A:B,2,FALSE)</f>
        <v>螺纹钢</v>
      </c>
      <c r="F4341" s="113" t="s">
        <v>32</v>
      </c>
      <c r="G4341" s="114">
        <v>35</v>
      </c>
      <c r="H4341" s="127">
        <f>IF(SUMIFS('[1]2025年已发货'!$E:$E,'[1]2025年已发货'!$F:$F,C4341,'[1]2025年已发货'!$C:$C,F4341,'[1]2025年已发货'!$G:$G,I4341,'[1]2025年已发货'!$H:$H,J4341)=0,"未发货",SUMIFS('[1]2025年已发货'!$E:$E,'[1]2025年已发货'!$F:$F,C4341,'[1]2025年已发货'!$C:$C,F4341,'[1]2025年已发货'!$G:$G,I4341,'[1]2025年已发货'!$H:$H,J4341))</f>
        <v>35</v>
      </c>
      <c r="I4341" s="113" t="str">
        <f>VLOOKUP(B4341,辅助信息!E:I,3,FALSE)</f>
        <v>(五冶钢构龙泉东洪片区70亩住宅、商业及配套工程项目二标段)成都市龙泉驿外东洪路地铁2号线惠王陵地铁C口</v>
      </c>
      <c r="J4341" s="113" t="str">
        <f>VLOOKUP(B4341,辅助信息!E:I,4,FALSE)</f>
        <v>蒋嗣伟</v>
      </c>
      <c r="K4341" s="113">
        <f>VLOOKUP(J4341,辅助信息!H:I,2,FALSE)</f>
        <v>15014331252</v>
      </c>
      <c r="L4341" s="115">
        <f>VLOOKUP(B4341,辅助信息!E:J,6,FALSE)</f>
        <v>0</v>
      </c>
      <c r="M4341" s="84">
        <v>45941</v>
      </c>
      <c r="O4341" s="55">
        <f ca="1" t="shared" si="218"/>
        <v>0</v>
      </c>
      <c r="P4341" s="55">
        <f ca="1" t="shared" si="219"/>
        <v>16</v>
      </c>
      <c r="Q4341" s="22" t="str">
        <f>VLOOKUP(B4341,辅助信息!E:M,9,FALSE)</f>
        <v>ZTWM-CDGS-XS-2025-0156-五冶钢构-2025年九月第一批次钢筋采购合同(三圣乡项目)-中铁物贸成都公司</v>
      </c>
      <c r="R4341" s="22" t="str">
        <f>_xlfn._xlws.FILTER(辅助信息!D:D,辅助信息!E:E=B4341)</f>
        <v>五冶钢构龙泉东洪片区70亩住宅、商业及配套工程项目二标段</v>
      </c>
    </row>
    <row r="4342" hidden="1" spans="2:18">
      <c r="B4342" s="129" t="s">
        <v>228</v>
      </c>
      <c r="C4342" s="63">
        <v>45941</v>
      </c>
      <c r="D4342" s="113" t="str">
        <f>VLOOKUP(B4342,辅助信息!E:K,7,FALSE)</f>
        <v>JWDDCD2025092400190</v>
      </c>
      <c r="E4342" s="113" t="str">
        <f>VLOOKUP(F4342,辅助信息!A:B,2,FALSE)</f>
        <v>螺纹钢</v>
      </c>
      <c r="F4342" s="113" t="s">
        <v>30</v>
      </c>
      <c r="G4342" s="114">
        <v>20</v>
      </c>
      <c r="H4342" s="127">
        <f>IF(SUMIFS('[1]2025年已发货'!$E:$E,'[1]2025年已发货'!$F:$F,C4342,'[1]2025年已发货'!$C:$C,F4342,'[1]2025年已发货'!$G:$G,I4342,'[1]2025年已发货'!$H:$H,J4342)=0,"未发货",SUMIFS('[1]2025年已发货'!$E:$E,'[1]2025年已发货'!$F:$F,C4342,'[1]2025年已发货'!$C:$C,F4342,'[1]2025年已发货'!$G:$G,I4342,'[1]2025年已发货'!$H:$H,J4342))</f>
        <v>20</v>
      </c>
      <c r="I4342" s="113" t="str">
        <f>VLOOKUP(B4342,辅助信息!E:I,3,FALSE)</f>
        <v>(五冶钢构龙泉东洪片区70亩住宅、商业及配套工程项目二标段)成都市龙泉驿外东洪路地铁2号线惠王陵地铁C口</v>
      </c>
      <c r="J4342" s="113" t="str">
        <f>VLOOKUP(B4342,辅助信息!E:I,4,FALSE)</f>
        <v>蒋嗣伟</v>
      </c>
      <c r="K4342" s="113">
        <f>VLOOKUP(J4342,辅助信息!H:I,2,FALSE)</f>
        <v>15014331252</v>
      </c>
      <c r="L4342" s="115">
        <f>VLOOKUP(B4342,辅助信息!E:J,6,FALSE)</f>
        <v>0</v>
      </c>
      <c r="M4342" s="84">
        <v>45941</v>
      </c>
      <c r="O4342" s="55">
        <f ca="1" t="shared" si="218"/>
        <v>0</v>
      </c>
      <c r="P4342" s="55">
        <f ca="1" t="shared" si="219"/>
        <v>16</v>
      </c>
      <c r="Q4342" s="22" t="str">
        <f>VLOOKUP(B4342,辅助信息!E:M,9,FALSE)</f>
        <v>ZTWM-CDGS-XS-2025-0156-五冶钢构-2025年九月第一批次钢筋采购合同(三圣乡项目)-中铁物贸成都公司</v>
      </c>
      <c r="R4342" s="22" t="str">
        <f>_xlfn._xlws.FILTER(辅助信息!D:D,辅助信息!E:E=B4342)</f>
        <v>五冶钢构龙泉东洪片区70亩住宅、商业及配套工程项目二标段</v>
      </c>
    </row>
    <row r="4343" hidden="1" spans="2:18">
      <c r="B4343" s="129" t="s">
        <v>228</v>
      </c>
      <c r="C4343" s="63">
        <v>45941</v>
      </c>
      <c r="D4343" s="113" t="str">
        <f>VLOOKUP(B4343,辅助信息!E:K,7,FALSE)</f>
        <v>JWDDCD2025092400190</v>
      </c>
      <c r="E4343" s="113" t="str">
        <f>VLOOKUP(F4343,辅助信息!A:B,2,FALSE)</f>
        <v>螺纹钢</v>
      </c>
      <c r="F4343" s="113" t="s">
        <v>28</v>
      </c>
      <c r="G4343" s="114">
        <v>12</v>
      </c>
      <c r="H4343" s="127">
        <f>IF(SUMIFS('[1]2025年已发货'!$E:$E,'[1]2025年已发货'!$F:$F,C4343,'[1]2025年已发货'!$C:$C,F4343,'[1]2025年已发货'!$G:$G,I4343,'[1]2025年已发货'!$H:$H,J4343)=0,"未发货",SUMIFS('[1]2025年已发货'!$E:$E,'[1]2025年已发货'!$F:$F,C4343,'[1]2025年已发货'!$C:$C,F4343,'[1]2025年已发货'!$G:$G,I4343,'[1]2025年已发货'!$H:$H,J4343))</f>
        <v>12</v>
      </c>
      <c r="I4343" s="113" t="str">
        <f>VLOOKUP(B4343,辅助信息!E:I,3,FALSE)</f>
        <v>(五冶钢构龙泉东洪片区70亩住宅、商业及配套工程项目二标段)成都市龙泉驿外东洪路地铁2号线惠王陵地铁C口</v>
      </c>
      <c r="J4343" s="113" t="str">
        <f>VLOOKUP(B4343,辅助信息!E:I,4,FALSE)</f>
        <v>蒋嗣伟</v>
      </c>
      <c r="K4343" s="113">
        <f>VLOOKUP(J4343,辅助信息!H:I,2,FALSE)</f>
        <v>15014331252</v>
      </c>
      <c r="L4343" s="115">
        <f>VLOOKUP(B4343,辅助信息!E:J,6,FALSE)</f>
        <v>0</v>
      </c>
      <c r="M4343" s="84">
        <v>45941</v>
      </c>
      <c r="O4343" s="55">
        <f ca="1" t="shared" si="218"/>
        <v>0</v>
      </c>
      <c r="P4343" s="55">
        <f ca="1" t="shared" si="219"/>
        <v>16</v>
      </c>
      <c r="Q4343" s="22" t="str">
        <f>VLOOKUP(B4343,辅助信息!E:M,9,FALSE)</f>
        <v>ZTWM-CDGS-XS-2025-0156-五冶钢构-2025年九月第一批次钢筋采购合同(三圣乡项目)-中铁物贸成都公司</v>
      </c>
      <c r="R4343" s="22" t="str">
        <f>_xlfn._xlws.FILTER(辅助信息!D:D,辅助信息!E:E=B4343)</f>
        <v>五冶钢构龙泉东洪片区70亩住宅、商业及配套工程项目二标段</v>
      </c>
    </row>
    <row r="4344" hidden="1" spans="2:18">
      <c r="B4344" s="129" t="s">
        <v>228</v>
      </c>
      <c r="C4344" s="63">
        <v>45941</v>
      </c>
      <c r="D4344" s="113" t="str">
        <f>VLOOKUP(B4344,辅助信息!E:K,7,FALSE)</f>
        <v>JWDDCD2025092400190</v>
      </c>
      <c r="E4344" s="113" t="str">
        <f>VLOOKUP(F4344,辅助信息!A:B,2,FALSE)</f>
        <v>螺纹钢</v>
      </c>
      <c r="F4344" s="113" t="s">
        <v>46</v>
      </c>
      <c r="G4344" s="114">
        <v>3</v>
      </c>
      <c r="H4344" s="127">
        <f>IF(SUMIFS('[1]2025年已发货'!$E:$E,'[1]2025年已发货'!$F:$F,C4344,'[1]2025年已发货'!$C:$C,F4344,'[1]2025年已发货'!$G:$G,I4344,'[1]2025年已发货'!$H:$H,J4344)=0,"未发货",SUMIFS('[1]2025年已发货'!$E:$E,'[1]2025年已发货'!$F:$F,C4344,'[1]2025年已发货'!$C:$C,F4344,'[1]2025年已发货'!$G:$G,I4344,'[1]2025年已发货'!$H:$H,J4344))</f>
        <v>3</v>
      </c>
      <c r="I4344" s="113" t="str">
        <f>VLOOKUP(B4344,辅助信息!E:I,3,FALSE)</f>
        <v>(五冶钢构龙泉东洪片区70亩住宅、商业及配套工程项目二标段)成都市龙泉驿外东洪路地铁2号线惠王陵地铁C口</v>
      </c>
      <c r="J4344" s="113" t="str">
        <f>VLOOKUP(B4344,辅助信息!E:I,4,FALSE)</f>
        <v>蒋嗣伟</v>
      </c>
      <c r="K4344" s="113">
        <f>VLOOKUP(J4344,辅助信息!H:I,2,FALSE)</f>
        <v>15014331252</v>
      </c>
      <c r="L4344" s="115">
        <f>VLOOKUP(B4344,辅助信息!E:J,6,FALSE)</f>
        <v>0</v>
      </c>
      <c r="M4344" s="84">
        <v>45941</v>
      </c>
      <c r="O4344" s="55">
        <f ca="1" t="shared" si="218"/>
        <v>0</v>
      </c>
      <c r="P4344" s="55">
        <f ca="1" t="shared" si="219"/>
        <v>16</v>
      </c>
      <c r="Q4344" s="22" t="str">
        <f>VLOOKUP(B4344,辅助信息!E:M,9,FALSE)</f>
        <v>ZTWM-CDGS-XS-2025-0156-五冶钢构-2025年九月第一批次钢筋采购合同(三圣乡项目)-中铁物贸成都公司</v>
      </c>
      <c r="R4344" s="22" t="str">
        <f>_xlfn._xlws.FILTER(辅助信息!D:D,辅助信息!E:E=B4344)</f>
        <v>五冶钢构龙泉东洪片区70亩住宅、商业及配套工程项目二标段</v>
      </c>
    </row>
    <row r="4345" hidden="1" spans="2:18">
      <c r="B4345" s="129" t="s">
        <v>224</v>
      </c>
      <c r="C4345" s="63">
        <v>45941</v>
      </c>
      <c r="D4345" s="113" t="str">
        <f>VLOOKUP(B4345,辅助信息!E:K,7,FALSE)</f>
        <v>JWDDCD2025092400188</v>
      </c>
      <c r="E4345" s="113" t="str">
        <f>VLOOKUP(F4345,辅助信息!A:B,2,FALSE)</f>
        <v>盘螺</v>
      </c>
      <c r="F4345" s="113" t="s">
        <v>40</v>
      </c>
      <c r="G4345" s="114">
        <v>40</v>
      </c>
      <c r="H4345" s="127"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13" t="str">
        <f>VLOOKUP(B4345,辅助信息!E:I,3,FALSE)</f>
        <v>(五冶钢构龙泉东洪片区70亩住宅、商业及配套工程项目一标段)成都市龙泉驿外东洪路地铁2号线惠王陵地铁C口</v>
      </c>
      <c r="J4345" s="113" t="str">
        <f>VLOOKUP(B4345,辅助信息!E:I,4,FALSE)</f>
        <v>邹爱国</v>
      </c>
      <c r="K4345" s="113">
        <f>VLOOKUP(J4345,辅助信息!H:I,2,FALSE)</f>
        <v>13540231225</v>
      </c>
      <c r="L4345" s="115">
        <f>VLOOKUP(B4345,辅助信息!E:J,6,FALSE)</f>
        <v>0</v>
      </c>
      <c r="M4345" s="84">
        <v>45941</v>
      </c>
      <c r="O4345" s="55">
        <f ca="1" t="shared" si="218"/>
        <v>0</v>
      </c>
      <c r="P4345" s="55">
        <f ca="1" t="shared" si="219"/>
        <v>16</v>
      </c>
      <c r="Q4345" s="22" t="str">
        <f>VLOOKUP(B4345,辅助信息!E:M,9,FALSE)</f>
        <v>ZTWM-CDGS-XS-2025-0156-五冶钢构-2025年九月第一批次钢筋采购合同(三圣乡项目)-中铁物贸成都公司</v>
      </c>
      <c r="R4345" s="22" t="str">
        <f>_xlfn._xlws.FILTER(辅助信息!D:D,辅助信息!E:E=B4345)</f>
        <v>五冶钢构龙泉东洪片区70亩住宅、商业及配套工程项目一标段</v>
      </c>
    </row>
    <row r="4346" hidden="1" spans="2:18">
      <c r="B4346" s="129" t="s">
        <v>224</v>
      </c>
      <c r="C4346" s="63">
        <v>45941</v>
      </c>
      <c r="D4346" s="113" t="str">
        <f>VLOOKUP(B4346,辅助信息!E:K,7,FALSE)</f>
        <v>JWDDCD2025092400188</v>
      </c>
      <c r="E4346" s="113" t="str">
        <f>VLOOKUP(F4346,辅助信息!A:B,2,FALSE)</f>
        <v>盘螺</v>
      </c>
      <c r="F4346" s="113" t="s">
        <v>41</v>
      </c>
      <c r="G4346" s="114">
        <v>30</v>
      </c>
      <c r="H4346" s="127">
        <f>IF(SUMIFS('[1]2025年已发货'!$E:$E,'[1]2025年已发货'!$F:$F,C4346,'[1]2025年已发货'!$C:$C,F4346,'[1]2025年已发货'!$G:$G,I4346,'[1]2025年已发货'!$H:$H,J4346)=0,"未发货",SUMIFS('[1]2025年已发货'!$E:$E,'[1]2025年已发货'!$F:$F,C4346,'[1]2025年已发货'!$C:$C,F4346,'[1]2025年已发货'!$G:$G,I4346,'[1]2025年已发货'!$H:$H,J4346))</f>
        <v>30</v>
      </c>
      <c r="I4346" s="113" t="str">
        <f>VLOOKUP(B4346,辅助信息!E:I,3,FALSE)</f>
        <v>(五冶钢构龙泉东洪片区70亩住宅、商业及配套工程项目一标段)成都市龙泉驿外东洪路地铁2号线惠王陵地铁C口</v>
      </c>
      <c r="J4346" s="113" t="str">
        <f>VLOOKUP(B4346,辅助信息!E:I,4,FALSE)</f>
        <v>邹爱国</v>
      </c>
      <c r="K4346" s="113">
        <f>VLOOKUP(J4346,辅助信息!H:I,2,FALSE)</f>
        <v>13540231225</v>
      </c>
      <c r="L4346" s="115">
        <f>VLOOKUP(B4346,辅助信息!E:J,6,FALSE)</f>
        <v>0</v>
      </c>
      <c r="M4346" s="84">
        <v>45941</v>
      </c>
      <c r="O4346" s="55">
        <f ca="1" t="shared" si="218"/>
        <v>0</v>
      </c>
      <c r="P4346" s="55">
        <f ca="1" t="shared" si="219"/>
        <v>16</v>
      </c>
      <c r="Q4346" s="22" t="str">
        <f>VLOOKUP(B4346,辅助信息!E:M,9,FALSE)</f>
        <v>ZTWM-CDGS-XS-2025-0156-五冶钢构-2025年九月第一批次钢筋采购合同(三圣乡项目)-中铁物贸成都公司</v>
      </c>
      <c r="R4346" s="22" t="str">
        <f>_xlfn._xlws.FILTER(辅助信息!D:D,辅助信息!E:E=B4346)</f>
        <v>五冶钢构龙泉东洪片区70亩住宅、商业及配套工程项目一标段</v>
      </c>
    </row>
    <row r="4347" hidden="1" spans="2:18">
      <c r="B4347" s="129" t="s">
        <v>224</v>
      </c>
      <c r="C4347" s="63">
        <v>45941</v>
      </c>
      <c r="D4347" s="113" t="str">
        <f>VLOOKUP(B4347,辅助信息!E:K,7,FALSE)</f>
        <v>JWDDCD2025092400188</v>
      </c>
      <c r="E4347" s="113" t="str">
        <f>VLOOKUP(F4347,辅助信息!A:B,2,FALSE)</f>
        <v>螺纹钢</v>
      </c>
      <c r="F4347" s="113" t="s">
        <v>27</v>
      </c>
      <c r="G4347" s="114">
        <f>30+45</f>
        <v>75</v>
      </c>
      <c r="H4347" s="127">
        <f>IF(SUMIFS('[1]2025年已发货'!$E:$E,'[1]2025年已发货'!$F:$F,C4347,'[1]2025年已发货'!$C:$C,F4347,'[1]2025年已发货'!$G:$G,I4347,'[1]2025年已发货'!$H:$H,J4347)=0,"未发货",SUMIFS('[1]2025年已发货'!$E:$E,'[1]2025年已发货'!$F:$F,C4347,'[1]2025年已发货'!$C:$C,F4347,'[1]2025年已发货'!$G:$G,I4347,'[1]2025年已发货'!$H:$H,J4347))</f>
        <v>75</v>
      </c>
      <c r="I4347" s="113" t="str">
        <f>VLOOKUP(B4347,辅助信息!E:I,3,FALSE)</f>
        <v>(五冶钢构龙泉东洪片区70亩住宅、商业及配套工程项目一标段)成都市龙泉驿外东洪路地铁2号线惠王陵地铁C口</v>
      </c>
      <c r="J4347" s="113" t="str">
        <f>VLOOKUP(B4347,辅助信息!E:I,4,FALSE)</f>
        <v>邹爱国</v>
      </c>
      <c r="K4347" s="113">
        <f>VLOOKUP(J4347,辅助信息!H:I,2,FALSE)</f>
        <v>13540231225</v>
      </c>
      <c r="L4347" s="115">
        <f>VLOOKUP(B4347,辅助信息!E:J,6,FALSE)</f>
        <v>0</v>
      </c>
      <c r="M4347" s="84">
        <v>45941</v>
      </c>
      <c r="O4347" s="55">
        <f ca="1" t="shared" si="218"/>
        <v>0</v>
      </c>
      <c r="P4347" s="55">
        <f ca="1" t="shared" si="219"/>
        <v>16</v>
      </c>
      <c r="Q4347" s="22" t="str">
        <f>VLOOKUP(B4347,辅助信息!E:M,9,FALSE)</f>
        <v>ZTWM-CDGS-XS-2025-0156-五冶钢构-2025年九月第一批次钢筋采购合同(三圣乡项目)-中铁物贸成都公司</v>
      </c>
      <c r="R4347" s="22" t="str">
        <f>_xlfn._xlws.FILTER(辅助信息!D:D,辅助信息!E:E=B4347)</f>
        <v>五冶钢构龙泉东洪片区70亩住宅、商业及配套工程项目一标段</v>
      </c>
    </row>
    <row r="4348" hidden="1" spans="2:18">
      <c r="B4348" s="129" t="s">
        <v>224</v>
      </c>
      <c r="C4348" s="63">
        <v>45941</v>
      </c>
      <c r="D4348" s="113" t="str">
        <f>VLOOKUP(B4348,辅助信息!E:K,7,FALSE)</f>
        <v>JWDDCD2025092400188</v>
      </c>
      <c r="E4348" s="113" t="str">
        <f>VLOOKUP(F4348,辅助信息!A:B,2,FALSE)</f>
        <v>螺纹钢</v>
      </c>
      <c r="F4348" s="113" t="s">
        <v>19</v>
      </c>
      <c r="G4348" s="114">
        <v>13</v>
      </c>
      <c r="H4348" s="127">
        <f>IF(SUMIFS('[1]2025年已发货'!$E:$E,'[1]2025年已发货'!$F:$F,C4348,'[1]2025年已发货'!$C:$C,F4348,'[1]2025年已发货'!$G:$G,I4348,'[1]2025年已发货'!$H:$H,J4348)=0,"未发货",SUMIFS('[1]2025年已发货'!$E:$E,'[1]2025年已发货'!$F:$F,C4348,'[1]2025年已发货'!$C:$C,F4348,'[1]2025年已发货'!$G:$G,I4348,'[1]2025年已发货'!$H:$H,J4348))</f>
        <v>13</v>
      </c>
      <c r="I4348" s="113" t="str">
        <f>VLOOKUP(B4348,辅助信息!E:I,3,FALSE)</f>
        <v>(五冶钢构龙泉东洪片区70亩住宅、商业及配套工程项目一标段)成都市龙泉驿外东洪路地铁2号线惠王陵地铁C口</v>
      </c>
      <c r="J4348" s="113" t="str">
        <f>VLOOKUP(B4348,辅助信息!E:I,4,FALSE)</f>
        <v>邹爱国</v>
      </c>
      <c r="K4348" s="113">
        <f>VLOOKUP(J4348,辅助信息!H:I,2,FALSE)</f>
        <v>13540231225</v>
      </c>
      <c r="L4348" s="115">
        <f>VLOOKUP(B4348,辅助信息!E:J,6,FALSE)</f>
        <v>0</v>
      </c>
      <c r="M4348" s="84">
        <v>45941</v>
      </c>
      <c r="O4348" s="55">
        <f ca="1" t="shared" si="218"/>
        <v>0</v>
      </c>
      <c r="P4348" s="55">
        <f ca="1" t="shared" si="219"/>
        <v>16</v>
      </c>
      <c r="Q4348" s="22" t="str">
        <f>VLOOKUP(B4348,辅助信息!E:M,9,FALSE)</f>
        <v>ZTWM-CDGS-XS-2025-0156-五冶钢构-2025年九月第一批次钢筋采购合同(三圣乡项目)-中铁物贸成都公司</v>
      </c>
      <c r="R4348" s="22" t="str">
        <f>_xlfn._xlws.FILTER(辅助信息!D:D,辅助信息!E:E=B4348)</f>
        <v>五冶钢构龙泉东洪片区70亩住宅、商业及配套工程项目一标段</v>
      </c>
    </row>
    <row r="4349" hidden="1" spans="2:18">
      <c r="B4349" s="129" t="s">
        <v>224</v>
      </c>
      <c r="C4349" s="63">
        <v>45941</v>
      </c>
      <c r="D4349" s="113" t="str">
        <f>VLOOKUP(B4349,辅助信息!E:K,7,FALSE)</f>
        <v>JWDDCD2025092400188</v>
      </c>
      <c r="E4349" s="113" t="str">
        <f>VLOOKUP(F4349,辅助信息!A:B,2,FALSE)</f>
        <v>螺纹钢</v>
      </c>
      <c r="F4349" s="113" t="s">
        <v>32</v>
      </c>
      <c r="G4349" s="114">
        <v>16</v>
      </c>
      <c r="H4349" s="127">
        <f>IF(SUMIFS('[1]2025年已发货'!$E:$E,'[1]2025年已发货'!$F:$F,C4349,'[1]2025年已发货'!$C:$C,F4349,'[1]2025年已发货'!$G:$G,I4349,'[1]2025年已发货'!$H:$H,J4349)=0,"未发货",SUMIFS('[1]2025年已发货'!$E:$E,'[1]2025年已发货'!$F:$F,C4349,'[1]2025年已发货'!$C:$C,F4349,'[1]2025年已发货'!$G:$G,I4349,'[1]2025年已发货'!$H:$H,J4349))</f>
        <v>16</v>
      </c>
      <c r="I4349" s="113" t="str">
        <f>VLOOKUP(B4349,辅助信息!E:I,3,FALSE)</f>
        <v>(五冶钢构龙泉东洪片区70亩住宅、商业及配套工程项目一标段)成都市龙泉驿外东洪路地铁2号线惠王陵地铁C口</v>
      </c>
      <c r="J4349" s="113" t="str">
        <f>VLOOKUP(B4349,辅助信息!E:I,4,FALSE)</f>
        <v>邹爱国</v>
      </c>
      <c r="K4349" s="113">
        <f>VLOOKUP(J4349,辅助信息!H:I,2,FALSE)</f>
        <v>13540231225</v>
      </c>
      <c r="L4349" s="115">
        <f>VLOOKUP(B4349,辅助信息!E:J,6,FALSE)</f>
        <v>0</v>
      </c>
      <c r="M4349" s="84">
        <v>45941</v>
      </c>
      <c r="O4349" s="55">
        <f ca="1" t="shared" si="218"/>
        <v>0</v>
      </c>
      <c r="P4349" s="55">
        <f ca="1" t="shared" si="219"/>
        <v>16</v>
      </c>
      <c r="Q4349" s="22" t="str">
        <f>VLOOKUP(B4349,辅助信息!E:M,9,FALSE)</f>
        <v>ZTWM-CDGS-XS-2025-0156-五冶钢构-2025年九月第一批次钢筋采购合同(三圣乡项目)-中铁物贸成都公司</v>
      </c>
      <c r="R4349" s="22" t="str">
        <f>_xlfn._xlws.FILTER(辅助信息!D:D,辅助信息!E:E=B4349)</f>
        <v>五冶钢构龙泉东洪片区70亩住宅、商业及配套工程项目一标段</v>
      </c>
    </row>
    <row r="4350" hidden="1" spans="2:18">
      <c r="B4350" s="129" t="s">
        <v>224</v>
      </c>
      <c r="C4350" s="63">
        <v>45941</v>
      </c>
      <c r="D4350" s="113" t="str">
        <f>VLOOKUP(B4350,辅助信息!E:K,7,FALSE)</f>
        <v>JWDDCD2025092400188</v>
      </c>
      <c r="E4350" s="113" t="str">
        <f>VLOOKUP(F4350,辅助信息!A:B,2,FALSE)</f>
        <v>螺纹钢</v>
      </c>
      <c r="F4350" s="113" t="s">
        <v>30</v>
      </c>
      <c r="G4350" s="114">
        <v>20</v>
      </c>
      <c r="H4350" s="127">
        <f>IF(SUMIFS('[1]2025年已发货'!$E:$E,'[1]2025年已发货'!$F:$F,C4350,'[1]2025年已发货'!$C:$C,F4350,'[1]2025年已发货'!$G:$G,I4350,'[1]2025年已发货'!$H:$H,J4350)=0,"未发货",SUMIFS('[1]2025年已发货'!$E:$E,'[1]2025年已发货'!$F:$F,C4350,'[1]2025年已发货'!$C:$C,F4350,'[1]2025年已发货'!$G:$G,I4350,'[1]2025年已发货'!$H:$H,J4350))</f>
        <v>20</v>
      </c>
      <c r="I4350" s="113" t="str">
        <f>VLOOKUP(B4350,辅助信息!E:I,3,FALSE)</f>
        <v>(五冶钢构龙泉东洪片区70亩住宅、商业及配套工程项目一标段)成都市龙泉驿外东洪路地铁2号线惠王陵地铁C口</v>
      </c>
      <c r="J4350" s="113" t="str">
        <f>VLOOKUP(B4350,辅助信息!E:I,4,FALSE)</f>
        <v>邹爱国</v>
      </c>
      <c r="K4350" s="113">
        <f>VLOOKUP(J4350,辅助信息!H:I,2,FALSE)</f>
        <v>13540231225</v>
      </c>
      <c r="L4350" s="115">
        <f>VLOOKUP(B4350,辅助信息!E:J,6,FALSE)</f>
        <v>0</v>
      </c>
      <c r="M4350" s="84">
        <v>45941</v>
      </c>
      <c r="O4350" s="55">
        <f ca="1" t="shared" si="218"/>
        <v>0</v>
      </c>
      <c r="P4350" s="55">
        <f ca="1" t="shared" si="219"/>
        <v>16</v>
      </c>
      <c r="Q4350" s="22" t="str">
        <f>VLOOKUP(B4350,辅助信息!E:M,9,FALSE)</f>
        <v>ZTWM-CDGS-XS-2025-0156-五冶钢构-2025年九月第一批次钢筋采购合同(三圣乡项目)-中铁物贸成都公司</v>
      </c>
      <c r="R4350" s="22" t="str">
        <f>_xlfn._xlws.FILTER(辅助信息!D:D,辅助信息!E:E=B4350)</f>
        <v>五冶钢构龙泉东洪片区70亩住宅、商业及配套工程项目一标段</v>
      </c>
    </row>
    <row r="4351" hidden="1" spans="2:18">
      <c r="B4351" s="129" t="s">
        <v>224</v>
      </c>
      <c r="C4351" s="63">
        <v>45941</v>
      </c>
      <c r="D4351" s="113" t="str">
        <f>VLOOKUP(B4351,辅助信息!E:K,7,FALSE)</f>
        <v>JWDDCD2025092400188</v>
      </c>
      <c r="E4351" s="113" t="str">
        <f>VLOOKUP(F4351,辅助信息!A:B,2,FALSE)</f>
        <v>螺纹钢</v>
      </c>
      <c r="F4351" s="113" t="s">
        <v>33</v>
      </c>
      <c r="G4351" s="114">
        <v>28</v>
      </c>
      <c r="H4351" s="127">
        <f>IF(SUMIFS('[1]2025年已发货'!$E:$E,'[1]2025年已发货'!$F:$F,C4351,'[1]2025年已发货'!$C:$C,F4351,'[1]2025年已发货'!$G:$G,I4351,'[1]2025年已发货'!$H:$H,J4351)=0,"未发货",SUMIFS('[1]2025年已发货'!$E:$E,'[1]2025年已发货'!$F:$F,C4351,'[1]2025年已发货'!$C:$C,F4351,'[1]2025年已发货'!$G:$G,I4351,'[1]2025年已发货'!$H:$H,J4351))</f>
        <v>28</v>
      </c>
      <c r="I4351" s="113" t="str">
        <f>VLOOKUP(B4351,辅助信息!E:I,3,FALSE)</f>
        <v>(五冶钢构龙泉东洪片区70亩住宅、商业及配套工程项目一标段)成都市龙泉驿外东洪路地铁2号线惠王陵地铁C口</v>
      </c>
      <c r="J4351" s="113" t="str">
        <f>VLOOKUP(B4351,辅助信息!E:I,4,FALSE)</f>
        <v>邹爱国</v>
      </c>
      <c r="K4351" s="113">
        <f>VLOOKUP(J4351,辅助信息!H:I,2,FALSE)</f>
        <v>13540231225</v>
      </c>
      <c r="L4351" s="115">
        <f>VLOOKUP(B4351,辅助信息!E:J,6,FALSE)</f>
        <v>0</v>
      </c>
      <c r="M4351" s="84">
        <v>45941</v>
      </c>
      <c r="O4351" s="55">
        <f ca="1" t="shared" si="218"/>
        <v>0</v>
      </c>
      <c r="P4351" s="55">
        <f ca="1" t="shared" si="219"/>
        <v>16</v>
      </c>
      <c r="Q4351" s="22" t="str">
        <f>VLOOKUP(B4351,辅助信息!E:M,9,FALSE)</f>
        <v>ZTWM-CDGS-XS-2025-0156-五冶钢构-2025年九月第一批次钢筋采购合同(三圣乡项目)-中铁物贸成都公司</v>
      </c>
      <c r="R4351" s="22" t="str">
        <f>_xlfn._xlws.FILTER(辅助信息!D:D,辅助信息!E:E=B4351)</f>
        <v>五冶钢构龙泉东洪片区70亩住宅、商业及配套工程项目一标段</v>
      </c>
    </row>
    <row r="4352" hidden="1" spans="2:18">
      <c r="B4352" s="129" t="s">
        <v>224</v>
      </c>
      <c r="C4352" s="63">
        <v>45941</v>
      </c>
      <c r="D4352" s="113" t="str">
        <f>VLOOKUP(B4352,辅助信息!E:K,7,FALSE)</f>
        <v>JWDDCD2025092400188</v>
      </c>
      <c r="E4352" s="113" t="str">
        <f>VLOOKUP(F4352,辅助信息!A:B,2,FALSE)</f>
        <v>螺纹钢</v>
      </c>
      <c r="F4352" s="113" t="s">
        <v>28</v>
      </c>
      <c r="G4352" s="114">
        <v>36</v>
      </c>
      <c r="H4352" s="127">
        <f>IF(SUMIFS('[1]2025年已发货'!$E:$E,'[1]2025年已发货'!$F:$F,C4352,'[1]2025年已发货'!$C:$C,F4352,'[1]2025年已发货'!$G:$G,I4352,'[1]2025年已发货'!$H:$H,J4352)=0,"未发货",SUMIFS('[1]2025年已发货'!$E:$E,'[1]2025年已发货'!$F:$F,C4352,'[1]2025年已发货'!$C:$C,F4352,'[1]2025年已发货'!$G:$G,I4352,'[1]2025年已发货'!$H:$H,J4352))</f>
        <v>36</v>
      </c>
      <c r="I4352" s="113" t="str">
        <f>VLOOKUP(B4352,辅助信息!E:I,3,FALSE)</f>
        <v>(五冶钢构龙泉东洪片区70亩住宅、商业及配套工程项目一标段)成都市龙泉驿外东洪路地铁2号线惠王陵地铁C口</v>
      </c>
      <c r="J4352" s="113" t="str">
        <f>VLOOKUP(B4352,辅助信息!E:I,4,FALSE)</f>
        <v>邹爱国</v>
      </c>
      <c r="K4352" s="113">
        <f>VLOOKUP(J4352,辅助信息!H:I,2,FALSE)</f>
        <v>13540231225</v>
      </c>
      <c r="L4352" s="115">
        <f>VLOOKUP(B4352,辅助信息!E:J,6,FALSE)</f>
        <v>0</v>
      </c>
      <c r="M4352" s="84">
        <v>45941</v>
      </c>
      <c r="O4352" s="55">
        <f ca="1" t="shared" si="218"/>
        <v>0</v>
      </c>
      <c r="P4352" s="55">
        <f ca="1" t="shared" si="219"/>
        <v>16</v>
      </c>
      <c r="Q4352" s="22" t="str">
        <f>VLOOKUP(B4352,辅助信息!E:M,9,FALSE)</f>
        <v>ZTWM-CDGS-XS-2025-0156-五冶钢构-2025年九月第一批次钢筋采购合同(三圣乡项目)-中铁物贸成都公司</v>
      </c>
      <c r="R4352" s="22" t="str">
        <f>_xlfn._xlws.FILTER(辅助信息!D:D,辅助信息!E:E=B4352)</f>
        <v>五冶钢构龙泉东洪片区70亩住宅、商业及配套工程项目一标段</v>
      </c>
    </row>
    <row r="4353" hidden="1" spans="2:18">
      <c r="B4353" s="129" t="s">
        <v>224</v>
      </c>
      <c r="C4353" s="63">
        <v>45941</v>
      </c>
      <c r="D4353" s="113" t="str">
        <f>VLOOKUP(B4353,辅助信息!E:K,7,FALSE)</f>
        <v>JWDDCD2025092400188</v>
      </c>
      <c r="E4353" s="113" t="str">
        <f>VLOOKUP(F4353,辅助信息!A:B,2,FALSE)</f>
        <v>螺纹钢</v>
      </c>
      <c r="F4353" s="113" t="s">
        <v>18</v>
      </c>
      <c r="G4353" s="114">
        <v>8</v>
      </c>
      <c r="H4353" s="127">
        <f>IF(SUMIFS('[1]2025年已发货'!$E:$E,'[1]2025年已发货'!$F:$F,C4353,'[1]2025年已发货'!$C:$C,F4353,'[1]2025年已发货'!$G:$G,I4353,'[1]2025年已发货'!$H:$H,J4353)=0,"未发货",SUMIFS('[1]2025年已发货'!$E:$E,'[1]2025年已发货'!$F:$F,C4353,'[1]2025年已发货'!$C:$C,F4353,'[1]2025年已发货'!$G:$G,I4353,'[1]2025年已发货'!$H:$H,J4353))</f>
        <v>8</v>
      </c>
      <c r="I4353" s="113" t="str">
        <f>VLOOKUP(B4353,辅助信息!E:I,3,FALSE)</f>
        <v>(五冶钢构龙泉东洪片区70亩住宅、商业及配套工程项目一标段)成都市龙泉驿外东洪路地铁2号线惠王陵地铁C口</v>
      </c>
      <c r="J4353" s="113" t="str">
        <f>VLOOKUP(B4353,辅助信息!E:I,4,FALSE)</f>
        <v>邹爱国</v>
      </c>
      <c r="K4353" s="113">
        <f>VLOOKUP(J4353,辅助信息!H:I,2,FALSE)</f>
        <v>13540231225</v>
      </c>
      <c r="L4353" s="115">
        <f>VLOOKUP(B4353,辅助信息!E:J,6,FALSE)</f>
        <v>0</v>
      </c>
      <c r="M4353" s="84">
        <v>45941</v>
      </c>
      <c r="O4353" s="55">
        <f ca="1" t="shared" si="218"/>
        <v>0</v>
      </c>
      <c r="P4353" s="55">
        <f ca="1" t="shared" si="219"/>
        <v>16</v>
      </c>
      <c r="Q4353" s="22" t="str">
        <f>VLOOKUP(B4353,辅助信息!E:M,9,FALSE)</f>
        <v>ZTWM-CDGS-XS-2025-0156-五冶钢构-2025年九月第一批次钢筋采购合同(三圣乡项目)-中铁物贸成都公司</v>
      </c>
      <c r="R4353" s="22" t="str">
        <f>_xlfn._xlws.FILTER(辅助信息!D:D,辅助信息!E:E=B4353)</f>
        <v>五冶钢构龙泉东洪片区70亩住宅、商业及配套工程项目一标段</v>
      </c>
    </row>
    <row r="4354" hidden="1" spans="2:18">
      <c r="B4354" s="129" t="s">
        <v>226</v>
      </c>
      <c r="C4354" s="63">
        <v>45941</v>
      </c>
      <c r="D4354" s="113" t="str">
        <f>VLOOKUP(B4354,辅助信息!E:K,7,FALSE)</f>
        <v>JWDDCD2025092400211</v>
      </c>
      <c r="E4354" s="113" t="str">
        <f>VLOOKUP(F4354,辅助信息!A:B,2,FALSE)</f>
        <v>盘螺</v>
      </c>
      <c r="F4354" s="113" t="s">
        <v>40</v>
      </c>
      <c r="G4354" s="114">
        <v>35</v>
      </c>
      <c r="H4354" s="127"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13" t="str">
        <f>VLOOKUP(B4354,辅助信息!E:I,3,FALSE)</f>
        <v>(五冶钢构龙泉东洪片区85亩住宅、商业及配套工程项目二标段)成都市龙泉驿外东洪路地铁2号线惠王陵地铁C口</v>
      </c>
      <c r="J4354" s="113" t="str">
        <f>VLOOKUP(B4354,辅助信息!E:I,4,FALSE)</f>
        <v>李渊</v>
      </c>
      <c r="K4354" s="113">
        <f>VLOOKUP(J4354,辅助信息!H:I,2,FALSE)</f>
        <v>18381013849</v>
      </c>
      <c r="L4354" s="115">
        <f>VLOOKUP(B4354,辅助信息!E:J,6,FALSE)</f>
        <v>0</v>
      </c>
      <c r="M4354" s="84">
        <v>45941</v>
      </c>
      <c r="O4354" s="55">
        <f ca="1" t="shared" si="218"/>
        <v>0</v>
      </c>
      <c r="P4354" s="55">
        <f ca="1" t="shared" si="219"/>
        <v>16</v>
      </c>
      <c r="Q4354" s="22" t="str">
        <f>VLOOKUP(B4354,辅助信息!E:M,9,FALSE)</f>
        <v>ZTWM-CDGS-XS-2025-0156-五冶钢构-2025年九月第一批次钢筋采购合同(三圣乡项目)-中铁物贸成都公司</v>
      </c>
      <c r="R4354" s="22" t="str">
        <f>_xlfn._xlws.FILTER(辅助信息!D:D,辅助信息!E:E=B4354)</f>
        <v>五冶钢构龙泉东洪片区85亩住宅、商业及配套工程项目二标段</v>
      </c>
    </row>
    <row r="4355" hidden="1" spans="2:18">
      <c r="B4355" s="129" t="s">
        <v>226</v>
      </c>
      <c r="C4355" s="63">
        <v>45941</v>
      </c>
      <c r="D4355" s="113" t="str">
        <f>VLOOKUP(B4355,辅助信息!E:K,7,FALSE)</f>
        <v>JWDDCD2025092400211</v>
      </c>
      <c r="E4355" s="113" t="str">
        <f>VLOOKUP(F4355,辅助信息!A:B,2,FALSE)</f>
        <v>盘螺</v>
      </c>
      <c r="F4355" s="113" t="s">
        <v>41</v>
      </c>
      <c r="G4355" s="114">
        <v>35</v>
      </c>
      <c r="H4355" s="127">
        <f>IF(SUMIFS('[1]2025年已发货'!$E:$E,'[1]2025年已发货'!$F:$F,C4355,'[1]2025年已发货'!$C:$C,F4355,'[1]2025年已发货'!$G:$G,I4355,'[1]2025年已发货'!$H:$H,J4355)=0,"未发货",SUMIFS('[1]2025年已发货'!$E:$E,'[1]2025年已发货'!$F:$F,C4355,'[1]2025年已发货'!$C:$C,F4355,'[1]2025年已发货'!$G:$G,I4355,'[1]2025年已发货'!$H:$H,J4355))</f>
        <v>35</v>
      </c>
      <c r="I4355" s="113" t="str">
        <f>VLOOKUP(B4355,辅助信息!E:I,3,FALSE)</f>
        <v>(五冶钢构龙泉东洪片区85亩住宅、商业及配套工程项目二标段)成都市龙泉驿外东洪路地铁2号线惠王陵地铁C口</v>
      </c>
      <c r="J4355" s="113" t="str">
        <f>VLOOKUP(B4355,辅助信息!E:I,4,FALSE)</f>
        <v>李渊</v>
      </c>
      <c r="K4355" s="113">
        <f>VLOOKUP(J4355,辅助信息!H:I,2,FALSE)</f>
        <v>18381013849</v>
      </c>
      <c r="L4355" s="115">
        <f>VLOOKUP(B4355,辅助信息!E:J,6,FALSE)</f>
        <v>0</v>
      </c>
      <c r="M4355" s="84">
        <v>45941</v>
      </c>
      <c r="O4355" s="55">
        <f ca="1" t="shared" si="218"/>
        <v>0</v>
      </c>
      <c r="P4355" s="55">
        <f ca="1" t="shared" si="219"/>
        <v>16</v>
      </c>
      <c r="Q4355" s="22" t="str">
        <f>VLOOKUP(B4355,辅助信息!E:M,9,FALSE)</f>
        <v>ZTWM-CDGS-XS-2025-0156-五冶钢构-2025年九月第一批次钢筋采购合同(三圣乡项目)-中铁物贸成都公司</v>
      </c>
      <c r="R4355" s="22" t="str">
        <f>_xlfn._xlws.FILTER(辅助信息!D:D,辅助信息!E:E=B4355)</f>
        <v>五冶钢构龙泉东洪片区85亩住宅、商业及配套工程项目二标段</v>
      </c>
    </row>
    <row r="4356" hidden="1" spans="2:18">
      <c r="B4356" s="129" t="s">
        <v>226</v>
      </c>
      <c r="C4356" s="63">
        <v>45941</v>
      </c>
      <c r="D4356" s="113" t="str">
        <f>VLOOKUP(B4356,辅助信息!E:K,7,FALSE)</f>
        <v>JWDDCD2025092400211</v>
      </c>
      <c r="E4356" s="113" t="str">
        <f>VLOOKUP(F4356,辅助信息!A:B,2,FALSE)</f>
        <v>盘螺</v>
      </c>
      <c r="F4356" s="113" t="s">
        <v>26</v>
      </c>
      <c r="G4356" s="114">
        <v>35</v>
      </c>
      <c r="H4356" s="127"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13" t="str">
        <f>VLOOKUP(B4356,辅助信息!E:I,3,FALSE)</f>
        <v>(五冶钢构龙泉东洪片区85亩住宅、商业及配套工程项目二标段)成都市龙泉驿外东洪路地铁2号线惠王陵地铁C口</v>
      </c>
      <c r="J4356" s="113" t="str">
        <f>VLOOKUP(B4356,辅助信息!E:I,4,FALSE)</f>
        <v>李渊</v>
      </c>
      <c r="K4356" s="113">
        <f>VLOOKUP(J4356,辅助信息!H:I,2,FALSE)</f>
        <v>18381013849</v>
      </c>
      <c r="L4356" s="115">
        <f>VLOOKUP(B4356,辅助信息!E:J,6,FALSE)</f>
        <v>0</v>
      </c>
      <c r="M4356" s="84">
        <v>45941</v>
      </c>
      <c r="O4356" s="55">
        <f ca="1" t="shared" si="218"/>
        <v>0</v>
      </c>
      <c r="P4356" s="55">
        <f ca="1" t="shared" si="219"/>
        <v>16</v>
      </c>
      <c r="Q4356" s="22" t="str">
        <f>VLOOKUP(B4356,辅助信息!E:M,9,FALSE)</f>
        <v>ZTWM-CDGS-XS-2025-0156-五冶钢构-2025年九月第一批次钢筋采购合同(三圣乡项目)-中铁物贸成都公司</v>
      </c>
      <c r="R4356" s="22" t="str">
        <f>_xlfn._xlws.FILTER(辅助信息!D:D,辅助信息!E:E=B4356)</f>
        <v>五冶钢构龙泉东洪片区85亩住宅、商业及配套工程项目二标段</v>
      </c>
    </row>
    <row r="4357" hidden="1" spans="2:18">
      <c r="B4357" s="129" t="s">
        <v>226</v>
      </c>
      <c r="C4357" s="63">
        <v>45941</v>
      </c>
      <c r="D4357" s="113" t="str">
        <f>VLOOKUP(B4357,辅助信息!E:K,7,FALSE)</f>
        <v>JWDDCD2025092400211</v>
      </c>
      <c r="E4357" s="113" t="str">
        <f>VLOOKUP(F4357,辅助信息!A:B,2,FALSE)</f>
        <v>螺纹钢</v>
      </c>
      <c r="F4357" s="113" t="s">
        <v>19</v>
      </c>
      <c r="G4357" s="114">
        <v>35</v>
      </c>
      <c r="H4357" s="127">
        <f>IF(SUMIFS('[1]2025年已发货'!$E:$E,'[1]2025年已发货'!$F:$F,C4357,'[1]2025年已发货'!$C:$C,F4357,'[1]2025年已发货'!$G:$G,I4357,'[1]2025年已发货'!$H:$H,J4357)=0,"未发货",SUMIFS('[1]2025年已发货'!$E:$E,'[1]2025年已发货'!$F:$F,C4357,'[1]2025年已发货'!$C:$C,F4357,'[1]2025年已发货'!$G:$G,I4357,'[1]2025年已发货'!$H:$H,J4357))</f>
        <v>35</v>
      </c>
      <c r="I4357" s="113" t="str">
        <f>VLOOKUP(B4357,辅助信息!E:I,3,FALSE)</f>
        <v>(五冶钢构龙泉东洪片区85亩住宅、商业及配套工程项目二标段)成都市龙泉驿外东洪路地铁2号线惠王陵地铁C口</v>
      </c>
      <c r="J4357" s="113" t="str">
        <f>VLOOKUP(B4357,辅助信息!E:I,4,FALSE)</f>
        <v>李渊</v>
      </c>
      <c r="K4357" s="113">
        <f>VLOOKUP(J4357,辅助信息!H:I,2,FALSE)</f>
        <v>18381013849</v>
      </c>
      <c r="L4357" s="115">
        <f>VLOOKUP(B4357,辅助信息!E:J,6,FALSE)</f>
        <v>0</v>
      </c>
      <c r="M4357" s="84">
        <v>45941</v>
      </c>
      <c r="O4357" s="55">
        <f ca="1" t="shared" si="218"/>
        <v>0</v>
      </c>
      <c r="P4357" s="55">
        <f ca="1" t="shared" si="219"/>
        <v>16</v>
      </c>
      <c r="Q4357" s="22" t="str">
        <f>VLOOKUP(B4357,辅助信息!E:M,9,FALSE)</f>
        <v>ZTWM-CDGS-XS-2025-0156-五冶钢构-2025年九月第一批次钢筋采购合同(三圣乡项目)-中铁物贸成都公司</v>
      </c>
      <c r="R4357" s="22" t="str">
        <f>_xlfn._xlws.FILTER(辅助信息!D:D,辅助信息!E:E=B4357)</f>
        <v>五冶钢构龙泉东洪片区85亩住宅、商业及配套工程项目二标段</v>
      </c>
    </row>
    <row r="4358" hidden="1" spans="2:18">
      <c r="B4358" s="129" t="s">
        <v>226</v>
      </c>
      <c r="C4358" s="63">
        <v>45941</v>
      </c>
      <c r="D4358" s="113" t="str">
        <f>VLOOKUP(B4358,辅助信息!E:K,7,FALSE)</f>
        <v>JWDDCD2025092400211</v>
      </c>
      <c r="E4358" s="113" t="str">
        <f>VLOOKUP(F4358,辅助信息!A:B,2,FALSE)</f>
        <v>螺纹钢</v>
      </c>
      <c r="F4358" s="113" t="s">
        <v>33</v>
      </c>
      <c r="G4358" s="114">
        <v>25</v>
      </c>
      <c r="H4358" s="127">
        <f>IF(SUMIFS('[1]2025年已发货'!$E:$E,'[1]2025年已发货'!$F:$F,C4358,'[1]2025年已发货'!$C:$C,F4358,'[1]2025年已发货'!$G:$G,I4358,'[1]2025年已发货'!$H:$H,J4358)=0,"未发货",SUMIFS('[1]2025年已发货'!$E:$E,'[1]2025年已发货'!$F:$F,C4358,'[1]2025年已发货'!$C:$C,F4358,'[1]2025年已发货'!$G:$G,I4358,'[1]2025年已发货'!$H:$H,J4358))</f>
        <v>25</v>
      </c>
      <c r="I4358" s="113" t="str">
        <f>VLOOKUP(B4358,辅助信息!E:I,3,FALSE)</f>
        <v>(五冶钢构龙泉东洪片区85亩住宅、商业及配套工程项目二标段)成都市龙泉驿外东洪路地铁2号线惠王陵地铁C口</v>
      </c>
      <c r="J4358" s="113" t="str">
        <f>VLOOKUP(B4358,辅助信息!E:I,4,FALSE)</f>
        <v>李渊</v>
      </c>
      <c r="K4358" s="113">
        <f>VLOOKUP(J4358,辅助信息!H:I,2,FALSE)</f>
        <v>18381013849</v>
      </c>
      <c r="L4358" s="115">
        <f>VLOOKUP(B4358,辅助信息!E:J,6,FALSE)</f>
        <v>0</v>
      </c>
      <c r="M4358" s="84">
        <v>45941</v>
      </c>
      <c r="O4358" s="55">
        <f ca="1" t="shared" si="218"/>
        <v>0</v>
      </c>
      <c r="P4358" s="55">
        <f ca="1" t="shared" si="219"/>
        <v>16</v>
      </c>
      <c r="Q4358" s="22" t="str">
        <f>VLOOKUP(B4358,辅助信息!E:M,9,FALSE)</f>
        <v>ZTWM-CDGS-XS-2025-0156-五冶钢构-2025年九月第一批次钢筋采购合同(三圣乡项目)-中铁物贸成都公司</v>
      </c>
      <c r="R4358" s="22" t="str">
        <f>_xlfn._xlws.FILTER(辅助信息!D:D,辅助信息!E:E=B4358)</f>
        <v>五冶钢构龙泉东洪片区85亩住宅、商业及配套工程项目二标段</v>
      </c>
    </row>
    <row r="4359" hidden="1" spans="2:18">
      <c r="B4359" s="129" t="s">
        <v>226</v>
      </c>
      <c r="C4359" s="63">
        <v>45941</v>
      </c>
      <c r="D4359" s="113" t="str">
        <f>VLOOKUP(B4359,辅助信息!E:K,7,FALSE)</f>
        <v>JWDDCD2025092400211</v>
      </c>
      <c r="E4359" s="113" t="str">
        <f>VLOOKUP(F4359,辅助信息!A:B,2,FALSE)</f>
        <v>螺纹钢</v>
      </c>
      <c r="F4359" s="113" t="s">
        <v>28</v>
      </c>
      <c r="G4359" s="114">
        <v>21</v>
      </c>
      <c r="H4359" s="127">
        <f>IF(SUMIFS('[1]2025年已发货'!$E:$E,'[1]2025年已发货'!$F:$F,C4359,'[1]2025年已发货'!$C:$C,F4359,'[1]2025年已发货'!$G:$G,I4359,'[1]2025年已发货'!$H:$H,J4359)=0,"未发货",SUMIFS('[1]2025年已发货'!$E:$E,'[1]2025年已发货'!$F:$F,C4359,'[1]2025年已发货'!$C:$C,F4359,'[1]2025年已发货'!$G:$G,I4359,'[1]2025年已发货'!$H:$H,J4359))</f>
        <v>21</v>
      </c>
      <c r="I4359" s="113" t="str">
        <f>VLOOKUP(B4359,辅助信息!E:I,3,FALSE)</f>
        <v>(五冶钢构龙泉东洪片区85亩住宅、商业及配套工程项目二标段)成都市龙泉驿外东洪路地铁2号线惠王陵地铁C口</v>
      </c>
      <c r="J4359" s="113" t="str">
        <f>VLOOKUP(B4359,辅助信息!E:I,4,FALSE)</f>
        <v>李渊</v>
      </c>
      <c r="K4359" s="113">
        <f>VLOOKUP(J4359,辅助信息!H:I,2,FALSE)</f>
        <v>18381013849</v>
      </c>
      <c r="L4359" s="115">
        <f>VLOOKUP(B4359,辅助信息!E:J,6,FALSE)</f>
        <v>0</v>
      </c>
      <c r="M4359" s="84">
        <v>45941</v>
      </c>
      <c r="O4359" s="55">
        <f ca="1" t="shared" si="218"/>
        <v>0</v>
      </c>
      <c r="P4359" s="55">
        <f ca="1" t="shared" si="219"/>
        <v>16</v>
      </c>
      <c r="Q4359" s="22" t="str">
        <f>VLOOKUP(B4359,辅助信息!E:M,9,FALSE)</f>
        <v>ZTWM-CDGS-XS-2025-0156-五冶钢构-2025年九月第一批次钢筋采购合同(三圣乡项目)-中铁物贸成都公司</v>
      </c>
      <c r="R4359" s="22" t="str">
        <f>_xlfn._xlws.FILTER(辅助信息!D:D,辅助信息!E:E=B4359)</f>
        <v>五冶钢构龙泉东洪片区85亩住宅、商业及配套工程项目二标段</v>
      </c>
    </row>
    <row r="4360" hidden="1" spans="2:18">
      <c r="B4360" s="129" t="s">
        <v>226</v>
      </c>
      <c r="C4360" s="63">
        <v>45941</v>
      </c>
      <c r="D4360" s="113" t="str">
        <f>VLOOKUP(B4360,辅助信息!E:K,7,FALSE)</f>
        <v>JWDDCD2025092400211</v>
      </c>
      <c r="E4360" s="113" t="str">
        <f>VLOOKUP(F4360,辅助信息!A:B,2,FALSE)</f>
        <v>螺纹钢</v>
      </c>
      <c r="F4360" s="113" t="s">
        <v>18</v>
      </c>
      <c r="G4360" s="114">
        <v>9</v>
      </c>
      <c r="H4360" s="127">
        <f>IF(SUMIFS('[1]2025年已发货'!$E:$E,'[1]2025年已发货'!$F:$F,C4360,'[1]2025年已发货'!$C:$C,F4360,'[1]2025年已发货'!$G:$G,I4360,'[1]2025年已发货'!$H:$H,J4360)=0,"未发货",SUMIFS('[1]2025年已发货'!$E:$E,'[1]2025年已发货'!$F:$F,C4360,'[1]2025年已发货'!$C:$C,F4360,'[1]2025年已发货'!$G:$G,I4360,'[1]2025年已发货'!$H:$H,J4360))</f>
        <v>9</v>
      </c>
      <c r="I4360" s="113" t="str">
        <f>VLOOKUP(B4360,辅助信息!E:I,3,FALSE)</f>
        <v>(五冶钢构龙泉东洪片区85亩住宅、商业及配套工程项目二标段)成都市龙泉驿外东洪路地铁2号线惠王陵地铁C口</v>
      </c>
      <c r="J4360" s="113" t="str">
        <f>VLOOKUP(B4360,辅助信息!E:I,4,FALSE)</f>
        <v>李渊</v>
      </c>
      <c r="K4360" s="113">
        <f>VLOOKUP(J4360,辅助信息!H:I,2,FALSE)</f>
        <v>18381013849</v>
      </c>
      <c r="L4360" s="115">
        <f>VLOOKUP(B4360,辅助信息!E:J,6,FALSE)</f>
        <v>0</v>
      </c>
      <c r="M4360" s="84">
        <v>45941</v>
      </c>
      <c r="O4360" s="55">
        <f ca="1" t="shared" si="218"/>
        <v>0</v>
      </c>
      <c r="P4360" s="55">
        <f ca="1" t="shared" si="219"/>
        <v>16</v>
      </c>
      <c r="Q4360" s="22" t="str">
        <f>VLOOKUP(B4360,辅助信息!E:M,9,FALSE)</f>
        <v>ZTWM-CDGS-XS-2025-0156-五冶钢构-2025年九月第一批次钢筋采购合同(三圣乡项目)-中铁物贸成都公司</v>
      </c>
      <c r="R4360" s="22" t="str">
        <f>_xlfn._xlws.FILTER(辅助信息!D:D,辅助信息!E:E=B4360)</f>
        <v>五冶钢构龙泉东洪片区85亩住宅、商业及配套工程项目二标段</v>
      </c>
    </row>
    <row r="4361" ht="22.5" hidden="1" spans="1:18">
      <c r="A4361" s="122" t="s">
        <v>234</v>
      </c>
      <c r="B4361" s="129" t="s">
        <v>229</v>
      </c>
      <c r="C4361" s="63">
        <v>45941</v>
      </c>
      <c r="D4361" s="113" t="str">
        <f>VLOOKUP(B4361,辅助信息!E:K,7,FALSE)</f>
        <v>JWDDCD2025092400212</v>
      </c>
      <c r="E4361" s="113" t="str">
        <f>VLOOKUP(F4361,辅助信息!A:B,2,FALSE)</f>
        <v>盘螺</v>
      </c>
      <c r="F4361" s="113" t="s">
        <v>49</v>
      </c>
      <c r="G4361" s="114">
        <v>8</v>
      </c>
      <c r="H4361" s="127">
        <f>IF(SUMIFS('[1]2025年已发货'!$E:$E,'[1]2025年已发货'!$F:$F,C4361,'[1]2025年已发货'!$C:$C,F4361,'[1]2025年已发货'!$G:$G,I4361,'[1]2025年已发货'!$H:$H,J4361)=0,"未发货",SUMIFS('[1]2025年已发货'!$E:$E,'[1]2025年已发货'!$F:$F,C4361,'[1]2025年已发货'!$C:$C,F4361,'[1]2025年已发货'!$G:$G,I4361,'[1]2025年已发货'!$H:$H,J4361))</f>
        <v>8</v>
      </c>
      <c r="I4361" s="113" t="str">
        <f>VLOOKUP(B4361,辅助信息!E:I,3,FALSE)</f>
        <v>(五冶钢构龙泉东洪片区85亩住宅、商业及配套工程项目三标段)成都市龙泉驿外东洪路地铁2号线惠王陵地铁C口</v>
      </c>
      <c r="J4361" s="113" t="str">
        <f>VLOOKUP(B4361,辅助信息!E:I,4,FALSE)</f>
        <v>王军宝</v>
      </c>
      <c r="K4361" s="113">
        <f>VLOOKUP(J4361,辅助信息!H:I,2,FALSE)</f>
        <v>13889142392</v>
      </c>
      <c r="L4361" s="115">
        <f>VLOOKUP(B4361,辅助信息!E:J,6,FALSE)</f>
        <v>0</v>
      </c>
      <c r="M4361" s="84">
        <v>45941</v>
      </c>
      <c r="O4361" s="55">
        <f ca="1" t="shared" si="218"/>
        <v>0</v>
      </c>
      <c r="P4361" s="55">
        <f ca="1" t="shared" si="219"/>
        <v>16</v>
      </c>
      <c r="Q4361" s="22" t="str">
        <f>VLOOKUP(B4361,辅助信息!E:M,9,FALSE)</f>
        <v>ZTWM-CDGS-XS-2025-0156-五冶钢构-2025年九月第一批次钢筋采购合同(三圣乡项目)-中铁物贸成都公司</v>
      </c>
      <c r="R4361" s="22" t="str">
        <f>_xlfn._xlws.FILTER(辅助信息!D:D,辅助信息!E:E=B4361)</f>
        <v>五冶钢构龙泉东洪片区85亩住宅、商业及配套工程项目三标段</v>
      </c>
    </row>
    <row r="4362" ht="22.5" hidden="1" spans="1:18">
      <c r="A4362" s="122" t="s">
        <v>234</v>
      </c>
      <c r="B4362" s="129" t="s">
        <v>229</v>
      </c>
      <c r="C4362" s="63">
        <v>45941</v>
      </c>
      <c r="D4362" s="113" t="str">
        <f>VLOOKUP(B4362,辅助信息!E:K,7,FALSE)</f>
        <v>JWDDCD2025092400212</v>
      </c>
      <c r="E4362" s="113" t="str">
        <f>VLOOKUP(F4362,辅助信息!A:B,2,FALSE)</f>
        <v>盘螺</v>
      </c>
      <c r="F4362" s="113" t="s">
        <v>40</v>
      </c>
      <c r="G4362" s="114">
        <v>69</v>
      </c>
      <c r="H4362" s="127"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13" t="str">
        <f>VLOOKUP(B4362,辅助信息!E:I,3,FALSE)</f>
        <v>(五冶钢构龙泉东洪片区85亩住宅、商业及配套工程项目三标段)成都市龙泉驿外东洪路地铁2号线惠王陵地铁C口</v>
      </c>
      <c r="J4362" s="113" t="str">
        <f>VLOOKUP(B4362,辅助信息!E:I,4,FALSE)</f>
        <v>王军宝</v>
      </c>
      <c r="K4362" s="113">
        <f>VLOOKUP(J4362,辅助信息!H:I,2,FALSE)</f>
        <v>13889142392</v>
      </c>
      <c r="L4362" s="115">
        <f>VLOOKUP(B4362,辅助信息!E:J,6,FALSE)</f>
        <v>0</v>
      </c>
      <c r="M4362" s="84">
        <v>45941</v>
      </c>
      <c r="O4362" s="55">
        <f ca="1" t="shared" si="218"/>
        <v>0</v>
      </c>
      <c r="P4362" s="55">
        <f ca="1" t="shared" si="219"/>
        <v>16</v>
      </c>
      <c r="Q4362" s="22" t="str">
        <f>VLOOKUP(B4362,辅助信息!E:M,9,FALSE)</f>
        <v>ZTWM-CDGS-XS-2025-0156-五冶钢构-2025年九月第一批次钢筋采购合同(三圣乡项目)-中铁物贸成都公司</v>
      </c>
      <c r="R4362" s="22" t="str">
        <f>_xlfn._xlws.FILTER(辅助信息!D:D,辅助信息!E:E=B4362)</f>
        <v>五冶钢构龙泉东洪片区85亩住宅、商业及配套工程项目三标段</v>
      </c>
    </row>
    <row r="4363" ht="22.5" hidden="1" spans="1:18">
      <c r="A4363" s="122" t="s">
        <v>234</v>
      </c>
      <c r="B4363" s="129" t="s">
        <v>229</v>
      </c>
      <c r="C4363" s="63">
        <v>45941</v>
      </c>
      <c r="D4363" s="113" t="str">
        <f>VLOOKUP(B4363,辅助信息!E:K,7,FALSE)</f>
        <v>JWDDCD2025092400212</v>
      </c>
      <c r="E4363" s="113" t="str">
        <f>VLOOKUP(F4363,辅助信息!A:B,2,FALSE)</f>
        <v>盘螺</v>
      </c>
      <c r="F4363" s="113" t="s">
        <v>41</v>
      </c>
      <c r="G4363" s="114">
        <v>12</v>
      </c>
      <c r="H4363" s="127"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13" t="str">
        <f>VLOOKUP(B4363,辅助信息!E:I,3,FALSE)</f>
        <v>(五冶钢构龙泉东洪片区85亩住宅、商业及配套工程项目三标段)成都市龙泉驿外东洪路地铁2号线惠王陵地铁C口</v>
      </c>
      <c r="J4363" s="113" t="str">
        <f>VLOOKUP(B4363,辅助信息!E:I,4,FALSE)</f>
        <v>王军宝</v>
      </c>
      <c r="K4363" s="113">
        <f>VLOOKUP(J4363,辅助信息!H:I,2,FALSE)</f>
        <v>13889142392</v>
      </c>
      <c r="L4363" s="115">
        <f>VLOOKUP(B4363,辅助信息!E:J,6,FALSE)</f>
        <v>0</v>
      </c>
      <c r="M4363" s="84">
        <v>45941</v>
      </c>
      <c r="O4363" s="55">
        <f ca="1" t="shared" si="218"/>
        <v>0</v>
      </c>
      <c r="P4363" s="55">
        <f ca="1" t="shared" si="219"/>
        <v>16</v>
      </c>
      <c r="Q4363" s="22" t="str">
        <f>VLOOKUP(B4363,辅助信息!E:M,9,FALSE)</f>
        <v>ZTWM-CDGS-XS-2025-0156-五冶钢构-2025年九月第一批次钢筋采购合同(三圣乡项目)-中铁物贸成都公司</v>
      </c>
      <c r="R4363" s="22" t="str">
        <f>_xlfn._xlws.FILTER(辅助信息!D:D,辅助信息!E:E=B4363)</f>
        <v>五冶钢构龙泉东洪片区85亩住宅、商业及配套工程项目三标段</v>
      </c>
    </row>
    <row r="4364" hidden="1" spans="2:18">
      <c r="B4364" s="129" t="s">
        <v>229</v>
      </c>
      <c r="C4364" s="63">
        <v>45941</v>
      </c>
      <c r="D4364" s="113" t="str">
        <f>VLOOKUP(B4364,辅助信息!E:K,7,FALSE)</f>
        <v>JWDDCD2025092400212</v>
      </c>
      <c r="E4364" s="113" t="str">
        <f>VLOOKUP(F4364,辅助信息!A:B,2,FALSE)</f>
        <v>螺纹钢</v>
      </c>
      <c r="F4364" s="113" t="s">
        <v>27</v>
      </c>
      <c r="G4364" s="114">
        <v>30</v>
      </c>
      <c r="H4364" s="127">
        <f>IF(SUMIFS('[1]2025年已发货'!$E:$E,'[1]2025年已发货'!$F:$F,C4364,'[1]2025年已发货'!$C:$C,F4364,'[1]2025年已发货'!$G:$G,I4364,'[1]2025年已发货'!$H:$H,J4364)=0,"未发货",SUMIFS('[1]2025年已发货'!$E:$E,'[1]2025年已发货'!$F:$F,C4364,'[1]2025年已发货'!$C:$C,F4364,'[1]2025年已发货'!$G:$G,I4364,'[1]2025年已发货'!$H:$H,J4364))</f>
        <v>30</v>
      </c>
      <c r="I4364" s="113" t="str">
        <f>VLOOKUP(B4364,辅助信息!E:I,3,FALSE)</f>
        <v>(五冶钢构龙泉东洪片区85亩住宅、商业及配套工程项目三标段)成都市龙泉驿外东洪路地铁2号线惠王陵地铁C口</v>
      </c>
      <c r="J4364" s="113" t="str">
        <f>VLOOKUP(B4364,辅助信息!E:I,4,FALSE)</f>
        <v>王军宝</v>
      </c>
      <c r="K4364" s="113">
        <f>VLOOKUP(J4364,辅助信息!H:I,2,FALSE)</f>
        <v>13889142392</v>
      </c>
      <c r="L4364" s="115">
        <f>VLOOKUP(B4364,辅助信息!E:J,6,FALSE)</f>
        <v>0</v>
      </c>
      <c r="M4364" s="84">
        <v>45941</v>
      </c>
      <c r="O4364" s="55">
        <f ca="1" t="shared" si="218"/>
        <v>0</v>
      </c>
      <c r="P4364" s="55">
        <f ca="1" t="shared" si="219"/>
        <v>16</v>
      </c>
      <c r="Q4364" s="22" t="str">
        <f>VLOOKUP(B4364,辅助信息!E:M,9,FALSE)</f>
        <v>ZTWM-CDGS-XS-2025-0156-五冶钢构-2025年九月第一批次钢筋采购合同(三圣乡项目)-中铁物贸成都公司</v>
      </c>
      <c r="R4364" s="22" t="str">
        <f>_xlfn._xlws.FILTER(辅助信息!D:D,辅助信息!E:E=B4364)</f>
        <v>五冶钢构龙泉东洪片区85亩住宅、商业及配套工程项目三标段</v>
      </c>
    </row>
    <row r="4365" hidden="1" spans="2:18">
      <c r="B4365" s="129" t="s">
        <v>229</v>
      </c>
      <c r="C4365" s="63">
        <v>45941</v>
      </c>
      <c r="D4365" s="113" t="str">
        <f>VLOOKUP(B4365,辅助信息!E:K,7,FALSE)</f>
        <v>JWDDCD2025092400212</v>
      </c>
      <c r="E4365" s="113" t="str">
        <f>VLOOKUP(F4365,辅助信息!A:B,2,FALSE)</f>
        <v>螺纹钢</v>
      </c>
      <c r="F4365" s="113" t="s">
        <v>19</v>
      </c>
      <c r="G4365" s="114">
        <v>6</v>
      </c>
      <c r="H4365" s="127">
        <f>IF(SUMIFS('[1]2025年已发货'!$E:$E,'[1]2025年已发货'!$F:$F,C4365,'[1]2025年已发货'!$C:$C,F4365,'[1]2025年已发货'!$G:$G,I4365,'[1]2025年已发货'!$H:$H,J4365)=0,"未发货",SUMIFS('[1]2025年已发货'!$E:$E,'[1]2025年已发货'!$F:$F,C4365,'[1]2025年已发货'!$C:$C,F4365,'[1]2025年已发货'!$G:$G,I4365,'[1]2025年已发货'!$H:$H,J4365))</f>
        <v>6</v>
      </c>
      <c r="I4365" s="113" t="str">
        <f>VLOOKUP(B4365,辅助信息!E:I,3,FALSE)</f>
        <v>(五冶钢构龙泉东洪片区85亩住宅、商业及配套工程项目三标段)成都市龙泉驿外东洪路地铁2号线惠王陵地铁C口</v>
      </c>
      <c r="J4365" s="113" t="str">
        <f>VLOOKUP(B4365,辅助信息!E:I,4,FALSE)</f>
        <v>王军宝</v>
      </c>
      <c r="K4365" s="113">
        <f>VLOOKUP(J4365,辅助信息!H:I,2,FALSE)</f>
        <v>13889142392</v>
      </c>
      <c r="L4365" s="115">
        <f>VLOOKUP(B4365,辅助信息!E:J,6,FALSE)</f>
        <v>0</v>
      </c>
      <c r="M4365" s="84">
        <v>45941</v>
      </c>
      <c r="O4365" s="55">
        <f ca="1" t="shared" si="218"/>
        <v>0</v>
      </c>
      <c r="P4365" s="55">
        <f ca="1" t="shared" si="219"/>
        <v>16</v>
      </c>
      <c r="Q4365" s="22" t="str">
        <f>VLOOKUP(B4365,辅助信息!E:M,9,FALSE)</f>
        <v>ZTWM-CDGS-XS-2025-0156-五冶钢构-2025年九月第一批次钢筋采购合同(三圣乡项目)-中铁物贸成都公司</v>
      </c>
      <c r="R4365" s="22" t="str">
        <f>_xlfn._xlws.FILTER(辅助信息!D:D,辅助信息!E:E=B4365)</f>
        <v>五冶钢构龙泉东洪片区85亩住宅、商业及配套工程项目三标段</v>
      </c>
    </row>
    <row r="4366" hidden="1" spans="2:18">
      <c r="B4366" s="129" t="s">
        <v>229</v>
      </c>
      <c r="C4366" s="63">
        <v>45941</v>
      </c>
      <c r="D4366" s="113" t="str">
        <f>VLOOKUP(B4366,辅助信息!E:K,7,FALSE)</f>
        <v>JWDDCD2025092400212</v>
      </c>
      <c r="E4366" s="113" t="str">
        <f>VLOOKUP(F4366,辅助信息!A:B,2,FALSE)</f>
        <v>螺纹钢</v>
      </c>
      <c r="F4366" s="113" t="s">
        <v>32</v>
      </c>
      <c r="G4366" s="114">
        <v>10</v>
      </c>
      <c r="H4366" s="127">
        <f>IF(SUMIFS('[1]2025年已发货'!$E:$E,'[1]2025年已发货'!$F:$F,C4366,'[1]2025年已发货'!$C:$C,F4366,'[1]2025年已发货'!$G:$G,I4366,'[1]2025年已发货'!$H:$H,J4366)=0,"未发货",SUMIFS('[1]2025年已发货'!$E:$E,'[1]2025年已发货'!$F:$F,C4366,'[1]2025年已发货'!$C:$C,F4366,'[1]2025年已发货'!$G:$G,I4366,'[1]2025年已发货'!$H:$H,J4366))</f>
        <v>10</v>
      </c>
      <c r="I4366" s="113" t="str">
        <f>VLOOKUP(B4366,辅助信息!E:I,3,FALSE)</f>
        <v>(五冶钢构龙泉东洪片区85亩住宅、商业及配套工程项目三标段)成都市龙泉驿外东洪路地铁2号线惠王陵地铁C口</v>
      </c>
      <c r="J4366" s="113" t="str">
        <f>VLOOKUP(B4366,辅助信息!E:I,4,FALSE)</f>
        <v>王军宝</v>
      </c>
      <c r="K4366" s="113">
        <f>VLOOKUP(J4366,辅助信息!H:I,2,FALSE)</f>
        <v>13889142392</v>
      </c>
      <c r="L4366" s="115">
        <f>VLOOKUP(B4366,辅助信息!E:J,6,FALSE)</f>
        <v>0</v>
      </c>
      <c r="M4366" s="84">
        <v>45941</v>
      </c>
      <c r="O4366" s="55">
        <f ca="1" t="shared" si="218"/>
        <v>0</v>
      </c>
      <c r="P4366" s="55">
        <f ca="1" t="shared" si="219"/>
        <v>16</v>
      </c>
      <c r="Q4366" s="22" t="str">
        <f>VLOOKUP(B4366,辅助信息!E:M,9,FALSE)</f>
        <v>ZTWM-CDGS-XS-2025-0156-五冶钢构-2025年九月第一批次钢筋采购合同(三圣乡项目)-中铁物贸成都公司</v>
      </c>
      <c r="R4366" s="22" t="str">
        <f>_xlfn._xlws.FILTER(辅助信息!D:D,辅助信息!E:E=B4366)</f>
        <v>五冶钢构龙泉东洪片区85亩住宅、商业及配套工程项目三标段</v>
      </c>
    </row>
    <row r="4367" hidden="1" spans="2:18">
      <c r="B4367" s="129" t="s">
        <v>229</v>
      </c>
      <c r="C4367" s="63">
        <v>45941</v>
      </c>
      <c r="D4367" s="113" t="str">
        <f>VLOOKUP(B4367,辅助信息!E:K,7,FALSE)</f>
        <v>JWDDCD2025092400212</v>
      </c>
      <c r="E4367" s="113" t="str">
        <f>VLOOKUP(F4367,辅助信息!A:B,2,FALSE)</f>
        <v>螺纹钢</v>
      </c>
      <c r="F4367" s="113" t="s">
        <v>30</v>
      </c>
      <c r="G4367" s="114">
        <v>14</v>
      </c>
      <c r="H4367" s="127">
        <f>IF(SUMIFS('[1]2025年已发货'!$E:$E,'[1]2025年已发货'!$F:$F,C4367,'[1]2025年已发货'!$C:$C,F4367,'[1]2025年已发货'!$G:$G,I4367,'[1]2025年已发货'!$H:$H,J4367)=0,"未发货",SUMIFS('[1]2025年已发货'!$E:$E,'[1]2025年已发货'!$F:$F,C4367,'[1]2025年已发货'!$C:$C,F4367,'[1]2025年已发货'!$G:$G,I4367,'[1]2025年已发货'!$H:$H,J4367))</f>
        <v>14</v>
      </c>
      <c r="I4367" s="113" t="str">
        <f>VLOOKUP(B4367,辅助信息!E:I,3,FALSE)</f>
        <v>(五冶钢构龙泉东洪片区85亩住宅、商业及配套工程项目三标段)成都市龙泉驿外东洪路地铁2号线惠王陵地铁C口</v>
      </c>
      <c r="J4367" s="113" t="str">
        <f>VLOOKUP(B4367,辅助信息!E:I,4,FALSE)</f>
        <v>王军宝</v>
      </c>
      <c r="K4367" s="113">
        <f>VLOOKUP(J4367,辅助信息!H:I,2,FALSE)</f>
        <v>13889142392</v>
      </c>
      <c r="L4367" s="115">
        <f>VLOOKUP(B4367,辅助信息!E:J,6,FALSE)</f>
        <v>0</v>
      </c>
      <c r="M4367" s="84">
        <v>45941</v>
      </c>
      <c r="O4367" s="55">
        <f ca="1" t="shared" si="218"/>
        <v>0</v>
      </c>
      <c r="P4367" s="55">
        <f ca="1" t="shared" si="219"/>
        <v>16</v>
      </c>
      <c r="Q4367" s="22" t="str">
        <f>VLOOKUP(B4367,辅助信息!E:M,9,FALSE)</f>
        <v>ZTWM-CDGS-XS-2025-0156-五冶钢构-2025年九月第一批次钢筋采购合同(三圣乡项目)-中铁物贸成都公司</v>
      </c>
      <c r="R4367" s="22" t="str">
        <f>_xlfn._xlws.FILTER(辅助信息!D:D,辅助信息!E:E=B4367)</f>
        <v>五冶钢构龙泉东洪片区85亩住宅、商业及配套工程项目三标段</v>
      </c>
    </row>
    <row r="4368" hidden="1" spans="2:18">
      <c r="B4368" s="129" t="s">
        <v>229</v>
      </c>
      <c r="C4368" s="63">
        <v>45941</v>
      </c>
      <c r="D4368" s="113" t="str">
        <f>VLOOKUP(B4368,辅助信息!E:K,7,FALSE)</f>
        <v>JWDDCD2025092400212</v>
      </c>
      <c r="E4368" s="113" t="str">
        <f>VLOOKUP(F4368,辅助信息!A:B,2,FALSE)</f>
        <v>螺纹钢</v>
      </c>
      <c r="F4368" s="113" t="s">
        <v>33</v>
      </c>
      <c r="G4368" s="114">
        <v>15</v>
      </c>
      <c r="H4368" s="127">
        <f>IF(SUMIFS('[1]2025年已发货'!$E:$E,'[1]2025年已发货'!$F:$F,C4368,'[1]2025年已发货'!$C:$C,F4368,'[1]2025年已发货'!$G:$G,I4368,'[1]2025年已发货'!$H:$H,J4368)=0,"未发货",SUMIFS('[1]2025年已发货'!$E:$E,'[1]2025年已发货'!$F:$F,C4368,'[1]2025年已发货'!$C:$C,F4368,'[1]2025年已发货'!$G:$G,I4368,'[1]2025年已发货'!$H:$H,J4368))</f>
        <v>15</v>
      </c>
      <c r="I4368" s="113" t="str">
        <f>VLOOKUP(B4368,辅助信息!E:I,3,FALSE)</f>
        <v>(五冶钢构龙泉东洪片区85亩住宅、商业及配套工程项目三标段)成都市龙泉驿外东洪路地铁2号线惠王陵地铁C口</v>
      </c>
      <c r="J4368" s="113" t="str">
        <f>VLOOKUP(B4368,辅助信息!E:I,4,FALSE)</f>
        <v>王军宝</v>
      </c>
      <c r="K4368" s="113">
        <f>VLOOKUP(J4368,辅助信息!H:I,2,FALSE)</f>
        <v>13889142392</v>
      </c>
      <c r="L4368" s="115">
        <f>VLOOKUP(B4368,辅助信息!E:J,6,FALSE)</f>
        <v>0</v>
      </c>
      <c r="M4368" s="84">
        <v>45941</v>
      </c>
      <c r="O4368" s="55">
        <f ca="1" t="shared" si="218"/>
        <v>0</v>
      </c>
      <c r="P4368" s="55">
        <f ca="1" t="shared" si="219"/>
        <v>16</v>
      </c>
      <c r="Q4368" s="22" t="str">
        <f>VLOOKUP(B4368,辅助信息!E:M,9,FALSE)</f>
        <v>ZTWM-CDGS-XS-2025-0156-五冶钢构-2025年九月第一批次钢筋采购合同(三圣乡项目)-中铁物贸成都公司</v>
      </c>
      <c r="R4368" s="22" t="str">
        <f>_xlfn._xlws.FILTER(辅助信息!D:D,辅助信息!E:E=B4368)</f>
        <v>五冶钢构龙泉东洪片区85亩住宅、商业及配套工程项目三标段</v>
      </c>
    </row>
    <row r="4369" hidden="1" spans="2:18">
      <c r="B4369" s="129" t="s">
        <v>229</v>
      </c>
      <c r="C4369" s="63">
        <v>45941</v>
      </c>
      <c r="D4369" s="113" t="str">
        <f>VLOOKUP(B4369,辅助信息!E:K,7,FALSE)</f>
        <v>JWDDCD2025092400212</v>
      </c>
      <c r="E4369" s="113" t="str">
        <f>VLOOKUP(F4369,辅助信息!A:B,2,FALSE)</f>
        <v>螺纹钢</v>
      </c>
      <c r="F4369" s="113" t="s">
        <v>28</v>
      </c>
      <c r="G4369" s="114">
        <v>8</v>
      </c>
      <c r="H4369" s="127">
        <f>IF(SUMIFS('[1]2025年已发货'!$E:$E,'[1]2025年已发货'!$F:$F,C4369,'[1]2025年已发货'!$C:$C,F4369,'[1]2025年已发货'!$G:$G,I4369,'[1]2025年已发货'!$H:$H,J4369)=0,"未发货",SUMIFS('[1]2025年已发货'!$E:$E,'[1]2025年已发货'!$F:$F,C4369,'[1]2025年已发货'!$C:$C,F4369,'[1]2025年已发货'!$G:$G,I4369,'[1]2025年已发货'!$H:$H,J4369))</f>
        <v>8</v>
      </c>
      <c r="I4369" s="113" t="str">
        <f>VLOOKUP(B4369,辅助信息!E:I,3,FALSE)</f>
        <v>(五冶钢构龙泉东洪片区85亩住宅、商业及配套工程项目三标段)成都市龙泉驿外东洪路地铁2号线惠王陵地铁C口</v>
      </c>
      <c r="J4369" s="113" t="str">
        <f>VLOOKUP(B4369,辅助信息!E:I,4,FALSE)</f>
        <v>王军宝</v>
      </c>
      <c r="K4369" s="113">
        <f>VLOOKUP(J4369,辅助信息!H:I,2,FALSE)</f>
        <v>13889142392</v>
      </c>
      <c r="L4369" s="115">
        <f>VLOOKUP(B4369,辅助信息!E:J,6,FALSE)</f>
        <v>0</v>
      </c>
      <c r="M4369" s="84">
        <v>45941</v>
      </c>
      <c r="O4369" s="55">
        <f ca="1" t="shared" si="218"/>
        <v>0</v>
      </c>
      <c r="P4369" s="55">
        <f ca="1" t="shared" si="219"/>
        <v>16</v>
      </c>
      <c r="Q4369" s="22" t="str">
        <f>VLOOKUP(B4369,辅助信息!E:M,9,FALSE)</f>
        <v>ZTWM-CDGS-XS-2025-0156-五冶钢构-2025年九月第一批次钢筋采购合同(三圣乡项目)-中铁物贸成都公司</v>
      </c>
      <c r="R4369" s="22" t="str">
        <f>_xlfn._xlws.FILTER(辅助信息!D:D,辅助信息!E:E=B4369)</f>
        <v>五冶钢构龙泉东洪片区85亩住宅、商业及配套工程项目三标段</v>
      </c>
    </row>
    <row r="4370" hidden="1" spans="2:18">
      <c r="B4370" s="129" t="s">
        <v>229</v>
      </c>
      <c r="C4370" s="63">
        <v>45941</v>
      </c>
      <c r="D4370" s="113" t="str">
        <f>VLOOKUP(B4370,辅助信息!E:K,7,FALSE)</f>
        <v>JWDDCD2025092400212</v>
      </c>
      <c r="E4370" s="113" t="str">
        <f>VLOOKUP(F4370,辅助信息!A:B,2,FALSE)</f>
        <v>螺纹钢</v>
      </c>
      <c r="F4370" s="113" t="s">
        <v>18</v>
      </c>
      <c r="G4370" s="114">
        <v>2</v>
      </c>
      <c r="H4370" s="127">
        <f>IF(SUMIFS('[1]2025年已发货'!$E:$E,'[1]2025年已发货'!$F:$F,C4370,'[1]2025年已发货'!$C:$C,F4370,'[1]2025年已发货'!$G:$G,I4370,'[1]2025年已发货'!$H:$H,J4370)=0,"未发货",SUMIFS('[1]2025年已发货'!$E:$E,'[1]2025年已发货'!$F:$F,C4370,'[1]2025年已发货'!$C:$C,F4370,'[1]2025年已发货'!$G:$G,I4370,'[1]2025年已发货'!$H:$H,J4370))</f>
        <v>2</v>
      </c>
      <c r="I4370" s="113" t="str">
        <f>VLOOKUP(B4370,辅助信息!E:I,3,FALSE)</f>
        <v>(五冶钢构龙泉东洪片区85亩住宅、商业及配套工程项目三标段)成都市龙泉驿外东洪路地铁2号线惠王陵地铁C口</v>
      </c>
      <c r="J4370" s="113" t="str">
        <f>VLOOKUP(B4370,辅助信息!E:I,4,FALSE)</f>
        <v>王军宝</v>
      </c>
      <c r="K4370" s="113">
        <f>VLOOKUP(J4370,辅助信息!H:I,2,FALSE)</f>
        <v>13889142392</v>
      </c>
      <c r="L4370" s="115">
        <f>VLOOKUP(B4370,辅助信息!E:J,6,FALSE)</f>
        <v>0</v>
      </c>
      <c r="M4370" s="84">
        <v>45941</v>
      </c>
      <c r="O4370" s="55">
        <f ca="1" t="shared" si="218"/>
        <v>0</v>
      </c>
      <c r="P4370" s="55">
        <f ca="1" t="shared" si="219"/>
        <v>16</v>
      </c>
      <c r="Q4370" s="22" t="str">
        <f>VLOOKUP(B4370,辅助信息!E:M,9,FALSE)</f>
        <v>ZTWM-CDGS-XS-2025-0156-五冶钢构-2025年九月第一批次钢筋采购合同(三圣乡项目)-中铁物贸成都公司</v>
      </c>
      <c r="R4370" s="22" t="str">
        <f>_xlfn._xlws.FILTER(辅助信息!D:D,辅助信息!E:E=B4370)</f>
        <v>五冶钢构龙泉东洪片区85亩住宅、商业及配套工程项目三标段</v>
      </c>
    </row>
    <row r="4371" hidden="1" spans="2:18">
      <c r="B4371" s="129" t="s">
        <v>228</v>
      </c>
      <c r="C4371" s="63">
        <v>45941</v>
      </c>
      <c r="D4371" s="113" t="str">
        <f>VLOOKUP(B4371,辅助信息!E:K,7,FALSE)</f>
        <v>JWDDCD2025092400190</v>
      </c>
      <c r="E4371" s="113" t="str">
        <f>VLOOKUP(F4371,辅助信息!A:B,2,FALSE)</f>
        <v>盘螺</v>
      </c>
      <c r="F4371" s="113" t="s">
        <v>40</v>
      </c>
      <c r="G4371" s="114">
        <v>18</v>
      </c>
      <c r="H4371" s="127"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13" t="str">
        <f>VLOOKUP(B4371,辅助信息!E:I,3,FALSE)</f>
        <v>(五冶钢构龙泉东洪片区70亩住宅、商业及配套工程项目二标段)成都市龙泉驿外东洪路地铁2号线惠王陵地铁C口</v>
      </c>
      <c r="J4371" s="113" t="str">
        <f>VLOOKUP(B4371,辅助信息!E:I,4,FALSE)</f>
        <v>蒋嗣伟</v>
      </c>
      <c r="K4371" s="113">
        <f>VLOOKUP(J4371,辅助信息!H:I,2,FALSE)</f>
        <v>15014331252</v>
      </c>
      <c r="L4371" s="115">
        <f>VLOOKUP(B4371,辅助信息!E:J,6,FALSE)</f>
        <v>0</v>
      </c>
      <c r="M4371" s="84">
        <v>45941</v>
      </c>
      <c r="O4371" s="55">
        <f ca="1" t="shared" si="218"/>
        <v>0</v>
      </c>
      <c r="P4371" s="55">
        <f ca="1" t="shared" si="219"/>
        <v>16</v>
      </c>
      <c r="Q4371" s="22" t="str">
        <f>VLOOKUP(B4371,辅助信息!E:M,9,FALSE)</f>
        <v>ZTWM-CDGS-XS-2025-0156-五冶钢构-2025年九月第一批次钢筋采购合同(三圣乡项目)-中铁物贸成都公司</v>
      </c>
      <c r="R4371" s="22" t="str">
        <f>_xlfn._xlws.FILTER(辅助信息!D:D,辅助信息!E:E=B4371)</f>
        <v>五冶钢构龙泉东洪片区70亩住宅、商业及配套工程项目二标段</v>
      </c>
    </row>
    <row r="4372" hidden="1" spans="2:18">
      <c r="B4372" s="129" t="s">
        <v>228</v>
      </c>
      <c r="C4372" s="63">
        <v>45941</v>
      </c>
      <c r="D4372" s="113" t="str">
        <f>VLOOKUP(B4372,辅助信息!E:K,7,FALSE)</f>
        <v>JWDDCD2025092400190</v>
      </c>
      <c r="E4372" s="113" t="str">
        <f>VLOOKUP(F4372,辅助信息!A:B,2,FALSE)</f>
        <v>盘螺</v>
      </c>
      <c r="F4372" s="113" t="s">
        <v>41</v>
      </c>
      <c r="G4372" s="114">
        <v>35</v>
      </c>
      <c r="H4372" s="127">
        <f>IF(SUMIFS('[1]2025年已发货'!$E:$E,'[1]2025年已发货'!$F:$F,C4372,'[1]2025年已发货'!$C:$C,F4372,'[1]2025年已发货'!$G:$G,I4372,'[1]2025年已发货'!$H:$H,J4372)=0,"未发货",SUMIFS('[1]2025年已发货'!$E:$E,'[1]2025年已发货'!$F:$F,C4372,'[1]2025年已发货'!$C:$C,F4372,'[1]2025年已发货'!$G:$G,I4372,'[1]2025年已发货'!$H:$H,J4372))</f>
        <v>35</v>
      </c>
      <c r="I4372" s="113" t="str">
        <f>VLOOKUP(B4372,辅助信息!E:I,3,FALSE)</f>
        <v>(五冶钢构龙泉东洪片区70亩住宅、商业及配套工程项目二标段)成都市龙泉驿外东洪路地铁2号线惠王陵地铁C口</v>
      </c>
      <c r="J4372" s="113" t="str">
        <f>VLOOKUP(B4372,辅助信息!E:I,4,FALSE)</f>
        <v>蒋嗣伟</v>
      </c>
      <c r="K4372" s="113">
        <f>VLOOKUP(J4372,辅助信息!H:I,2,FALSE)</f>
        <v>15014331252</v>
      </c>
      <c r="L4372" s="115">
        <f>VLOOKUP(B4372,辅助信息!E:J,6,FALSE)</f>
        <v>0</v>
      </c>
      <c r="M4372" s="84">
        <v>45941</v>
      </c>
      <c r="O4372" s="55">
        <f ca="1" t="shared" si="218"/>
        <v>0</v>
      </c>
      <c r="P4372" s="55">
        <f ca="1" t="shared" si="219"/>
        <v>16</v>
      </c>
      <c r="Q4372" s="22" t="str">
        <f>VLOOKUP(B4372,辅助信息!E:M,9,FALSE)</f>
        <v>ZTWM-CDGS-XS-2025-0156-五冶钢构-2025年九月第一批次钢筋采购合同(三圣乡项目)-中铁物贸成都公司</v>
      </c>
      <c r="R4372" s="22" t="str">
        <f>_xlfn._xlws.FILTER(辅助信息!D:D,辅助信息!E:E=B4372)</f>
        <v>五冶钢构龙泉东洪片区70亩住宅、商业及配套工程项目二标段</v>
      </c>
    </row>
    <row r="4373" hidden="1" spans="2:18">
      <c r="B4373" s="129" t="s">
        <v>228</v>
      </c>
      <c r="C4373" s="63">
        <v>45941</v>
      </c>
      <c r="D4373" s="113" t="str">
        <f>VLOOKUP(B4373,辅助信息!E:K,7,FALSE)</f>
        <v>JWDDCD2025092400190</v>
      </c>
      <c r="E4373" s="113" t="str">
        <f>VLOOKUP(F4373,辅助信息!A:B,2,FALSE)</f>
        <v>盘螺</v>
      </c>
      <c r="F4373" s="113" t="s">
        <v>26</v>
      </c>
      <c r="G4373" s="114">
        <v>17</v>
      </c>
      <c r="H4373" s="127"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13" t="str">
        <f>VLOOKUP(B4373,辅助信息!E:I,3,FALSE)</f>
        <v>(五冶钢构龙泉东洪片区70亩住宅、商业及配套工程项目二标段)成都市龙泉驿外东洪路地铁2号线惠王陵地铁C口</v>
      </c>
      <c r="J4373" s="113" t="str">
        <f>VLOOKUP(B4373,辅助信息!E:I,4,FALSE)</f>
        <v>蒋嗣伟</v>
      </c>
      <c r="K4373" s="113">
        <f>VLOOKUP(J4373,辅助信息!H:I,2,FALSE)</f>
        <v>15014331252</v>
      </c>
      <c r="L4373" s="115">
        <f>VLOOKUP(B4373,辅助信息!E:J,6,FALSE)</f>
        <v>0</v>
      </c>
      <c r="M4373" s="84">
        <v>45941</v>
      </c>
      <c r="O4373" s="55">
        <f ca="1" t="shared" si="218"/>
        <v>0</v>
      </c>
      <c r="P4373" s="55">
        <f ca="1" t="shared" si="219"/>
        <v>16</v>
      </c>
      <c r="Q4373" s="22" t="str">
        <f>VLOOKUP(B4373,辅助信息!E:M,9,FALSE)</f>
        <v>ZTWM-CDGS-XS-2025-0156-五冶钢构-2025年九月第一批次钢筋采购合同(三圣乡项目)-中铁物贸成都公司</v>
      </c>
      <c r="R4373" s="22" t="str">
        <f>_xlfn._xlws.FILTER(辅助信息!D:D,辅助信息!E:E=B4373)</f>
        <v>五冶钢构龙泉东洪片区70亩住宅、商业及配套工程项目二标段</v>
      </c>
    </row>
    <row r="4374" hidden="1" spans="2:18">
      <c r="B4374" s="129" t="s">
        <v>112</v>
      </c>
      <c r="C4374" s="63">
        <v>45941</v>
      </c>
      <c r="D4374" s="113" t="str">
        <f>VLOOKUP(B4374,辅助信息!E:K,7,FALSE)</f>
        <v>JWDDCD2025052800131</v>
      </c>
      <c r="E4374" s="113" t="str">
        <f>VLOOKUP(F4374,辅助信息!A:B,2,FALSE)</f>
        <v>盘螺</v>
      </c>
      <c r="F4374" s="113" t="s">
        <v>49</v>
      </c>
      <c r="G4374" s="114">
        <v>12</v>
      </c>
      <c r="H4374" s="127"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13" t="str">
        <f>VLOOKUP(B4374,辅助信息!E:I,3,FALSE)</f>
        <v>（商投建工达州中医药科技园-4工区-10号楼）达州市通川区达州中医药职业学院犀牛大道北段</v>
      </c>
      <c r="J4374" s="113" t="str">
        <f>VLOOKUP(B4374,辅助信息!E:I,4,FALSE)</f>
        <v>张扬</v>
      </c>
      <c r="K4374" s="113">
        <f>VLOOKUP(J4374,辅助信息!H:I,2,FALSE)</f>
        <v>18381904567</v>
      </c>
      <c r="L4374" s="115" t="str">
        <f>VLOOKUP(B4374,辅助信息!E:J,6,FALSE)</f>
        <v>控制炉批号！多了现场不收！,优先安排达钢,提前联系到场规格及数量</v>
      </c>
      <c r="O4374" s="55" t="str">
        <f ca="1" t="shared" si="218"/>
        <v/>
      </c>
      <c r="P4374" s="55" t="str">
        <f ca="1" t="shared" si="219"/>
        <v/>
      </c>
      <c r="Q4374" s="22" t="str">
        <f>VLOOKUP(B4374,辅助信息!E:M,9,FALSE)</f>
        <v>ZTWM-CDGS-XS-2024-0134-商投建工达州中医药科技成果示范园项目</v>
      </c>
      <c r="R4374" s="22" t="str">
        <f>_xlfn._xlws.FILTER(辅助信息!D:D,辅助信息!E:E=B4374)</f>
        <v>商投建工达州中医药科技园</v>
      </c>
    </row>
    <row r="4375" hidden="1" spans="2:18">
      <c r="B4375" s="129" t="s">
        <v>112</v>
      </c>
      <c r="C4375" s="63">
        <v>45941</v>
      </c>
      <c r="D4375" s="113" t="str">
        <f>VLOOKUP(B4375,辅助信息!E:K,7,FALSE)</f>
        <v>JWDDCD2025052800131</v>
      </c>
      <c r="E4375" s="113" t="str">
        <f>VLOOKUP(F4375,辅助信息!A:B,2,FALSE)</f>
        <v>盘螺</v>
      </c>
      <c r="F4375" s="113" t="s">
        <v>40</v>
      </c>
      <c r="G4375" s="114">
        <v>24</v>
      </c>
      <c r="H4375" s="127">
        <f>IF(SUMIFS('[1]2025年已发货'!$E:$E,'[1]2025年已发货'!$F:$F,C4375,'[1]2025年已发货'!$C:$C,F4375,'[1]2025年已发货'!$G:$G,I4375,'[1]2025年已发货'!$H:$H,J4375)=0,"未发货",SUMIFS('[1]2025年已发货'!$E:$E,'[1]2025年已发货'!$F:$F,C4375,'[1]2025年已发货'!$C:$C,F4375,'[1]2025年已发货'!$G:$G,I4375,'[1]2025年已发货'!$H:$H,J4375))</f>
        <v>24</v>
      </c>
      <c r="I4375" s="113" t="str">
        <f>VLOOKUP(B4375,辅助信息!E:I,3,FALSE)</f>
        <v>（商投建工达州中医药科技园-4工区-10号楼）达州市通川区达州中医药职业学院犀牛大道北段</v>
      </c>
      <c r="J4375" s="113" t="str">
        <f>VLOOKUP(B4375,辅助信息!E:I,4,FALSE)</f>
        <v>张扬</v>
      </c>
      <c r="K4375" s="113">
        <f>VLOOKUP(J4375,辅助信息!H:I,2,FALSE)</f>
        <v>18381904567</v>
      </c>
      <c r="L4375" s="115" t="str">
        <f>VLOOKUP(B4375,辅助信息!E:J,6,FALSE)</f>
        <v>控制炉批号！多了现场不收！,优先安排达钢,提前联系到场规格及数量</v>
      </c>
      <c r="O4375" s="55" t="str">
        <f ca="1" t="shared" si="218"/>
        <v/>
      </c>
      <c r="P4375" s="55" t="str">
        <f ca="1" t="shared" si="219"/>
        <v/>
      </c>
      <c r="Q4375" s="22" t="str">
        <f>VLOOKUP(B4375,辅助信息!E:M,9,FALSE)</f>
        <v>ZTWM-CDGS-XS-2024-0134-商投建工达州中医药科技成果示范园项目</v>
      </c>
      <c r="R4375" s="22" t="str">
        <f>_xlfn._xlws.FILTER(辅助信息!D:D,辅助信息!E:E=B4375)</f>
        <v>商投建工达州中医药科技园</v>
      </c>
    </row>
    <row r="4376" hidden="1" spans="2:18">
      <c r="B4376" s="129" t="s">
        <v>112</v>
      </c>
      <c r="C4376" s="63">
        <v>45941</v>
      </c>
      <c r="D4376" s="113" t="str">
        <f>VLOOKUP(B4376,辅助信息!E:K,7,FALSE)</f>
        <v>JWDDCD2025052800131</v>
      </c>
      <c r="E4376" s="113" t="str">
        <f>VLOOKUP(F4376,辅助信息!A:B,2,FALSE)</f>
        <v>螺纹钢</v>
      </c>
      <c r="F4376" s="113" t="s">
        <v>32</v>
      </c>
      <c r="G4376" s="114">
        <v>3</v>
      </c>
      <c r="H4376" s="127"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13" t="str">
        <f>VLOOKUP(B4376,辅助信息!E:I,3,FALSE)</f>
        <v>（商投建工达州中医药科技园-4工区-10号楼）达州市通川区达州中医药职业学院犀牛大道北段</v>
      </c>
      <c r="J4376" s="113" t="str">
        <f>VLOOKUP(B4376,辅助信息!E:I,4,FALSE)</f>
        <v>张扬</v>
      </c>
      <c r="K4376" s="113">
        <f>VLOOKUP(J4376,辅助信息!H:I,2,FALSE)</f>
        <v>18381904567</v>
      </c>
      <c r="L4376" s="115" t="str">
        <f>VLOOKUP(B4376,辅助信息!E:J,6,FALSE)</f>
        <v>控制炉批号！多了现场不收！,优先安排达钢,提前联系到场规格及数量</v>
      </c>
      <c r="O4376" s="55" t="str">
        <f ca="1" t="shared" si="218"/>
        <v/>
      </c>
      <c r="P4376" s="55" t="str">
        <f ca="1" t="shared" si="219"/>
        <v/>
      </c>
      <c r="Q4376" s="22" t="str">
        <f>VLOOKUP(B4376,辅助信息!E:M,9,FALSE)</f>
        <v>ZTWM-CDGS-XS-2024-0134-商投建工达州中医药科技成果示范园项目</v>
      </c>
      <c r="R4376" s="22" t="str">
        <f>_xlfn._xlws.FILTER(辅助信息!D:D,辅助信息!E:E=B4376)</f>
        <v>商投建工达州中医药科技园</v>
      </c>
    </row>
    <row r="4377" hidden="1" spans="2:18">
      <c r="B4377" s="129" t="s">
        <v>112</v>
      </c>
      <c r="C4377" s="63">
        <v>45941</v>
      </c>
      <c r="D4377" s="113" t="str">
        <f>VLOOKUP(B4377,辅助信息!E:K,7,FALSE)</f>
        <v>JWDDCD2025052800131</v>
      </c>
      <c r="E4377" s="113" t="str">
        <f>VLOOKUP(F4377,辅助信息!A:B,2,FALSE)</f>
        <v>螺纹钢</v>
      </c>
      <c r="F4377" s="113" t="s">
        <v>18</v>
      </c>
      <c r="G4377" s="114">
        <v>12</v>
      </c>
      <c r="H4377" s="127">
        <f>IF(SUMIFS('[1]2025年已发货'!$E:$E,'[1]2025年已发货'!$F:$F,C4377,'[1]2025年已发货'!$C:$C,F4377,'[1]2025年已发货'!$G:$G,I4377,'[1]2025年已发货'!$H:$H,J4377)=0,"未发货",SUMIFS('[1]2025年已发货'!$E:$E,'[1]2025年已发货'!$F:$F,C4377,'[1]2025年已发货'!$C:$C,F4377,'[1]2025年已发货'!$G:$G,I4377,'[1]2025年已发货'!$H:$H,J4377))</f>
        <v>12</v>
      </c>
      <c r="I4377" s="113" t="str">
        <f>VLOOKUP(B4377,辅助信息!E:I,3,FALSE)</f>
        <v>（商投建工达州中医药科技园-4工区-10号楼）达州市通川区达州中医药职业学院犀牛大道北段</v>
      </c>
      <c r="J4377" s="113" t="str">
        <f>VLOOKUP(B4377,辅助信息!E:I,4,FALSE)</f>
        <v>张扬</v>
      </c>
      <c r="K4377" s="113">
        <f>VLOOKUP(J4377,辅助信息!H:I,2,FALSE)</f>
        <v>18381904567</v>
      </c>
      <c r="L4377" s="115" t="str">
        <f>VLOOKUP(B4377,辅助信息!E:J,6,FALSE)</f>
        <v>控制炉批号！多了现场不收！,优先安排达钢,提前联系到场规格及数量</v>
      </c>
      <c r="O4377" s="55" t="str">
        <f ca="1" t="shared" si="218"/>
        <v/>
      </c>
      <c r="P4377" s="55" t="str">
        <f ca="1" t="shared" si="219"/>
        <v/>
      </c>
      <c r="Q4377" s="22" t="str">
        <f>VLOOKUP(B4377,辅助信息!E:M,9,FALSE)</f>
        <v>ZTWM-CDGS-XS-2024-0134-商投建工达州中医药科技成果示范园项目</v>
      </c>
      <c r="R4377" s="22" t="str">
        <f>_xlfn._xlws.FILTER(辅助信息!D:D,辅助信息!E:E=B4377)</f>
        <v>商投建工达州中医药科技园</v>
      </c>
    </row>
    <row r="4378" hidden="1" spans="2:18">
      <c r="B4378" s="129" t="s">
        <v>112</v>
      </c>
      <c r="C4378" s="63">
        <v>45941</v>
      </c>
      <c r="D4378" s="113" t="str">
        <f>VLOOKUP(B4378,辅助信息!E:K,7,FALSE)</f>
        <v>JWDDCD2025052800131</v>
      </c>
      <c r="E4378" s="113" t="str">
        <f>VLOOKUP(F4378,辅助信息!A:B,2,FALSE)</f>
        <v>螺纹钢</v>
      </c>
      <c r="F4378" s="113" t="s">
        <v>21</v>
      </c>
      <c r="G4378" s="114">
        <v>12</v>
      </c>
      <c r="H4378" s="127"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13" t="str">
        <f>VLOOKUP(B4378,辅助信息!E:I,3,FALSE)</f>
        <v>（商投建工达州中医药科技园-4工区-10号楼）达州市通川区达州中医药职业学院犀牛大道北段</v>
      </c>
      <c r="J4378" s="113" t="str">
        <f>VLOOKUP(B4378,辅助信息!E:I,4,FALSE)</f>
        <v>张扬</v>
      </c>
      <c r="K4378" s="113">
        <f>VLOOKUP(J4378,辅助信息!H:I,2,FALSE)</f>
        <v>18381904567</v>
      </c>
      <c r="L4378" s="115" t="str">
        <f>VLOOKUP(B4378,辅助信息!E:J,6,FALSE)</f>
        <v>控制炉批号！多了现场不收！,优先安排达钢,提前联系到场规格及数量</v>
      </c>
      <c r="O4378" s="55" t="str">
        <f ca="1" t="shared" si="218"/>
        <v/>
      </c>
      <c r="P4378" s="55" t="str">
        <f ca="1" t="shared" si="219"/>
        <v/>
      </c>
      <c r="Q4378" s="22" t="str">
        <f>VLOOKUP(B4378,辅助信息!E:M,9,FALSE)</f>
        <v>ZTWM-CDGS-XS-2024-0134-商投建工达州中医药科技成果示范园项目</v>
      </c>
      <c r="R4378" s="22" t="str">
        <f>_xlfn._xlws.FILTER(辅助信息!D:D,辅助信息!E:E=B4378)</f>
        <v>商投建工达州中医药科技园</v>
      </c>
    </row>
    <row r="4379" hidden="1" spans="2:18">
      <c r="B4379" s="129" t="s">
        <v>112</v>
      </c>
      <c r="C4379" s="63">
        <v>45941</v>
      </c>
      <c r="D4379" s="113" t="str">
        <f>VLOOKUP(B4379,辅助信息!E:K,7,FALSE)</f>
        <v>JWDDCD2025052800131</v>
      </c>
      <c r="E4379" s="113" t="str">
        <f>VLOOKUP(F4379,辅助信息!A:B,2,FALSE)</f>
        <v>螺纹钢</v>
      </c>
      <c r="F4379" s="113" t="s">
        <v>58</v>
      </c>
      <c r="G4379" s="114">
        <v>12</v>
      </c>
      <c r="H4379" s="127"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13" t="str">
        <f>VLOOKUP(B4379,辅助信息!E:I,3,FALSE)</f>
        <v>（商投建工达州中医药科技园-4工区-10号楼）达州市通川区达州中医药职业学院犀牛大道北段</v>
      </c>
      <c r="J4379" s="113" t="str">
        <f>VLOOKUP(B4379,辅助信息!E:I,4,FALSE)</f>
        <v>张扬</v>
      </c>
      <c r="K4379" s="113">
        <f>VLOOKUP(J4379,辅助信息!H:I,2,FALSE)</f>
        <v>18381904567</v>
      </c>
      <c r="L4379" s="115" t="str">
        <f>VLOOKUP(B4379,辅助信息!E:J,6,FALSE)</f>
        <v>控制炉批号！多了现场不收！,优先安排达钢,提前联系到场规格及数量</v>
      </c>
      <c r="O4379" s="55" t="str">
        <f ca="1" t="shared" si="218"/>
        <v/>
      </c>
      <c r="P4379" s="55" t="str">
        <f ca="1" t="shared" si="219"/>
        <v/>
      </c>
      <c r="Q4379" s="22" t="str">
        <f>VLOOKUP(B4379,辅助信息!E:M,9,FALSE)</f>
        <v>ZTWM-CDGS-XS-2024-0134-商投建工达州中医药科技成果示范园项目</v>
      </c>
      <c r="R4379" s="22" t="str">
        <f>_xlfn._xlws.FILTER(辅助信息!D:D,辅助信息!E:E=B4379)</f>
        <v>商投建工达州中医药科技园</v>
      </c>
    </row>
    <row r="4380" hidden="1" spans="2:18">
      <c r="B4380" s="129" t="s">
        <v>112</v>
      </c>
      <c r="C4380" s="63">
        <v>45941</v>
      </c>
      <c r="D4380" s="113" t="str">
        <f>VLOOKUP(B4380,辅助信息!E:K,7,FALSE)</f>
        <v>JWDDCD2025052800131</v>
      </c>
      <c r="E4380" s="113" t="str">
        <f>VLOOKUP(F4380,辅助信息!A:B,2,FALSE)</f>
        <v>螺纹钢</v>
      </c>
      <c r="F4380" s="113" t="s">
        <v>22</v>
      </c>
      <c r="G4380" s="114">
        <v>21</v>
      </c>
      <c r="H4380" s="127">
        <f>IF(SUMIFS('[1]2025年已发货'!$E:$E,'[1]2025年已发货'!$F:$F,C4380,'[1]2025年已发货'!$C:$C,F4380,'[1]2025年已发货'!$G:$G,I4380,'[1]2025年已发货'!$H:$H,J4380)=0,"未发货",SUMIFS('[1]2025年已发货'!$E:$E,'[1]2025年已发货'!$F:$F,C4380,'[1]2025年已发货'!$C:$C,F4380,'[1]2025年已发货'!$G:$G,I4380,'[1]2025年已发货'!$H:$H,J4380))</f>
        <v>21</v>
      </c>
      <c r="I4380" s="113" t="str">
        <f>VLOOKUP(B4380,辅助信息!E:I,3,FALSE)</f>
        <v>（商投建工达州中医药科技园-4工区-10号楼）达州市通川区达州中医药职业学院犀牛大道北段</v>
      </c>
      <c r="J4380" s="113" t="str">
        <f>VLOOKUP(B4380,辅助信息!E:I,4,FALSE)</f>
        <v>张扬</v>
      </c>
      <c r="K4380" s="113">
        <f>VLOOKUP(J4380,辅助信息!H:I,2,FALSE)</f>
        <v>18381904567</v>
      </c>
      <c r="L4380" s="115" t="str">
        <f>VLOOKUP(B4380,辅助信息!E:J,6,FALSE)</f>
        <v>控制炉批号！多了现场不收！,优先安排达钢,提前联系到场规格及数量</v>
      </c>
      <c r="O4380" s="55" t="str">
        <f ca="1" t="shared" si="218"/>
        <v/>
      </c>
      <c r="P4380" s="55" t="str">
        <f ca="1" t="shared" si="219"/>
        <v/>
      </c>
      <c r="Q4380" s="22" t="str">
        <f>VLOOKUP(B4380,辅助信息!E:M,9,FALSE)</f>
        <v>ZTWM-CDGS-XS-2024-0134-商投建工达州中医药科技成果示范园项目</v>
      </c>
      <c r="R4380" s="22" t="str">
        <f>_xlfn._xlws.FILTER(辅助信息!D:D,辅助信息!E:E=B4380)</f>
        <v>商投建工达州中医药科技园</v>
      </c>
    </row>
    <row r="4381" hidden="1" spans="2:18">
      <c r="B4381" s="129" t="s">
        <v>187</v>
      </c>
      <c r="C4381" s="63">
        <v>45941</v>
      </c>
      <c r="D4381" s="113" t="str">
        <f>VLOOKUP(B4381,辅助信息!E:K,7,FALSE)</f>
        <v>JWDDCD2025072900121</v>
      </c>
      <c r="E4381" s="113" t="str">
        <f>VLOOKUP(F4381,辅助信息!A:B,2,FALSE)</f>
        <v>盘螺</v>
      </c>
      <c r="F4381" s="113" t="s">
        <v>40</v>
      </c>
      <c r="G4381" s="114">
        <v>35</v>
      </c>
      <c r="H4381" s="127"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13" t="str">
        <f>VLOOKUP(B4381,辅助信息!E:I,3,FALSE)</f>
        <v>(乐山市校地共建产教融合基地建设项目一标段)四川省乐山市市中区苏稽镇周山嘴</v>
      </c>
      <c r="J4381" s="113" t="str">
        <f>VLOOKUP(B4381,辅助信息!E:I,4,FALSE)</f>
        <v>范增云</v>
      </c>
      <c r="K4381" s="113">
        <f>VLOOKUP(J4381,辅助信息!H:I,2,FALSE)</f>
        <v>13668153241</v>
      </c>
      <c r="L4381" s="115" t="str">
        <f>VLOOKUP(B4381,辅助信息!E:J,6,FALSE)</f>
        <v>联系实际收货人（范增云13668153241）现场要求炉批号控制2个以下，超2个不给予签收。提前联系到场规格及数量</v>
      </c>
      <c r="O4381" s="55" t="str">
        <f ca="1" t="shared" si="218"/>
        <v/>
      </c>
      <c r="P4381" s="55" t="str">
        <f ca="1" t="shared" si="219"/>
        <v/>
      </c>
      <c r="Q4381" s="22" t="str">
        <f>VLOOKUP(B4381,辅助信息!E:M,9,FALSE)</f>
        <v>ZTWM-CDGS-XS-2025-0125-四川机司-乐山市校地共建产教融合基地配套设施项目施工一标段钢筋采购合同</v>
      </c>
      <c r="R4381" s="22" t="str">
        <f>_xlfn._xlws.FILTER(辅助信息!D:D,辅助信息!E:E=B4381)</f>
        <v>乐山市校地共建产教融合基地建设项目一标段</v>
      </c>
    </row>
    <row r="4382" hidden="1" spans="2:18">
      <c r="B4382" s="129" t="s">
        <v>187</v>
      </c>
      <c r="C4382" s="63">
        <v>45941</v>
      </c>
      <c r="D4382" s="113" t="str">
        <f>VLOOKUP(B4382,辅助信息!E:K,7,FALSE)</f>
        <v>JWDDCD2025072900121</v>
      </c>
      <c r="E4382" s="113" t="str">
        <f>VLOOKUP(F4382,辅助信息!A:B,2,FALSE)</f>
        <v>螺纹钢</v>
      </c>
      <c r="F4382" s="113" t="s">
        <v>142</v>
      </c>
      <c r="G4382" s="114">
        <v>35</v>
      </c>
      <c r="H4382" s="127"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13" t="str">
        <f>VLOOKUP(B4382,辅助信息!E:I,3,FALSE)</f>
        <v>(乐山市校地共建产教融合基地建设项目一标段)四川省乐山市市中区苏稽镇周山嘴</v>
      </c>
      <c r="J4382" s="113" t="str">
        <f>VLOOKUP(B4382,辅助信息!E:I,4,FALSE)</f>
        <v>范增云</v>
      </c>
      <c r="K4382" s="113">
        <f>VLOOKUP(J4382,辅助信息!H:I,2,FALSE)</f>
        <v>13668153241</v>
      </c>
      <c r="L4382" s="115" t="str">
        <f>VLOOKUP(B4382,辅助信息!E:J,6,FALSE)</f>
        <v>联系实际收货人（范增云13668153241）现场要求炉批号控制2个以下，超2个不给予签收。提前联系到场规格及数量</v>
      </c>
      <c r="O4382" s="55" t="str">
        <f ca="1" t="shared" si="218"/>
        <v/>
      </c>
      <c r="P4382" s="55" t="str">
        <f ca="1" t="shared" si="219"/>
        <v/>
      </c>
      <c r="Q4382" s="22" t="str">
        <f>VLOOKUP(B4382,辅助信息!E:M,9,FALSE)</f>
        <v>ZTWM-CDGS-XS-2025-0125-四川机司-乐山市校地共建产教融合基地配套设施项目施工一标段钢筋采购合同</v>
      </c>
      <c r="R4382" s="22" t="str">
        <f>_xlfn._xlws.FILTER(辅助信息!D:D,辅助信息!E:E=B4382)</f>
        <v>乐山市校地共建产教融合基地建设项目一标段</v>
      </c>
    </row>
    <row r="4383" hidden="1" spans="2:18">
      <c r="B4383" s="129" t="s">
        <v>203</v>
      </c>
      <c r="C4383" s="63">
        <v>45941</v>
      </c>
      <c r="D4383" s="113" t="str">
        <f>VLOOKUP(B4383,辅助信息!E:K,7,FALSE)</f>
        <v>JWDDCD2025102100479</v>
      </c>
      <c r="E4383" s="113" t="str">
        <f>VLOOKUP(F4383,辅助信息!A:B,2,FALSE)</f>
        <v>盘螺</v>
      </c>
      <c r="F4383" s="113" t="s">
        <v>40</v>
      </c>
      <c r="G4383" s="114">
        <v>14</v>
      </c>
      <c r="H4383" s="127">
        <f>IF(SUMIFS('[1]2025年已发货'!$E:$E,'[1]2025年已发货'!$F:$F,C4383,'[1]2025年已发货'!$C:$C,F4383,'[1]2025年已发货'!$G:$G,I4383,'[1]2025年已发货'!$H:$H,J4383)=0,"未发货",SUMIFS('[1]2025年已发货'!$E:$E,'[1]2025年已发货'!$F:$F,C4383,'[1]2025年已发货'!$C:$C,F4383,'[1]2025年已发货'!$G:$G,I4383,'[1]2025年已发货'!$H:$H,J4383))</f>
        <v>14</v>
      </c>
      <c r="I4383" s="113" t="str">
        <f>VLOOKUP(B4383,辅助信息!E:I,3,FALSE)</f>
        <v>(五冶建设空港兴城怡心街道83亩项目)成都市双流区怡心街道高峰社区一组剑和路一段空港兴城怡心街道83亩项目中国五冶项目部</v>
      </c>
      <c r="J4383" s="113" t="str">
        <f>VLOOKUP(B4383,辅助信息!E:I,4,FALSE)</f>
        <v>王刚</v>
      </c>
      <c r="K4383" s="113">
        <f>VLOOKUP(J4383,辅助信息!H:I,2,FALSE)</f>
        <v>15881190525</v>
      </c>
      <c r="L4383" s="115"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55" t="str">
        <f ca="1" t="shared" si="218"/>
        <v/>
      </c>
      <c r="P4383" s="55" t="str">
        <f ca="1" t="shared" si="219"/>
        <v/>
      </c>
      <c r="Q4383" s="22" t="str">
        <f>VLOOKUP(B4383,辅助信息!E:M,9,FALSE)</f>
        <v>ZTWM-CDGS-XS-2025-0073-五冶天府-成都怡心湖片区及龙泉驿医院等项目</v>
      </c>
      <c r="R4383" s="22" t="str">
        <f>_xlfn._xlws.FILTER(辅助信息!D:D,辅助信息!E:E=B4383)</f>
        <v>五冶建设空港兴城怡心街道83亩项目</v>
      </c>
    </row>
    <row r="4384" hidden="1" spans="2:18">
      <c r="B4384" s="129" t="s">
        <v>203</v>
      </c>
      <c r="C4384" s="63">
        <v>45941</v>
      </c>
      <c r="D4384" s="113" t="str">
        <f>VLOOKUP(B4384,辅助信息!E:K,7,FALSE)</f>
        <v>JWDDCD2025102100479</v>
      </c>
      <c r="E4384" s="113" t="str">
        <f>VLOOKUP(F4384,辅助信息!A:B,2,FALSE)</f>
        <v>盘螺</v>
      </c>
      <c r="F4384" s="113" t="s">
        <v>41</v>
      </c>
      <c r="G4384" s="114">
        <v>18</v>
      </c>
      <c r="H4384" s="127">
        <f>IF(SUMIFS('[1]2025年已发货'!$E:$E,'[1]2025年已发货'!$F:$F,C4384,'[1]2025年已发货'!$C:$C,F4384,'[1]2025年已发货'!$G:$G,I4384,'[1]2025年已发货'!$H:$H,J4384)=0,"未发货",SUMIFS('[1]2025年已发货'!$E:$E,'[1]2025年已发货'!$F:$F,C4384,'[1]2025年已发货'!$C:$C,F4384,'[1]2025年已发货'!$G:$G,I4384,'[1]2025年已发货'!$H:$H,J4384))</f>
        <v>18</v>
      </c>
      <c r="I4384" s="113" t="str">
        <f>VLOOKUP(B4384,辅助信息!E:I,3,FALSE)</f>
        <v>(五冶建设空港兴城怡心街道83亩项目)成都市双流区怡心街道高峰社区一组剑和路一段空港兴城怡心街道83亩项目中国五冶项目部</v>
      </c>
      <c r="J4384" s="113" t="str">
        <f>VLOOKUP(B4384,辅助信息!E:I,4,FALSE)</f>
        <v>王刚</v>
      </c>
      <c r="K4384" s="113">
        <f>VLOOKUP(J4384,辅助信息!H:I,2,FALSE)</f>
        <v>15881190525</v>
      </c>
      <c r="L4384" s="115"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55" t="str">
        <f ca="1" t="shared" ref="O4384:O4447" si="220">IF(OR(M4384="",N4384&lt;&gt;""),"",MAX(M4384-TODAY(),0))</f>
        <v/>
      </c>
      <c r="P4384" s="55" t="str">
        <f ca="1" t="shared" ref="P4384:P4447" si="221">IF(M4384="","",IF(N4384&lt;&gt;"",MAX(N4384-M4384,0),IF(TODAY()&gt;M4384,TODAY()-M4384,0)))</f>
        <v/>
      </c>
      <c r="Q4384" s="22" t="str">
        <f>VLOOKUP(B4384,辅助信息!E:M,9,FALSE)</f>
        <v>ZTWM-CDGS-XS-2025-0073-五冶天府-成都怡心湖片区及龙泉驿医院等项目</v>
      </c>
      <c r="R4384" s="22" t="str">
        <f>_xlfn._xlws.FILTER(辅助信息!D:D,辅助信息!E:E=B4384)</f>
        <v>五冶建设空港兴城怡心街道83亩项目</v>
      </c>
    </row>
    <row r="4385" hidden="1" spans="2:18">
      <c r="B4385" s="129" t="s">
        <v>203</v>
      </c>
      <c r="C4385" s="63">
        <v>45941</v>
      </c>
      <c r="D4385" s="113" t="str">
        <f>VLOOKUP(B4385,辅助信息!E:K,7,FALSE)</f>
        <v>JWDDCD2025102100479</v>
      </c>
      <c r="E4385" s="113" t="str">
        <f>VLOOKUP(F4385,辅助信息!A:B,2,FALSE)</f>
        <v>螺纹钢</v>
      </c>
      <c r="F4385" s="113" t="s">
        <v>27</v>
      </c>
      <c r="G4385" s="114">
        <v>20</v>
      </c>
      <c r="H4385" s="127">
        <f>IF(SUMIFS('[1]2025年已发货'!$E:$E,'[1]2025年已发货'!$F:$F,C4385,'[1]2025年已发货'!$C:$C,F4385,'[1]2025年已发货'!$G:$G,I4385,'[1]2025年已发货'!$H:$H,J4385)=0,"未发货",SUMIFS('[1]2025年已发货'!$E:$E,'[1]2025年已发货'!$F:$F,C4385,'[1]2025年已发货'!$C:$C,F4385,'[1]2025年已发货'!$G:$G,I4385,'[1]2025年已发货'!$H:$H,J4385))</f>
        <v>15</v>
      </c>
      <c r="I4385" s="113" t="str">
        <f>VLOOKUP(B4385,辅助信息!E:I,3,FALSE)</f>
        <v>(五冶建设空港兴城怡心街道83亩项目)成都市双流区怡心街道高峰社区一组剑和路一段空港兴城怡心街道83亩项目中国五冶项目部</v>
      </c>
      <c r="J4385" s="113" t="str">
        <f>VLOOKUP(B4385,辅助信息!E:I,4,FALSE)</f>
        <v>王刚</v>
      </c>
      <c r="K4385" s="113">
        <f>VLOOKUP(J4385,辅助信息!H:I,2,FALSE)</f>
        <v>15881190525</v>
      </c>
      <c r="L4385" s="115"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55" t="str">
        <f ca="1" t="shared" si="220"/>
        <v/>
      </c>
      <c r="P4385" s="55" t="str">
        <f ca="1" t="shared" si="221"/>
        <v/>
      </c>
      <c r="Q4385" s="22" t="str">
        <f>VLOOKUP(B4385,辅助信息!E:M,9,FALSE)</f>
        <v>ZTWM-CDGS-XS-2025-0073-五冶天府-成都怡心湖片区及龙泉驿医院等项目</v>
      </c>
      <c r="R4385" s="22" t="str">
        <f>_xlfn._xlws.FILTER(辅助信息!D:D,辅助信息!E:E=B4385)</f>
        <v>五冶建设空港兴城怡心街道83亩项目</v>
      </c>
    </row>
    <row r="4386" hidden="1" spans="2:18">
      <c r="B4386" s="129" t="s">
        <v>203</v>
      </c>
      <c r="C4386" s="63">
        <v>45941</v>
      </c>
      <c r="D4386" s="113" t="str">
        <f>VLOOKUP(B4386,辅助信息!E:K,7,FALSE)</f>
        <v>JWDDCD2025102100479</v>
      </c>
      <c r="E4386" s="113" t="str">
        <f>VLOOKUP(F4386,辅助信息!A:B,2,FALSE)</f>
        <v>螺纹钢</v>
      </c>
      <c r="F4386" s="113" t="s">
        <v>19</v>
      </c>
      <c r="G4386" s="114">
        <v>30</v>
      </c>
      <c r="H4386" s="127">
        <f>IF(SUMIFS('[1]2025年已发货'!$E:$E,'[1]2025年已发货'!$F:$F,C4386,'[1]2025年已发货'!$C:$C,F4386,'[1]2025年已发货'!$G:$G,I4386,'[1]2025年已发货'!$H:$H,J4386)=0,"未发货",SUMIFS('[1]2025年已发货'!$E:$E,'[1]2025年已发货'!$F:$F,C4386,'[1]2025年已发货'!$C:$C,F4386,'[1]2025年已发货'!$G:$G,I4386,'[1]2025年已发货'!$H:$H,J4386))</f>
        <v>30</v>
      </c>
      <c r="I4386" s="113" t="str">
        <f>VLOOKUP(B4386,辅助信息!E:I,3,FALSE)</f>
        <v>(五冶建设空港兴城怡心街道83亩项目)成都市双流区怡心街道高峰社区一组剑和路一段空港兴城怡心街道83亩项目中国五冶项目部</v>
      </c>
      <c r="J4386" s="113" t="str">
        <f>VLOOKUP(B4386,辅助信息!E:I,4,FALSE)</f>
        <v>王刚</v>
      </c>
      <c r="K4386" s="113">
        <f>VLOOKUP(J4386,辅助信息!H:I,2,FALSE)</f>
        <v>15881190525</v>
      </c>
      <c r="L4386" s="115"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55" t="str">
        <f ca="1" t="shared" si="220"/>
        <v/>
      </c>
      <c r="P4386" s="55" t="str">
        <f ca="1" t="shared" si="221"/>
        <v/>
      </c>
      <c r="Q4386" s="22" t="str">
        <f>VLOOKUP(B4386,辅助信息!E:M,9,FALSE)</f>
        <v>ZTWM-CDGS-XS-2025-0073-五冶天府-成都怡心湖片区及龙泉驿医院等项目</v>
      </c>
      <c r="R4386" s="22" t="str">
        <f>_xlfn._xlws.FILTER(辅助信息!D:D,辅助信息!E:E=B4386)</f>
        <v>五冶建设空港兴城怡心街道83亩项目</v>
      </c>
    </row>
    <row r="4387" hidden="1" spans="2:18">
      <c r="B4387" s="129" t="s">
        <v>203</v>
      </c>
      <c r="C4387" s="63">
        <v>45941</v>
      </c>
      <c r="D4387" s="113" t="str">
        <f>VLOOKUP(B4387,辅助信息!E:K,7,FALSE)</f>
        <v>JWDDCD2025102100479</v>
      </c>
      <c r="E4387" s="113" t="str">
        <f>VLOOKUP(F4387,辅助信息!A:B,2,FALSE)</f>
        <v>螺纹钢</v>
      </c>
      <c r="F4387" s="113" t="s">
        <v>32</v>
      </c>
      <c r="G4387" s="114">
        <v>15</v>
      </c>
      <c r="H4387" s="127">
        <f>IF(SUMIFS('[1]2025年已发货'!$E:$E,'[1]2025年已发货'!$F:$F,C4387,'[1]2025年已发货'!$C:$C,F4387,'[1]2025年已发货'!$G:$G,I4387,'[1]2025年已发货'!$H:$H,J4387)=0,"未发货",SUMIFS('[1]2025年已发货'!$E:$E,'[1]2025年已发货'!$F:$F,C4387,'[1]2025年已发货'!$C:$C,F4387,'[1]2025年已发货'!$G:$G,I4387,'[1]2025年已发货'!$H:$H,J4387))</f>
        <v>15</v>
      </c>
      <c r="I4387" s="113" t="str">
        <f>VLOOKUP(B4387,辅助信息!E:I,3,FALSE)</f>
        <v>(五冶建设空港兴城怡心街道83亩项目)成都市双流区怡心街道高峰社区一组剑和路一段空港兴城怡心街道83亩项目中国五冶项目部</v>
      </c>
      <c r="J4387" s="113" t="str">
        <f>VLOOKUP(B4387,辅助信息!E:I,4,FALSE)</f>
        <v>王刚</v>
      </c>
      <c r="K4387" s="113">
        <f>VLOOKUP(J4387,辅助信息!H:I,2,FALSE)</f>
        <v>15881190525</v>
      </c>
      <c r="L4387" s="115"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55" t="str">
        <f ca="1" t="shared" si="220"/>
        <v/>
      </c>
      <c r="P4387" s="55" t="str">
        <f ca="1" t="shared" si="221"/>
        <v/>
      </c>
      <c r="Q4387" s="22" t="str">
        <f>VLOOKUP(B4387,辅助信息!E:M,9,FALSE)</f>
        <v>ZTWM-CDGS-XS-2025-0073-五冶天府-成都怡心湖片区及龙泉驿医院等项目</v>
      </c>
      <c r="R4387" s="22" t="str">
        <f>_xlfn._xlws.FILTER(辅助信息!D:D,辅助信息!E:E=B4387)</f>
        <v>五冶建设空港兴城怡心街道83亩项目</v>
      </c>
    </row>
    <row r="4388" hidden="1" spans="2:18">
      <c r="B4388" s="129" t="s">
        <v>203</v>
      </c>
      <c r="C4388" s="63">
        <v>45941</v>
      </c>
      <c r="D4388" s="113" t="str">
        <f>VLOOKUP(B4388,辅助信息!E:K,7,FALSE)</f>
        <v>JWDDCD2025102100479</v>
      </c>
      <c r="E4388" s="113" t="str">
        <f>VLOOKUP(F4388,辅助信息!A:B,2,FALSE)</f>
        <v>螺纹钢</v>
      </c>
      <c r="F4388" s="113" t="s">
        <v>30</v>
      </c>
      <c r="G4388" s="114">
        <v>3</v>
      </c>
      <c r="H4388" s="127">
        <f>IF(SUMIFS('[1]2025年已发货'!$E:$E,'[1]2025年已发货'!$F:$F,C4388,'[1]2025年已发货'!$C:$C,F4388,'[1]2025年已发货'!$G:$G,I4388,'[1]2025年已发货'!$H:$H,J4388)=0,"未发货",SUMIFS('[1]2025年已发货'!$E:$E,'[1]2025年已发货'!$F:$F,C4388,'[1]2025年已发货'!$C:$C,F4388,'[1]2025年已发货'!$G:$G,I4388,'[1]2025年已发货'!$H:$H,J4388))</f>
        <v>3</v>
      </c>
      <c r="I4388" s="113" t="str">
        <f>VLOOKUP(B4388,辅助信息!E:I,3,FALSE)</f>
        <v>(五冶建设空港兴城怡心街道83亩项目)成都市双流区怡心街道高峰社区一组剑和路一段空港兴城怡心街道83亩项目中国五冶项目部</v>
      </c>
      <c r="J4388" s="113" t="str">
        <f>VLOOKUP(B4388,辅助信息!E:I,4,FALSE)</f>
        <v>王刚</v>
      </c>
      <c r="K4388" s="113">
        <f>VLOOKUP(J4388,辅助信息!H:I,2,FALSE)</f>
        <v>15881190525</v>
      </c>
      <c r="L4388" s="115"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55" t="str">
        <f ca="1" t="shared" si="220"/>
        <v/>
      </c>
      <c r="P4388" s="55" t="str">
        <f ca="1" t="shared" si="221"/>
        <v/>
      </c>
      <c r="Q4388" s="22" t="str">
        <f>VLOOKUP(B4388,辅助信息!E:M,9,FALSE)</f>
        <v>ZTWM-CDGS-XS-2025-0073-五冶天府-成都怡心湖片区及龙泉驿医院等项目</v>
      </c>
      <c r="R4388" s="22" t="str">
        <f>_xlfn._xlws.FILTER(辅助信息!D:D,辅助信息!E:E=B4388)</f>
        <v>五冶建设空港兴城怡心街道83亩项目</v>
      </c>
    </row>
    <row r="4389" hidden="1" spans="2:18">
      <c r="B4389" s="129" t="s">
        <v>203</v>
      </c>
      <c r="C4389" s="63">
        <v>45941</v>
      </c>
      <c r="D4389" s="113" t="str">
        <f>VLOOKUP(B4389,辅助信息!E:K,7,FALSE)</f>
        <v>JWDDCD2025102100479</v>
      </c>
      <c r="E4389" s="113" t="str">
        <f>VLOOKUP(F4389,辅助信息!A:B,2,FALSE)</f>
        <v>螺纹钢</v>
      </c>
      <c r="F4389" s="113" t="s">
        <v>33</v>
      </c>
      <c r="G4389" s="114">
        <v>3</v>
      </c>
      <c r="H4389" s="127">
        <f>IF(SUMIFS('[1]2025年已发货'!$E:$E,'[1]2025年已发货'!$F:$F,C4389,'[1]2025年已发货'!$C:$C,F4389,'[1]2025年已发货'!$G:$G,I4389,'[1]2025年已发货'!$H:$H,J4389)=0,"未发货",SUMIFS('[1]2025年已发货'!$E:$E,'[1]2025年已发货'!$F:$F,C4389,'[1]2025年已发货'!$C:$C,F4389,'[1]2025年已发货'!$G:$G,I4389,'[1]2025年已发货'!$H:$H,J4389))</f>
        <v>3</v>
      </c>
      <c r="I4389" s="113" t="str">
        <f>VLOOKUP(B4389,辅助信息!E:I,3,FALSE)</f>
        <v>(五冶建设空港兴城怡心街道83亩项目)成都市双流区怡心街道高峰社区一组剑和路一段空港兴城怡心街道83亩项目中国五冶项目部</v>
      </c>
      <c r="J4389" s="113" t="str">
        <f>VLOOKUP(B4389,辅助信息!E:I,4,FALSE)</f>
        <v>王刚</v>
      </c>
      <c r="K4389" s="113">
        <f>VLOOKUP(J4389,辅助信息!H:I,2,FALSE)</f>
        <v>15881190525</v>
      </c>
      <c r="L4389" s="115"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55" t="str">
        <f ca="1" t="shared" si="220"/>
        <v/>
      </c>
      <c r="P4389" s="55" t="str">
        <f ca="1" t="shared" si="221"/>
        <v/>
      </c>
      <c r="Q4389" s="22" t="str">
        <f>VLOOKUP(B4389,辅助信息!E:M,9,FALSE)</f>
        <v>ZTWM-CDGS-XS-2025-0073-五冶天府-成都怡心湖片区及龙泉驿医院等项目</v>
      </c>
      <c r="R4389" s="22" t="str">
        <f>_xlfn._xlws.FILTER(辅助信息!D:D,辅助信息!E:E=B4389)</f>
        <v>五冶建设空港兴城怡心街道83亩项目</v>
      </c>
    </row>
    <row r="4390" hidden="1" spans="2:18">
      <c r="B4390" s="129" t="s">
        <v>203</v>
      </c>
      <c r="C4390" s="63">
        <v>45941</v>
      </c>
      <c r="D4390" s="113" t="str">
        <f>VLOOKUP(B4390,辅助信息!E:K,7,FALSE)</f>
        <v>JWDDCD2025102100479</v>
      </c>
      <c r="E4390" s="113" t="str">
        <f>VLOOKUP(F4390,辅助信息!A:B,2,FALSE)</f>
        <v>螺纹钢</v>
      </c>
      <c r="F4390" s="113" t="s">
        <v>28</v>
      </c>
      <c r="G4390" s="114">
        <v>3</v>
      </c>
      <c r="H4390" s="127">
        <f>IF(SUMIFS('[1]2025年已发货'!$E:$E,'[1]2025年已发货'!$F:$F,C4390,'[1]2025年已发货'!$C:$C,F4390,'[1]2025年已发货'!$G:$G,I4390,'[1]2025年已发货'!$H:$H,J4390)=0,"未发货",SUMIFS('[1]2025年已发货'!$E:$E,'[1]2025年已发货'!$F:$F,C4390,'[1]2025年已发货'!$C:$C,F4390,'[1]2025年已发货'!$G:$G,I4390,'[1]2025年已发货'!$H:$H,J4390))</f>
        <v>3</v>
      </c>
      <c r="I4390" s="113" t="str">
        <f>VLOOKUP(B4390,辅助信息!E:I,3,FALSE)</f>
        <v>(五冶建设空港兴城怡心街道83亩项目)成都市双流区怡心街道高峰社区一组剑和路一段空港兴城怡心街道83亩项目中国五冶项目部</v>
      </c>
      <c r="J4390" s="113" t="str">
        <f>VLOOKUP(B4390,辅助信息!E:I,4,FALSE)</f>
        <v>王刚</v>
      </c>
      <c r="K4390" s="113">
        <f>VLOOKUP(J4390,辅助信息!H:I,2,FALSE)</f>
        <v>15881190525</v>
      </c>
      <c r="L4390" s="115"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55" t="str">
        <f ca="1" t="shared" si="220"/>
        <v/>
      </c>
      <c r="P4390" s="55" t="str">
        <f ca="1" t="shared" si="221"/>
        <v/>
      </c>
      <c r="Q4390" s="22" t="str">
        <f>VLOOKUP(B4390,辅助信息!E:M,9,FALSE)</f>
        <v>ZTWM-CDGS-XS-2025-0073-五冶天府-成都怡心湖片区及龙泉驿医院等项目</v>
      </c>
      <c r="R4390" s="22" t="str">
        <f>_xlfn._xlws.FILTER(辅助信息!D:D,辅助信息!E:E=B4390)</f>
        <v>五冶建设空港兴城怡心街道83亩项目</v>
      </c>
    </row>
    <row r="4391" hidden="1" spans="2:18">
      <c r="B4391" s="129" t="s">
        <v>203</v>
      </c>
      <c r="C4391" s="63">
        <v>45941</v>
      </c>
      <c r="D4391" s="113" t="str">
        <f>VLOOKUP(B4391,辅助信息!E:K,7,FALSE)</f>
        <v>JWDDCD2025102100479</v>
      </c>
      <c r="E4391" s="113" t="str">
        <f>VLOOKUP(F4391,辅助信息!A:B,2,FALSE)</f>
        <v>螺纹钢</v>
      </c>
      <c r="F4391" s="113" t="s">
        <v>82</v>
      </c>
      <c r="G4391" s="114">
        <v>2.5</v>
      </c>
      <c r="H4391" s="127">
        <f>IF(SUMIFS('[1]2025年已发货'!$E:$E,'[1]2025年已发货'!$F:$F,C4391,'[1]2025年已发货'!$C:$C,F4391,'[1]2025年已发货'!$G:$G,I4391,'[1]2025年已发货'!$H:$H,J4391)=0,"未发货",SUMIFS('[1]2025年已发货'!$E:$E,'[1]2025年已发货'!$F:$F,C4391,'[1]2025年已发货'!$C:$C,F4391,'[1]2025年已发货'!$G:$G,I4391,'[1]2025年已发货'!$H:$H,J4391))</f>
        <v>2.5</v>
      </c>
      <c r="I4391" s="113" t="str">
        <f>VLOOKUP(B4391,辅助信息!E:I,3,FALSE)</f>
        <v>(五冶建设空港兴城怡心街道83亩项目)成都市双流区怡心街道高峰社区一组剑和路一段空港兴城怡心街道83亩项目中国五冶项目部</v>
      </c>
      <c r="J4391" s="113" t="str">
        <f>VLOOKUP(B4391,辅助信息!E:I,4,FALSE)</f>
        <v>王刚</v>
      </c>
      <c r="K4391" s="113">
        <f>VLOOKUP(J4391,辅助信息!H:I,2,FALSE)</f>
        <v>15881190525</v>
      </c>
      <c r="L4391" s="115"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55" t="str">
        <f ca="1" t="shared" si="220"/>
        <v/>
      </c>
      <c r="P4391" s="55" t="str">
        <f ca="1" t="shared" si="221"/>
        <v/>
      </c>
      <c r="Q4391" s="22" t="str">
        <f>VLOOKUP(B4391,辅助信息!E:M,9,FALSE)</f>
        <v>ZTWM-CDGS-XS-2025-0073-五冶天府-成都怡心湖片区及龙泉驿医院等项目</v>
      </c>
      <c r="R4391" s="22" t="str">
        <f>_xlfn._xlws.FILTER(辅助信息!D:D,辅助信息!E:E=B4391)</f>
        <v>五冶建设空港兴城怡心街道83亩项目</v>
      </c>
    </row>
    <row r="4392" hidden="1" spans="2:18">
      <c r="B4392" s="129" t="s">
        <v>203</v>
      </c>
      <c r="C4392" s="63">
        <v>45941</v>
      </c>
      <c r="D4392" s="113" t="str">
        <f>VLOOKUP(B4392,辅助信息!E:K,7,FALSE)</f>
        <v>JWDDCD2025102100479</v>
      </c>
      <c r="E4392" s="113" t="str">
        <f>VLOOKUP(F4392,辅助信息!A:B,2,FALSE)</f>
        <v>螺纹钢</v>
      </c>
      <c r="F4392" s="113" t="s">
        <v>21</v>
      </c>
      <c r="G4392" s="114">
        <v>2.5</v>
      </c>
      <c r="H4392" s="127">
        <f>IF(SUMIFS('[1]2025年已发货'!$E:$E,'[1]2025年已发货'!$F:$F,C4392,'[1]2025年已发货'!$C:$C,F4392,'[1]2025年已发货'!$G:$G,I4392,'[1]2025年已发货'!$H:$H,J4392)=0,"未发货",SUMIFS('[1]2025年已发货'!$E:$E,'[1]2025年已发货'!$F:$F,C4392,'[1]2025年已发货'!$C:$C,F4392,'[1]2025年已发货'!$G:$G,I4392,'[1]2025年已发货'!$H:$H,J4392))</f>
        <v>2.5</v>
      </c>
      <c r="I4392" s="113" t="str">
        <f>VLOOKUP(B4392,辅助信息!E:I,3,FALSE)</f>
        <v>(五冶建设空港兴城怡心街道83亩项目)成都市双流区怡心街道高峰社区一组剑和路一段空港兴城怡心街道83亩项目中国五冶项目部</v>
      </c>
      <c r="J4392" s="113" t="str">
        <f>VLOOKUP(B4392,辅助信息!E:I,4,FALSE)</f>
        <v>王刚</v>
      </c>
      <c r="K4392" s="113">
        <f>VLOOKUP(J4392,辅助信息!H:I,2,FALSE)</f>
        <v>15881190525</v>
      </c>
      <c r="L4392" s="115"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55" t="str">
        <f ca="1" t="shared" si="220"/>
        <v/>
      </c>
      <c r="P4392" s="55" t="str">
        <f ca="1" t="shared" si="221"/>
        <v/>
      </c>
      <c r="Q4392" s="22" t="str">
        <f>VLOOKUP(B4392,辅助信息!E:M,9,FALSE)</f>
        <v>ZTWM-CDGS-XS-2025-0073-五冶天府-成都怡心湖片区及龙泉驿医院等项目</v>
      </c>
      <c r="R4392" s="22" t="str">
        <f>_xlfn._xlws.FILTER(辅助信息!D:D,辅助信息!E:E=B4392)</f>
        <v>五冶建设空港兴城怡心街道83亩项目</v>
      </c>
    </row>
    <row r="4393" hidden="1" spans="2:18">
      <c r="B4393" s="129" t="s">
        <v>203</v>
      </c>
      <c r="C4393" s="63">
        <v>45941</v>
      </c>
      <c r="D4393" s="113" t="str">
        <f>VLOOKUP(B4393,辅助信息!E:K,7,FALSE)</f>
        <v>JWDDCD2025102100479</v>
      </c>
      <c r="E4393" s="113" t="str">
        <f>VLOOKUP(F4393,辅助信息!A:B,2,FALSE)</f>
        <v>螺纹钢</v>
      </c>
      <c r="F4393" s="113" t="s">
        <v>58</v>
      </c>
      <c r="G4393" s="114">
        <v>15</v>
      </c>
      <c r="H4393" s="127">
        <f>IF(SUMIFS('[1]2025年已发货'!$E:$E,'[1]2025年已发货'!$F:$F,C4393,'[1]2025年已发货'!$C:$C,F4393,'[1]2025年已发货'!$G:$G,I4393,'[1]2025年已发货'!$H:$H,J4393)=0,"未发货",SUMIFS('[1]2025年已发货'!$E:$E,'[1]2025年已发货'!$F:$F,C4393,'[1]2025年已发货'!$C:$C,F4393,'[1]2025年已发货'!$G:$G,I4393,'[1]2025年已发货'!$H:$H,J4393))</f>
        <v>15</v>
      </c>
      <c r="I4393" s="113" t="str">
        <f>VLOOKUP(B4393,辅助信息!E:I,3,FALSE)</f>
        <v>(五冶建设空港兴城怡心街道83亩项目)成都市双流区怡心街道高峰社区一组剑和路一段空港兴城怡心街道83亩项目中国五冶项目部</v>
      </c>
      <c r="J4393" s="113" t="str">
        <f>VLOOKUP(B4393,辅助信息!E:I,4,FALSE)</f>
        <v>王刚</v>
      </c>
      <c r="K4393" s="113">
        <f>VLOOKUP(J4393,辅助信息!H:I,2,FALSE)</f>
        <v>15881190525</v>
      </c>
      <c r="L4393" s="115"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55" t="str">
        <f ca="1" t="shared" si="220"/>
        <v/>
      </c>
      <c r="P4393" s="55" t="str">
        <f ca="1" t="shared" si="221"/>
        <v/>
      </c>
      <c r="Q4393" s="22" t="str">
        <f>VLOOKUP(B4393,辅助信息!E:M,9,FALSE)</f>
        <v>ZTWM-CDGS-XS-2025-0073-五冶天府-成都怡心湖片区及龙泉驿医院等项目</v>
      </c>
      <c r="R4393" s="22" t="str">
        <f>_xlfn._xlws.FILTER(辅助信息!D:D,辅助信息!E:E=B4393)</f>
        <v>五冶建设空港兴城怡心街道83亩项目</v>
      </c>
    </row>
    <row r="4394" hidden="1" spans="2:18">
      <c r="B4394" s="129" t="s">
        <v>203</v>
      </c>
      <c r="C4394" s="63">
        <v>45941</v>
      </c>
      <c r="D4394" s="113" t="str">
        <f>VLOOKUP(B4394,辅助信息!E:K,7,FALSE)</f>
        <v>JWDDCD2025102100479</v>
      </c>
      <c r="E4394" s="113" t="str">
        <f>VLOOKUP(F4394,辅助信息!A:B,2,FALSE)</f>
        <v>螺纹钢</v>
      </c>
      <c r="F4394" s="113" t="s">
        <v>46</v>
      </c>
      <c r="G4394" s="114">
        <v>5</v>
      </c>
      <c r="H4394" s="127">
        <f>IF(SUMIFS('[1]2025年已发货'!$E:$E,'[1]2025年已发货'!$F:$F,C4394,'[1]2025年已发货'!$C:$C,F4394,'[1]2025年已发货'!$G:$G,I4394,'[1]2025年已发货'!$H:$H,J4394)=0,"未发货",SUMIFS('[1]2025年已发货'!$E:$E,'[1]2025年已发货'!$F:$F,C4394,'[1]2025年已发货'!$C:$C,F4394,'[1]2025年已发货'!$G:$G,I4394,'[1]2025年已发货'!$H:$H,J4394))</f>
        <v>5</v>
      </c>
      <c r="I4394" s="113" t="str">
        <f>VLOOKUP(B4394,辅助信息!E:I,3,FALSE)</f>
        <v>(五冶建设空港兴城怡心街道83亩项目)成都市双流区怡心街道高峰社区一组剑和路一段空港兴城怡心街道83亩项目中国五冶项目部</v>
      </c>
      <c r="J4394" s="113" t="str">
        <f>VLOOKUP(B4394,辅助信息!E:I,4,FALSE)</f>
        <v>王刚</v>
      </c>
      <c r="K4394" s="113">
        <f>VLOOKUP(J4394,辅助信息!H:I,2,FALSE)</f>
        <v>15881190525</v>
      </c>
      <c r="L4394" s="115"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55" t="str">
        <f ca="1" t="shared" si="220"/>
        <v/>
      </c>
      <c r="P4394" s="55" t="str">
        <f ca="1" t="shared" si="221"/>
        <v/>
      </c>
      <c r="Q4394" s="22" t="str">
        <f>VLOOKUP(B4394,辅助信息!E:M,9,FALSE)</f>
        <v>ZTWM-CDGS-XS-2025-0073-五冶天府-成都怡心湖片区及龙泉驿医院等项目</v>
      </c>
      <c r="R4394" s="22" t="str">
        <f>_xlfn._xlws.FILTER(辅助信息!D:D,辅助信息!E:E=B4394)</f>
        <v>五冶建设空港兴城怡心街道83亩项目</v>
      </c>
    </row>
    <row r="4395" hidden="1" spans="2:18">
      <c r="B4395" s="129" t="s">
        <v>203</v>
      </c>
      <c r="C4395" s="63">
        <v>45941</v>
      </c>
      <c r="D4395" s="113" t="str">
        <f>VLOOKUP(B4395,辅助信息!E:K,7,FALSE)</f>
        <v>JWDDCD2025102100479</v>
      </c>
      <c r="E4395" s="113" t="str">
        <f>VLOOKUP(F4395,辅助信息!A:B,2,FALSE)</f>
        <v>螺纹钢</v>
      </c>
      <c r="F4395" s="113" t="s">
        <v>22</v>
      </c>
      <c r="G4395" s="114">
        <v>10</v>
      </c>
      <c r="H4395" s="127">
        <f>IF(SUMIFS('[1]2025年已发货'!$E:$E,'[1]2025年已发货'!$F:$F,C4395,'[1]2025年已发货'!$C:$C,F4395,'[1]2025年已发货'!$G:$G,I4395,'[1]2025年已发货'!$H:$H,J4395)=0,"未发货",SUMIFS('[1]2025年已发货'!$E:$E,'[1]2025年已发货'!$F:$F,C4395,'[1]2025年已发货'!$C:$C,F4395,'[1]2025年已发货'!$G:$G,I4395,'[1]2025年已发货'!$H:$H,J4395))</f>
        <v>10</v>
      </c>
      <c r="I4395" s="113" t="str">
        <f>VLOOKUP(B4395,辅助信息!E:I,3,FALSE)</f>
        <v>(五冶建设空港兴城怡心街道83亩项目)成都市双流区怡心街道高峰社区一组剑和路一段空港兴城怡心街道83亩项目中国五冶项目部</v>
      </c>
      <c r="J4395" s="113" t="str">
        <f>VLOOKUP(B4395,辅助信息!E:I,4,FALSE)</f>
        <v>王刚</v>
      </c>
      <c r="K4395" s="113">
        <f>VLOOKUP(J4395,辅助信息!H:I,2,FALSE)</f>
        <v>15881190525</v>
      </c>
      <c r="L4395" s="115"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55" t="str">
        <f ca="1" t="shared" si="220"/>
        <v/>
      </c>
      <c r="P4395" s="55" t="str">
        <f ca="1" t="shared" si="221"/>
        <v/>
      </c>
      <c r="Q4395" s="22" t="str">
        <f>VLOOKUP(B4395,辅助信息!E:M,9,FALSE)</f>
        <v>ZTWM-CDGS-XS-2025-0073-五冶天府-成都怡心湖片区及龙泉驿医院等项目</v>
      </c>
      <c r="R4395" s="22" t="str">
        <f>_xlfn._xlws.FILTER(辅助信息!D:D,辅助信息!E:E=B4395)</f>
        <v>五冶建设空港兴城怡心街道83亩项目</v>
      </c>
    </row>
    <row r="4396" hidden="1" spans="1:18">
      <c r="A4396" s="50" t="s">
        <v>238</v>
      </c>
      <c r="B4396" s="128" t="s">
        <v>44</v>
      </c>
      <c r="C4396" s="63">
        <v>45941</v>
      </c>
      <c r="D4396" s="33" t="str">
        <f>VLOOKUP(B4396,辅助信息!E:K,7,FALSE)</f>
        <v>JWDDCD2025060600053</v>
      </c>
      <c r="E4396" s="33" t="str">
        <f>VLOOKUP(F4396,辅助信息!A:B,2,FALSE)</f>
        <v>盘螺</v>
      </c>
      <c r="F4396" s="33" t="s">
        <v>49</v>
      </c>
      <c r="G4396" s="29">
        <v>33.6</v>
      </c>
      <c r="H4396" s="127">
        <f>IF(SUMIFS('[1]2025年已发货'!$E:$E,'[1]2025年已发货'!$F:$F,C4396,'[1]2025年已发货'!$C:$C,F4396,'[1]2025年已发货'!$G:$G,I4396,'[1]2025年已发货'!$H:$H,J4396)=0,"未发货",SUMIFS('[1]2025年已发货'!$E:$E,'[1]2025年已发货'!$F:$F,C4396,'[1]2025年已发货'!$C:$C,F4396,'[1]2025年已发货'!$G:$G,I4396,'[1]2025年已发货'!$H:$H,J4396))</f>
        <v>33.6</v>
      </c>
      <c r="I4396" s="33" t="str">
        <f>VLOOKUP(B4396,辅助信息!E:I,3,FALSE)</f>
        <v>（华西酒城南）成都市武侯区火车南站西路8号酒城南项目</v>
      </c>
      <c r="J4396" s="33" t="str">
        <f>VLOOKUP(B4396,辅助信息!E:I,4,FALSE)</f>
        <v>龙耀宇</v>
      </c>
      <c r="K4396" s="33">
        <f>VLOOKUP(J4396,辅助信息!H:I,2,FALSE)</f>
        <v>18384145895</v>
      </c>
      <c r="L4396" s="102" t="str">
        <f>VLOOKUP(B4396,辅助信息!E:J,6,FALSE)</f>
        <v>对方卸车</v>
      </c>
      <c r="O4396" s="55" t="str">
        <f ca="1" t="shared" si="220"/>
        <v/>
      </c>
      <c r="P4396" s="55" t="str">
        <f ca="1" t="shared" si="221"/>
        <v/>
      </c>
      <c r="Q4396" s="22" t="str">
        <f>VLOOKUP(B4396,辅助信息!E:M,9,FALSE)</f>
        <v>ZTWM-CDGS-XS-2024-0189-华西集采-酒城南项目</v>
      </c>
      <c r="R4396" s="22" t="str">
        <f>_xlfn._xlws.FILTER(辅助信息!D:D,辅助信息!E:E=B4396)</f>
        <v>华西酒城南</v>
      </c>
    </row>
    <row r="4397" hidden="1" spans="2:18">
      <c r="B4397" s="128" t="s">
        <v>44</v>
      </c>
      <c r="C4397" s="63">
        <v>45941</v>
      </c>
      <c r="D4397" s="33" t="str">
        <f>VLOOKUP(B4397,辅助信息!E:K,7,FALSE)</f>
        <v>JWDDCD2025060600053</v>
      </c>
      <c r="E4397" s="33" t="str">
        <f>VLOOKUP(F4397,辅助信息!A:B,2,FALSE)</f>
        <v>盘螺</v>
      </c>
      <c r="F4397" s="33" t="s">
        <v>40</v>
      </c>
      <c r="G4397" s="29">
        <v>2.4</v>
      </c>
      <c r="H4397" s="127"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33" t="str">
        <f>VLOOKUP(B4397,辅助信息!E:I,3,FALSE)</f>
        <v>（华西酒城南）成都市武侯区火车南站西路8号酒城南项目</v>
      </c>
      <c r="J4397" s="33" t="str">
        <f>VLOOKUP(B4397,辅助信息!E:I,4,FALSE)</f>
        <v>龙耀宇</v>
      </c>
      <c r="K4397" s="33">
        <f>VLOOKUP(J4397,辅助信息!H:I,2,FALSE)</f>
        <v>18384145895</v>
      </c>
      <c r="L4397" s="102" t="str">
        <f>VLOOKUP(B4397,辅助信息!E:J,6,FALSE)</f>
        <v>对方卸车</v>
      </c>
      <c r="O4397" s="55" t="str">
        <f ca="1" t="shared" si="220"/>
        <v/>
      </c>
      <c r="P4397" s="55" t="str">
        <f ca="1" t="shared" si="221"/>
        <v/>
      </c>
      <c r="Q4397" s="22" t="str">
        <f>VLOOKUP(B4397,辅助信息!E:M,9,FALSE)</f>
        <v>ZTWM-CDGS-XS-2024-0189-华西集采-酒城南项目</v>
      </c>
      <c r="R4397" s="22" t="str">
        <f>_xlfn._xlws.FILTER(辅助信息!D:D,辅助信息!E:E=B4397)</f>
        <v>华西酒城南</v>
      </c>
    </row>
    <row r="4398" hidden="1" spans="2:18">
      <c r="B4398" s="128" t="s">
        <v>44</v>
      </c>
      <c r="C4398" s="63">
        <v>45941</v>
      </c>
      <c r="D4398" s="33" t="str">
        <f>VLOOKUP(B4398,辅助信息!E:K,7,FALSE)</f>
        <v>JWDDCD2025060600053</v>
      </c>
      <c r="E4398" s="33" t="str">
        <f>VLOOKUP(F4398,辅助信息!A:B,2,FALSE)</f>
        <v>盘螺</v>
      </c>
      <c r="F4398" s="33" t="s">
        <v>26</v>
      </c>
      <c r="G4398" s="29">
        <v>7.2</v>
      </c>
      <c r="H4398" s="127"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33" t="str">
        <f>VLOOKUP(B4398,辅助信息!E:I,3,FALSE)</f>
        <v>（华西酒城南）成都市武侯区火车南站西路8号酒城南项目</v>
      </c>
      <c r="J4398" s="33" t="str">
        <f>VLOOKUP(B4398,辅助信息!E:I,4,FALSE)</f>
        <v>龙耀宇</v>
      </c>
      <c r="K4398" s="33">
        <f>VLOOKUP(J4398,辅助信息!H:I,2,FALSE)</f>
        <v>18384145895</v>
      </c>
      <c r="L4398" s="102" t="str">
        <f>VLOOKUP(B4398,辅助信息!E:J,6,FALSE)</f>
        <v>对方卸车</v>
      </c>
      <c r="O4398" s="55" t="str">
        <f ca="1" t="shared" si="220"/>
        <v/>
      </c>
      <c r="P4398" s="55" t="str">
        <f ca="1" t="shared" si="221"/>
        <v/>
      </c>
      <c r="Q4398" s="22" t="str">
        <f>VLOOKUP(B4398,辅助信息!E:M,9,FALSE)</f>
        <v>ZTWM-CDGS-XS-2024-0189-华西集采-酒城南项目</v>
      </c>
      <c r="R4398" s="22" t="str">
        <f>_xlfn._xlws.FILTER(辅助信息!D:D,辅助信息!E:E=B4398)</f>
        <v>华西酒城南</v>
      </c>
    </row>
    <row r="4399" hidden="1" spans="2:18">
      <c r="B4399" s="128" t="s">
        <v>194</v>
      </c>
      <c r="C4399" s="63">
        <v>45941</v>
      </c>
      <c r="D4399" s="33" t="str">
        <f>VLOOKUP(B4399,辅助信息!E:K,7,FALSE)</f>
        <v>JWDD2025071500089</v>
      </c>
      <c r="E4399" s="33" t="str">
        <f>VLOOKUP(F4399,辅助信息!A:B,2,FALSE)</f>
        <v>盘螺</v>
      </c>
      <c r="F4399" s="33" t="s">
        <v>41</v>
      </c>
      <c r="G4399" s="29">
        <v>10</v>
      </c>
      <c r="H4399" s="127">
        <f>IF(SUMIFS('[1]2025年已发货'!$E:$E,'[1]2025年已发货'!$F:$F,C4399,'[1]2025年已发货'!$C:$C,F4399,'[1]2025年已发货'!$G:$G,I4399,'[1]2025年已发货'!$H:$H,J4399)=0,"未发货",SUMIFS('[1]2025年已发货'!$E:$E,'[1]2025年已发货'!$F:$F,C4399,'[1]2025年已发货'!$C:$C,F4399,'[1]2025年已发货'!$G:$G,I4399,'[1]2025年已发货'!$H:$H,J4399))</f>
        <v>10</v>
      </c>
      <c r="I4399" s="33" t="str">
        <f>VLOOKUP(B4399,辅助信息!E:I,3,FALSE)</f>
        <v>(宜宾兴港三江新区长江工业园保障性租赁住房建设项目-土建)四川省宜宾市翠屏区永善路南段宜宾市三江新区长江工业园区</v>
      </c>
      <c r="J4399" s="33" t="str">
        <f>VLOOKUP(B4399,辅助信息!E:I,4,FALSE)</f>
        <v>赵元虎</v>
      </c>
      <c r="K4399" s="33">
        <f>VLOOKUP(J4399,辅助信息!H:I,2,FALSE)</f>
        <v>13684167136</v>
      </c>
      <c r="L4399" s="102" t="str">
        <f>VLOOKUP(B4399,辅助信息!E:J,6,FALSE)</f>
        <v>现场要求调度统一联系指定收货人，不单独发司机位置。锈货不收，装货前联系收货人核实到场规格,没提前告知进场规格现场不给予接收</v>
      </c>
      <c r="O4399" s="55" t="str">
        <f ca="1" t="shared" si="220"/>
        <v/>
      </c>
      <c r="P4399" s="55" t="str">
        <f ca="1" t="shared" si="221"/>
        <v/>
      </c>
      <c r="Q4399" s="22" t="str">
        <f>VLOOKUP(B4399,辅助信息!E:M,9,FALSE)</f>
        <v>ZTWM-CDYXGS-XS-2025-0014-宜宾兴港建材-三江新区长江工业园片区保障性租赁住房建设项目</v>
      </c>
      <c r="R4399" s="22" t="str">
        <f>_xlfn._xlws.FILTER(辅助信息!D:D,辅助信息!E:E=B4399)</f>
        <v>宜宾兴港三江新区长江工业园建设项目</v>
      </c>
    </row>
    <row r="4400" hidden="1" spans="2:18">
      <c r="B4400" s="128" t="s">
        <v>194</v>
      </c>
      <c r="C4400" s="63">
        <v>45941</v>
      </c>
      <c r="D4400" s="33" t="str">
        <f>VLOOKUP(B4400,辅助信息!E:K,7,FALSE)</f>
        <v>JWDD2025071500089</v>
      </c>
      <c r="E4400" s="33" t="str">
        <f>VLOOKUP(F4400,辅助信息!A:B,2,FALSE)</f>
        <v>盘螺</v>
      </c>
      <c r="F4400" s="33" t="s">
        <v>26</v>
      </c>
      <c r="G4400" s="29">
        <v>25</v>
      </c>
      <c r="H4400" s="127">
        <f>IF(SUMIFS('[1]2025年已发货'!$E:$E,'[1]2025年已发货'!$F:$F,C4400,'[1]2025年已发货'!$C:$C,F4400,'[1]2025年已发货'!$G:$G,I4400,'[1]2025年已发货'!$H:$H,J4400)=0,"未发货",SUMIFS('[1]2025年已发货'!$E:$E,'[1]2025年已发货'!$F:$F,C4400,'[1]2025年已发货'!$C:$C,F4400,'[1]2025年已发货'!$G:$G,I4400,'[1]2025年已发货'!$H:$H,J4400))</f>
        <v>25</v>
      </c>
      <c r="I4400" s="33" t="str">
        <f>VLOOKUP(B4400,辅助信息!E:I,3,FALSE)</f>
        <v>(宜宾兴港三江新区长江工业园保障性租赁住房建设项目-土建)四川省宜宾市翠屏区永善路南段宜宾市三江新区长江工业园区</v>
      </c>
      <c r="J4400" s="33" t="str">
        <f>VLOOKUP(B4400,辅助信息!E:I,4,FALSE)</f>
        <v>赵元虎</v>
      </c>
      <c r="K4400" s="33">
        <f>VLOOKUP(J4400,辅助信息!H:I,2,FALSE)</f>
        <v>13684167136</v>
      </c>
      <c r="L4400" s="102" t="str">
        <f>VLOOKUP(B4400,辅助信息!E:J,6,FALSE)</f>
        <v>现场要求调度统一联系指定收货人，不单独发司机位置。锈货不收，装货前联系收货人核实到场规格,没提前告知进场规格现场不给予接收</v>
      </c>
      <c r="O4400" s="55" t="str">
        <f ca="1" t="shared" si="220"/>
        <v/>
      </c>
      <c r="P4400" s="55" t="str">
        <f ca="1" t="shared" si="221"/>
        <v/>
      </c>
      <c r="Q4400" s="22" t="str">
        <f>VLOOKUP(B4400,辅助信息!E:M,9,FALSE)</f>
        <v>ZTWM-CDYXGS-XS-2025-0014-宜宾兴港建材-三江新区长江工业园片区保障性租赁住房建设项目</v>
      </c>
      <c r="R4400" s="22" t="str">
        <f>_xlfn._xlws.FILTER(辅助信息!D:D,辅助信息!E:E=B4400)</f>
        <v>宜宾兴港三江新区长江工业园建设项目</v>
      </c>
    </row>
    <row r="4401" hidden="1" spans="2:18">
      <c r="B4401" s="128" t="s">
        <v>232</v>
      </c>
      <c r="C4401" s="63">
        <v>45941</v>
      </c>
      <c r="D4401" s="33" t="str">
        <f>VLOOKUP(B4401,辅助信息!E:K,7,FALSE)</f>
        <v>JWDDCD2025052800131</v>
      </c>
      <c r="E4401" s="33" t="str">
        <f>VLOOKUP(F4401,辅助信息!A:B,2,FALSE)</f>
        <v>螺纹钢</v>
      </c>
      <c r="F4401" s="33" t="s">
        <v>91</v>
      </c>
      <c r="G4401" s="29">
        <v>222</v>
      </c>
      <c r="H4401" s="127"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33" t="str">
        <f>VLOOKUP(B4401,辅助信息!E:I,3,FALSE)</f>
        <v>（商投建工达州中医药科技园-2工区-2号桥）达州市通川区达州中医药职业学院犀牛大道北段</v>
      </c>
      <c r="J4401" s="33" t="str">
        <f>VLOOKUP(B4401,辅助信息!E:I,4,FALSE)</f>
        <v>李波</v>
      </c>
      <c r="K4401" s="33">
        <f>VLOOKUP(J4401,辅助信息!H:I,2,FALSE)</f>
        <v>18381899787</v>
      </c>
      <c r="L4401" s="102" t="str">
        <f>VLOOKUP(B4401,辅助信息!E:J,6,FALSE)</f>
        <v>控制炉批号！多了现场不收！,优先安排达钢,提前联系到场规格及数量</v>
      </c>
      <c r="O4401" s="55" t="str">
        <f ca="1" t="shared" si="220"/>
        <v/>
      </c>
      <c r="P4401" s="55" t="str">
        <f ca="1" t="shared" si="221"/>
        <v/>
      </c>
      <c r="Q4401" s="22" t="str">
        <f>VLOOKUP(B4401,辅助信息!E:M,9,FALSE)</f>
        <v>ZTWM-CDGS-XS-2024-0134-商投建工达州中医药科技成果示范园项目</v>
      </c>
      <c r="R4401" s="22" t="str">
        <f>_xlfn._xlws.FILTER(辅助信息!D:D,辅助信息!E:E=B4401)</f>
        <v>商投建工达州中医药科技园</v>
      </c>
    </row>
    <row r="4402" hidden="1" spans="1:18">
      <c r="A4402" s="85" t="s">
        <v>239</v>
      </c>
      <c r="B4402" s="128" t="s">
        <v>44</v>
      </c>
      <c r="C4402" s="63">
        <v>45944</v>
      </c>
      <c r="D4402" s="33" t="str">
        <f>VLOOKUP(B4402,辅助信息!E:K,7,FALSE)</f>
        <v>JWDDCD2025060600053</v>
      </c>
      <c r="E4402" s="33" t="str">
        <f>VLOOKUP(F4402,辅助信息!A:B,2,FALSE)</f>
        <v>盘螺</v>
      </c>
      <c r="F4402" s="33" t="s">
        <v>40</v>
      </c>
      <c r="G4402" s="29">
        <v>2.4</v>
      </c>
      <c r="H4402" s="127">
        <f>IF(SUMIFS('[1]2025年已发货'!$E:$E,'[1]2025年已发货'!$F:$F,C4402,'[1]2025年已发货'!$C:$C,F4402,'[1]2025年已发货'!$G:$G,I4402,'[1]2025年已发货'!$H:$H,J4402)=0,"未发货",SUMIFS('[1]2025年已发货'!$E:$E,'[1]2025年已发货'!$F:$F,C4402,'[1]2025年已发货'!$C:$C,F4402,'[1]2025年已发货'!$G:$G,I4402,'[1]2025年已发货'!$H:$H,J4402))</f>
        <v>2.4</v>
      </c>
      <c r="I4402" s="33" t="str">
        <f>VLOOKUP(B4402,辅助信息!E:I,3,FALSE)</f>
        <v>（华西酒城南）成都市武侯区火车南站西路8号酒城南项目</v>
      </c>
      <c r="J4402" s="33" t="str">
        <f>VLOOKUP(B4402,辅助信息!E:I,4,FALSE)</f>
        <v>龙耀宇</v>
      </c>
      <c r="K4402" s="33">
        <f>VLOOKUP(J4402,辅助信息!H:I,2,FALSE)</f>
        <v>18384145895</v>
      </c>
      <c r="L4402" s="102" t="str">
        <f>VLOOKUP(B4402,辅助信息!E:J,6,FALSE)</f>
        <v>对方卸车</v>
      </c>
      <c r="O4402" s="55" t="str">
        <f ca="1" t="shared" si="220"/>
        <v/>
      </c>
      <c r="P4402" s="55" t="str">
        <f ca="1" t="shared" si="221"/>
        <v/>
      </c>
      <c r="Q4402" s="22" t="str">
        <f>VLOOKUP(B4402,辅助信息!E:M,9,FALSE)</f>
        <v>ZTWM-CDGS-XS-2024-0189-华西集采-酒城南项目</v>
      </c>
      <c r="R4402" s="22" t="str">
        <f>_xlfn._xlws.FILTER(辅助信息!D:D,辅助信息!E:E=B4402)</f>
        <v>华西酒城南</v>
      </c>
    </row>
    <row r="4403" hidden="1" spans="1:18">
      <c r="A4403" s="85"/>
      <c r="B4403" s="128" t="s">
        <v>44</v>
      </c>
      <c r="C4403" s="63">
        <v>45944</v>
      </c>
      <c r="D4403" s="33" t="str">
        <f>VLOOKUP(B4403,辅助信息!E:K,7,FALSE)</f>
        <v>JWDDCD2025060600053</v>
      </c>
      <c r="E4403" s="33" t="str">
        <f>VLOOKUP(F4403,辅助信息!A:B,2,FALSE)</f>
        <v>盘螺</v>
      </c>
      <c r="F4403" s="33" t="s">
        <v>26</v>
      </c>
      <c r="G4403" s="29">
        <v>7.2</v>
      </c>
      <c r="H4403" s="127">
        <f>IF(SUMIFS('[1]2025年已发货'!$E:$E,'[1]2025年已发货'!$F:$F,C4403,'[1]2025年已发货'!$C:$C,F4403,'[1]2025年已发货'!$G:$G,I4403,'[1]2025年已发货'!$H:$H,J4403)=0,"未发货",SUMIFS('[1]2025年已发货'!$E:$E,'[1]2025年已发货'!$F:$F,C4403,'[1]2025年已发货'!$C:$C,F4403,'[1]2025年已发货'!$G:$G,I4403,'[1]2025年已发货'!$H:$H,J4403))</f>
        <v>7.2</v>
      </c>
      <c r="I4403" s="33" t="str">
        <f>VLOOKUP(B4403,辅助信息!E:I,3,FALSE)</f>
        <v>（华西酒城南）成都市武侯区火车南站西路8号酒城南项目</v>
      </c>
      <c r="J4403" s="33" t="str">
        <f>VLOOKUP(B4403,辅助信息!E:I,4,FALSE)</f>
        <v>龙耀宇</v>
      </c>
      <c r="K4403" s="33">
        <f>VLOOKUP(J4403,辅助信息!H:I,2,FALSE)</f>
        <v>18384145895</v>
      </c>
      <c r="L4403" s="102" t="str">
        <f>VLOOKUP(B4403,辅助信息!E:J,6,FALSE)</f>
        <v>对方卸车</v>
      </c>
      <c r="O4403" s="55" t="str">
        <f ca="1" t="shared" si="220"/>
        <v/>
      </c>
      <c r="P4403" s="55" t="str">
        <f ca="1" t="shared" si="221"/>
        <v/>
      </c>
      <c r="Q4403" s="22" t="str">
        <f>VLOOKUP(B4403,辅助信息!E:M,9,FALSE)</f>
        <v>ZTWM-CDGS-XS-2024-0189-华西集采-酒城南项目</v>
      </c>
      <c r="R4403" s="22" t="str">
        <f>_xlfn._xlws.FILTER(辅助信息!D:D,辅助信息!E:E=B4403)</f>
        <v>华西酒城南</v>
      </c>
    </row>
    <row r="4404" hidden="1" spans="2:18">
      <c r="B4404" s="128" t="s">
        <v>81</v>
      </c>
      <c r="C4404" s="63">
        <v>45944</v>
      </c>
      <c r="D4404" s="33" t="str">
        <f>VLOOKUP(B4404,辅助信息!E:K,7,FALSE)</f>
        <v>JWDDCD2025060900080</v>
      </c>
      <c r="E4404" s="33" t="str">
        <f>VLOOKUP(F4404,辅助信息!A:B,2,FALSE)</f>
        <v>螺纹钢</v>
      </c>
      <c r="F4404" s="33" t="s">
        <v>19</v>
      </c>
      <c r="G4404" s="29">
        <v>3</v>
      </c>
      <c r="H4404" s="127">
        <f>IF(SUMIFS('[1]2025年已发货'!$E:$E,'[1]2025年已发货'!$F:$F,C4404,'[1]2025年已发货'!$C:$C,F4404,'[1]2025年已发货'!$G:$G,I4404,'[1]2025年已发货'!$H:$H,J4404)=0,"未发货",SUMIFS('[1]2025年已发货'!$E:$E,'[1]2025年已发货'!$F:$F,C4404,'[1]2025年已发货'!$C:$C,F4404,'[1]2025年已发货'!$G:$G,I4404,'[1]2025年已发货'!$H:$H,J4404))</f>
        <v>3</v>
      </c>
      <c r="I4404" s="33" t="str">
        <f>VLOOKUP(B4404,辅助信息!E:I,3,FALSE)</f>
        <v>（华西简阳西城嘉苑）四川省成都市简阳市简城街道高屋村</v>
      </c>
      <c r="J4404" s="33" t="str">
        <f>VLOOKUP(B4404,辅助信息!E:I,4,FALSE)</f>
        <v>张瀚镭</v>
      </c>
      <c r="K4404" s="33">
        <f>VLOOKUP(J4404,辅助信息!H:I,2,FALSE)</f>
        <v>15884666220</v>
      </c>
      <c r="L4404" s="102" t="str">
        <f>VLOOKUP(B4404,辅助信息!E:J,6,FALSE)</f>
        <v>现场禁止使用氢能源挂车！优先威钢发货,我方卸车,新老国标钢厂不加价可直发，因陕钢多次出现磅差，项目拒绝使用</v>
      </c>
      <c r="O4404" s="55" t="str">
        <f ca="1" t="shared" si="220"/>
        <v/>
      </c>
      <c r="P4404" s="55" t="str">
        <f ca="1" t="shared" si="221"/>
        <v/>
      </c>
      <c r="Q4404" s="22" t="str">
        <f>VLOOKUP(B4404,辅助信息!E:M,9,FALSE)</f>
        <v>ZTWM-CDGS-XS-2024-0030-华西集采-简州大道</v>
      </c>
      <c r="R4404" s="22" t="str">
        <f>_xlfn._xlws.FILTER(辅助信息!D:D,辅助信息!E:E=B4404)</f>
        <v>华西简阳西城嘉苑</v>
      </c>
    </row>
    <row r="4405" hidden="1" spans="2:18">
      <c r="B4405" s="128" t="s">
        <v>81</v>
      </c>
      <c r="C4405" s="63">
        <v>45944</v>
      </c>
      <c r="D4405" s="33" t="str">
        <f>VLOOKUP(B4405,辅助信息!E:K,7,FALSE)</f>
        <v>JWDDCD2025060900080</v>
      </c>
      <c r="E4405" s="33" t="str">
        <f>VLOOKUP(F4405,辅助信息!A:B,2,FALSE)</f>
        <v>螺纹钢</v>
      </c>
      <c r="F4405" s="33" t="s">
        <v>32</v>
      </c>
      <c r="G4405" s="29">
        <v>5</v>
      </c>
      <c r="H4405" s="127">
        <f>IF(SUMIFS('[1]2025年已发货'!$E:$E,'[1]2025年已发货'!$F:$F,C4405,'[1]2025年已发货'!$C:$C,F4405,'[1]2025年已发货'!$G:$G,I4405,'[1]2025年已发货'!$H:$H,J4405)=0,"未发货",SUMIFS('[1]2025年已发货'!$E:$E,'[1]2025年已发货'!$F:$F,C4405,'[1]2025年已发货'!$C:$C,F4405,'[1]2025年已发货'!$G:$G,I4405,'[1]2025年已发货'!$H:$H,J4405))</f>
        <v>5</v>
      </c>
      <c r="I4405" s="33" t="str">
        <f>VLOOKUP(B4405,辅助信息!E:I,3,FALSE)</f>
        <v>（华西简阳西城嘉苑）四川省成都市简阳市简城街道高屋村</v>
      </c>
      <c r="J4405" s="33" t="str">
        <f>VLOOKUP(B4405,辅助信息!E:I,4,FALSE)</f>
        <v>张瀚镭</v>
      </c>
      <c r="K4405" s="33">
        <f>VLOOKUP(J4405,辅助信息!H:I,2,FALSE)</f>
        <v>15884666220</v>
      </c>
      <c r="L4405" s="102" t="str">
        <f>VLOOKUP(B4405,辅助信息!E:J,6,FALSE)</f>
        <v>现场禁止使用氢能源挂车！优先威钢发货,我方卸车,新老国标钢厂不加价可直发，因陕钢多次出现磅差，项目拒绝使用</v>
      </c>
      <c r="O4405" s="55" t="str">
        <f ca="1" t="shared" si="220"/>
        <v/>
      </c>
      <c r="P4405" s="55" t="str">
        <f ca="1" t="shared" si="221"/>
        <v/>
      </c>
      <c r="Q4405" s="22" t="str">
        <f>VLOOKUP(B4405,辅助信息!E:M,9,FALSE)</f>
        <v>ZTWM-CDGS-XS-2024-0030-华西集采-简州大道</v>
      </c>
      <c r="R4405" s="22" t="str">
        <f>_xlfn._xlws.FILTER(辅助信息!D:D,辅助信息!E:E=B4405)</f>
        <v>华西简阳西城嘉苑</v>
      </c>
    </row>
    <row r="4406" hidden="1" spans="2:18">
      <c r="B4406" s="128" t="s">
        <v>81</v>
      </c>
      <c r="C4406" s="63">
        <v>45944</v>
      </c>
      <c r="D4406" s="33" t="str">
        <f>VLOOKUP(B4406,辅助信息!E:K,7,FALSE)</f>
        <v>JWDDCD2025060900080</v>
      </c>
      <c r="E4406" s="33" t="str">
        <f>VLOOKUP(F4406,辅助信息!A:B,2,FALSE)</f>
        <v>螺纹钢</v>
      </c>
      <c r="F4406" s="33" t="s">
        <v>30</v>
      </c>
      <c r="G4406" s="29">
        <v>30</v>
      </c>
      <c r="H4406" s="127">
        <f>IF(SUMIFS('[1]2025年已发货'!$E:$E,'[1]2025年已发货'!$F:$F,C4406,'[1]2025年已发货'!$C:$C,F4406,'[1]2025年已发货'!$G:$G,I4406,'[1]2025年已发货'!$H:$H,J4406)=0,"未发货",SUMIFS('[1]2025年已发货'!$E:$E,'[1]2025年已发货'!$F:$F,C4406,'[1]2025年已发货'!$C:$C,F4406,'[1]2025年已发货'!$G:$G,I4406,'[1]2025年已发货'!$H:$H,J4406))</f>
        <v>30</v>
      </c>
      <c r="I4406" s="33" t="str">
        <f>VLOOKUP(B4406,辅助信息!E:I,3,FALSE)</f>
        <v>（华西简阳西城嘉苑）四川省成都市简阳市简城街道高屋村</v>
      </c>
      <c r="J4406" s="33" t="str">
        <f>VLOOKUP(B4406,辅助信息!E:I,4,FALSE)</f>
        <v>张瀚镭</v>
      </c>
      <c r="K4406" s="33">
        <f>VLOOKUP(J4406,辅助信息!H:I,2,FALSE)</f>
        <v>15884666220</v>
      </c>
      <c r="L4406" s="102" t="str">
        <f>VLOOKUP(B4406,辅助信息!E:J,6,FALSE)</f>
        <v>现场禁止使用氢能源挂车！优先威钢发货,我方卸车,新老国标钢厂不加价可直发，因陕钢多次出现磅差，项目拒绝使用</v>
      </c>
      <c r="O4406" s="55" t="str">
        <f ca="1" t="shared" si="220"/>
        <v/>
      </c>
      <c r="P4406" s="55" t="str">
        <f ca="1" t="shared" si="221"/>
        <v/>
      </c>
      <c r="Q4406" s="22" t="str">
        <f>VLOOKUP(B4406,辅助信息!E:M,9,FALSE)</f>
        <v>ZTWM-CDGS-XS-2024-0030-华西集采-简州大道</v>
      </c>
      <c r="R4406" s="22" t="str">
        <f>_xlfn._xlws.FILTER(辅助信息!D:D,辅助信息!E:E=B4406)</f>
        <v>华西简阳西城嘉苑</v>
      </c>
    </row>
    <row r="4407" hidden="1" spans="2:18">
      <c r="B4407" s="128" t="s">
        <v>81</v>
      </c>
      <c r="C4407" s="63">
        <v>45944</v>
      </c>
      <c r="D4407" s="33" t="str">
        <f>VLOOKUP(B4407,辅助信息!E:K,7,FALSE)</f>
        <v>JWDDCD2025060900080</v>
      </c>
      <c r="E4407" s="33" t="str">
        <f>VLOOKUP(F4407,辅助信息!A:B,2,FALSE)</f>
        <v>螺纹钢</v>
      </c>
      <c r="F4407" s="33" t="s">
        <v>33</v>
      </c>
      <c r="G4407" s="29">
        <v>26</v>
      </c>
      <c r="H4407" s="127">
        <f>IF(SUMIFS('[1]2025年已发货'!$E:$E,'[1]2025年已发货'!$F:$F,C4407,'[1]2025年已发货'!$C:$C,F4407,'[1]2025年已发货'!$G:$G,I4407,'[1]2025年已发货'!$H:$H,J4407)=0,"未发货",SUMIFS('[1]2025年已发货'!$E:$E,'[1]2025年已发货'!$F:$F,C4407,'[1]2025年已发货'!$C:$C,F4407,'[1]2025年已发货'!$G:$G,I4407,'[1]2025年已发货'!$H:$H,J4407))</f>
        <v>26</v>
      </c>
      <c r="I4407" s="33" t="str">
        <f>VLOOKUP(B4407,辅助信息!E:I,3,FALSE)</f>
        <v>（华西简阳西城嘉苑）四川省成都市简阳市简城街道高屋村</v>
      </c>
      <c r="J4407" s="33" t="str">
        <f>VLOOKUP(B4407,辅助信息!E:I,4,FALSE)</f>
        <v>张瀚镭</v>
      </c>
      <c r="K4407" s="33">
        <f>VLOOKUP(J4407,辅助信息!H:I,2,FALSE)</f>
        <v>15884666220</v>
      </c>
      <c r="L4407" s="102" t="str">
        <f>VLOOKUP(B4407,辅助信息!E:J,6,FALSE)</f>
        <v>现场禁止使用氢能源挂车！优先威钢发货,我方卸车,新老国标钢厂不加价可直发，因陕钢多次出现磅差，项目拒绝使用</v>
      </c>
      <c r="O4407" s="55" t="str">
        <f ca="1" t="shared" si="220"/>
        <v/>
      </c>
      <c r="P4407" s="55" t="str">
        <f ca="1" t="shared" si="221"/>
        <v/>
      </c>
      <c r="Q4407" s="22" t="str">
        <f>VLOOKUP(B4407,辅助信息!E:M,9,FALSE)</f>
        <v>ZTWM-CDGS-XS-2024-0030-华西集采-简州大道</v>
      </c>
      <c r="R4407" s="22" t="str">
        <f>_xlfn._xlws.FILTER(辅助信息!D:D,辅助信息!E:E=B4407)</f>
        <v>华西简阳西城嘉苑</v>
      </c>
    </row>
    <row r="4408" hidden="1" spans="2:18">
      <c r="B4408" s="128" t="s">
        <v>81</v>
      </c>
      <c r="C4408" s="63">
        <v>45944</v>
      </c>
      <c r="D4408" s="33" t="str">
        <f>VLOOKUP(B4408,辅助信息!E:K,7,FALSE)</f>
        <v>JWDDCD2025060900080</v>
      </c>
      <c r="E4408" s="33" t="str">
        <f>VLOOKUP(F4408,辅助信息!A:B,2,FALSE)</f>
        <v>螺纹钢</v>
      </c>
      <c r="F4408" s="33" t="s">
        <v>28</v>
      </c>
      <c r="G4408" s="29">
        <v>3</v>
      </c>
      <c r="H4408" s="127">
        <f>IF(SUMIFS('[1]2025年已发货'!$E:$E,'[1]2025年已发货'!$F:$F,C4408,'[1]2025年已发货'!$C:$C,F4408,'[1]2025年已发货'!$G:$G,I4408,'[1]2025年已发货'!$H:$H,J4408)=0,"未发货",SUMIFS('[1]2025年已发货'!$E:$E,'[1]2025年已发货'!$F:$F,C4408,'[1]2025年已发货'!$C:$C,F4408,'[1]2025年已发货'!$G:$G,I4408,'[1]2025年已发货'!$H:$H,J4408))</f>
        <v>3</v>
      </c>
      <c r="I4408" s="33" t="str">
        <f>VLOOKUP(B4408,辅助信息!E:I,3,FALSE)</f>
        <v>（华西简阳西城嘉苑）四川省成都市简阳市简城街道高屋村</v>
      </c>
      <c r="J4408" s="33" t="str">
        <f>VLOOKUP(B4408,辅助信息!E:I,4,FALSE)</f>
        <v>张瀚镭</v>
      </c>
      <c r="K4408" s="33">
        <f>VLOOKUP(J4408,辅助信息!H:I,2,FALSE)</f>
        <v>15884666220</v>
      </c>
      <c r="L4408" s="102" t="str">
        <f>VLOOKUP(B4408,辅助信息!E:J,6,FALSE)</f>
        <v>现场禁止使用氢能源挂车！优先威钢发货,我方卸车,新老国标钢厂不加价可直发，因陕钢多次出现磅差，项目拒绝使用</v>
      </c>
      <c r="O4408" s="55" t="str">
        <f ca="1" t="shared" si="220"/>
        <v/>
      </c>
      <c r="P4408" s="55" t="str">
        <f ca="1" t="shared" si="221"/>
        <v/>
      </c>
      <c r="Q4408" s="22" t="str">
        <f>VLOOKUP(B4408,辅助信息!E:M,9,FALSE)</f>
        <v>ZTWM-CDGS-XS-2024-0030-华西集采-简州大道</v>
      </c>
      <c r="R4408" s="22" t="str">
        <f>_xlfn._xlws.FILTER(辅助信息!D:D,辅助信息!E:E=B4408)</f>
        <v>华西简阳西城嘉苑</v>
      </c>
    </row>
    <row r="4409" hidden="1" spans="2:18">
      <c r="B4409" s="128" t="s">
        <v>81</v>
      </c>
      <c r="C4409" s="63">
        <v>45944</v>
      </c>
      <c r="D4409" s="33" t="str">
        <f>VLOOKUP(B4409,辅助信息!E:K,7,FALSE)</f>
        <v>JWDDCD2025060900080</v>
      </c>
      <c r="E4409" s="33" t="str">
        <f>VLOOKUP(F4409,辅助信息!A:B,2,FALSE)</f>
        <v>螺纹钢</v>
      </c>
      <c r="F4409" s="33" t="s">
        <v>21</v>
      </c>
      <c r="G4409" s="29">
        <v>2.5</v>
      </c>
      <c r="H4409" s="127">
        <f>IF(SUMIFS('[1]2025年已发货'!$E:$E,'[1]2025年已发货'!$F:$F,C4409,'[1]2025年已发货'!$C:$C,F4409,'[1]2025年已发货'!$G:$G,I4409,'[1]2025年已发货'!$H:$H,J4409)=0,"未发货",SUMIFS('[1]2025年已发货'!$E:$E,'[1]2025年已发货'!$F:$F,C4409,'[1]2025年已发货'!$C:$C,F4409,'[1]2025年已发货'!$G:$G,I4409,'[1]2025年已发货'!$H:$H,J4409))</f>
        <v>2.5</v>
      </c>
      <c r="I4409" s="33" t="str">
        <f>VLOOKUP(B4409,辅助信息!E:I,3,FALSE)</f>
        <v>（华西简阳西城嘉苑）四川省成都市简阳市简城街道高屋村</v>
      </c>
      <c r="J4409" s="33" t="str">
        <f>VLOOKUP(B4409,辅助信息!E:I,4,FALSE)</f>
        <v>张瀚镭</v>
      </c>
      <c r="K4409" s="33">
        <f>VLOOKUP(J4409,辅助信息!H:I,2,FALSE)</f>
        <v>15884666220</v>
      </c>
      <c r="L4409" s="102" t="str">
        <f>VLOOKUP(B4409,辅助信息!E:J,6,FALSE)</f>
        <v>现场禁止使用氢能源挂车！优先威钢发货,我方卸车,新老国标钢厂不加价可直发，因陕钢多次出现磅差，项目拒绝使用</v>
      </c>
      <c r="O4409" s="55" t="str">
        <f ca="1" t="shared" si="220"/>
        <v/>
      </c>
      <c r="P4409" s="55" t="str">
        <f ca="1" t="shared" si="221"/>
        <v/>
      </c>
      <c r="Q4409" s="22" t="str">
        <f>VLOOKUP(B4409,辅助信息!E:M,9,FALSE)</f>
        <v>ZTWM-CDGS-XS-2024-0030-华西集采-简州大道</v>
      </c>
      <c r="R4409" s="22" t="str">
        <f>_xlfn._xlws.FILTER(辅助信息!D:D,辅助信息!E:E=B4409)</f>
        <v>华西简阳西城嘉苑</v>
      </c>
    </row>
    <row r="4410" hidden="1" spans="2:18">
      <c r="B4410" s="128" t="s">
        <v>81</v>
      </c>
      <c r="C4410" s="63">
        <v>45944</v>
      </c>
      <c r="D4410" s="33" t="str">
        <f>VLOOKUP(B4410,辅助信息!E:K,7,FALSE)</f>
        <v>JWDDCD2025060900080</v>
      </c>
      <c r="E4410" s="33" t="str">
        <f>VLOOKUP(F4410,辅助信息!A:B,2,FALSE)</f>
        <v>螺纹钢</v>
      </c>
      <c r="F4410" s="33" t="s">
        <v>58</v>
      </c>
      <c r="G4410" s="29">
        <v>9</v>
      </c>
      <c r="H4410" s="127">
        <f>IF(SUMIFS('[1]2025年已发货'!$E:$E,'[1]2025年已发货'!$F:$F,C4410,'[1]2025年已发货'!$C:$C,F4410,'[1]2025年已发货'!$G:$G,I4410,'[1]2025年已发货'!$H:$H,J4410)=0,"未发货",SUMIFS('[1]2025年已发货'!$E:$E,'[1]2025年已发货'!$F:$F,C4410,'[1]2025年已发货'!$C:$C,F4410,'[1]2025年已发货'!$G:$G,I4410,'[1]2025年已发货'!$H:$H,J4410))</f>
        <v>9</v>
      </c>
      <c r="I4410" s="33" t="str">
        <f>VLOOKUP(B4410,辅助信息!E:I,3,FALSE)</f>
        <v>（华西简阳西城嘉苑）四川省成都市简阳市简城街道高屋村</v>
      </c>
      <c r="J4410" s="33" t="str">
        <f>VLOOKUP(B4410,辅助信息!E:I,4,FALSE)</f>
        <v>张瀚镭</v>
      </c>
      <c r="K4410" s="33">
        <f>VLOOKUP(J4410,辅助信息!H:I,2,FALSE)</f>
        <v>15884666220</v>
      </c>
      <c r="L4410" s="102" t="str">
        <f>VLOOKUP(B4410,辅助信息!E:J,6,FALSE)</f>
        <v>现场禁止使用氢能源挂车！优先威钢发货,我方卸车,新老国标钢厂不加价可直发，因陕钢多次出现磅差，项目拒绝使用</v>
      </c>
      <c r="O4410" s="55" t="str">
        <f ca="1" t="shared" si="220"/>
        <v/>
      </c>
      <c r="P4410" s="55" t="str">
        <f ca="1" t="shared" si="221"/>
        <v/>
      </c>
      <c r="Q4410" s="22" t="str">
        <f>VLOOKUP(B4410,辅助信息!E:M,9,FALSE)</f>
        <v>ZTWM-CDGS-XS-2024-0030-华西集采-简州大道</v>
      </c>
      <c r="R4410" s="22" t="str">
        <f>_xlfn._xlws.FILTER(辅助信息!D:D,辅助信息!E:E=B4410)</f>
        <v>华西简阳西城嘉苑</v>
      </c>
    </row>
    <row r="4411" hidden="1" spans="2:18">
      <c r="B4411" s="128" t="s">
        <v>81</v>
      </c>
      <c r="C4411" s="63">
        <v>45944</v>
      </c>
      <c r="D4411" s="33" t="str">
        <f>VLOOKUP(B4411,辅助信息!E:K,7,FALSE)</f>
        <v>JWDDCD2025060900080</v>
      </c>
      <c r="E4411" s="33" t="str">
        <f>VLOOKUP(F4411,辅助信息!A:B,2,FALSE)</f>
        <v>螺纹钢</v>
      </c>
      <c r="F4411" s="33" t="s">
        <v>46</v>
      </c>
      <c r="G4411" s="29">
        <v>3</v>
      </c>
      <c r="H4411" s="127">
        <f>IF(SUMIFS('[1]2025年已发货'!$E:$E,'[1]2025年已发货'!$F:$F,C4411,'[1]2025年已发货'!$C:$C,F4411,'[1]2025年已发货'!$G:$G,I4411,'[1]2025年已发货'!$H:$H,J4411)=0,"未发货",SUMIFS('[1]2025年已发货'!$E:$E,'[1]2025年已发货'!$F:$F,C4411,'[1]2025年已发货'!$C:$C,F4411,'[1]2025年已发货'!$G:$G,I4411,'[1]2025年已发货'!$H:$H,J4411))</f>
        <v>3</v>
      </c>
      <c r="I4411" s="33" t="str">
        <f>VLOOKUP(B4411,辅助信息!E:I,3,FALSE)</f>
        <v>（华西简阳西城嘉苑）四川省成都市简阳市简城街道高屋村</v>
      </c>
      <c r="J4411" s="33" t="str">
        <f>VLOOKUP(B4411,辅助信息!E:I,4,FALSE)</f>
        <v>张瀚镭</v>
      </c>
      <c r="K4411" s="33">
        <f>VLOOKUP(J4411,辅助信息!H:I,2,FALSE)</f>
        <v>15884666220</v>
      </c>
      <c r="L4411" s="102" t="str">
        <f>VLOOKUP(B4411,辅助信息!E:J,6,FALSE)</f>
        <v>现场禁止使用氢能源挂车！优先威钢发货,我方卸车,新老国标钢厂不加价可直发，因陕钢多次出现磅差，项目拒绝使用</v>
      </c>
      <c r="O4411" s="55" t="str">
        <f ca="1" t="shared" si="220"/>
        <v/>
      </c>
      <c r="P4411" s="55" t="str">
        <f ca="1" t="shared" si="221"/>
        <v/>
      </c>
      <c r="Q4411" s="22" t="str">
        <f>VLOOKUP(B4411,辅助信息!E:M,9,FALSE)</f>
        <v>ZTWM-CDGS-XS-2024-0030-华西集采-简州大道</v>
      </c>
      <c r="R4411" s="22" t="str">
        <f>_xlfn._xlws.FILTER(辅助信息!D:D,辅助信息!E:E=B4411)</f>
        <v>华西简阳西城嘉苑</v>
      </c>
    </row>
    <row r="4412" hidden="1" spans="2:18">
      <c r="B4412" s="128" t="s">
        <v>81</v>
      </c>
      <c r="C4412" s="63">
        <v>45944</v>
      </c>
      <c r="D4412" s="33" t="str">
        <f>VLOOKUP(B4412,辅助信息!E:K,7,FALSE)</f>
        <v>JWDDCD2025060900080</v>
      </c>
      <c r="E4412" s="33" t="str">
        <f>VLOOKUP(F4412,辅助信息!A:B,2,FALSE)</f>
        <v>盘螺</v>
      </c>
      <c r="F4412" s="33" t="s">
        <v>41</v>
      </c>
      <c r="G4412" s="29">
        <v>75</v>
      </c>
      <c r="H4412" s="127">
        <f>IF(SUMIFS('[1]2025年已发货'!$E:$E,'[1]2025年已发货'!$F:$F,C4412,'[1]2025年已发货'!$C:$C,F4412,'[1]2025年已发货'!$G:$G,I4412,'[1]2025年已发货'!$H:$H,J4412)=0,"未发货",SUMIFS('[1]2025年已发货'!$E:$E,'[1]2025年已发货'!$F:$F,C4412,'[1]2025年已发货'!$C:$C,F4412,'[1]2025年已发货'!$G:$G,I4412,'[1]2025年已发货'!$H:$H,J4412))</f>
        <v>75</v>
      </c>
      <c r="I4412" s="33" t="str">
        <f>VLOOKUP(B4412,辅助信息!E:I,3,FALSE)</f>
        <v>（华西简阳西城嘉苑）四川省成都市简阳市简城街道高屋村</v>
      </c>
      <c r="J4412" s="33" t="str">
        <f>VLOOKUP(B4412,辅助信息!E:I,4,FALSE)</f>
        <v>张瀚镭</v>
      </c>
      <c r="K4412" s="33">
        <f>VLOOKUP(J4412,辅助信息!H:I,2,FALSE)</f>
        <v>15884666220</v>
      </c>
      <c r="L4412" s="102" t="str">
        <f>VLOOKUP(B4412,辅助信息!E:J,6,FALSE)</f>
        <v>现场禁止使用氢能源挂车！优先威钢发货,我方卸车,新老国标钢厂不加价可直发，因陕钢多次出现磅差，项目拒绝使用</v>
      </c>
      <c r="O4412" s="55" t="str">
        <f ca="1" t="shared" si="220"/>
        <v/>
      </c>
      <c r="P4412" s="55" t="str">
        <f ca="1" t="shared" si="221"/>
        <v/>
      </c>
      <c r="Q4412" s="22" t="str">
        <f>VLOOKUP(B4412,辅助信息!E:M,9,FALSE)</f>
        <v>ZTWM-CDGS-XS-2024-0030-华西集采-简州大道</v>
      </c>
      <c r="R4412" s="22" t="str">
        <f>_xlfn._xlws.FILTER(辅助信息!D:D,辅助信息!E:E=B4412)</f>
        <v>华西简阳西城嘉苑</v>
      </c>
    </row>
    <row r="4413" hidden="1" spans="2:18">
      <c r="B4413" s="128" t="s">
        <v>81</v>
      </c>
      <c r="C4413" s="63">
        <v>45944</v>
      </c>
      <c r="D4413" s="33" t="str">
        <f>VLOOKUP(B4413,辅助信息!E:K,7,FALSE)</f>
        <v>JWDDCD2025060900080</v>
      </c>
      <c r="E4413" s="33" t="str">
        <f>VLOOKUP(F4413,辅助信息!A:B,2,FALSE)</f>
        <v>盘螺</v>
      </c>
      <c r="F4413" s="33" t="s">
        <v>26</v>
      </c>
      <c r="G4413" s="29">
        <v>20</v>
      </c>
      <c r="H4413" s="127">
        <f>IF(SUMIFS('[1]2025年已发货'!$E:$E,'[1]2025年已发货'!$F:$F,C4413,'[1]2025年已发货'!$C:$C,F4413,'[1]2025年已发货'!$G:$G,I4413,'[1]2025年已发货'!$H:$H,J4413)=0,"未发货",SUMIFS('[1]2025年已发货'!$E:$E,'[1]2025年已发货'!$F:$F,C4413,'[1]2025年已发货'!$C:$C,F4413,'[1]2025年已发货'!$G:$G,I4413,'[1]2025年已发货'!$H:$H,J4413))</f>
        <v>20</v>
      </c>
      <c r="I4413" s="33" t="str">
        <f>VLOOKUP(B4413,辅助信息!E:I,3,FALSE)</f>
        <v>（华西简阳西城嘉苑）四川省成都市简阳市简城街道高屋村</v>
      </c>
      <c r="J4413" s="33" t="str">
        <f>VLOOKUP(B4413,辅助信息!E:I,4,FALSE)</f>
        <v>张瀚镭</v>
      </c>
      <c r="K4413" s="33">
        <f>VLOOKUP(J4413,辅助信息!H:I,2,FALSE)</f>
        <v>15884666220</v>
      </c>
      <c r="L4413" s="102" t="str">
        <f>VLOOKUP(B4413,辅助信息!E:J,6,FALSE)</f>
        <v>现场禁止使用氢能源挂车！优先威钢发货,我方卸车,新老国标钢厂不加价可直发，因陕钢多次出现磅差，项目拒绝使用</v>
      </c>
      <c r="O4413" s="55" t="str">
        <f ca="1" t="shared" si="220"/>
        <v/>
      </c>
      <c r="P4413" s="55" t="str">
        <f ca="1" t="shared" si="221"/>
        <v/>
      </c>
      <c r="Q4413" s="22" t="str">
        <f>VLOOKUP(B4413,辅助信息!E:M,9,FALSE)</f>
        <v>ZTWM-CDGS-XS-2024-0030-华西集采-简州大道</v>
      </c>
      <c r="R4413" s="22" t="str">
        <f>_xlfn._xlws.FILTER(辅助信息!D:D,辅助信息!E:E=B4413)</f>
        <v>华西简阳西城嘉苑</v>
      </c>
    </row>
    <row r="4414" hidden="1" spans="2:18">
      <c r="B4414" s="128" t="s">
        <v>81</v>
      </c>
      <c r="C4414" s="63">
        <v>45944</v>
      </c>
      <c r="D4414" s="33" t="str">
        <f>VLOOKUP(B4414,辅助信息!E:K,7,FALSE)</f>
        <v>JWDDCD2025060900080</v>
      </c>
      <c r="E4414" s="33" t="str">
        <f>VLOOKUP(F4414,辅助信息!A:B,2,FALSE)</f>
        <v>盘螺</v>
      </c>
      <c r="F4414" s="33" t="s">
        <v>49</v>
      </c>
      <c r="G4414" s="29">
        <v>20</v>
      </c>
      <c r="H4414" s="127">
        <f>IF(SUMIFS('[1]2025年已发货'!$E:$E,'[1]2025年已发货'!$F:$F,C4414,'[1]2025年已发货'!$C:$C,F4414,'[1]2025年已发货'!$G:$G,I4414,'[1]2025年已发货'!$H:$H,J4414)=0,"未发货",SUMIFS('[1]2025年已发货'!$E:$E,'[1]2025年已发货'!$F:$F,C4414,'[1]2025年已发货'!$C:$C,F4414,'[1]2025年已发货'!$G:$G,I4414,'[1]2025年已发货'!$H:$H,J4414))</f>
        <v>20</v>
      </c>
      <c r="I4414" s="33" t="str">
        <f>VLOOKUP(B4414,辅助信息!E:I,3,FALSE)</f>
        <v>（华西简阳西城嘉苑）四川省成都市简阳市简城街道高屋村</v>
      </c>
      <c r="J4414" s="33" t="str">
        <f>VLOOKUP(B4414,辅助信息!E:I,4,FALSE)</f>
        <v>张瀚镭</v>
      </c>
      <c r="K4414" s="33">
        <f>VLOOKUP(J4414,辅助信息!H:I,2,FALSE)</f>
        <v>15884666220</v>
      </c>
      <c r="L4414" s="102" t="str">
        <f>VLOOKUP(B4414,辅助信息!E:J,6,FALSE)</f>
        <v>现场禁止使用氢能源挂车！优先威钢发货,我方卸车,新老国标钢厂不加价可直发，因陕钢多次出现磅差，项目拒绝使用</v>
      </c>
      <c r="O4414" s="55" t="str">
        <f ca="1" t="shared" si="220"/>
        <v/>
      </c>
      <c r="P4414" s="55" t="str">
        <f ca="1" t="shared" si="221"/>
        <v/>
      </c>
      <c r="Q4414" s="22" t="str">
        <f>VLOOKUP(B4414,辅助信息!E:M,9,FALSE)</f>
        <v>ZTWM-CDGS-XS-2024-0030-华西集采-简州大道</v>
      </c>
      <c r="R4414" s="22" t="str">
        <f>_xlfn._xlws.FILTER(辅助信息!D:D,辅助信息!E:E=B4414)</f>
        <v>华西简阳西城嘉苑</v>
      </c>
    </row>
    <row r="4415" hidden="1" spans="2:18">
      <c r="B4415" s="128" t="s">
        <v>81</v>
      </c>
      <c r="C4415" s="63">
        <v>45944</v>
      </c>
      <c r="D4415" s="33" t="str">
        <f>VLOOKUP(B4415,辅助信息!E:K,7,FALSE)</f>
        <v>JWDDCD2025060900080</v>
      </c>
      <c r="E4415" s="33" t="str">
        <f>VLOOKUP(F4415,辅助信息!A:B,2,FALSE)</f>
        <v>盘螺</v>
      </c>
      <c r="F4415" s="33" t="s">
        <v>40</v>
      </c>
      <c r="G4415" s="29">
        <v>115</v>
      </c>
      <c r="H4415" s="127">
        <f>IF(SUMIFS('[1]2025年已发货'!$E:$E,'[1]2025年已发货'!$F:$F,C4415,'[1]2025年已发货'!$C:$C,F4415,'[1]2025年已发货'!$G:$G,I4415,'[1]2025年已发货'!$H:$H,J4415)=0,"未发货",SUMIFS('[1]2025年已发货'!$E:$E,'[1]2025年已发货'!$F:$F,C4415,'[1]2025年已发货'!$C:$C,F4415,'[1]2025年已发货'!$G:$G,I4415,'[1]2025年已发货'!$H:$H,J4415))</f>
        <v>115</v>
      </c>
      <c r="I4415" s="33" t="str">
        <f>VLOOKUP(B4415,辅助信息!E:I,3,FALSE)</f>
        <v>（华西简阳西城嘉苑）四川省成都市简阳市简城街道高屋村</v>
      </c>
      <c r="J4415" s="33" t="str">
        <f>VLOOKUP(B4415,辅助信息!E:I,4,FALSE)</f>
        <v>张瀚镭</v>
      </c>
      <c r="K4415" s="33">
        <f>VLOOKUP(J4415,辅助信息!H:I,2,FALSE)</f>
        <v>15884666220</v>
      </c>
      <c r="L4415" s="102" t="str">
        <f>VLOOKUP(B4415,辅助信息!E:J,6,FALSE)</f>
        <v>现场禁止使用氢能源挂车！优先威钢发货,我方卸车,新老国标钢厂不加价可直发，因陕钢多次出现磅差，项目拒绝使用</v>
      </c>
      <c r="O4415" s="55" t="str">
        <f ca="1" t="shared" si="220"/>
        <v/>
      </c>
      <c r="P4415" s="55" t="str">
        <f ca="1" t="shared" si="221"/>
        <v/>
      </c>
      <c r="Q4415" s="22" t="str">
        <f>VLOOKUP(B4415,辅助信息!E:M,9,FALSE)</f>
        <v>ZTWM-CDGS-XS-2024-0030-华西集采-简州大道</v>
      </c>
      <c r="R4415" s="22" t="str">
        <f>_xlfn._xlws.FILTER(辅助信息!D:D,辅助信息!E:E=B4415)</f>
        <v>华西简阳西城嘉苑</v>
      </c>
    </row>
    <row r="4416" hidden="1" spans="2:18">
      <c r="B4416" s="128" t="s">
        <v>92</v>
      </c>
      <c r="C4416" s="63">
        <v>45944</v>
      </c>
      <c r="D4416" s="33" t="str">
        <f>VLOOKUP(B4416,辅助信息!E:K,7,FALSE)</f>
        <v>JWDDCD2025051800046</v>
      </c>
      <c r="E4416" s="33" t="str">
        <f>VLOOKUP(F4416,辅助信息!A:B,2,FALSE)</f>
        <v>盘螺</v>
      </c>
      <c r="F4416" s="33" t="s">
        <v>26</v>
      </c>
      <c r="G4416" s="29">
        <v>5</v>
      </c>
      <c r="H4416" s="127">
        <f>IF(SUMIFS('[1]2025年已发货'!$E:$E,'[1]2025年已发货'!$F:$F,C4416,'[1]2025年已发货'!$C:$C,F4416,'[1]2025年已发货'!$G:$G,I4416,'[1]2025年已发货'!$H:$H,J4416)=0,"未发货",SUMIFS('[1]2025年已发货'!$E:$E,'[1]2025年已发货'!$F:$F,C4416,'[1]2025年已发货'!$C:$C,F4416,'[1]2025年已发货'!$G:$G,I4416,'[1]2025年已发货'!$H:$H,J4416))</f>
        <v>5</v>
      </c>
      <c r="I4416" s="33" t="str">
        <f>VLOOKUP(B4416,辅助信息!E:I,3,FALSE)</f>
        <v>（华西萌海科创农业生态谷）成都市简阳市白金山水库</v>
      </c>
      <c r="J4416" s="33" t="str">
        <f>VLOOKUP(B4416,辅助信息!E:I,4,FALSE)</f>
        <v>石清国</v>
      </c>
      <c r="K4416" s="33">
        <f>VLOOKUP(J4416,辅助信息!H:I,2,FALSE)</f>
        <v>13458642015</v>
      </c>
      <c r="L4416" s="102" t="str">
        <f>VLOOKUP(B4416,辅助信息!E:J,6,FALSE)</f>
        <v>优先威钢,我方卸车,新老国标钢厂不加价可直发</v>
      </c>
      <c r="O4416" s="55" t="str">
        <f ca="1" t="shared" si="220"/>
        <v/>
      </c>
      <c r="P4416" s="55" t="str">
        <f ca="1" t="shared" si="221"/>
        <v/>
      </c>
      <c r="Q4416" s="22" t="str">
        <f>VLOOKUP(B4416,辅助信息!E:M,9,FALSE)</f>
        <v>ZTWM-CDGS-XS-2024-0092-华西-萌海科创农业生态谷</v>
      </c>
      <c r="R4416" s="22" t="str">
        <f>_xlfn._xlws.FILTER(辅助信息!D:D,辅助信息!E:E=B4416)</f>
        <v>华西萌海-科创农业生态谷</v>
      </c>
    </row>
    <row r="4417" hidden="1" spans="2:18">
      <c r="B4417" s="128" t="s">
        <v>92</v>
      </c>
      <c r="C4417" s="63">
        <v>45944</v>
      </c>
      <c r="D4417" s="33" t="str">
        <f>VLOOKUP(B4417,辅助信息!E:K,7,FALSE)</f>
        <v>JWDDCD2025051800046</v>
      </c>
      <c r="E4417" s="33" t="str">
        <f>VLOOKUP(F4417,辅助信息!A:B,2,FALSE)</f>
        <v>盘螺</v>
      </c>
      <c r="F4417" s="33" t="s">
        <v>49</v>
      </c>
      <c r="G4417" s="29">
        <v>2.5</v>
      </c>
      <c r="H4417" s="127">
        <f>IF(SUMIFS('[1]2025年已发货'!$E:$E,'[1]2025年已发货'!$F:$F,C4417,'[1]2025年已发货'!$C:$C,F4417,'[1]2025年已发货'!$G:$G,I4417,'[1]2025年已发货'!$H:$H,J4417)=0,"未发货",SUMIFS('[1]2025年已发货'!$E:$E,'[1]2025年已发货'!$F:$F,C4417,'[1]2025年已发货'!$C:$C,F4417,'[1]2025年已发货'!$G:$G,I4417,'[1]2025年已发货'!$H:$H,J4417))</f>
        <v>2.5</v>
      </c>
      <c r="I4417" s="33" t="str">
        <f>VLOOKUP(B4417,辅助信息!E:I,3,FALSE)</f>
        <v>（华西萌海科创农业生态谷）成都市简阳市白金山水库</v>
      </c>
      <c r="J4417" s="33" t="str">
        <f>VLOOKUP(B4417,辅助信息!E:I,4,FALSE)</f>
        <v>石清国</v>
      </c>
      <c r="K4417" s="33">
        <f>VLOOKUP(J4417,辅助信息!H:I,2,FALSE)</f>
        <v>13458642015</v>
      </c>
      <c r="L4417" s="102" t="str">
        <f>VLOOKUP(B4417,辅助信息!E:J,6,FALSE)</f>
        <v>优先威钢,我方卸车,新老国标钢厂不加价可直发</v>
      </c>
      <c r="O4417" s="55" t="str">
        <f ca="1" t="shared" si="220"/>
        <v/>
      </c>
      <c r="P4417" s="55" t="str">
        <f ca="1" t="shared" si="221"/>
        <v/>
      </c>
      <c r="Q4417" s="22" t="str">
        <f>VLOOKUP(B4417,辅助信息!E:M,9,FALSE)</f>
        <v>ZTWM-CDGS-XS-2024-0092-华西-萌海科创农业生态谷</v>
      </c>
      <c r="R4417" s="22" t="str">
        <f>_xlfn._xlws.FILTER(辅助信息!D:D,辅助信息!E:E=B4417)</f>
        <v>华西萌海-科创农业生态谷</v>
      </c>
    </row>
    <row r="4418" hidden="1" spans="2:18">
      <c r="B4418" s="128" t="s">
        <v>92</v>
      </c>
      <c r="C4418" s="63">
        <v>45944</v>
      </c>
      <c r="D4418" s="33" t="str">
        <f>VLOOKUP(B4418,辅助信息!E:K,7,FALSE)</f>
        <v>JWDDCD2025051800046</v>
      </c>
      <c r="E4418" s="33" t="str">
        <f>VLOOKUP(F4418,辅助信息!A:B,2,FALSE)</f>
        <v>盘螺</v>
      </c>
      <c r="F4418" s="33" t="s">
        <v>40</v>
      </c>
      <c r="G4418" s="29">
        <v>20</v>
      </c>
      <c r="H4418" s="127">
        <f>IF(SUMIFS('[1]2025年已发货'!$E:$E,'[1]2025年已发货'!$F:$F,C4418,'[1]2025年已发货'!$C:$C,F4418,'[1]2025年已发货'!$G:$G,I4418,'[1]2025年已发货'!$H:$H,J4418)=0,"未发货",SUMIFS('[1]2025年已发货'!$E:$E,'[1]2025年已发货'!$F:$F,C4418,'[1]2025年已发货'!$C:$C,F4418,'[1]2025年已发货'!$G:$G,I4418,'[1]2025年已发货'!$H:$H,J4418))</f>
        <v>20</v>
      </c>
      <c r="I4418" s="33" t="str">
        <f>VLOOKUP(B4418,辅助信息!E:I,3,FALSE)</f>
        <v>（华西萌海科创农业生态谷）成都市简阳市白金山水库</v>
      </c>
      <c r="J4418" s="33" t="str">
        <f>VLOOKUP(B4418,辅助信息!E:I,4,FALSE)</f>
        <v>石清国</v>
      </c>
      <c r="K4418" s="33">
        <f>VLOOKUP(J4418,辅助信息!H:I,2,FALSE)</f>
        <v>13458642015</v>
      </c>
      <c r="L4418" s="102" t="str">
        <f>VLOOKUP(B4418,辅助信息!E:J,6,FALSE)</f>
        <v>优先威钢,我方卸车,新老国标钢厂不加价可直发</v>
      </c>
      <c r="O4418" s="55" t="str">
        <f ca="1" t="shared" si="220"/>
        <v/>
      </c>
      <c r="P4418" s="55" t="str">
        <f ca="1" t="shared" si="221"/>
        <v/>
      </c>
      <c r="Q4418" s="22" t="str">
        <f>VLOOKUP(B4418,辅助信息!E:M,9,FALSE)</f>
        <v>ZTWM-CDGS-XS-2024-0092-华西-萌海科创农业生态谷</v>
      </c>
      <c r="R4418" s="22" t="str">
        <f>_xlfn._xlws.FILTER(辅助信息!D:D,辅助信息!E:E=B4418)</f>
        <v>华西萌海-科创农业生态谷</v>
      </c>
    </row>
    <row r="4419" hidden="1" spans="2:18">
      <c r="B4419" s="128" t="s">
        <v>187</v>
      </c>
      <c r="C4419" s="63">
        <v>45944</v>
      </c>
      <c r="D4419" s="33" t="str">
        <f>VLOOKUP(B4419,辅助信息!E:K,7,FALSE)</f>
        <v>JWDDCD2025072900121</v>
      </c>
      <c r="E4419" s="33" t="str">
        <f>VLOOKUP(F4419,辅助信息!A:B,2,FALSE)</f>
        <v>螺纹钢</v>
      </c>
      <c r="F4419" s="33" t="s">
        <v>66</v>
      </c>
      <c r="G4419" s="29">
        <v>10</v>
      </c>
      <c r="H4419" s="127">
        <f>IF(SUMIFS('[1]2025年已发货'!$E:$E,'[1]2025年已发货'!$F:$F,C4419,'[1]2025年已发货'!$C:$C,F4419,'[1]2025年已发货'!$G:$G,I4419,'[1]2025年已发货'!$H:$H,J4419)=0,"未发货",SUMIFS('[1]2025年已发货'!$E:$E,'[1]2025年已发货'!$F:$F,C4419,'[1]2025年已发货'!$C:$C,F4419,'[1]2025年已发货'!$G:$G,I4419,'[1]2025年已发货'!$H:$H,J4419))</f>
        <v>10</v>
      </c>
      <c r="I4419" s="33" t="str">
        <f>VLOOKUP(B4419,辅助信息!E:I,3,FALSE)</f>
        <v>(乐山市校地共建产教融合基地建设项目一标段)四川省乐山市市中区苏稽镇周山嘴</v>
      </c>
      <c r="J4419" s="33" t="str">
        <f>VLOOKUP(B4419,辅助信息!E:I,4,FALSE)</f>
        <v>范增云</v>
      </c>
      <c r="K4419" s="33">
        <f>VLOOKUP(J4419,辅助信息!H:I,2,FALSE)</f>
        <v>13668153241</v>
      </c>
      <c r="L4419" s="102" t="str">
        <f>VLOOKUP(B4419,辅助信息!E:J,6,FALSE)</f>
        <v>联系实际收货人（范增云13668153241）现场要求炉批号控制2个以下，超2个不给予签收。提前联系到场规格及数量</v>
      </c>
      <c r="O4419" s="55" t="str">
        <f ca="1" t="shared" si="220"/>
        <v/>
      </c>
      <c r="P4419" s="55" t="str">
        <f ca="1" t="shared" si="221"/>
        <v/>
      </c>
      <c r="Q4419" s="22" t="str">
        <f>VLOOKUP(B4419,辅助信息!E:M,9,FALSE)</f>
        <v>ZTWM-CDGS-XS-2025-0125-四川机司-乐山市校地共建产教融合基地配套设施项目施工一标段钢筋采购合同</v>
      </c>
      <c r="R4419" s="22" t="str">
        <f>_xlfn._xlws.FILTER(辅助信息!D:D,辅助信息!E:E=B4419)</f>
        <v>乐山市校地共建产教融合基地建设项目一标段</v>
      </c>
    </row>
    <row r="4420" hidden="1" spans="2:18">
      <c r="B4420" s="128" t="s">
        <v>187</v>
      </c>
      <c r="C4420" s="63">
        <v>45944</v>
      </c>
      <c r="D4420" s="33" t="str">
        <f>VLOOKUP(B4420,辅助信息!E:K,7,FALSE)</f>
        <v>JWDDCD2025072900121</v>
      </c>
      <c r="E4420" s="33" t="str">
        <f>VLOOKUP(F4420,辅助信息!A:B,2,FALSE)</f>
        <v>螺纹钢</v>
      </c>
      <c r="F4420" s="33" t="s">
        <v>82</v>
      </c>
      <c r="G4420" s="29">
        <v>15</v>
      </c>
      <c r="H4420" s="127">
        <f>IF(SUMIFS('[1]2025年已发货'!$E:$E,'[1]2025年已发货'!$F:$F,C4420,'[1]2025年已发货'!$C:$C,F4420,'[1]2025年已发货'!$G:$G,I4420,'[1]2025年已发货'!$H:$H,J4420)=0,"未发货",SUMIFS('[1]2025年已发货'!$E:$E,'[1]2025年已发货'!$F:$F,C4420,'[1]2025年已发货'!$C:$C,F4420,'[1]2025年已发货'!$G:$G,I4420,'[1]2025年已发货'!$H:$H,J4420))</f>
        <v>15</v>
      </c>
      <c r="I4420" s="33" t="str">
        <f>VLOOKUP(B4420,辅助信息!E:I,3,FALSE)</f>
        <v>(乐山市校地共建产教融合基地建设项目一标段)四川省乐山市市中区苏稽镇周山嘴</v>
      </c>
      <c r="J4420" s="33" t="str">
        <f>VLOOKUP(B4420,辅助信息!E:I,4,FALSE)</f>
        <v>范增云</v>
      </c>
      <c r="K4420" s="33">
        <f>VLOOKUP(J4420,辅助信息!H:I,2,FALSE)</f>
        <v>13668153241</v>
      </c>
      <c r="L4420" s="102" t="str">
        <f>VLOOKUP(B4420,辅助信息!E:J,6,FALSE)</f>
        <v>联系实际收货人（范增云13668153241）现场要求炉批号控制2个以下，超2个不给予签收。提前联系到场规格及数量</v>
      </c>
      <c r="O4420" s="55" t="str">
        <f ca="1" t="shared" si="220"/>
        <v/>
      </c>
      <c r="P4420" s="55" t="str">
        <f ca="1" t="shared" si="221"/>
        <v/>
      </c>
      <c r="Q4420" s="22" t="str">
        <f>VLOOKUP(B4420,辅助信息!E:M,9,FALSE)</f>
        <v>ZTWM-CDGS-XS-2025-0125-四川机司-乐山市校地共建产教融合基地配套设施项目施工一标段钢筋采购合同</v>
      </c>
      <c r="R4420" s="22" t="str">
        <f>_xlfn._xlws.FILTER(辅助信息!D:D,辅助信息!E:E=B4420)</f>
        <v>乐山市校地共建产教融合基地建设项目一标段</v>
      </c>
    </row>
    <row r="4421" hidden="1" spans="2:18">
      <c r="B4421" s="128" t="s">
        <v>187</v>
      </c>
      <c r="C4421" s="63">
        <v>45944</v>
      </c>
      <c r="D4421" s="33" t="str">
        <f>VLOOKUP(B4421,辅助信息!E:K,7,FALSE)</f>
        <v>JWDDCD2025072900121</v>
      </c>
      <c r="E4421" s="33" t="str">
        <f>VLOOKUP(F4421,辅助信息!A:B,2,FALSE)</f>
        <v>螺纹钢</v>
      </c>
      <c r="F4421" s="33" t="s">
        <v>45</v>
      </c>
      <c r="G4421" s="29">
        <v>13</v>
      </c>
      <c r="H4421" s="127">
        <f>IF(SUMIFS('[1]2025年已发货'!$E:$E,'[1]2025年已发货'!$F:$F,C4421,'[1]2025年已发货'!$C:$C,F4421,'[1]2025年已发货'!$G:$G,I4421,'[1]2025年已发货'!$H:$H,J4421)=0,"未发货",SUMIFS('[1]2025年已发货'!$E:$E,'[1]2025年已发货'!$F:$F,C4421,'[1]2025年已发货'!$C:$C,F4421,'[1]2025年已发货'!$G:$G,I4421,'[1]2025年已发货'!$H:$H,J4421))</f>
        <v>13</v>
      </c>
      <c r="I4421" s="33" t="str">
        <f>VLOOKUP(B4421,辅助信息!E:I,3,FALSE)</f>
        <v>(乐山市校地共建产教融合基地建设项目一标段)四川省乐山市市中区苏稽镇周山嘴</v>
      </c>
      <c r="J4421" s="33" t="str">
        <f>VLOOKUP(B4421,辅助信息!E:I,4,FALSE)</f>
        <v>范增云</v>
      </c>
      <c r="K4421" s="33">
        <f>VLOOKUP(J4421,辅助信息!H:I,2,FALSE)</f>
        <v>13668153241</v>
      </c>
      <c r="L4421" s="102" t="str">
        <f>VLOOKUP(B4421,辅助信息!E:J,6,FALSE)</f>
        <v>联系实际收货人（范增云13668153241）现场要求炉批号控制2个以下，超2个不给予签收。提前联系到场规格及数量</v>
      </c>
      <c r="O4421" s="55" t="str">
        <f ca="1" t="shared" si="220"/>
        <v/>
      </c>
      <c r="P4421" s="55" t="str">
        <f ca="1" t="shared" si="221"/>
        <v/>
      </c>
      <c r="Q4421" s="22" t="str">
        <f>VLOOKUP(B4421,辅助信息!E:M,9,FALSE)</f>
        <v>ZTWM-CDGS-XS-2025-0125-四川机司-乐山市校地共建产教融合基地配套设施项目施工一标段钢筋采购合同</v>
      </c>
      <c r="R4421" s="22" t="str">
        <f>_xlfn._xlws.FILTER(辅助信息!D:D,辅助信息!E:E=B4421)</f>
        <v>乐山市校地共建产教融合基地建设项目一标段</v>
      </c>
    </row>
    <row r="4422" hidden="1" spans="2:18">
      <c r="B4422" s="128" t="s">
        <v>187</v>
      </c>
      <c r="C4422" s="63">
        <v>45944</v>
      </c>
      <c r="D4422" s="33" t="str">
        <f>VLOOKUP(B4422,辅助信息!E:K,7,FALSE)</f>
        <v>JWDDCD2025072900121</v>
      </c>
      <c r="E4422" s="33" t="str">
        <f>VLOOKUP(F4422,辅助信息!A:B,2,FALSE)</f>
        <v>螺纹钢</v>
      </c>
      <c r="F4422" s="33" t="s">
        <v>21</v>
      </c>
      <c r="G4422" s="29">
        <v>10</v>
      </c>
      <c r="H4422" s="127">
        <f>IF(SUMIFS('[1]2025年已发货'!$E:$E,'[1]2025年已发货'!$F:$F,C4422,'[1]2025年已发货'!$C:$C,F4422,'[1]2025年已发货'!$G:$G,I4422,'[1]2025年已发货'!$H:$H,J4422)=0,"未发货",SUMIFS('[1]2025年已发货'!$E:$E,'[1]2025年已发货'!$F:$F,C4422,'[1]2025年已发货'!$C:$C,F4422,'[1]2025年已发货'!$G:$G,I4422,'[1]2025年已发货'!$H:$H,J4422))</f>
        <v>10</v>
      </c>
      <c r="I4422" s="33" t="str">
        <f>VLOOKUP(B4422,辅助信息!E:I,3,FALSE)</f>
        <v>(乐山市校地共建产教融合基地建设项目一标段)四川省乐山市市中区苏稽镇周山嘴</v>
      </c>
      <c r="J4422" s="33" t="str">
        <f>VLOOKUP(B4422,辅助信息!E:I,4,FALSE)</f>
        <v>范增云</v>
      </c>
      <c r="K4422" s="33">
        <f>VLOOKUP(J4422,辅助信息!H:I,2,FALSE)</f>
        <v>13668153241</v>
      </c>
      <c r="L4422" s="102" t="str">
        <f>VLOOKUP(B4422,辅助信息!E:J,6,FALSE)</f>
        <v>联系实际收货人（范增云13668153241）现场要求炉批号控制2个以下，超2个不给予签收。提前联系到场规格及数量</v>
      </c>
      <c r="O4422" s="55" t="str">
        <f ca="1" t="shared" si="220"/>
        <v/>
      </c>
      <c r="P4422" s="55" t="str">
        <f ca="1" t="shared" si="221"/>
        <v/>
      </c>
      <c r="Q4422" s="22" t="str">
        <f>VLOOKUP(B4422,辅助信息!E:M,9,FALSE)</f>
        <v>ZTWM-CDGS-XS-2025-0125-四川机司-乐山市校地共建产教融合基地配套设施项目施工一标段钢筋采购合同</v>
      </c>
      <c r="R4422" s="22" t="str">
        <f>_xlfn._xlws.FILTER(辅助信息!D:D,辅助信息!E:E=B4422)</f>
        <v>乐山市校地共建产教融合基地建设项目一标段</v>
      </c>
    </row>
    <row r="4423" hidden="1" spans="2:18">
      <c r="B4423" s="128" t="s">
        <v>187</v>
      </c>
      <c r="C4423" s="63">
        <v>45944</v>
      </c>
      <c r="D4423" s="33" t="str">
        <f>VLOOKUP(B4423,辅助信息!E:K,7,FALSE)</f>
        <v>JWDDCD2025072900121</v>
      </c>
      <c r="E4423" s="33" t="str">
        <f>VLOOKUP(F4423,辅助信息!A:B,2,FALSE)</f>
        <v>螺纹钢</v>
      </c>
      <c r="F4423" s="33" t="s">
        <v>198</v>
      </c>
      <c r="G4423" s="29">
        <v>10</v>
      </c>
      <c r="H4423" s="127"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33" t="str">
        <f>VLOOKUP(B4423,辅助信息!E:I,3,FALSE)</f>
        <v>(乐山市校地共建产教融合基地建设项目一标段)四川省乐山市市中区苏稽镇周山嘴</v>
      </c>
      <c r="J4423" s="33" t="str">
        <f>VLOOKUP(B4423,辅助信息!E:I,4,FALSE)</f>
        <v>范增云</v>
      </c>
      <c r="K4423" s="33">
        <f>VLOOKUP(J4423,辅助信息!H:I,2,FALSE)</f>
        <v>13668153241</v>
      </c>
      <c r="L4423" s="102" t="str">
        <f>VLOOKUP(B4423,辅助信息!E:J,6,FALSE)</f>
        <v>联系实际收货人（范增云13668153241）现场要求炉批号控制2个以下，超2个不给予签收。提前联系到场规格及数量</v>
      </c>
      <c r="O4423" s="55" t="str">
        <f ca="1" t="shared" si="220"/>
        <v/>
      </c>
      <c r="P4423" s="55" t="str">
        <f ca="1" t="shared" si="221"/>
        <v/>
      </c>
      <c r="Q4423" s="22" t="str">
        <f>VLOOKUP(B4423,辅助信息!E:M,9,FALSE)</f>
        <v>ZTWM-CDGS-XS-2025-0125-四川机司-乐山市校地共建产教融合基地配套设施项目施工一标段钢筋采购合同</v>
      </c>
      <c r="R4423" s="22" t="str">
        <f>_xlfn._xlws.FILTER(辅助信息!D:D,辅助信息!E:E=B4423)</f>
        <v>乐山市校地共建产教融合基地建设项目一标段</v>
      </c>
    </row>
    <row r="4424" hidden="1" spans="2:18">
      <c r="B4424" s="128" t="s">
        <v>187</v>
      </c>
      <c r="C4424" s="63">
        <v>45944</v>
      </c>
      <c r="D4424" s="33" t="str">
        <f>VLOOKUP(B4424,辅助信息!E:K,7,FALSE)</f>
        <v>JWDDCD2025072900121</v>
      </c>
      <c r="E4424" s="33" t="str">
        <f>VLOOKUP(F4424,辅助信息!A:B,2,FALSE)</f>
        <v>螺纹钢</v>
      </c>
      <c r="F4424" s="33" t="s">
        <v>58</v>
      </c>
      <c r="G4424" s="29">
        <v>15</v>
      </c>
      <c r="H4424" s="127">
        <f>IF(SUMIFS('[1]2025年已发货'!$E:$E,'[1]2025年已发货'!$F:$F,C4424,'[1]2025年已发货'!$C:$C,F4424,'[1]2025年已发货'!$G:$G,I4424,'[1]2025年已发货'!$H:$H,J4424)=0,"未发货",SUMIFS('[1]2025年已发货'!$E:$E,'[1]2025年已发货'!$F:$F,C4424,'[1]2025年已发货'!$C:$C,F4424,'[1]2025年已发货'!$G:$G,I4424,'[1]2025年已发货'!$H:$H,J4424))</f>
        <v>15</v>
      </c>
      <c r="I4424" s="33" t="str">
        <f>VLOOKUP(B4424,辅助信息!E:I,3,FALSE)</f>
        <v>(乐山市校地共建产教融合基地建设项目一标段)四川省乐山市市中区苏稽镇周山嘴</v>
      </c>
      <c r="J4424" s="33" t="str">
        <f>VLOOKUP(B4424,辅助信息!E:I,4,FALSE)</f>
        <v>范增云</v>
      </c>
      <c r="K4424" s="33">
        <f>VLOOKUP(J4424,辅助信息!H:I,2,FALSE)</f>
        <v>13668153241</v>
      </c>
      <c r="L4424" s="102" t="str">
        <f>VLOOKUP(B4424,辅助信息!E:J,6,FALSE)</f>
        <v>联系实际收货人（范增云13668153241）现场要求炉批号控制2个以下，超2个不给予签收。提前联系到场规格及数量</v>
      </c>
      <c r="O4424" s="55" t="str">
        <f ca="1" t="shared" si="220"/>
        <v/>
      </c>
      <c r="P4424" s="55" t="str">
        <f ca="1" t="shared" si="221"/>
        <v/>
      </c>
      <c r="Q4424" s="22" t="str">
        <f>VLOOKUP(B4424,辅助信息!E:M,9,FALSE)</f>
        <v>ZTWM-CDGS-XS-2025-0125-四川机司-乐山市校地共建产教融合基地配套设施项目施工一标段钢筋采购合同</v>
      </c>
      <c r="R4424" s="22" t="str">
        <f>_xlfn._xlws.FILTER(辅助信息!D:D,辅助信息!E:E=B4424)</f>
        <v>乐山市校地共建产教融合基地建设项目一标段</v>
      </c>
    </row>
    <row r="4425" hidden="1" spans="2:18">
      <c r="B4425" s="128" t="s">
        <v>187</v>
      </c>
      <c r="C4425" s="63">
        <v>45944</v>
      </c>
      <c r="D4425" s="33" t="str">
        <f>VLOOKUP(B4425,辅助信息!E:K,7,FALSE)</f>
        <v>JWDDCD2025072900121</v>
      </c>
      <c r="E4425" s="33" t="str">
        <f>VLOOKUP(F4425,辅助信息!A:B,2,FALSE)</f>
        <v>螺纹钢</v>
      </c>
      <c r="F4425" s="33" t="s">
        <v>199</v>
      </c>
      <c r="G4425" s="29">
        <v>10</v>
      </c>
      <c r="H4425" s="127"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33" t="str">
        <f>VLOOKUP(B4425,辅助信息!E:I,3,FALSE)</f>
        <v>(乐山市校地共建产教融合基地建设项目一标段)四川省乐山市市中区苏稽镇周山嘴</v>
      </c>
      <c r="J4425" s="33" t="str">
        <f>VLOOKUP(B4425,辅助信息!E:I,4,FALSE)</f>
        <v>范增云</v>
      </c>
      <c r="K4425" s="33">
        <f>VLOOKUP(J4425,辅助信息!H:I,2,FALSE)</f>
        <v>13668153241</v>
      </c>
      <c r="L4425" s="102" t="str">
        <f>VLOOKUP(B4425,辅助信息!E:J,6,FALSE)</f>
        <v>联系实际收货人（范增云13668153241）现场要求炉批号控制2个以下，超2个不给予签收。提前联系到场规格及数量</v>
      </c>
      <c r="O4425" s="55" t="str">
        <f ca="1" t="shared" si="220"/>
        <v/>
      </c>
      <c r="P4425" s="55" t="str">
        <f ca="1" t="shared" si="221"/>
        <v/>
      </c>
      <c r="Q4425" s="22" t="str">
        <f>VLOOKUP(B4425,辅助信息!E:M,9,FALSE)</f>
        <v>ZTWM-CDGS-XS-2025-0125-四川机司-乐山市校地共建产教融合基地配套设施项目施工一标段钢筋采购合同</v>
      </c>
      <c r="R4425" s="22" t="str">
        <f>_xlfn._xlws.FILTER(辅助信息!D:D,辅助信息!E:E=B4425)</f>
        <v>乐山市校地共建产教融合基地建设项目一标段</v>
      </c>
    </row>
    <row r="4426" hidden="1" spans="2:18">
      <c r="B4426" s="128" t="s">
        <v>187</v>
      </c>
      <c r="C4426" s="63">
        <v>45944</v>
      </c>
      <c r="D4426" s="33" t="str">
        <f>VLOOKUP(B4426,辅助信息!E:K,7,FALSE)</f>
        <v>JWDDCD2025072900121</v>
      </c>
      <c r="E4426" s="33" t="str">
        <f>VLOOKUP(F4426,辅助信息!A:B,2,FALSE)</f>
        <v>螺纹钢</v>
      </c>
      <c r="F4426" s="33" t="s">
        <v>141</v>
      </c>
      <c r="G4426" s="29">
        <v>18</v>
      </c>
      <c r="H4426" s="127">
        <f>IF(SUMIFS('[1]2025年已发货'!$E:$E,'[1]2025年已发货'!$F:$F,C4426,'[1]2025年已发货'!$C:$C,F4426,'[1]2025年已发货'!$G:$G,I4426,'[1]2025年已发货'!$H:$H,J4426)=0,"未发货",SUMIFS('[1]2025年已发货'!$E:$E,'[1]2025年已发货'!$F:$F,C4426,'[1]2025年已发货'!$C:$C,F4426,'[1]2025年已发货'!$G:$G,I4426,'[1]2025年已发货'!$H:$H,J4426))</f>
        <v>18</v>
      </c>
      <c r="I4426" s="33" t="str">
        <f>VLOOKUP(B4426,辅助信息!E:I,3,FALSE)</f>
        <v>(乐山市校地共建产教融合基地建设项目一标段)四川省乐山市市中区苏稽镇周山嘴</v>
      </c>
      <c r="J4426" s="33" t="str">
        <f>VLOOKUP(B4426,辅助信息!E:I,4,FALSE)</f>
        <v>范增云</v>
      </c>
      <c r="K4426" s="33">
        <f>VLOOKUP(J4426,辅助信息!H:I,2,FALSE)</f>
        <v>13668153241</v>
      </c>
      <c r="L4426" s="102" t="str">
        <f>VLOOKUP(B4426,辅助信息!E:J,6,FALSE)</f>
        <v>联系实际收货人（范增云13668153241）现场要求炉批号控制2个以下，超2个不给予签收。提前联系到场规格及数量</v>
      </c>
      <c r="O4426" s="55" t="str">
        <f ca="1" t="shared" si="220"/>
        <v/>
      </c>
      <c r="P4426" s="55" t="str">
        <f ca="1" t="shared" si="221"/>
        <v/>
      </c>
      <c r="Q4426" s="22" t="str">
        <f>VLOOKUP(B4426,辅助信息!E:M,9,FALSE)</f>
        <v>ZTWM-CDGS-XS-2025-0125-四川机司-乐山市校地共建产教融合基地配套设施项目施工一标段钢筋采购合同</v>
      </c>
      <c r="R4426" s="22" t="str">
        <f>_xlfn._xlws.FILTER(辅助信息!D:D,辅助信息!E:E=B4426)</f>
        <v>乐山市校地共建产教融合基地建设项目一标段</v>
      </c>
    </row>
    <row r="4427" hidden="1" spans="2:18">
      <c r="B4427" s="128" t="s">
        <v>187</v>
      </c>
      <c r="C4427" s="63">
        <v>45944</v>
      </c>
      <c r="D4427" s="33" t="str">
        <f>VLOOKUP(B4427,辅助信息!E:K,7,FALSE)</f>
        <v>JWDDCD2025072900121</v>
      </c>
      <c r="E4427" s="33" t="str">
        <f>VLOOKUP(F4427,辅助信息!A:B,2,FALSE)</f>
        <v>螺纹钢</v>
      </c>
      <c r="F4427" s="33" t="s">
        <v>22</v>
      </c>
      <c r="G4427" s="29">
        <v>40</v>
      </c>
      <c r="H4427" s="127">
        <f>IF(SUMIFS('[1]2025年已发货'!$E:$E,'[1]2025年已发货'!$F:$F,C4427,'[1]2025年已发货'!$C:$C,F4427,'[1]2025年已发货'!$G:$G,I4427,'[1]2025年已发货'!$H:$H,J4427)=0,"未发货",SUMIFS('[1]2025年已发货'!$E:$E,'[1]2025年已发货'!$F:$F,C4427,'[1]2025年已发货'!$C:$C,F4427,'[1]2025年已发货'!$G:$G,I4427,'[1]2025年已发货'!$H:$H,J4427))</f>
        <v>40</v>
      </c>
      <c r="I4427" s="33" t="str">
        <f>VLOOKUP(B4427,辅助信息!E:I,3,FALSE)</f>
        <v>(乐山市校地共建产教融合基地建设项目一标段)四川省乐山市市中区苏稽镇周山嘴</v>
      </c>
      <c r="J4427" s="33" t="str">
        <f>VLOOKUP(B4427,辅助信息!E:I,4,FALSE)</f>
        <v>范增云</v>
      </c>
      <c r="K4427" s="33">
        <f>VLOOKUP(J4427,辅助信息!H:I,2,FALSE)</f>
        <v>13668153241</v>
      </c>
      <c r="L4427" s="102" t="str">
        <f>VLOOKUP(B4427,辅助信息!E:J,6,FALSE)</f>
        <v>联系实际收货人（范增云13668153241）现场要求炉批号控制2个以下，超2个不给予签收。提前联系到场规格及数量</v>
      </c>
      <c r="O4427" s="55" t="str">
        <f ca="1" t="shared" si="220"/>
        <v/>
      </c>
      <c r="P4427" s="55" t="str">
        <f ca="1" t="shared" si="221"/>
        <v/>
      </c>
      <c r="Q4427" s="22" t="str">
        <f>VLOOKUP(B4427,辅助信息!E:M,9,FALSE)</f>
        <v>ZTWM-CDGS-XS-2025-0125-四川机司-乐山市校地共建产教融合基地配套设施项目施工一标段钢筋采购合同</v>
      </c>
      <c r="R4427" s="22" t="str">
        <f>_xlfn._xlws.FILTER(辅助信息!D:D,辅助信息!E:E=B4427)</f>
        <v>乐山市校地共建产教融合基地建设项目一标段</v>
      </c>
    </row>
    <row r="4428" hidden="1" spans="2:18">
      <c r="B4428" s="128" t="s">
        <v>187</v>
      </c>
      <c r="C4428" s="63">
        <v>45944</v>
      </c>
      <c r="D4428" s="33" t="str">
        <f>VLOOKUP(B4428,辅助信息!E:K,7,FALSE)</f>
        <v>JWDDCD2025072900121</v>
      </c>
      <c r="E4428" s="33" t="str">
        <f>VLOOKUP(F4428,辅助信息!A:B,2,FALSE)</f>
        <v>螺纹钢</v>
      </c>
      <c r="F4428" s="33" t="s">
        <v>142</v>
      </c>
      <c r="G4428" s="29">
        <v>45</v>
      </c>
      <c r="H4428" s="127">
        <f>IF(SUMIFS('[1]2025年已发货'!$E:$E,'[1]2025年已发货'!$F:$F,C4428,'[1]2025年已发货'!$C:$C,F4428,'[1]2025年已发货'!$G:$G,I4428,'[1]2025年已发货'!$H:$H,J4428)=0,"未发货",SUMIFS('[1]2025年已发货'!$E:$E,'[1]2025年已发货'!$F:$F,C4428,'[1]2025年已发货'!$C:$C,F4428,'[1]2025年已发货'!$G:$G,I4428,'[1]2025年已发货'!$H:$H,J4428))</f>
        <v>45</v>
      </c>
      <c r="I4428" s="33" t="str">
        <f>VLOOKUP(B4428,辅助信息!E:I,3,FALSE)</f>
        <v>(乐山市校地共建产教融合基地建设项目一标段)四川省乐山市市中区苏稽镇周山嘴</v>
      </c>
      <c r="J4428" s="33" t="str">
        <f>VLOOKUP(B4428,辅助信息!E:I,4,FALSE)</f>
        <v>范增云</v>
      </c>
      <c r="K4428" s="33">
        <f>VLOOKUP(J4428,辅助信息!H:I,2,FALSE)</f>
        <v>13668153241</v>
      </c>
      <c r="L4428" s="102" t="str">
        <f>VLOOKUP(B4428,辅助信息!E:J,6,FALSE)</f>
        <v>联系实际收货人（范增云13668153241）现场要求炉批号控制2个以下，超2个不给予签收。提前联系到场规格及数量</v>
      </c>
      <c r="O4428" s="55" t="str">
        <f ca="1" t="shared" si="220"/>
        <v/>
      </c>
      <c r="P4428" s="55" t="str">
        <f ca="1" t="shared" si="221"/>
        <v/>
      </c>
      <c r="Q4428" s="22" t="str">
        <f>VLOOKUP(B4428,辅助信息!E:M,9,FALSE)</f>
        <v>ZTWM-CDGS-XS-2025-0125-四川机司-乐山市校地共建产教融合基地配套设施项目施工一标段钢筋采购合同</v>
      </c>
      <c r="R4428" s="22" t="str">
        <f>_xlfn._xlws.FILTER(辅助信息!D:D,辅助信息!E:E=B4428)</f>
        <v>乐山市校地共建产教融合基地建设项目一标段</v>
      </c>
    </row>
    <row r="4429" hidden="1" spans="2:18">
      <c r="B4429" s="128" t="s">
        <v>187</v>
      </c>
      <c r="C4429" s="63">
        <v>45944</v>
      </c>
      <c r="D4429" s="33" t="str">
        <f>VLOOKUP(B4429,辅助信息!E:K,7,FALSE)</f>
        <v>JWDDCD2025072900121</v>
      </c>
      <c r="E4429" s="33" t="str">
        <f>VLOOKUP(F4429,辅助信息!A:B,2,FALSE)</f>
        <v>螺纹钢</v>
      </c>
      <c r="F4429" s="33" t="s">
        <v>181</v>
      </c>
      <c r="G4429" s="29">
        <v>15</v>
      </c>
      <c r="H4429" s="127">
        <f>IF(SUMIFS('[1]2025年已发货'!$E:$E,'[1]2025年已发货'!$F:$F,C4429,'[1]2025年已发货'!$C:$C,F4429,'[1]2025年已发货'!$G:$G,I4429,'[1]2025年已发货'!$H:$H,J4429)=0,"未发货",SUMIFS('[1]2025年已发货'!$E:$E,'[1]2025年已发货'!$F:$F,C4429,'[1]2025年已发货'!$C:$C,F4429,'[1]2025年已发货'!$G:$G,I4429,'[1]2025年已发货'!$H:$H,J4429))</f>
        <v>15</v>
      </c>
      <c r="I4429" s="33" t="str">
        <f>VLOOKUP(B4429,辅助信息!E:I,3,FALSE)</f>
        <v>(乐山市校地共建产教融合基地建设项目一标段)四川省乐山市市中区苏稽镇周山嘴</v>
      </c>
      <c r="J4429" s="33" t="str">
        <f>VLOOKUP(B4429,辅助信息!E:I,4,FALSE)</f>
        <v>范增云</v>
      </c>
      <c r="K4429" s="33">
        <f>VLOOKUP(J4429,辅助信息!H:I,2,FALSE)</f>
        <v>13668153241</v>
      </c>
      <c r="L4429" s="102" t="str">
        <f>VLOOKUP(B4429,辅助信息!E:J,6,FALSE)</f>
        <v>联系实际收货人（范增云13668153241）现场要求炉批号控制2个以下，超2个不给予签收。提前联系到场规格及数量</v>
      </c>
      <c r="O4429" s="55" t="str">
        <f ca="1" t="shared" si="220"/>
        <v/>
      </c>
      <c r="P4429" s="55" t="str">
        <f ca="1" t="shared" si="221"/>
        <v/>
      </c>
      <c r="Q4429" s="22" t="str">
        <f>VLOOKUP(B4429,辅助信息!E:M,9,FALSE)</f>
        <v>ZTWM-CDGS-XS-2025-0125-四川机司-乐山市校地共建产教融合基地配套设施项目施工一标段钢筋采购合同</v>
      </c>
      <c r="R4429" s="22" t="str">
        <f>_xlfn._xlws.FILTER(辅助信息!D:D,辅助信息!E:E=B4429)</f>
        <v>乐山市校地共建产教融合基地建设项目一标段</v>
      </c>
    </row>
    <row r="4430" hidden="1" spans="2:18">
      <c r="B4430" s="128" t="s">
        <v>187</v>
      </c>
      <c r="C4430" s="63">
        <v>45944</v>
      </c>
      <c r="D4430" s="33" t="str">
        <f>VLOOKUP(B4430,辅助信息!E:K,7,FALSE)</f>
        <v>JWDDCD2025072900121</v>
      </c>
      <c r="E4430" s="33" t="str">
        <f>VLOOKUP(F4430,辅助信息!A:B,2,FALSE)</f>
        <v>螺纹钢</v>
      </c>
      <c r="F4430" s="33" t="s">
        <v>200</v>
      </c>
      <c r="G4430" s="29">
        <v>5</v>
      </c>
      <c r="H4430" s="127">
        <f>IF(SUMIFS('[1]2025年已发货'!$E:$E,'[1]2025年已发货'!$F:$F,C4430,'[1]2025年已发货'!$C:$C,F4430,'[1]2025年已发货'!$G:$G,I4430,'[1]2025年已发货'!$H:$H,J4430)=0,"未发货",SUMIFS('[1]2025年已发货'!$E:$E,'[1]2025年已发货'!$F:$F,C4430,'[1]2025年已发货'!$C:$C,F4430,'[1]2025年已发货'!$G:$G,I4430,'[1]2025年已发货'!$H:$H,J4430))</f>
        <v>5</v>
      </c>
      <c r="I4430" s="33" t="str">
        <f>VLOOKUP(B4430,辅助信息!E:I,3,FALSE)</f>
        <v>(乐山市校地共建产教融合基地建设项目一标段)四川省乐山市市中区苏稽镇周山嘴</v>
      </c>
      <c r="J4430" s="33" t="str">
        <f>VLOOKUP(B4430,辅助信息!E:I,4,FALSE)</f>
        <v>范增云</v>
      </c>
      <c r="K4430" s="33">
        <f>VLOOKUP(J4430,辅助信息!H:I,2,FALSE)</f>
        <v>13668153241</v>
      </c>
      <c r="L4430" s="102" t="str">
        <f>VLOOKUP(B4430,辅助信息!E:J,6,FALSE)</f>
        <v>联系实际收货人（范增云13668153241）现场要求炉批号控制2个以下，超2个不给予签收。提前联系到场规格及数量</v>
      </c>
      <c r="O4430" s="55" t="str">
        <f ca="1" t="shared" si="220"/>
        <v/>
      </c>
      <c r="P4430" s="55" t="str">
        <f ca="1" t="shared" si="221"/>
        <v/>
      </c>
      <c r="Q4430" s="22" t="str">
        <f>VLOOKUP(B4430,辅助信息!E:M,9,FALSE)</f>
        <v>ZTWM-CDGS-XS-2025-0125-四川机司-乐山市校地共建产教融合基地配套设施项目施工一标段钢筋采购合同</v>
      </c>
      <c r="R4430" s="22" t="str">
        <f>_xlfn._xlws.FILTER(辅助信息!D:D,辅助信息!E:E=B4430)</f>
        <v>乐山市校地共建产教融合基地建设项目一标段</v>
      </c>
    </row>
    <row r="4431" hidden="1" spans="2:18">
      <c r="B4431" s="128" t="s">
        <v>187</v>
      </c>
      <c r="C4431" s="63">
        <v>45944</v>
      </c>
      <c r="D4431" s="33" t="str">
        <f>VLOOKUP(B4431,辅助信息!E:K,7,FALSE)</f>
        <v>JWDDCD2025072900121</v>
      </c>
      <c r="E4431" s="33" t="str">
        <f>VLOOKUP(F4431,辅助信息!A:B,2,FALSE)</f>
        <v>螺纹钢</v>
      </c>
      <c r="F4431" s="33" t="s">
        <v>182</v>
      </c>
      <c r="G4431" s="29">
        <v>5</v>
      </c>
      <c r="H4431" s="127">
        <f>IF(SUMIFS('[1]2025年已发货'!$E:$E,'[1]2025年已发货'!$F:$F,C4431,'[1]2025年已发货'!$C:$C,F4431,'[1]2025年已发货'!$G:$G,I4431,'[1]2025年已发货'!$H:$H,J4431)=0,"未发货",SUMIFS('[1]2025年已发货'!$E:$E,'[1]2025年已发货'!$F:$F,C4431,'[1]2025年已发货'!$C:$C,F4431,'[1]2025年已发货'!$G:$G,I4431,'[1]2025年已发货'!$H:$H,J4431))</f>
        <v>5</v>
      </c>
      <c r="I4431" s="33" t="str">
        <f>VLOOKUP(B4431,辅助信息!E:I,3,FALSE)</f>
        <v>(乐山市校地共建产教融合基地建设项目一标段)四川省乐山市市中区苏稽镇周山嘴</v>
      </c>
      <c r="J4431" s="33" t="str">
        <f>VLOOKUP(B4431,辅助信息!E:I,4,FALSE)</f>
        <v>范增云</v>
      </c>
      <c r="K4431" s="33">
        <f>VLOOKUP(J4431,辅助信息!H:I,2,FALSE)</f>
        <v>13668153241</v>
      </c>
      <c r="L4431" s="102" t="str">
        <f>VLOOKUP(B4431,辅助信息!E:J,6,FALSE)</f>
        <v>联系实际收货人（范增云13668153241）现场要求炉批号控制2个以下，超2个不给予签收。提前联系到场规格及数量</v>
      </c>
      <c r="O4431" s="55" t="str">
        <f ca="1" t="shared" si="220"/>
        <v/>
      </c>
      <c r="P4431" s="55" t="str">
        <f ca="1" t="shared" si="221"/>
        <v/>
      </c>
      <c r="Q4431" s="22" t="str">
        <f>VLOOKUP(B4431,辅助信息!E:M,9,FALSE)</f>
        <v>ZTWM-CDGS-XS-2025-0125-四川机司-乐山市校地共建产教融合基地配套设施项目施工一标段钢筋采购合同</v>
      </c>
      <c r="R4431" s="22" t="str">
        <f>_xlfn._xlws.FILTER(辅助信息!D:D,辅助信息!E:E=B4431)</f>
        <v>乐山市校地共建产教融合基地建设项目一标段</v>
      </c>
    </row>
    <row r="4432" hidden="1" spans="2:18">
      <c r="B4432" s="128" t="s">
        <v>187</v>
      </c>
      <c r="C4432" s="63">
        <v>45944</v>
      </c>
      <c r="D4432" s="33" t="str">
        <f>VLOOKUP(B4432,辅助信息!E:K,7,FALSE)</f>
        <v>JWDDCD2025072900121</v>
      </c>
      <c r="E4432" s="33" t="str">
        <f>VLOOKUP(F4432,辅助信息!A:B,2,FALSE)</f>
        <v>螺纹钢</v>
      </c>
      <c r="F4432" s="33" t="s">
        <v>201</v>
      </c>
      <c r="G4432" s="29">
        <v>10</v>
      </c>
      <c r="H4432" s="127">
        <f>IF(SUMIFS('[1]2025年已发货'!$E:$E,'[1]2025年已发货'!$F:$F,C4432,'[1]2025年已发货'!$C:$C,F4432,'[1]2025年已发货'!$G:$G,I4432,'[1]2025年已发货'!$H:$H,J4432)=0,"未发货",SUMIFS('[1]2025年已发货'!$E:$E,'[1]2025年已发货'!$F:$F,C4432,'[1]2025年已发货'!$C:$C,F4432,'[1]2025年已发货'!$G:$G,I4432,'[1]2025年已发货'!$H:$H,J4432))</f>
        <v>10</v>
      </c>
      <c r="I4432" s="33" t="str">
        <f>VLOOKUP(B4432,辅助信息!E:I,3,FALSE)</f>
        <v>(乐山市校地共建产教融合基地建设项目一标段)四川省乐山市市中区苏稽镇周山嘴</v>
      </c>
      <c r="J4432" s="33" t="str">
        <f>VLOOKUP(B4432,辅助信息!E:I,4,FALSE)</f>
        <v>范增云</v>
      </c>
      <c r="K4432" s="33">
        <f>VLOOKUP(J4432,辅助信息!H:I,2,FALSE)</f>
        <v>13668153241</v>
      </c>
      <c r="L4432" s="102" t="str">
        <f>VLOOKUP(B4432,辅助信息!E:J,6,FALSE)</f>
        <v>联系实际收货人（范增云13668153241）现场要求炉批号控制2个以下，超2个不给予签收。提前联系到场规格及数量</v>
      </c>
      <c r="O4432" s="55" t="str">
        <f ca="1" t="shared" si="220"/>
        <v/>
      </c>
      <c r="P4432" s="55" t="str">
        <f ca="1" t="shared" si="221"/>
        <v/>
      </c>
      <c r="Q4432" s="22" t="str">
        <f>VLOOKUP(B4432,辅助信息!E:M,9,FALSE)</f>
        <v>ZTWM-CDGS-XS-2025-0125-四川机司-乐山市校地共建产教融合基地配套设施项目施工一标段钢筋采购合同</v>
      </c>
      <c r="R4432" s="22" t="str">
        <f>_xlfn._xlws.FILTER(辅助信息!D:D,辅助信息!E:E=B4432)</f>
        <v>乐山市校地共建产教融合基地建设项目一标段</v>
      </c>
    </row>
    <row r="4433" hidden="1" spans="2:18">
      <c r="B4433" s="128" t="s">
        <v>187</v>
      </c>
      <c r="C4433" s="63">
        <v>45944</v>
      </c>
      <c r="D4433" s="33" t="str">
        <f>VLOOKUP(B4433,辅助信息!E:K,7,FALSE)</f>
        <v>JWDDCD2025072900121</v>
      </c>
      <c r="E4433" s="33" t="str">
        <f>VLOOKUP(F4433,辅助信息!A:B,2,FALSE)</f>
        <v>盘螺</v>
      </c>
      <c r="F4433" s="33" t="s">
        <v>41</v>
      </c>
      <c r="G4433" s="29">
        <v>40</v>
      </c>
      <c r="H4433" s="127"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33" t="str">
        <f>VLOOKUP(B4433,辅助信息!E:I,3,FALSE)</f>
        <v>(乐山市校地共建产教融合基地建设项目一标段)四川省乐山市市中区苏稽镇周山嘴</v>
      </c>
      <c r="J4433" s="33" t="str">
        <f>VLOOKUP(B4433,辅助信息!E:I,4,FALSE)</f>
        <v>范增云</v>
      </c>
      <c r="K4433" s="33">
        <f>VLOOKUP(J4433,辅助信息!H:I,2,FALSE)</f>
        <v>13668153241</v>
      </c>
      <c r="L4433" s="102" t="str">
        <f>VLOOKUP(B4433,辅助信息!E:J,6,FALSE)</f>
        <v>联系实际收货人（范增云13668153241）现场要求炉批号控制2个以下，超2个不给予签收。提前联系到场规格及数量</v>
      </c>
      <c r="O4433" s="55" t="str">
        <f ca="1" t="shared" si="220"/>
        <v/>
      </c>
      <c r="P4433" s="55" t="str">
        <f ca="1" t="shared" si="221"/>
        <v/>
      </c>
      <c r="Q4433" s="22" t="str">
        <f>VLOOKUP(B4433,辅助信息!E:M,9,FALSE)</f>
        <v>ZTWM-CDGS-XS-2025-0125-四川机司-乐山市校地共建产教融合基地配套设施项目施工一标段钢筋采购合同</v>
      </c>
      <c r="R4433" s="22" t="str">
        <f>_xlfn._xlws.FILTER(辅助信息!D:D,辅助信息!E:E=B4433)</f>
        <v>乐山市校地共建产教融合基地建设项目一标段</v>
      </c>
    </row>
    <row r="4434" hidden="1" spans="2:18">
      <c r="B4434" s="128" t="s">
        <v>187</v>
      </c>
      <c r="C4434" s="63">
        <v>45944</v>
      </c>
      <c r="D4434" s="33" t="str">
        <f>VLOOKUP(B4434,辅助信息!E:K,7,FALSE)</f>
        <v>JWDDCD2025072900121</v>
      </c>
      <c r="E4434" s="33" t="str">
        <f>VLOOKUP(F4434,辅助信息!A:B,2,FALSE)</f>
        <v>盘螺</v>
      </c>
      <c r="F4434" s="33" t="s">
        <v>26</v>
      </c>
      <c r="G4434" s="29">
        <v>15</v>
      </c>
      <c r="H4434" s="127"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33" t="str">
        <f>VLOOKUP(B4434,辅助信息!E:I,3,FALSE)</f>
        <v>(乐山市校地共建产教融合基地建设项目一标段)四川省乐山市市中区苏稽镇周山嘴</v>
      </c>
      <c r="J4434" s="33" t="str">
        <f>VLOOKUP(B4434,辅助信息!E:I,4,FALSE)</f>
        <v>范增云</v>
      </c>
      <c r="K4434" s="33">
        <f>VLOOKUP(J4434,辅助信息!H:I,2,FALSE)</f>
        <v>13668153241</v>
      </c>
      <c r="L4434" s="102" t="str">
        <f>VLOOKUP(B4434,辅助信息!E:J,6,FALSE)</f>
        <v>联系实际收货人（范增云13668153241）现场要求炉批号控制2个以下，超2个不给予签收。提前联系到场规格及数量</v>
      </c>
      <c r="O4434" s="55" t="str">
        <f ca="1" t="shared" si="220"/>
        <v/>
      </c>
      <c r="P4434" s="55" t="str">
        <f ca="1" t="shared" si="221"/>
        <v/>
      </c>
      <c r="Q4434" s="22" t="str">
        <f>VLOOKUP(B4434,辅助信息!E:M,9,FALSE)</f>
        <v>ZTWM-CDGS-XS-2025-0125-四川机司-乐山市校地共建产教融合基地配套设施项目施工一标段钢筋采购合同</v>
      </c>
      <c r="R4434" s="22" t="str">
        <f>_xlfn._xlws.FILTER(辅助信息!D:D,辅助信息!E:E=B4434)</f>
        <v>乐山市校地共建产教融合基地建设项目一标段</v>
      </c>
    </row>
    <row r="4435" hidden="1" spans="2:18">
      <c r="B4435" s="128" t="s">
        <v>187</v>
      </c>
      <c r="C4435" s="63">
        <v>45944</v>
      </c>
      <c r="D4435" s="33" t="str">
        <f>VLOOKUP(B4435,辅助信息!E:K,7,FALSE)</f>
        <v>JWDDCD2025072900121</v>
      </c>
      <c r="E4435" s="33" t="str">
        <f>VLOOKUP(F4435,辅助信息!A:B,2,FALSE)</f>
        <v>盘螺</v>
      </c>
      <c r="F4435" s="33" t="s">
        <v>40</v>
      </c>
      <c r="G4435" s="29">
        <v>70</v>
      </c>
      <c r="H4435" s="127"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33" t="str">
        <f>VLOOKUP(B4435,辅助信息!E:I,3,FALSE)</f>
        <v>(乐山市校地共建产教融合基地建设项目一标段)四川省乐山市市中区苏稽镇周山嘴</v>
      </c>
      <c r="J4435" s="33" t="str">
        <f>VLOOKUP(B4435,辅助信息!E:I,4,FALSE)</f>
        <v>范增云</v>
      </c>
      <c r="K4435" s="33">
        <f>VLOOKUP(J4435,辅助信息!H:I,2,FALSE)</f>
        <v>13668153241</v>
      </c>
      <c r="L4435" s="102" t="str">
        <f>VLOOKUP(B4435,辅助信息!E:J,6,FALSE)</f>
        <v>联系实际收货人（范增云13668153241）现场要求炉批号控制2个以下，超2个不给予签收。提前联系到场规格及数量</v>
      </c>
      <c r="O4435" s="55" t="str">
        <f ca="1" t="shared" si="220"/>
        <v/>
      </c>
      <c r="P4435" s="55" t="str">
        <f ca="1" t="shared" si="221"/>
        <v/>
      </c>
      <c r="Q4435" s="22" t="str">
        <f>VLOOKUP(B4435,辅助信息!E:M,9,FALSE)</f>
        <v>ZTWM-CDGS-XS-2025-0125-四川机司-乐山市校地共建产教融合基地配套设施项目施工一标段钢筋采购合同</v>
      </c>
      <c r="R4435" s="22" t="str">
        <f>_xlfn._xlws.FILTER(辅助信息!D:D,辅助信息!E:E=B4435)</f>
        <v>乐山市校地共建产教融合基地建设项目一标段</v>
      </c>
    </row>
    <row r="4436" hidden="1" spans="2:18">
      <c r="B4436" s="128" t="s">
        <v>47</v>
      </c>
      <c r="C4436" s="63">
        <v>45944</v>
      </c>
      <c r="D4436" s="33" t="str">
        <f>VLOOKUP(B4436,辅助信息!E:K,7,FALSE)</f>
        <v>JWDDCD2025052800131</v>
      </c>
      <c r="E4436" s="33" t="str">
        <f>VLOOKUP(F4436,辅助信息!A:B,2,FALSE)</f>
        <v>螺纹钢</v>
      </c>
      <c r="F4436" s="33" t="s">
        <v>27</v>
      </c>
      <c r="G4436" s="29">
        <v>9</v>
      </c>
      <c r="H4436" s="127"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33" t="str">
        <f>VLOOKUP(B4436,辅助信息!E:I,3,FALSE)</f>
        <v>（商投建工达州中医药科技园-1工区）达州市通川区达州中医药职业学院犀牛大道北段</v>
      </c>
      <c r="J4436" s="33" t="str">
        <f>VLOOKUP(B4436,辅助信息!E:I,4,FALSE)</f>
        <v>程黄刚</v>
      </c>
      <c r="K4436" s="33">
        <f>VLOOKUP(J4436,辅助信息!H:I,2,FALSE)</f>
        <v>15108211617</v>
      </c>
      <c r="L4436" s="102" t="str">
        <f>VLOOKUP(B4436,辅助信息!E:J,6,FALSE)</f>
        <v>控制炉批号！多了现场不收！,优先安排达钢,提前联系到场规格及数量</v>
      </c>
      <c r="O4436" s="55" t="str">
        <f ca="1" t="shared" si="220"/>
        <v/>
      </c>
      <c r="P4436" s="55" t="str">
        <f ca="1" t="shared" si="221"/>
        <v/>
      </c>
      <c r="Q4436" s="22" t="str">
        <f>VLOOKUP(B4436,辅助信息!E:M,9,FALSE)</f>
        <v>ZTWM-CDGS-XS-2024-0134-商投建工达州中医药科技成果示范园项目</v>
      </c>
      <c r="R4436" s="22" t="str">
        <f>_xlfn._xlws.FILTER(辅助信息!D:D,辅助信息!E:E=B4436)</f>
        <v>商投建工达州中医药科技园</v>
      </c>
    </row>
    <row r="4437" hidden="1" spans="2:18">
      <c r="B4437" s="128" t="s">
        <v>47</v>
      </c>
      <c r="C4437" s="63">
        <v>45944</v>
      </c>
      <c r="D4437" s="33" t="str">
        <f>VLOOKUP(B4437,辅助信息!E:K,7,FALSE)</f>
        <v>JWDDCD2025052800131</v>
      </c>
      <c r="E4437" s="33" t="str">
        <f>VLOOKUP(F4437,辅助信息!A:B,2,FALSE)</f>
        <v>螺纹钢</v>
      </c>
      <c r="F4437" s="33" t="s">
        <v>30</v>
      </c>
      <c r="G4437" s="29">
        <v>9</v>
      </c>
      <c r="H4437" s="127"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33" t="str">
        <f>VLOOKUP(B4437,辅助信息!E:I,3,FALSE)</f>
        <v>（商投建工达州中医药科技园-1工区）达州市通川区达州中医药职业学院犀牛大道北段</v>
      </c>
      <c r="J4437" s="33" t="str">
        <f>VLOOKUP(B4437,辅助信息!E:I,4,FALSE)</f>
        <v>程黄刚</v>
      </c>
      <c r="K4437" s="33">
        <f>VLOOKUP(J4437,辅助信息!H:I,2,FALSE)</f>
        <v>15108211617</v>
      </c>
      <c r="L4437" s="102" t="str">
        <f>VLOOKUP(B4437,辅助信息!E:J,6,FALSE)</f>
        <v>控制炉批号！多了现场不收！,优先安排达钢,提前联系到场规格及数量</v>
      </c>
      <c r="O4437" s="55" t="str">
        <f ca="1" t="shared" si="220"/>
        <v/>
      </c>
      <c r="P4437" s="55" t="str">
        <f ca="1" t="shared" si="221"/>
        <v/>
      </c>
      <c r="Q4437" s="22" t="str">
        <f>VLOOKUP(B4437,辅助信息!E:M,9,FALSE)</f>
        <v>ZTWM-CDGS-XS-2024-0134-商投建工达州中医药科技成果示范园项目</v>
      </c>
      <c r="R4437" s="22" t="str">
        <f>_xlfn._xlws.FILTER(辅助信息!D:D,辅助信息!E:E=B4437)</f>
        <v>商投建工达州中医药科技园</v>
      </c>
    </row>
    <row r="4438" hidden="1" spans="2:18">
      <c r="B4438" s="128" t="s">
        <v>47</v>
      </c>
      <c r="C4438" s="63">
        <v>45944</v>
      </c>
      <c r="D4438" s="33" t="str">
        <f>VLOOKUP(B4438,辅助信息!E:K,7,FALSE)</f>
        <v>JWDDCD2025052800131</v>
      </c>
      <c r="E4438" s="33" t="str">
        <f>VLOOKUP(F4438,辅助信息!A:B,2,FALSE)</f>
        <v>螺纹钢</v>
      </c>
      <c r="F4438" s="33" t="s">
        <v>33</v>
      </c>
      <c r="G4438" s="29">
        <v>9</v>
      </c>
      <c r="H4438" s="127"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33" t="str">
        <f>VLOOKUP(B4438,辅助信息!E:I,3,FALSE)</f>
        <v>（商投建工达州中医药科技园-1工区）达州市通川区达州中医药职业学院犀牛大道北段</v>
      </c>
      <c r="J4438" s="33" t="str">
        <f>VLOOKUP(B4438,辅助信息!E:I,4,FALSE)</f>
        <v>程黄刚</v>
      </c>
      <c r="K4438" s="33">
        <f>VLOOKUP(J4438,辅助信息!H:I,2,FALSE)</f>
        <v>15108211617</v>
      </c>
      <c r="L4438" s="102" t="str">
        <f>VLOOKUP(B4438,辅助信息!E:J,6,FALSE)</f>
        <v>控制炉批号！多了现场不收！,优先安排达钢,提前联系到场规格及数量</v>
      </c>
      <c r="O4438" s="55" t="str">
        <f ca="1" t="shared" si="220"/>
        <v/>
      </c>
      <c r="P4438" s="55" t="str">
        <f ca="1" t="shared" si="221"/>
        <v/>
      </c>
      <c r="Q4438" s="22" t="str">
        <f>VLOOKUP(B4438,辅助信息!E:M,9,FALSE)</f>
        <v>ZTWM-CDGS-XS-2024-0134-商投建工达州中医药科技成果示范园项目</v>
      </c>
      <c r="R4438" s="22" t="str">
        <f>_xlfn._xlws.FILTER(辅助信息!D:D,辅助信息!E:E=B4438)</f>
        <v>商投建工达州中医药科技园</v>
      </c>
    </row>
    <row r="4439" hidden="1" spans="2:18">
      <c r="B4439" s="128" t="s">
        <v>47</v>
      </c>
      <c r="C4439" s="63">
        <v>45944</v>
      </c>
      <c r="D4439" s="33" t="str">
        <f>VLOOKUP(B4439,辅助信息!E:K,7,FALSE)</f>
        <v>JWDDCD2025052800131</v>
      </c>
      <c r="E4439" s="33" t="str">
        <f>VLOOKUP(F4439,辅助信息!A:B,2,FALSE)</f>
        <v>螺纹钢</v>
      </c>
      <c r="F4439" s="33" t="s">
        <v>18</v>
      </c>
      <c r="G4439" s="29">
        <v>9</v>
      </c>
      <c r="H4439" s="127"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33" t="str">
        <f>VLOOKUP(B4439,辅助信息!E:I,3,FALSE)</f>
        <v>（商投建工达州中医药科技园-1工区）达州市通川区达州中医药职业学院犀牛大道北段</v>
      </c>
      <c r="J4439" s="33" t="str">
        <f>VLOOKUP(B4439,辅助信息!E:I,4,FALSE)</f>
        <v>程黄刚</v>
      </c>
      <c r="K4439" s="33">
        <f>VLOOKUP(J4439,辅助信息!H:I,2,FALSE)</f>
        <v>15108211617</v>
      </c>
      <c r="L4439" s="102" t="str">
        <f>VLOOKUP(B4439,辅助信息!E:J,6,FALSE)</f>
        <v>控制炉批号！多了现场不收！,优先安排达钢,提前联系到场规格及数量</v>
      </c>
      <c r="O4439" s="55" t="str">
        <f ca="1" t="shared" si="220"/>
        <v/>
      </c>
      <c r="P4439" s="55" t="str">
        <f ca="1" t="shared" si="221"/>
        <v/>
      </c>
      <c r="Q4439" s="22" t="str">
        <f>VLOOKUP(B4439,辅助信息!E:M,9,FALSE)</f>
        <v>ZTWM-CDGS-XS-2024-0134-商投建工达州中医药科技成果示范园项目</v>
      </c>
      <c r="R4439" s="22" t="str">
        <f>_xlfn._xlws.FILTER(辅助信息!D:D,辅助信息!E:E=B4439)</f>
        <v>商投建工达州中医药科技园</v>
      </c>
    </row>
    <row r="4440" hidden="1" spans="2:18">
      <c r="B4440" s="128" t="s">
        <v>47</v>
      </c>
      <c r="C4440" s="63">
        <v>45944</v>
      </c>
      <c r="D4440" s="33" t="str">
        <f>VLOOKUP(B4440,辅助信息!E:K,7,FALSE)</f>
        <v>JWDDCD2025052800131</v>
      </c>
      <c r="E4440" s="33" t="str">
        <f>VLOOKUP(F4440,辅助信息!A:B,2,FALSE)</f>
        <v>盘螺</v>
      </c>
      <c r="F4440" s="33" t="s">
        <v>40</v>
      </c>
      <c r="G4440" s="29">
        <v>15</v>
      </c>
      <c r="H4440" s="127"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33" t="str">
        <f>VLOOKUP(B4440,辅助信息!E:I,3,FALSE)</f>
        <v>（商投建工达州中医药科技园-1工区）达州市通川区达州中医药职业学院犀牛大道北段</v>
      </c>
      <c r="J4440" s="33" t="str">
        <f>VLOOKUP(B4440,辅助信息!E:I,4,FALSE)</f>
        <v>程黄刚</v>
      </c>
      <c r="K4440" s="33">
        <f>VLOOKUP(J4440,辅助信息!H:I,2,FALSE)</f>
        <v>15108211617</v>
      </c>
      <c r="L4440" s="102" t="str">
        <f>VLOOKUP(B4440,辅助信息!E:J,6,FALSE)</f>
        <v>控制炉批号！多了现场不收！,优先安排达钢,提前联系到场规格及数量</v>
      </c>
      <c r="O4440" s="55" t="str">
        <f ca="1" t="shared" si="220"/>
        <v/>
      </c>
      <c r="P4440" s="55" t="str">
        <f ca="1" t="shared" si="221"/>
        <v/>
      </c>
      <c r="Q4440" s="22" t="str">
        <f>VLOOKUP(B4440,辅助信息!E:M,9,FALSE)</f>
        <v>ZTWM-CDGS-XS-2024-0134-商投建工达州中医药科技成果示范园项目</v>
      </c>
      <c r="R4440" s="22" t="str">
        <f>_xlfn._xlws.FILTER(辅助信息!D:D,辅助信息!E:E=B4440)</f>
        <v>商投建工达州中医药科技园</v>
      </c>
    </row>
    <row r="4441" hidden="1" spans="2:18">
      <c r="B4441" s="128" t="s">
        <v>232</v>
      </c>
      <c r="C4441" s="63">
        <v>45944</v>
      </c>
      <c r="D4441" s="33" t="str">
        <f>VLOOKUP(B4441,辅助信息!E:K,7,FALSE)</f>
        <v>JWDDCD2025052800131</v>
      </c>
      <c r="E4441" s="33" t="str">
        <f>VLOOKUP(F4441,辅助信息!A:B,2,FALSE)</f>
        <v>螺纹钢</v>
      </c>
      <c r="F4441" s="33" t="s">
        <v>27</v>
      </c>
      <c r="G4441" s="29">
        <v>9</v>
      </c>
      <c r="H4441" s="127">
        <f>IF(SUMIFS('[1]2025年已发货'!$E:$E,'[1]2025年已发货'!$F:$F,C4441,'[1]2025年已发货'!$C:$C,F4441,'[1]2025年已发货'!$G:$G,I4441,'[1]2025年已发货'!$H:$H,J4441)=0,"未发货",SUMIFS('[1]2025年已发货'!$E:$E,'[1]2025年已发货'!$F:$F,C4441,'[1]2025年已发货'!$C:$C,F4441,'[1]2025年已发货'!$G:$G,I4441,'[1]2025年已发货'!$H:$H,J4441))</f>
        <v>9</v>
      </c>
      <c r="I4441" s="33" t="str">
        <f>VLOOKUP(B4441,辅助信息!E:I,3,FALSE)</f>
        <v>（商投建工达州中医药科技园-2工区-2号桥）达州市通川区达州中医药职业学院犀牛大道北段</v>
      </c>
      <c r="J4441" s="33" t="str">
        <f>VLOOKUP(B4441,辅助信息!E:I,4,FALSE)</f>
        <v>李波</v>
      </c>
      <c r="K4441" s="33">
        <f>VLOOKUP(J4441,辅助信息!H:I,2,FALSE)</f>
        <v>18381899787</v>
      </c>
      <c r="L4441" s="102" t="str">
        <f>VLOOKUP(B4441,辅助信息!E:J,6,FALSE)</f>
        <v>控制炉批号！多了现场不收！,优先安排达钢,提前联系到场规格及数量</v>
      </c>
      <c r="O4441" s="55" t="str">
        <f ca="1" t="shared" si="220"/>
        <v/>
      </c>
      <c r="P4441" s="55" t="str">
        <f ca="1" t="shared" si="221"/>
        <v/>
      </c>
      <c r="Q4441" s="22" t="str">
        <f>VLOOKUP(B4441,辅助信息!E:M,9,FALSE)</f>
        <v>ZTWM-CDGS-XS-2024-0134-商投建工达州中医药科技成果示范园项目</v>
      </c>
      <c r="R4441" s="22" t="str">
        <f>_xlfn._xlws.FILTER(辅助信息!D:D,辅助信息!E:E=B4441)</f>
        <v>商投建工达州中医药科技园</v>
      </c>
    </row>
    <row r="4442" hidden="1" spans="2:18">
      <c r="B4442" s="128" t="s">
        <v>232</v>
      </c>
      <c r="C4442" s="63">
        <v>45944</v>
      </c>
      <c r="D4442" s="33" t="str">
        <f>VLOOKUP(B4442,辅助信息!E:K,7,FALSE)</f>
        <v>JWDDCD2025052800131</v>
      </c>
      <c r="E4442" s="33" t="str">
        <f>VLOOKUP(F4442,辅助信息!A:B,2,FALSE)</f>
        <v>螺纹钢</v>
      </c>
      <c r="F4442" s="33" t="s">
        <v>19</v>
      </c>
      <c r="G4442" s="29">
        <v>150</v>
      </c>
      <c r="H4442" s="127"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33" t="str">
        <f>VLOOKUP(B4442,辅助信息!E:I,3,FALSE)</f>
        <v>（商投建工达州中医药科技园-2工区-2号桥）达州市通川区达州中医药职业学院犀牛大道北段</v>
      </c>
      <c r="J4442" s="33" t="str">
        <f>VLOOKUP(B4442,辅助信息!E:I,4,FALSE)</f>
        <v>李波</v>
      </c>
      <c r="K4442" s="33">
        <f>VLOOKUP(J4442,辅助信息!H:I,2,FALSE)</f>
        <v>18381899787</v>
      </c>
      <c r="L4442" s="102" t="str">
        <f>VLOOKUP(B4442,辅助信息!E:J,6,FALSE)</f>
        <v>控制炉批号！多了现场不收！,优先安排达钢,提前联系到场规格及数量</v>
      </c>
      <c r="O4442" s="55" t="str">
        <f ca="1" t="shared" si="220"/>
        <v/>
      </c>
      <c r="P4442" s="55" t="str">
        <f ca="1" t="shared" si="221"/>
        <v/>
      </c>
      <c r="Q4442" s="22" t="str">
        <f>VLOOKUP(B4442,辅助信息!E:M,9,FALSE)</f>
        <v>ZTWM-CDGS-XS-2024-0134-商投建工达州中医药科技成果示范园项目</v>
      </c>
      <c r="R4442" s="22" t="str">
        <f>_xlfn._xlws.FILTER(辅助信息!D:D,辅助信息!E:E=B4442)</f>
        <v>商投建工达州中医药科技园</v>
      </c>
    </row>
    <row r="4443" hidden="1" spans="2:18">
      <c r="B4443" s="128" t="s">
        <v>232</v>
      </c>
      <c r="C4443" s="63">
        <v>45944</v>
      </c>
      <c r="D4443" s="33" t="str">
        <f>VLOOKUP(B4443,辅助信息!E:K,7,FALSE)</f>
        <v>JWDDCD2025052800131</v>
      </c>
      <c r="E4443" s="33" t="str">
        <f>VLOOKUP(F4443,辅助信息!A:B,2,FALSE)</f>
        <v>螺纹钢</v>
      </c>
      <c r="F4443" s="33" t="s">
        <v>66</v>
      </c>
      <c r="G4443" s="29">
        <v>20</v>
      </c>
      <c r="H4443" s="127">
        <f>IF(SUMIFS('[1]2025年已发货'!$E:$E,'[1]2025年已发货'!$F:$F,C4443,'[1]2025年已发货'!$C:$C,F4443,'[1]2025年已发货'!$G:$G,I4443,'[1]2025年已发货'!$H:$H,J4443)=0,"未发货",SUMIFS('[1]2025年已发货'!$E:$E,'[1]2025年已发货'!$F:$F,C4443,'[1]2025年已发货'!$C:$C,F4443,'[1]2025年已发货'!$G:$G,I4443,'[1]2025年已发货'!$H:$H,J4443))</f>
        <v>20</v>
      </c>
      <c r="I4443" s="33" t="str">
        <f>VLOOKUP(B4443,辅助信息!E:I,3,FALSE)</f>
        <v>（商投建工达州中医药科技园-2工区-2号桥）达州市通川区达州中医药职业学院犀牛大道北段</v>
      </c>
      <c r="J4443" s="33" t="str">
        <f>VLOOKUP(B4443,辅助信息!E:I,4,FALSE)</f>
        <v>李波</v>
      </c>
      <c r="K4443" s="33">
        <f>VLOOKUP(J4443,辅助信息!H:I,2,FALSE)</f>
        <v>18381899787</v>
      </c>
      <c r="L4443" s="102" t="str">
        <f>VLOOKUP(B4443,辅助信息!E:J,6,FALSE)</f>
        <v>控制炉批号！多了现场不收！,优先安排达钢,提前联系到场规格及数量</v>
      </c>
      <c r="O4443" s="55" t="str">
        <f ca="1" t="shared" si="220"/>
        <v/>
      </c>
      <c r="P4443" s="55" t="str">
        <f ca="1" t="shared" si="221"/>
        <v/>
      </c>
      <c r="Q4443" s="22" t="str">
        <f>VLOOKUP(B4443,辅助信息!E:M,9,FALSE)</f>
        <v>ZTWM-CDGS-XS-2024-0134-商投建工达州中医药科技成果示范园项目</v>
      </c>
      <c r="R4443" s="22" t="str">
        <f>_xlfn._xlws.FILTER(辅助信息!D:D,辅助信息!E:E=B4443)</f>
        <v>商投建工达州中医药科技园</v>
      </c>
    </row>
    <row r="4444" hidden="1" spans="2:18">
      <c r="B4444" s="128" t="s">
        <v>232</v>
      </c>
      <c r="C4444" s="63">
        <v>45944</v>
      </c>
      <c r="D4444" s="33" t="str">
        <f>VLOOKUP(B4444,辅助信息!E:K,7,FALSE)</f>
        <v>JWDDCD2025052800131</v>
      </c>
      <c r="E4444" s="33" t="str">
        <f>VLOOKUP(F4444,辅助信息!A:B,2,FALSE)</f>
        <v>螺纹钢</v>
      </c>
      <c r="F4444" s="33" t="s">
        <v>82</v>
      </c>
      <c r="G4444" s="29">
        <v>15</v>
      </c>
      <c r="H4444" s="127">
        <f>IF(SUMIFS('[1]2025年已发货'!$E:$E,'[1]2025年已发货'!$F:$F,C4444,'[1]2025年已发货'!$C:$C,F4444,'[1]2025年已发货'!$G:$G,I4444,'[1]2025年已发货'!$H:$H,J4444)=0,"未发货",SUMIFS('[1]2025年已发货'!$E:$E,'[1]2025年已发货'!$F:$F,C4444,'[1]2025年已发货'!$C:$C,F4444,'[1]2025年已发货'!$G:$G,I4444,'[1]2025年已发货'!$H:$H,J4444))</f>
        <v>15</v>
      </c>
      <c r="I4444" s="33" t="str">
        <f>VLOOKUP(B4444,辅助信息!E:I,3,FALSE)</f>
        <v>（商投建工达州中医药科技园-2工区-2号桥）达州市通川区达州中医药职业学院犀牛大道北段</v>
      </c>
      <c r="J4444" s="33" t="str">
        <f>VLOOKUP(B4444,辅助信息!E:I,4,FALSE)</f>
        <v>李波</v>
      </c>
      <c r="K4444" s="33">
        <f>VLOOKUP(J4444,辅助信息!H:I,2,FALSE)</f>
        <v>18381899787</v>
      </c>
      <c r="L4444" s="102" t="str">
        <f>VLOOKUP(B4444,辅助信息!E:J,6,FALSE)</f>
        <v>控制炉批号！多了现场不收！,优先安排达钢,提前联系到场规格及数量</v>
      </c>
      <c r="O4444" s="55" t="str">
        <f ca="1" t="shared" si="220"/>
        <v/>
      </c>
      <c r="P4444" s="55" t="str">
        <f ca="1" t="shared" si="221"/>
        <v/>
      </c>
      <c r="Q4444" s="22" t="str">
        <f>VLOOKUP(B4444,辅助信息!E:M,9,FALSE)</f>
        <v>ZTWM-CDGS-XS-2024-0134-商投建工达州中医药科技成果示范园项目</v>
      </c>
      <c r="R4444" s="22" t="str">
        <f>_xlfn._xlws.FILTER(辅助信息!D:D,辅助信息!E:E=B4444)</f>
        <v>商投建工达州中医药科技园</v>
      </c>
    </row>
    <row r="4445" hidden="1" spans="2:18">
      <c r="B4445" s="128" t="s">
        <v>232</v>
      </c>
      <c r="C4445" s="63">
        <v>45944</v>
      </c>
      <c r="D4445" s="33" t="str">
        <f>VLOOKUP(B4445,辅助信息!E:K,7,FALSE)</f>
        <v>JWDDCD2025052800131</v>
      </c>
      <c r="E4445" s="33" t="str">
        <f>VLOOKUP(F4445,辅助信息!A:B,2,FALSE)</f>
        <v>螺纹钢</v>
      </c>
      <c r="F4445" s="33" t="s">
        <v>45</v>
      </c>
      <c r="G4445" s="29">
        <v>20</v>
      </c>
      <c r="H4445" s="127">
        <f>IF(SUMIFS('[1]2025年已发货'!$E:$E,'[1]2025年已发货'!$F:$F,C4445,'[1]2025年已发货'!$C:$C,F4445,'[1]2025年已发货'!$G:$G,I4445,'[1]2025年已发货'!$H:$H,J4445)=0,"未发货",SUMIFS('[1]2025年已发货'!$E:$E,'[1]2025年已发货'!$F:$F,C4445,'[1]2025年已发货'!$C:$C,F4445,'[1]2025年已发货'!$G:$G,I4445,'[1]2025年已发货'!$H:$H,J4445))</f>
        <v>20</v>
      </c>
      <c r="I4445" s="33" t="str">
        <f>VLOOKUP(B4445,辅助信息!E:I,3,FALSE)</f>
        <v>（商投建工达州中医药科技园-2工区-2号桥）达州市通川区达州中医药职业学院犀牛大道北段</v>
      </c>
      <c r="J4445" s="33" t="str">
        <f>VLOOKUP(B4445,辅助信息!E:I,4,FALSE)</f>
        <v>李波</v>
      </c>
      <c r="K4445" s="33">
        <f>VLOOKUP(J4445,辅助信息!H:I,2,FALSE)</f>
        <v>18381899787</v>
      </c>
      <c r="L4445" s="102" t="str">
        <f>VLOOKUP(B4445,辅助信息!E:J,6,FALSE)</f>
        <v>控制炉批号！多了现场不收！,优先安排达钢,提前联系到场规格及数量</v>
      </c>
      <c r="O4445" s="55" t="str">
        <f ca="1" t="shared" si="220"/>
        <v/>
      </c>
      <c r="P4445" s="55" t="str">
        <f ca="1" t="shared" si="221"/>
        <v/>
      </c>
      <c r="Q4445" s="22" t="str">
        <f>VLOOKUP(B4445,辅助信息!E:M,9,FALSE)</f>
        <v>ZTWM-CDGS-XS-2024-0134-商投建工达州中医药科技成果示范园项目</v>
      </c>
      <c r="R4445" s="22" t="str">
        <f>_xlfn._xlws.FILTER(辅助信息!D:D,辅助信息!E:E=B4445)</f>
        <v>商投建工达州中医药科技园</v>
      </c>
    </row>
    <row r="4446" hidden="1" spans="2:18">
      <c r="B4446" s="128" t="s">
        <v>232</v>
      </c>
      <c r="C4446" s="63">
        <v>45944</v>
      </c>
      <c r="D4446" s="33" t="str">
        <f>VLOOKUP(B4446,辅助信息!E:K,7,FALSE)</f>
        <v>JWDDCD2025052800131</v>
      </c>
      <c r="E4446" s="33" t="str">
        <f>VLOOKUP(F4446,辅助信息!A:B,2,FALSE)</f>
        <v>螺纹钢</v>
      </c>
      <c r="F4446" s="33" t="s">
        <v>21</v>
      </c>
      <c r="G4446" s="29">
        <v>20</v>
      </c>
      <c r="H4446" s="127"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33" t="str">
        <f>VLOOKUP(B4446,辅助信息!E:I,3,FALSE)</f>
        <v>（商投建工达州中医药科技园-2工区-2号桥）达州市通川区达州中医药职业学院犀牛大道北段</v>
      </c>
      <c r="J4446" s="33" t="str">
        <f>VLOOKUP(B4446,辅助信息!E:I,4,FALSE)</f>
        <v>李波</v>
      </c>
      <c r="K4446" s="33">
        <f>VLOOKUP(J4446,辅助信息!H:I,2,FALSE)</f>
        <v>18381899787</v>
      </c>
      <c r="L4446" s="102" t="str">
        <f>VLOOKUP(B4446,辅助信息!E:J,6,FALSE)</f>
        <v>控制炉批号！多了现场不收！,优先安排达钢,提前联系到场规格及数量</v>
      </c>
      <c r="O4446" s="55" t="str">
        <f ca="1" t="shared" si="220"/>
        <v/>
      </c>
      <c r="P4446" s="55" t="str">
        <f ca="1" t="shared" si="221"/>
        <v/>
      </c>
      <c r="Q4446" s="22" t="str">
        <f>VLOOKUP(B4446,辅助信息!E:M,9,FALSE)</f>
        <v>ZTWM-CDGS-XS-2024-0134-商投建工达州中医药科技成果示范园项目</v>
      </c>
      <c r="R4446" s="22" t="str">
        <f>_xlfn._xlws.FILTER(辅助信息!D:D,辅助信息!E:E=B4446)</f>
        <v>商投建工达州中医药科技园</v>
      </c>
    </row>
    <row r="4447" hidden="1" spans="2:18">
      <c r="B4447" s="128" t="s">
        <v>232</v>
      </c>
      <c r="C4447" s="63">
        <v>45944</v>
      </c>
      <c r="D4447" s="33" t="str">
        <f>VLOOKUP(B4447,辅助信息!E:K,7,FALSE)</f>
        <v>JWDDCD2025052800131</v>
      </c>
      <c r="E4447" s="33" t="str">
        <f>VLOOKUP(F4447,辅助信息!A:B,2,FALSE)</f>
        <v>螺纹钢</v>
      </c>
      <c r="F4447" s="33" t="s">
        <v>58</v>
      </c>
      <c r="G4447" s="29">
        <v>20</v>
      </c>
      <c r="H4447" s="127"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33" t="str">
        <f>VLOOKUP(B4447,辅助信息!E:I,3,FALSE)</f>
        <v>（商投建工达州中医药科技园-2工区-2号桥）达州市通川区达州中医药职业学院犀牛大道北段</v>
      </c>
      <c r="J4447" s="33" t="str">
        <f>VLOOKUP(B4447,辅助信息!E:I,4,FALSE)</f>
        <v>李波</v>
      </c>
      <c r="K4447" s="33">
        <f>VLOOKUP(J4447,辅助信息!H:I,2,FALSE)</f>
        <v>18381899787</v>
      </c>
      <c r="L4447" s="102" t="str">
        <f>VLOOKUP(B4447,辅助信息!E:J,6,FALSE)</f>
        <v>控制炉批号！多了现场不收！,优先安排达钢,提前联系到场规格及数量</v>
      </c>
      <c r="O4447" s="55" t="str">
        <f ca="1" t="shared" si="220"/>
        <v/>
      </c>
      <c r="P4447" s="55" t="str">
        <f ca="1" t="shared" si="221"/>
        <v/>
      </c>
      <c r="Q4447" s="22" t="str">
        <f>VLOOKUP(B4447,辅助信息!E:M,9,FALSE)</f>
        <v>ZTWM-CDGS-XS-2024-0134-商投建工达州中医药科技成果示范园项目</v>
      </c>
      <c r="R4447" s="22" t="str">
        <f>_xlfn._xlws.FILTER(辅助信息!D:D,辅助信息!E:E=B4447)</f>
        <v>商投建工达州中医药科技园</v>
      </c>
    </row>
    <row r="4448" hidden="1" spans="2:18">
      <c r="B4448" s="128" t="s">
        <v>232</v>
      </c>
      <c r="C4448" s="63">
        <v>45944</v>
      </c>
      <c r="D4448" s="33" t="str">
        <f>VLOOKUP(B4448,辅助信息!E:K,7,FALSE)</f>
        <v>JWDDCD2025052800131</v>
      </c>
      <c r="E4448" s="33" t="str">
        <f>VLOOKUP(F4448,辅助信息!A:B,2,FALSE)</f>
        <v>螺纹钢</v>
      </c>
      <c r="F4448" s="33" t="s">
        <v>46</v>
      </c>
      <c r="G4448" s="29">
        <v>24</v>
      </c>
      <c r="H4448" s="127">
        <f>IF(SUMIFS('[1]2025年已发货'!$E:$E,'[1]2025年已发货'!$F:$F,C4448,'[1]2025年已发货'!$C:$C,F4448,'[1]2025年已发货'!$G:$G,I4448,'[1]2025年已发货'!$H:$H,J4448)=0,"未发货",SUMIFS('[1]2025年已发货'!$E:$E,'[1]2025年已发货'!$F:$F,C4448,'[1]2025年已发货'!$C:$C,F4448,'[1]2025年已发货'!$G:$G,I4448,'[1]2025年已发货'!$H:$H,J4448))</f>
        <v>24</v>
      </c>
      <c r="I4448" s="33" t="str">
        <f>VLOOKUP(B4448,辅助信息!E:I,3,FALSE)</f>
        <v>（商投建工达州中医药科技园-2工区-2号桥）达州市通川区达州中医药职业学院犀牛大道北段</v>
      </c>
      <c r="J4448" s="33" t="str">
        <f>VLOOKUP(B4448,辅助信息!E:I,4,FALSE)</f>
        <v>李波</v>
      </c>
      <c r="K4448" s="33">
        <f>VLOOKUP(J4448,辅助信息!H:I,2,FALSE)</f>
        <v>18381899787</v>
      </c>
      <c r="L4448" s="102" t="str">
        <f>VLOOKUP(B4448,辅助信息!E:J,6,FALSE)</f>
        <v>控制炉批号！多了现场不收！,优先安排达钢,提前联系到场规格及数量</v>
      </c>
      <c r="O4448" s="55" t="str">
        <f ca="1" t="shared" ref="O4448:O4511" si="222">IF(OR(M4448="",N4448&lt;&gt;""),"",MAX(M4448-TODAY(),0))</f>
        <v/>
      </c>
      <c r="P4448" s="55" t="str">
        <f ca="1" t="shared" ref="P4448:P4511" si="223">IF(M4448="","",IF(N4448&lt;&gt;"",MAX(N4448-M4448,0),IF(TODAY()&gt;M4448,TODAY()-M4448,0)))</f>
        <v/>
      </c>
      <c r="Q4448" s="22" t="str">
        <f>VLOOKUP(B4448,辅助信息!E:M,9,FALSE)</f>
        <v>ZTWM-CDGS-XS-2024-0134-商投建工达州中医药科技成果示范园项目</v>
      </c>
      <c r="R4448" s="22" t="str">
        <f>_xlfn._xlws.FILTER(辅助信息!D:D,辅助信息!E:E=B4448)</f>
        <v>商投建工达州中医药科技园</v>
      </c>
    </row>
    <row r="4449" hidden="1" spans="2:18">
      <c r="B4449" s="128" t="s">
        <v>232</v>
      </c>
      <c r="C4449" s="63">
        <v>45944</v>
      </c>
      <c r="D4449" s="33" t="str">
        <f>VLOOKUP(B4449,辅助信息!E:K,7,FALSE)</f>
        <v>JWDDCD2025052800131</v>
      </c>
      <c r="E4449" s="33" t="str">
        <f>VLOOKUP(F4449,辅助信息!A:B,2,FALSE)</f>
        <v>螺纹钢</v>
      </c>
      <c r="F4449" s="33" t="s">
        <v>22</v>
      </c>
      <c r="G4449" s="29">
        <v>30</v>
      </c>
      <c r="H4449" s="127">
        <f>IF(SUMIFS('[1]2025年已发货'!$E:$E,'[1]2025年已发货'!$F:$F,C4449,'[1]2025年已发货'!$C:$C,F4449,'[1]2025年已发货'!$G:$G,I4449,'[1]2025年已发货'!$H:$H,J4449)=0,"未发货",SUMIFS('[1]2025年已发货'!$E:$E,'[1]2025年已发货'!$F:$F,C4449,'[1]2025年已发货'!$C:$C,F4449,'[1]2025年已发货'!$G:$G,I4449,'[1]2025年已发货'!$H:$H,J4449))</f>
        <v>30</v>
      </c>
      <c r="I4449" s="33" t="str">
        <f>VLOOKUP(B4449,辅助信息!E:I,3,FALSE)</f>
        <v>（商投建工达州中医药科技园-2工区-2号桥）达州市通川区达州中医药职业学院犀牛大道北段</v>
      </c>
      <c r="J4449" s="33" t="str">
        <f>VLOOKUP(B4449,辅助信息!E:I,4,FALSE)</f>
        <v>李波</v>
      </c>
      <c r="K4449" s="33">
        <f>VLOOKUP(J4449,辅助信息!H:I,2,FALSE)</f>
        <v>18381899787</v>
      </c>
      <c r="L4449" s="102" t="str">
        <f>VLOOKUP(B4449,辅助信息!E:J,6,FALSE)</f>
        <v>控制炉批号！多了现场不收！,优先安排达钢,提前联系到场规格及数量</v>
      </c>
      <c r="O4449" s="55" t="str">
        <f ca="1" t="shared" si="222"/>
        <v/>
      </c>
      <c r="P4449" s="55" t="str">
        <f ca="1" t="shared" si="223"/>
        <v/>
      </c>
      <c r="Q4449" s="22" t="str">
        <f>VLOOKUP(B4449,辅助信息!E:M,9,FALSE)</f>
        <v>ZTWM-CDGS-XS-2024-0134-商投建工达州中医药科技成果示范园项目</v>
      </c>
      <c r="R4449" s="22" t="str">
        <f>_xlfn._xlws.FILTER(辅助信息!D:D,辅助信息!E:E=B4449)</f>
        <v>商投建工达州中医药科技园</v>
      </c>
    </row>
    <row r="4450" hidden="1" spans="2:18">
      <c r="B4450" s="128" t="s">
        <v>232</v>
      </c>
      <c r="C4450" s="63">
        <v>45944</v>
      </c>
      <c r="D4450" s="33" t="str">
        <f>VLOOKUP(B4450,辅助信息!E:K,7,FALSE)</f>
        <v>JWDDCD2025052800131</v>
      </c>
      <c r="E4450" s="33" t="str">
        <f>VLOOKUP(F4450,辅助信息!A:B,2,FALSE)</f>
        <v>螺纹钢</v>
      </c>
      <c r="F4450" s="33" t="s">
        <v>142</v>
      </c>
      <c r="G4450" s="29">
        <v>100</v>
      </c>
      <c r="H4450" s="127">
        <v>150</v>
      </c>
      <c r="I4450" s="33" t="str">
        <f>VLOOKUP(B4450,辅助信息!E:I,3,FALSE)</f>
        <v>（商投建工达州中医药科技园-2工区-2号桥）达州市通川区达州中医药职业学院犀牛大道北段</v>
      </c>
      <c r="J4450" s="33" t="str">
        <f>VLOOKUP(B4450,辅助信息!E:I,4,FALSE)</f>
        <v>李波</v>
      </c>
      <c r="K4450" s="33">
        <f>VLOOKUP(J4450,辅助信息!H:I,2,FALSE)</f>
        <v>18381899787</v>
      </c>
      <c r="L4450" s="102" t="str">
        <f>VLOOKUP(B4450,辅助信息!E:J,6,FALSE)</f>
        <v>控制炉批号！多了现场不收！,优先安排达钢,提前联系到场规格及数量</v>
      </c>
      <c r="O4450" s="55" t="str">
        <f ca="1" t="shared" si="222"/>
        <v/>
      </c>
      <c r="P4450" s="55" t="str">
        <f ca="1" t="shared" si="223"/>
        <v/>
      </c>
      <c r="Q4450" s="22" t="str">
        <f>VLOOKUP(B4450,辅助信息!E:M,9,FALSE)</f>
        <v>ZTWM-CDGS-XS-2024-0134-商投建工达州中医药科技成果示范园项目</v>
      </c>
      <c r="R4450" s="22" t="str">
        <f>_xlfn._xlws.FILTER(辅助信息!D:D,辅助信息!E:E=B4450)</f>
        <v>商投建工达州中医药科技园</v>
      </c>
    </row>
    <row r="4451" hidden="1" spans="2:18">
      <c r="B4451" s="128" t="s">
        <v>68</v>
      </c>
      <c r="C4451" s="63">
        <v>45944</v>
      </c>
      <c r="D4451" s="33" t="str">
        <f>VLOOKUP(B4451,辅助信息!E:K,7,FALSE)</f>
        <v>JWDDCD2025052800131</v>
      </c>
      <c r="E4451" s="33" t="str">
        <f>VLOOKUP(F4451,辅助信息!A:B,2,FALSE)</f>
        <v>螺纹钢</v>
      </c>
      <c r="F4451" s="33" t="s">
        <v>30</v>
      </c>
      <c r="G4451" s="29">
        <v>20</v>
      </c>
      <c r="H4451" s="127"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33" t="str">
        <f>VLOOKUP(B4451,辅助信息!E:I,3,FALSE)</f>
        <v>（商投建工达州中医药科技园-2工区-景观桥）达州市通川区达州中医药职业学院犀牛大道北段</v>
      </c>
      <c r="J4451" s="33" t="str">
        <f>VLOOKUP(B4451,辅助信息!E:I,4,FALSE)</f>
        <v>李波</v>
      </c>
      <c r="K4451" s="33">
        <f>VLOOKUP(J4451,辅助信息!H:I,2,FALSE)</f>
        <v>18381899787</v>
      </c>
      <c r="L4451" s="102" t="str">
        <f>VLOOKUP(B4451,辅助信息!E:J,6,FALSE)</f>
        <v>控制炉批号！多了现场不收！,优先安排达钢,提前联系到场规格及数量</v>
      </c>
      <c r="O4451" s="55" t="str">
        <f ca="1" t="shared" si="222"/>
        <v/>
      </c>
      <c r="P4451" s="55" t="str">
        <f ca="1" t="shared" si="223"/>
        <v/>
      </c>
      <c r="Q4451" s="22" t="str">
        <f>VLOOKUP(B4451,辅助信息!E:M,9,FALSE)</f>
        <v>ZTWM-CDGS-XS-2024-0134-商投建工达州中医药科技成果示范园项目</v>
      </c>
      <c r="R4451" s="22" t="str">
        <f>_xlfn._xlws.FILTER(辅助信息!D:D,辅助信息!E:E=B4451)</f>
        <v>商投建工达州中医药科技园</v>
      </c>
    </row>
    <row r="4452" hidden="1" spans="2:18">
      <c r="B4452" s="128" t="s">
        <v>68</v>
      </c>
      <c r="C4452" s="63">
        <v>45944</v>
      </c>
      <c r="D4452" s="33" t="str">
        <f>VLOOKUP(B4452,辅助信息!E:K,7,FALSE)</f>
        <v>JWDDCD2025052800131</v>
      </c>
      <c r="E4452" s="33" t="str">
        <f>VLOOKUP(F4452,辅助信息!A:B,2,FALSE)</f>
        <v>螺纹钢</v>
      </c>
      <c r="F4452" s="33" t="s">
        <v>33</v>
      </c>
      <c r="G4452" s="29">
        <v>21</v>
      </c>
      <c r="H4452" s="127"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33" t="str">
        <f>VLOOKUP(B4452,辅助信息!E:I,3,FALSE)</f>
        <v>（商投建工达州中医药科技园-2工区-景观桥）达州市通川区达州中医药职业学院犀牛大道北段</v>
      </c>
      <c r="J4452" s="33" t="str">
        <f>VLOOKUP(B4452,辅助信息!E:I,4,FALSE)</f>
        <v>李波</v>
      </c>
      <c r="K4452" s="33">
        <f>VLOOKUP(J4452,辅助信息!H:I,2,FALSE)</f>
        <v>18381899787</v>
      </c>
      <c r="L4452" s="102" t="str">
        <f>VLOOKUP(B4452,辅助信息!E:J,6,FALSE)</f>
        <v>控制炉批号！多了现场不收！,优先安排达钢,提前联系到场规格及数量</v>
      </c>
      <c r="O4452" s="55" t="str">
        <f ca="1" t="shared" si="222"/>
        <v/>
      </c>
      <c r="P4452" s="55" t="str">
        <f ca="1" t="shared" si="223"/>
        <v/>
      </c>
      <c r="Q4452" s="22" t="str">
        <f>VLOOKUP(B4452,辅助信息!E:M,9,FALSE)</f>
        <v>ZTWM-CDGS-XS-2024-0134-商投建工达州中医药科技成果示范园项目</v>
      </c>
      <c r="R4452" s="22" t="str">
        <f>_xlfn._xlws.FILTER(辅助信息!D:D,辅助信息!E:E=B4452)</f>
        <v>商投建工达州中医药科技园</v>
      </c>
    </row>
    <row r="4453" hidden="1" spans="2:18">
      <c r="B4453" s="128" t="s">
        <v>68</v>
      </c>
      <c r="C4453" s="63">
        <v>45944</v>
      </c>
      <c r="D4453" s="33" t="str">
        <f>VLOOKUP(B4453,辅助信息!E:K,7,FALSE)</f>
        <v>JWDDCD2025052800131</v>
      </c>
      <c r="E4453" s="33" t="str">
        <f>VLOOKUP(F4453,辅助信息!A:B,2,FALSE)</f>
        <v>螺纹钢</v>
      </c>
      <c r="F4453" s="33" t="s">
        <v>18</v>
      </c>
      <c r="G4453" s="29">
        <v>10</v>
      </c>
      <c r="H4453" s="127"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33" t="str">
        <f>VLOOKUP(B4453,辅助信息!E:I,3,FALSE)</f>
        <v>（商投建工达州中医药科技园-2工区-景观桥）达州市通川区达州中医药职业学院犀牛大道北段</v>
      </c>
      <c r="J4453" s="33" t="str">
        <f>VLOOKUP(B4453,辅助信息!E:I,4,FALSE)</f>
        <v>李波</v>
      </c>
      <c r="K4453" s="33">
        <f>VLOOKUP(J4453,辅助信息!H:I,2,FALSE)</f>
        <v>18381899787</v>
      </c>
      <c r="L4453" s="102" t="str">
        <f>VLOOKUP(B4453,辅助信息!E:J,6,FALSE)</f>
        <v>控制炉批号！多了现场不收！,优先安排达钢,提前联系到场规格及数量</v>
      </c>
      <c r="O4453" s="55" t="str">
        <f ca="1" t="shared" si="222"/>
        <v/>
      </c>
      <c r="P4453" s="55" t="str">
        <f ca="1" t="shared" si="223"/>
        <v/>
      </c>
      <c r="Q4453" s="22" t="str">
        <f>VLOOKUP(B4453,辅助信息!E:M,9,FALSE)</f>
        <v>ZTWM-CDGS-XS-2024-0134-商投建工达州中医药科技成果示范园项目</v>
      </c>
      <c r="R4453" s="22" t="str">
        <f>_xlfn._xlws.FILTER(辅助信息!D:D,辅助信息!E:E=B4453)</f>
        <v>商投建工达州中医药科技园</v>
      </c>
    </row>
    <row r="4454" hidden="1" spans="2:18">
      <c r="B4454" s="128" t="s">
        <v>112</v>
      </c>
      <c r="C4454" s="63">
        <v>45944</v>
      </c>
      <c r="D4454" s="33" t="str">
        <f>VLOOKUP(B4454,辅助信息!E:K,7,FALSE)</f>
        <v>JWDDCD2025052800131</v>
      </c>
      <c r="E4454" s="33" t="str">
        <f>VLOOKUP(F4454,辅助信息!A:B,2,FALSE)</f>
        <v>螺纹钢</v>
      </c>
      <c r="F4454" s="33" t="s">
        <v>32</v>
      </c>
      <c r="G4454" s="29">
        <v>3</v>
      </c>
      <c r="H4454" s="127"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33" t="str">
        <f>VLOOKUP(B4454,辅助信息!E:I,3,FALSE)</f>
        <v>（商投建工达州中医药科技园-4工区-10号楼）达州市通川区达州中医药职业学院犀牛大道北段</v>
      </c>
      <c r="J4454" s="33" t="str">
        <f>VLOOKUP(B4454,辅助信息!E:I,4,FALSE)</f>
        <v>张扬</v>
      </c>
      <c r="K4454" s="33">
        <f>VLOOKUP(J4454,辅助信息!H:I,2,FALSE)</f>
        <v>18381904567</v>
      </c>
      <c r="L4454" s="102" t="str">
        <f>VLOOKUP(B4454,辅助信息!E:J,6,FALSE)</f>
        <v>控制炉批号！多了现场不收！,优先安排达钢,提前联系到场规格及数量</v>
      </c>
      <c r="O4454" s="55" t="str">
        <f ca="1" t="shared" si="222"/>
        <v/>
      </c>
      <c r="P4454" s="55" t="str">
        <f ca="1" t="shared" si="223"/>
        <v/>
      </c>
      <c r="Q4454" s="22" t="str">
        <f>VLOOKUP(B4454,辅助信息!E:M,9,FALSE)</f>
        <v>ZTWM-CDGS-XS-2024-0134-商投建工达州中医药科技成果示范园项目</v>
      </c>
      <c r="R4454" s="22" t="str">
        <f>_xlfn._xlws.FILTER(辅助信息!D:D,辅助信息!E:E=B4454)</f>
        <v>商投建工达州中医药科技园</v>
      </c>
    </row>
    <row r="4455" hidden="1" spans="2:18">
      <c r="B4455" s="128" t="s">
        <v>112</v>
      </c>
      <c r="C4455" s="63">
        <v>45944</v>
      </c>
      <c r="D4455" s="33" t="str">
        <f>VLOOKUP(B4455,辅助信息!E:K,7,FALSE)</f>
        <v>JWDDCD2025052800131</v>
      </c>
      <c r="E4455" s="33" t="str">
        <f>VLOOKUP(F4455,辅助信息!A:B,2,FALSE)</f>
        <v>螺纹钢</v>
      </c>
      <c r="F4455" s="33" t="s">
        <v>21</v>
      </c>
      <c r="G4455" s="29">
        <v>12</v>
      </c>
      <c r="H4455" s="127"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33" t="str">
        <f>VLOOKUP(B4455,辅助信息!E:I,3,FALSE)</f>
        <v>（商投建工达州中医药科技园-4工区-10号楼）达州市通川区达州中医药职业学院犀牛大道北段</v>
      </c>
      <c r="J4455" s="33" t="str">
        <f>VLOOKUP(B4455,辅助信息!E:I,4,FALSE)</f>
        <v>张扬</v>
      </c>
      <c r="K4455" s="33">
        <f>VLOOKUP(J4455,辅助信息!H:I,2,FALSE)</f>
        <v>18381904567</v>
      </c>
      <c r="L4455" s="102" t="str">
        <f>VLOOKUP(B4455,辅助信息!E:J,6,FALSE)</f>
        <v>控制炉批号！多了现场不收！,优先安排达钢,提前联系到场规格及数量</v>
      </c>
      <c r="O4455" s="55" t="str">
        <f ca="1" t="shared" si="222"/>
        <v/>
      </c>
      <c r="P4455" s="55" t="str">
        <f ca="1" t="shared" si="223"/>
        <v/>
      </c>
      <c r="Q4455" s="22" t="str">
        <f>VLOOKUP(B4455,辅助信息!E:M,9,FALSE)</f>
        <v>ZTWM-CDGS-XS-2024-0134-商投建工达州中医药科技成果示范园项目</v>
      </c>
      <c r="R4455" s="22" t="str">
        <f>_xlfn._xlws.FILTER(辅助信息!D:D,辅助信息!E:E=B4455)</f>
        <v>商投建工达州中医药科技园</v>
      </c>
    </row>
    <row r="4456" hidden="1" spans="2:18">
      <c r="B4456" s="128" t="s">
        <v>112</v>
      </c>
      <c r="C4456" s="63">
        <v>45944</v>
      </c>
      <c r="D4456" s="33" t="str">
        <f>VLOOKUP(B4456,辅助信息!E:K,7,FALSE)</f>
        <v>JWDDCD2025052800131</v>
      </c>
      <c r="E4456" s="33" t="str">
        <f>VLOOKUP(F4456,辅助信息!A:B,2,FALSE)</f>
        <v>螺纹钢</v>
      </c>
      <c r="F4456" s="33" t="s">
        <v>58</v>
      </c>
      <c r="G4456" s="29">
        <v>12</v>
      </c>
      <c r="H4456" s="127"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33" t="str">
        <f>VLOOKUP(B4456,辅助信息!E:I,3,FALSE)</f>
        <v>（商投建工达州中医药科技园-4工区-10号楼）达州市通川区达州中医药职业学院犀牛大道北段</v>
      </c>
      <c r="J4456" s="33" t="str">
        <f>VLOOKUP(B4456,辅助信息!E:I,4,FALSE)</f>
        <v>张扬</v>
      </c>
      <c r="K4456" s="33">
        <f>VLOOKUP(J4456,辅助信息!H:I,2,FALSE)</f>
        <v>18381904567</v>
      </c>
      <c r="L4456" s="102" t="str">
        <f>VLOOKUP(B4456,辅助信息!E:J,6,FALSE)</f>
        <v>控制炉批号！多了现场不收！,优先安排达钢,提前联系到场规格及数量</v>
      </c>
      <c r="O4456" s="55" t="str">
        <f ca="1" t="shared" si="222"/>
        <v/>
      </c>
      <c r="P4456" s="55" t="str">
        <f ca="1" t="shared" si="223"/>
        <v/>
      </c>
      <c r="Q4456" s="22" t="str">
        <f>VLOOKUP(B4456,辅助信息!E:M,9,FALSE)</f>
        <v>ZTWM-CDGS-XS-2024-0134-商投建工达州中医药科技成果示范园项目</v>
      </c>
      <c r="R4456" s="22" t="str">
        <f>_xlfn._xlws.FILTER(辅助信息!D:D,辅助信息!E:E=B4456)</f>
        <v>商投建工达州中医药科技园</v>
      </c>
    </row>
    <row r="4457" hidden="1" spans="2:18">
      <c r="B4457" s="128" t="s">
        <v>112</v>
      </c>
      <c r="C4457" s="63">
        <v>45944</v>
      </c>
      <c r="D4457" s="33" t="str">
        <f>VLOOKUP(B4457,辅助信息!E:K,7,FALSE)</f>
        <v>JWDDCD2025052800131</v>
      </c>
      <c r="E4457" s="33" t="str">
        <f>VLOOKUP(F4457,辅助信息!A:B,2,FALSE)</f>
        <v>盘螺</v>
      </c>
      <c r="F4457" s="33" t="s">
        <v>49</v>
      </c>
      <c r="G4457" s="29">
        <v>12</v>
      </c>
      <c r="H4457" s="127"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33" t="str">
        <f>VLOOKUP(B4457,辅助信息!E:I,3,FALSE)</f>
        <v>（商投建工达州中医药科技园-4工区-10号楼）达州市通川区达州中医药职业学院犀牛大道北段</v>
      </c>
      <c r="J4457" s="33" t="str">
        <f>VLOOKUP(B4457,辅助信息!E:I,4,FALSE)</f>
        <v>张扬</v>
      </c>
      <c r="K4457" s="33">
        <f>VLOOKUP(J4457,辅助信息!H:I,2,FALSE)</f>
        <v>18381904567</v>
      </c>
      <c r="L4457" s="102" t="str">
        <f>VLOOKUP(B4457,辅助信息!E:J,6,FALSE)</f>
        <v>控制炉批号！多了现场不收！,优先安排达钢,提前联系到场规格及数量</v>
      </c>
      <c r="O4457" s="55" t="str">
        <f ca="1" t="shared" si="222"/>
        <v/>
      </c>
      <c r="P4457" s="55" t="str">
        <f ca="1" t="shared" si="223"/>
        <v/>
      </c>
      <c r="Q4457" s="22" t="str">
        <f>VLOOKUP(B4457,辅助信息!E:M,9,FALSE)</f>
        <v>ZTWM-CDGS-XS-2024-0134-商投建工达州中医药科技成果示范园项目</v>
      </c>
      <c r="R4457" s="22" t="str">
        <f>_xlfn._xlws.FILTER(辅助信息!D:D,辅助信息!E:E=B4457)</f>
        <v>商投建工达州中医药科技园</v>
      </c>
    </row>
    <row r="4458" hidden="1" spans="2:18">
      <c r="B4458" s="128" t="s">
        <v>228</v>
      </c>
      <c r="C4458" s="63">
        <v>45944</v>
      </c>
      <c r="D4458" s="33" t="str">
        <f>VLOOKUP(B4458,辅助信息!E:K,7,FALSE)</f>
        <v>JWDDCD2025092400190</v>
      </c>
      <c r="E4458" s="33" t="str">
        <f>VLOOKUP(F4458,辅助信息!A:B,2,FALSE)</f>
        <v>盘螺</v>
      </c>
      <c r="F4458" s="33" t="s">
        <v>26</v>
      </c>
      <c r="G4458" s="29">
        <v>17</v>
      </c>
      <c r="H4458" s="127"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33" t="str">
        <f>VLOOKUP(B4458,辅助信息!E:I,3,FALSE)</f>
        <v>(五冶钢构龙泉东洪片区70亩住宅、商业及配套工程项目二标段)成都市龙泉驿外东洪路地铁2号线惠王陵地铁C口</v>
      </c>
      <c r="J4458" s="33" t="str">
        <f>VLOOKUP(B4458,辅助信息!E:I,4,FALSE)</f>
        <v>蒋嗣伟</v>
      </c>
      <c r="K4458" s="33">
        <f>VLOOKUP(J4458,辅助信息!H:I,2,FALSE)</f>
        <v>15014331252</v>
      </c>
      <c r="L4458" s="102">
        <f>VLOOKUP(B4458,辅助信息!E:J,6,FALSE)</f>
        <v>0</v>
      </c>
      <c r="O4458" s="55" t="str">
        <f ca="1" t="shared" si="222"/>
        <v/>
      </c>
      <c r="P4458" s="55" t="str">
        <f ca="1" t="shared" si="223"/>
        <v/>
      </c>
      <c r="Q4458" s="22" t="str">
        <f>VLOOKUP(B4458,辅助信息!E:M,9,FALSE)</f>
        <v>ZTWM-CDGS-XS-2025-0156-五冶钢构-2025年九月第一批次钢筋采购合同(三圣乡项目)-中铁物贸成都公司</v>
      </c>
      <c r="R4458" s="22" t="str">
        <f>_xlfn._xlws.FILTER(辅助信息!D:D,辅助信息!E:E=B4458)</f>
        <v>五冶钢构龙泉东洪片区70亩住宅、商业及配套工程项目二标段</v>
      </c>
    </row>
    <row r="4459" hidden="1" spans="2:18">
      <c r="B4459" s="128" t="s">
        <v>228</v>
      </c>
      <c r="C4459" s="63">
        <v>45944</v>
      </c>
      <c r="D4459" s="33" t="str">
        <f>VLOOKUP(B4459,辅助信息!E:K,7,FALSE)</f>
        <v>JWDDCD2025092400190</v>
      </c>
      <c r="E4459" s="33" t="str">
        <f>VLOOKUP(F4459,辅助信息!A:B,2,FALSE)</f>
        <v>盘螺</v>
      </c>
      <c r="F4459" s="33" t="s">
        <v>40</v>
      </c>
      <c r="G4459" s="29">
        <v>18</v>
      </c>
      <c r="H4459" s="127"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33" t="str">
        <f>VLOOKUP(B4459,辅助信息!E:I,3,FALSE)</f>
        <v>(五冶钢构龙泉东洪片区70亩住宅、商业及配套工程项目二标段)成都市龙泉驿外东洪路地铁2号线惠王陵地铁C口</v>
      </c>
      <c r="J4459" s="33" t="str">
        <f>VLOOKUP(B4459,辅助信息!E:I,4,FALSE)</f>
        <v>蒋嗣伟</v>
      </c>
      <c r="K4459" s="33">
        <f>VLOOKUP(J4459,辅助信息!H:I,2,FALSE)</f>
        <v>15014331252</v>
      </c>
      <c r="L4459" s="102">
        <f>VLOOKUP(B4459,辅助信息!E:J,6,FALSE)</f>
        <v>0</v>
      </c>
      <c r="O4459" s="55" t="str">
        <f ca="1" t="shared" si="222"/>
        <v/>
      </c>
      <c r="P4459" s="55" t="str">
        <f ca="1" t="shared" si="223"/>
        <v/>
      </c>
      <c r="Q4459" s="22" t="str">
        <f>VLOOKUP(B4459,辅助信息!E:M,9,FALSE)</f>
        <v>ZTWM-CDGS-XS-2025-0156-五冶钢构-2025年九月第一批次钢筋采购合同(三圣乡项目)-中铁物贸成都公司</v>
      </c>
      <c r="R4459" s="22" t="str">
        <f>_xlfn._xlws.FILTER(辅助信息!D:D,辅助信息!E:E=B4459)</f>
        <v>五冶钢构龙泉东洪片区70亩住宅、商业及配套工程项目二标段</v>
      </c>
    </row>
    <row r="4460" hidden="1" spans="2:18">
      <c r="B4460" s="128" t="s">
        <v>240</v>
      </c>
      <c r="C4460" s="63">
        <v>45944</v>
      </c>
      <c r="D4460" s="33" t="str">
        <f>VLOOKUP(B4460,辅助信息!E:K,7,FALSE)</f>
        <v>JWDDCD2025092400204</v>
      </c>
      <c r="E4460" s="33" t="str">
        <f>VLOOKUP(F4460,辅助信息!A:B,2,FALSE)</f>
        <v>高线</v>
      </c>
      <c r="F4460" s="33" t="s">
        <v>53</v>
      </c>
      <c r="G4460" s="29">
        <v>2.5</v>
      </c>
      <c r="H4460" s="127"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33" t="str">
        <f>VLOOKUP(B4460,辅助信息!E:I,3,FALSE)</f>
        <v>(五冶钢构龙泉东洪片区70亩住宅、商业及配套工程项目三标段)成都市龙泉驿外东洪路地铁2号线惠王陵地铁C口</v>
      </c>
      <c r="J4460" s="33" t="str">
        <f>VLOOKUP(B4460,辅助信息!E:I,4,FALSE)</f>
        <v>蒋嗣伟</v>
      </c>
      <c r="K4460" s="33">
        <f>VLOOKUP(J4460,辅助信息!H:I,2,FALSE)</f>
        <v>15014331252</v>
      </c>
      <c r="L4460" s="102">
        <f>VLOOKUP(B4460,辅助信息!E:J,6,FALSE)</f>
        <v>0</v>
      </c>
      <c r="O4460" s="55" t="str">
        <f ca="1" t="shared" si="222"/>
        <v/>
      </c>
      <c r="P4460" s="55" t="str">
        <f ca="1" t="shared" si="223"/>
        <v/>
      </c>
      <c r="Q4460" s="22" t="str">
        <f>VLOOKUP(B4460,辅助信息!E:M,9,FALSE)</f>
        <v>ZTWM-CDGS-XS-2025-0156-五冶钢构-2025年九月第一批次钢筋采购合同(三圣乡项目)-中铁物贸成都公司</v>
      </c>
      <c r="R4460" s="22" t="str">
        <f>_xlfn._xlws.FILTER(辅助信息!D:D,辅助信息!E:E=B4460)</f>
        <v>五冶钢构龙泉东洪片区70亩住宅、商业及配套工程项目三标段</v>
      </c>
    </row>
    <row r="4461" hidden="1" spans="2:18">
      <c r="B4461" s="128" t="s">
        <v>240</v>
      </c>
      <c r="C4461" s="63">
        <v>45944</v>
      </c>
      <c r="D4461" s="33" t="str">
        <f>VLOOKUP(B4461,辅助信息!E:K,7,FALSE)</f>
        <v>JWDDCD2025092400204</v>
      </c>
      <c r="E4461" s="33" t="str">
        <f>VLOOKUP(F4461,辅助信息!A:B,2,FALSE)</f>
        <v>螺纹钢</v>
      </c>
      <c r="F4461" s="33" t="s">
        <v>27</v>
      </c>
      <c r="G4461" s="29">
        <v>27</v>
      </c>
      <c r="H4461" s="127">
        <f>IF(SUMIFS('[1]2025年已发货'!$E:$E,'[1]2025年已发货'!$F:$F,C4461,'[1]2025年已发货'!$C:$C,F4461,'[1]2025年已发货'!$G:$G,I4461,'[1]2025年已发货'!$H:$H,J4461)=0,"未发货",SUMIFS('[1]2025年已发货'!$E:$E,'[1]2025年已发货'!$F:$F,C4461,'[1]2025年已发货'!$C:$C,F4461,'[1]2025年已发货'!$G:$G,I4461,'[1]2025年已发货'!$H:$H,J4461))</f>
        <v>27</v>
      </c>
      <c r="I4461" s="33" t="str">
        <f>VLOOKUP(B4461,辅助信息!E:I,3,FALSE)</f>
        <v>(五冶钢构龙泉东洪片区70亩住宅、商业及配套工程项目三标段)成都市龙泉驿外东洪路地铁2号线惠王陵地铁C口</v>
      </c>
      <c r="J4461" s="33" t="str">
        <f>VLOOKUP(B4461,辅助信息!E:I,4,FALSE)</f>
        <v>蒋嗣伟</v>
      </c>
      <c r="K4461" s="33">
        <f>VLOOKUP(J4461,辅助信息!H:I,2,FALSE)</f>
        <v>15014331252</v>
      </c>
      <c r="L4461" s="102">
        <f>VLOOKUP(B4461,辅助信息!E:J,6,FALSE)</f>
        <v>0</v>
      </c>
      <c r="O4461" s="55" t="str">
        <f ca="1" t="shared" si="222"/>
        <v/>
      </c>
      <c r="P4461" s="55" t="str">
        <f ca="1" t="shared" si="223"/>
        <v/>
      </c>
      <c r="Q4461" s="22" t="str">
        <f>VLOOKUP(B4461,辅助信息!E:M,9,FALSE)</f>
        <v>ZTWM-CDGS-XS-2025-0156-五冶钢构-2025年九月第一批次钢筋采购合同(三圣乡项目)-中铁物贸成都公司</v>
      </c>
      <c r="R4461" s="22" t="str">
        <f>_xlfn._xlws.FILTER(辅助信息!D:D,辅助信息!E:E=B4461)</f>
        <v>五冶钢构龙泉东洪片区70亩住宅、商业及配套工程项目三标段</v>
      </c>
    </row>
    <row r="4462" hidden="1" spans="2:18">
      <c r="B4462" s="128" t="s">
        <v>240</v>
      </c>
      <c r="C4462" s="63">
        <v>45944</v>
      </c>
      <c r="D4462" s="33" t="str">
        <f>VLOOKUP(B4462,辅助信息!E:K,7,FALSE)</f>
        <v>JWDDCD2025092400204</v>
      </c>
      <c r="E4462" s="33" t="str">
        <f>VLOOKUP(F4462,辅助信息!A:B,2,FALSE)</f>
        <v>螺纹钢</v>
      </c>
      <c r="F4462" s="33" t="s">
        <v>19</v>
      </c>
      <c r="G4462" s="29">
        <v>18</v>
      </c>
      <c r="H4462" s="127">
        <f>IF(SUMIFS('[1]2025年已发货'!$E:$E,'[1]2025年已发货'!$F:$F,C4462,'[1]2025年已发货'!$C:$C,F4462,'[1]2025年已发货'!$G:$G,I4462,'[1]2025年已发货'!$H:$H,J4462)=0,"未发货",SUMIFS('[1]2025年已发货'!$E:$E,'[1]2025年已发货'!$F:$F,C4462,'[1]2025年已发货'!$C:$C,F4462,'[1]2025年已发货'!$G:$G,I4462,'[1]2025年已发货'!$H:$H,J4462))</f>
        <v>18</v>
      </c>
      <c r="I4462" s="33" t="str">
        <f>VLOOKUP(B4462,辅助信息!E:I,3,FALSE)</f>
        <v>(五冶钢构龙泉东洪片区70亩住宅、商业及配套工程项目三标段)成都市龙泉驿外东洪路地铁2号线惠王陵地铁C口</v>
      </c>
      <c r="J4462" s="33" t="str">
        <f>VLOOKUP(B4462,辅助信息!E:I,4,FALSE)</f>
        <v>蒋嗣伟</v>
      </c>
      <c r="K4462" s="33">
        <f>VLOOKUP(J4462,辅助信息!H:I,2,FALSE)</f>
        <v>15014331252</v>
      </c>
      <c r="L4462" s="102">
        <f>VLOOKUP(B4462,辅助信息!E:J,6,FALSE)</f>
        <v>0</v>
      </c>
      <c r="O4462" s="55" t="str">
        <f ca="1" t="shared" si="222"/>
        <v/>
      </c>
      <c r="P4462" s="55" t="str">
        <f ca="1" t="shared" si="223"/>
        <v/>
      </c>
      <c r="Q4462" s="22" t="str">
        <f>VLOOKUP(B4462,辅助信息!E:M,9,FALSE)</f>
        <v>ZTWM-CDGS-XS-2025-0156-五冶钢构-2025年九月第一批次钢筋采购合同(三圣乡项目)-中铁物贸成都公司</v>
      </c>
      <c r="R4462" s="22" t="str">
        <f>_xlfn._xlws.FILTER(辅助信息!D:D,辅助信息!E:E=B4462)</f>
        <v>五冶钢构龙泉东洪片区70亩住宅、商业及配套工程项目三标段</v>
      </c>
    </row>
    <row r="4463" hidden="1" spans="2:18">
      <c r="B4463" s="128" t="s">
        <v>240</v>
      </c>
      <c r="C4463" s="63">
        <v>45944</v>
      </c>
      <c r="D4463" s="33" t="str">
        <f>VLOOKUP(B4463,辅助信息!E:K,7,FALSE)</f>
        <v>JWDDCD2025092400204</v>
      </c>
      <c r="E4463" s="33" t="str">
        <f>VLOOKUP(F4463,辅助信息!A:B,2,FALSE)</f>
        <v>螺纹钢</v>
      </c>
      <c r="F4463" s="33" t="s">
        <v>32</v>
      </c>
      <c r="G4463" s="29">
        <v>65</v>
      </c>
      <c r="H4463" s="127">
        <f>IF(SUMIFS('[1]2025年已发货'!$E:$E,'[1]2025年已发货'!$F:$F,C4463,'[1]2025年已发货'!$C:$C,F4463,'[1]2025年已发货'!$G:$G,I4463,'[1]2025年已发货'!$H:$H,J4463)=0,"未发货",SUMIFS('[1]2025年已发货'!$E:$E,'[1]2025年已发货'!$F:$F,C4463,'[1]2025年已发货'!$C:$C,F4463,'[1]2025年已发货'!$G:$G,I4463,'[1]2025年已发货'!$H:$H,J4463))</f>
        <v>65</v>
      </c>
      <c r="I4463" s="33" t="str">
        <f>VLOOKUP(B4463,辅助信息!E:I,3,FALSE)</f>
        <v>(五冶钢构龙泉东洪片区70亩住宅、商业及配套工程项目三标段)成都市龙泉驿外东洪路地铁2号线惠王陵地铁C口</v>
      </c>
      <c r="J4463" s="33" t="str">
        <f>VLOOKUP(B4463,辅助信息!E:I,4,FALSE)</f>
        <v>蒋嗣伟</v>
      </c>
      <c r="K4463" s="33">
        <f>VLOOKUP(J4463,辅助信息!H:I,2,FALSE)</f>
        <v>15014331252</v>
      </c>
      <c r="L4463" s="102">
        <f>VLOOKUP(B4463,辅助信息!E:J,6,FALSE)</f>
        <v>0</v>
      </c>
      <c r="O4463" s="55" t="str">
        <f ca="1" t="shared" si="222"/>
        <v/>
      </c>
      <c r="P4463" s="55" t="str">
        <f ca="1" t="shared" si="223"/>
        <v/>
      </c>
      <c r="Q4463" s="22" t="str">
        <f>VLOOKUP(B4463,辅助信息!E:M,9,FALSE)</f>
        <v>ZTWM-CDGS-XS-2025-0156-五冶钢构-2025年九月第一批次钢筋采购合同(三圣乡项目)-中铁物贸成都公司</v>
      </c>
      <c r="R4463" s="22" t="str">
        <f>_xlfn._xlws.FILTER(辅助信息!D:D,辅助信息!E:E=B4463)</f>
        <v>五冶钢构龙泉东洪片区70亩住宅、商业及配套工程项目三标段</v>
      </c>
    </row>
    <row r="4464" hidden="1" spans="2:18">
      <c r="B4464" s="128" t="s">
        <v>240</v>
      </c>
      <c r="C4464" s="63">
        <v>45944</v>
      </c>
      <c r="D4464" s="33" t="str">
        <f>VLOOKUP(B4464,辅助信息!E:K,7,FALSE)</f>
        <v>JWDDCD2025092400204</v>
      </c>
      <c r="E4464" s="33" t="str">
        <f>VLOOKUP(F4464,辅助信息!A:B,2,FALSE)</f>
        <v>螺纹钢</v>
      </c>
      <c r="F4464" s="33" t="s">
        <v>30</v>
      </c>
      <c r="G4464" s="29">
        <v>15</v>
      </c>
      <c r="H4464" s="127">
        <f>IF(SUMIFS('[1]2025年已发货'!$E:$E,'[1]2025年已发货'!$F:$F,C4464,'[1]2025年已发货'!$C:$C,F4464,'[1]2025年已发货'!$G:$G,I4464,'[1]2025年已发货'!$H:$H,J4464)=0,"未发货",SUMIFS('[1]2025年已发货'!$E:$E,'[1]2025年已发货'!$F:$F,C4464,'[1]2025年已发货'!$C:$C,F4464,'[1]2025年已发货'!$G:$G,I4464,'[1]2025年已发货'!$H:$H,J4464))</f>
        <v>15</v>
      </c>
      <c r="I4464" s="33" t="str">
        <f>VLOOKUP(B4464,辅助信息!E:I,3,FALSE)</f>
        <v>(五冶钢构龙泉东洪片区70亩住宅、商业及配套工程项目三标段)成都市龙泉驿外东洪路地铁2号线惠王陵地铁C口</v>
      </c>
      <c r="J4464" s="33" t="str">
        <f>VLOOKUP(B4464,辅助信息!E:I,4,FALSE)</f>
        <v>蒋嗣伟</v>
      </c>
      <c r="K4464" s="33">
        <f>VLOOKUP(J4464,辅助信息!H:I,2,FALSE)</f>
        <v>15014331252</v>
      </c>
      <c r="L4464" s="102">
        <f>VLOOKUP(B4464,辅助信息!E:J,6,FALSE)</f>
        <v>0</v>
      </c>
      <c r="O4464" s="55" t="str">
        <f ca="1" t="shared" si="222"/>
        <v/>
      </c>
      <c r="P4464" s="55" t="str">
        <f ca="1" t="shared" si="223"/>
        <v/>
      </c>
      <c r="Q4464" s="22" t="str">
        <f>VLOOKUP(B4464,辅助信息!E:M,9,FALSE)</f>
        <v>ZTWM-CDGS-XS-2025-0156-五冶钢构-2025年九月第一批次钢筋采购合同(三圣乡项目)-中铁物贸成都公司</v>
      </c>
      <c r="R4464" s="22" t="str">
        <f>_xlfn._xlws.FILTER(辅助信息!D:D,辅助信息!E:E=B4464)</f>
        <v>五冶钢构龙泉东洪片区70亩住宅、商业及配套工程项目三标段</v>
      </c>
    </row>
    <row r="4465" hidden="1" spans="2:18">
      <c r="B4465" s="128" t="s">
        <v>240</v>
      </c>
      <c r="C4465" s="63">
        <v>45944</v>
      </c>
      <c r="D4465" s="33" t="str">
        <f>VLOOKUP(B4465,辅助信息!E:K,7,FALSE)</f>
        <v>JWDDCD2025092400204</v>
      </c>
      <c r="E4465" s="33" t="str">
        <f>VLOOKUP(F4465,辅助信息!A:B,2,FALSE)</f>
        <v>螺纹钢</v>
      </c>
      <c r="F4465" s="33" t="s">
        <v>33</v>
      </c>
      <c r="G4465" s="29">
        <v>15</v>
      </c>
      <c r="H4465" s="127">
        <f>IF(SUMIFS('[1]2025年已发货'!$E:$E,'[1]2025年已发货'!$F:$F,C4465,'[1]2025年已发货'!$C:$C,F4465,'[1]2025年已发货'!$G:$G,I4465,'[1]2025年已发货'!$H:$H,J4465)=0,"未发货",SUMIFS('[1]2025年已发货'!$E:$E,'[1]2025年已发货'!$F:$F,C4465,'[1]2025年已发货'!$C:$C,F4465,'[1]2025年已发货'!$G:$G,I4465,'[1]2025年已发货'!$H:$H,J4465))</f>
        <v>15</v>
      </c>
      <c r="I4465" s="33" t="str">
        <f>VLOOKUP(B4465,辅助信息!E:I,3,FALSE)</f>
        <v>(五冶钢构龙泉东洪片区70亩住宅、商业及配套工程项目三标段)成都市龙泉驿外东洪路地铁2号线惠王陵地铁C口</v>
      </c>
      <c r="J4465" s="33" t="str">
        <f>VLOOKUP(B4465,辅助信息!E:I,4,FALSE)</f>
        <v>蒋嗣伟</v>
      </c>
      <c r="K4465" s="33">
        <f>VLOOKUP(J4465,辅助信息!H:I,2,FALSE)</f>
        <v>15014331252</v>
      </c>
      <c r="L4465" s="102">
        <f>VLOOKUP(B4465,辅助信息!E:J,6,FALSE)</f>
        <v>0</v>
      </c>
      <c r="O4465" s="55" t="str">
        <f ca="1" t="shared" si="222"/>
        <v/>
      </c>
      <c r="P4465" s="55" t="str">
        <f ca="1" t="shared" si="223"/>
        <v/>
      </c>
      <c r="Q4465" s="22" t="str">
        <f>VLOOKUP(B4465,辅助信息!E:M,9,FALSE)</f>
        <v>ZTWM-CDGS-XS-2025-0156-五冶钢构-2025年九月第一批次钢筋采购合同(三圣乡项目)-中铁物贸成都公司</v>
      </c>
      <c r="R4465" s="22" t="str">
        <f>_xlfn._xlws.FILTER(辅助信息!D:D,辅助信息!E:E=B4465)</f>
        <v>五冶钢构龙泉东洪片区70亩住宅、商业及配套工程项目三标段</v>
      </c>
    </row>
    <row r="4466" hidden="1" spans="2:18">
      <c r="B4466" s="128" t="s">
        <v>240</v>
      </c>
      <c r="C4466" s="63">
        <v>45944</v>
      </c>
      <c r="D4466" s="33" t="str">
        <f>VLOOKUP(B4466,辅助信息!E:K,7,FALSE)</f>
        <v>JWDDCD2025092400204</v>
      </c>
      <c r="E4466" s="33" t="str">
        <f>VLOOKUP(F4466,辅助信息!A:B,2,FALSE)</f>
        <v>螺纹钢</v>
      </c>
      <c r="F4466" s="33" t="s">
        <v>28</v>
      </c>
      <c r="G4466" s="29">
        <v>6</v>
      </c>
      <c r="H4466" s="127">
        <f>IF(SUMIFS('[1]2025年已发货'!$E:$E,'[1]2025年已发货'!$F:$F,C4466,'[1]2025年已发货'!$C:$C,F4466,'[1]2025年已发货'!$G:$G,I4466,'[1]2025年已发货'!$H:$H,J4466)=0,"未发货",SUMIFS('[1]2025年已发货'!$E:$E,'[1]2025年已发货'!$F:$F,C4466,'[1]2025年已发货'!$C:$C,F4466,'[1]2025年已发货'!$G:$G,I4466,'[1]2025年已发货'!$H:$H,J4466))</f>
        <v>6</v>
      </c>
      <c r="I4466" s="33" t="str">
        <f>VLOOKUP(B4466,辅助信息!E:I,3,FALSE)</f>
        <v>(五冶钢构龙泉东洪片区70亩住宅、商业及配套工程项目三标段)成都市龙泉驿外东洪路地铁2号线惠王陵地铁C口</v>
      </c>
      <c r="J4466" s="33" t="str">
        <f>VLOOKUP(B4466,辅助信息!E:I,4,FALSE)</f>
        <v>蒋嗣伟</v>
      </c>
      <c r="K4466" s="33">
        <f>VLOOKUP(J4466,辅助信息!H:I,2,FALSE)</f>
        <v>15014331252</v>
      </c>
      <c r="L4466" s="102">
        <f>VLOOKUP(B4466,辅助信息!E:J,6,FALSE)</f>
        <v>0</v>
      </c>
      <c r="O4466" s="55" t="str">
        <f ca="1" t="shared" si="222"/>
        <v/>
      </c>
      <c r="P4466" s="55" t="str">
        <f ca="1" t="shared" si="223"/>
        <v/>
      </c>
      <c r="Q4466" s="22" t="str">
        <f>VLOOKUP(B4466,辅助信息!E:M,9,FALSE)</f>
        <v>ZTWM-CDGS-XS-2025-0156-五冶钢构-2025年九月第一批次钢筋采购合同(三圣乡项目)-中铁物贸成都公司</v>
      </c>
      <c r="R4466" s="22" t="str">
        <f>_xlfn._xlws.FILTER(辅助信息!D:D,辅助信息!E:E=B4466)</f>
        <v>五冶钢构龙泉东洪片区70亩住宅、商业及配套工程项目三标段</v>
      </c>
    </row>
    <row r="4467" hidden="1" spans="2:18">
      <c r="B4467" s="128" t="s">
        <v>240</v>
      </c>
      <c r="C4467" s="63">
        <v>45944</v>
      </c>
      <c r="D4467" s="33" t="str">
        <f>VLOOKUP(B4467,辅助信息!E:K,7,FALSE)</f>
        <v>JWDDCD2025092400204</v>
      </c>
      <c r="E4467" s="33" t="str">
        <f>VLOOKUP(F4467,辅助信息!A:B,2,FALSE)</f>
        <v>螺纹钢</v>
      </c>
      <c r="F4467" s="33" t="s">
        <v>18</v>
      </c>
      <c r="G4467" s="29">
        <v>6</v>
      </c>
      <c r="H4467" s="127">
        <f>IF(SUMIFS('[1]2025年已发货'!$E:$E,'[1]2025年已发货'!$F:$F,C4467,'[1]2025年已发货'!$C:$C,F4467,'[1]2025年已发货'!$G:$G,I4467,'[1]2025年已发货'!$H:$H,J4467)=0,"未发货",SUMIFS('[1]2025年已发货'!$E:$E,'[1]2025年已发货'!$F:$F,C4467,'[1]2025年已发货'!$C:$C,F4467,'[1]2025年已发货'!$G:$G,I4467,'[1]2025年已发货'!$H:$H,J4467))</f>
        <v>6</v>
      </c>
      <c r="I4467" s="33" t="str">
        <f>VLOOKUP(B4467,辅助信息!E:I,3,FALSE)</f>
        <v>(五冶钢构龙泉东洪片区70亩住宅、商业及配套工程项目三标段)成都市龙泉驿外东洪路地铁2号线惠王陵地铁C口</v>
      </c>
      <c r="J4467" s="33" t="str">
        <f>VLOOKUP(B4467,辅助信息!E:I,4,FALSE)</f>
        <v>蒋嗣伟</v>
      </c>
      <c r="K4467" s="33">
        <f>VLOOKUP(J4467,辅助信息!H:I,2,FALSE)</f>
        <v>15014331252</v>
      </c>
      <c r="L4467" s="102">
        <f>VLOOKUP(B4467,辅助信息!E:J,6,FALSE)</f>
        <v>0</v>
      </c>
      <c r="O4467" s="55" t="str">
        <f ca="1" t="shared" si="222"/>
        <v/>
      </c>
      <c r="P4467" s="55" t="str">
        <f ca="1" t="shared" si="223"/>
        <v/>
      </c>
      <c r="Q4467" s="22" t="str">
        <f>VLOOKUP(B4467,辅助信息!E:M,9,FALSE)</f>
        <v>ZTWM-CDGS-XS-2025-0156-五冶钢构-2025年九月第一批次钢筋采购合同(三圣乡项目)-中铁物贸成都公司</v>
      </c>
      <c r="R4467" s="22" t="str">
        <f>_xlfn._xlws.FILTER(辅助信息!D:D,辅助信息!E:E=B4467)</f>
        <v>五冶钢构龙泉东洪片区70亩住宅、商业及配套工程项目三标段</v>
      </c>
    </row>
    <row r="4468" hidden="1" spans="2:18">
      <c r="B4468" s="128" t="s">
        <v>240</v>
      </c>
      <c r="C4468" s="63">
        <v>45944</v>
      </c>
      <c r="D4468" s="33" t="str">
        <f>VLOOKUP(B4468,辅助信息!E:K,7,FALSE)</f>
        <v>JWDDCD2025092400204</v>
      </c>
      <c r="E4468" s="33" t="str">
        <f>VLOOKUP(F4468,辅助信息!A:B,2,FALSE)</f>
        <v>盘螺</v>
      </c>
      <c r="F4468" s="33" t="s">
        <v>41</v>
      </c>
      <c r="G4468" s="29">
        <v>15</v>
      </c>
      <c r="H4468" s="127"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33" t="str">
        <f>VLOOKUP(B4468,辅助信息!E:I,3,FALSE)</f>
        <v>(五冶钢构龙泉东洪片区70亩住宅、商业及配套工程项目三标段)成都市龙泉驿外东洪路地铁2号线惠王陵地铁C口</v>
      </c>
      <c r="J4468" s="33" t="str">
        <f>VLOOKUP(B4468,辅助信息!E:I,4,FALSE)</f>
        <v>蒋嗣伟</v>
      </c>
      <c r="K4468" s="33">
        <f>VLOOKUP(J4468,辅助信息!H:I,2,FALSE)</f>
        <v>15014331252</v>
      </c>
      <c r="L4468" s="102">
        <f>VLOOKUP(B4468,辅助信息!E:J,6,FALSE)</f>
        <v>0</v>
      </c>
      <c r="O4468" s="55" t="str">
        <f ca="1" t="shared" si="222"/>
        <v/>
      </c>
      <c r="P4468" s="55" t="str">
        <f ca="1" t="shared" si="223"/>
        <v/>
      </c>
      <c r="Q4468" s="22" t="str">
        <f>VLOOKUP(B4468,辅助信息!E:M,9,FALSE)</f>
        <v>ZTWM-CDGS-XS-2025-0156-五冶钢构-2025年九月第一批次钢筋采购合同(三圣乡项目)-中铁物贸成都公司</v>
      </c>
      <c r="R4468" s="22" t="str">
        <f>_xlfn._xlws.FILTER(辅助信息!D:D,辅助信息!E:E=B4468)</f>
        <v>五冶钢构龙泉东洪片区70亩住宅、商业及配套工程项目三标段</v>
      </c>
    </row>
    <row r="4469" hidden="1" spans="2:18">
      <c r="B4469" s="128" t="s">
        <v>240</v>
      </c>
      <c r="C4469" s="63">
        <v>45944</v>
      </c>
      <c r="D4469" s="33" t="str">
        <f>VLOOKUP(B4469,辅助信息!E:K,7,FALSE)</f>
        <v>JWDDCD2025092400204</v>
      </c>
      <c r="E4469" s="33" t="str">
        <f>VLOOKUP(F4469,辅助信息!A:B,2,FALSE)</f>
        <v>盘螺</v>
      </c>
      <c r="F4469" s="33" t="s">
        <v>49</v>
      </c>
      <c r="G4469" s="29">
        <v>5</v>
      </c>
      <c r="H4469" s="127"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33" t="str">
        <f>VLOOKUP(B4469,辅助信息!E:I,3,FALSE)</f>
        <v>(五冶钢构龙泉东洪片区70亩住宅、商业及配套工程项目三标段)成都市龙泉驿外东洪路地铁2号线惠王陵地铁C口</v>
      </c>
      <c r="J4469" s="33" t="str">
        <f>VLOOKUP(B4469,辅助信息!E:I,4,FALSE)</f>
        <v>蒋嗣伟</v>
      </c>
      <c r="K4469" s="33">
        <f>VLOOKUP(J4469,辅助信息!H:I,2,FALSE)</f>
        <v>15014331252</v>
      </c>
      <c r="L4469" s="102">
        <f>VLOOKUP(B4469,辅助信息!E:J,6,FALSE)</f>
        <v>0</v>
      </c>
      <c r="O4469" s="55" t="str">
        <f ca="1" t="shared" si="222"/>
        <v/>
      </c>
      <c r="P4469" s="55" t="str">
        <f ca="1" t="shared" si="223"/>
        <v/>
      </c>
      <c r="Q4469" s="22" t="str">
        <f>VLOOKUP(B4469,辅助信息!E:M,9,FALSE)</f>
        <v>ZTWM-CDGS-XS-2025-0156-五冶钢构-2025年九月第一批次钢筋采购合同(三圣乡项目)-中铁物贸成都公司</v>
      </c>
      <c r="R4469" s="22" t="str">
        <f>_xlfn._xlws.FILTER(辅助信息!D:D,辅助信息!E:E=B4469)</f>
        <v>五冶钢构龙泉东洪片区70亩住宅、商业及配套工程项目三标段</v>
      </c>
    </row>
    <row r="4470" hidden="1" spans="2:18">
      <c r="B4470" s="128" t="s">
        <v>240</v>
      </c>
      <c r="C4470" s="63">
        <v>45944</v>
      </c>
      <c r="D4470" s="33" t="str">
        <f>VLOOKUP(B4470,辅助信息!E:K,7,FALSE)</f>
        <v>JWDDCD2025092400204</v>
      </c>
      <c r="E4470" s="33" t="str">
        <f>VLOOKUP(F4470,辅助信息!A:B,2,FALSE)</f>
        <v>盘螺</v>
      </c>
      <c r="F4470" s="33" t="s">
        <v>40</v>
      </c>
      <c r="G4470" s="29">
        <v>10</v>
      </c>
      <c r="H4470" s="127"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33" t="str">
        <f>VLOOKUP(B4470,辅助信息!E:I,3,FALSE)</f>
        <v>(五冶钢构龙泉东洪片区70亩住宅、商业及配套工程项目三标段)成都市龙泉驿外东洪路地铁2号线惠王陵地铁C口</v>
      </c>
      <c r="J4470" s="33" t="str">
        <f>VLOOKUP(B4470,辅助信息!E:I,4,FALSE)</f>
        <v>蒋嗣伟</v>
      </c>
      <c r="K4470" s="33">
        <f>VLOOKUP(J4470,辅助信息!H:I,2,FALSE)</f>
        <v>15014331252</v>
      </c>
      <c r="L4470" s="102">
        <f>VLOOKUP(B4470,辅助信息!E:J,6,FALSE)</f>
        <v>0</v>
      </c>
      <c r="O4470" s="55" t="str">
        <f ca="1" t="shared" si="222"/>
        <v/>
      </c>
      <c r="P4470" s="55" t="str">
        <f ca="1" t="shared" si="223"/>
        <v/>
      </c>
      <c r="Q4470" s="22" t="str">
        <f>VLOOKUP(B4470,辅助信息!E:M,9,FALSE)</f>
        <v>ZTWM-CDGS-XS-2025-0156-五冶钢构-2025年九月第一批次钢筋采购合同(三圣乡项目)-中铁物贸成都公司</v>
      </c>
      <c r="R4470" s="22" t="str">
        <f>_xlfn._xlws.FILTER(辅助信息!D:D,辅助信息!E:E=B4470)</f>
        <v>五冶钢构龙泉东洪片区70亩住宅、商业及配套工程项目三标段</v>
      </c>
    </row>
    <row r="4471" hidden="1" spans="2:18">
      <c r="B4471" s="128" t="s">
        <v>224</v>
      </c>
      <c r="C4471" s="63">
        <v>45944</v>
      </c>
      <c r="D4471" s="33" t="str">
        <f>VLOOKUP(B4471,辅助信息!E:K,7,FALSE)</f>
        <v>JWDDCD2025092400188</v>
      </c>
      <c r="E4471" s="33" t="str">
        <f>VLOOKUP(F4471,辅助信息!A:B,2,FALSE)</f>
        <v>盘螺</v>
      </c>
      <c r="F4471" s="33" t="s">
        <v>40</v>
      </c>
      <c r="G4471" s="29">
        <v>40</v>
      </c>
      <c r="H4471" s="127">
        <f>IF(SUMIFS('[1]2025年已发货'!$E:$E,'[1]2025年已发货'!$F:$F,C4471,'[1]2025年已发货'!$C:$C,F4471,'[1]2025年已发货'!$G:$G,I4471,'[1]2025年已发货'!$H:$H,J4471)=0,"未发货",SUMIFS('[1]2025年已发货'!$E:$E,'[1]2025年已发货'!$F:$F,C4471,'[1]2025年已发货'!$C:$C,F4471,'[1]2025年已发货'!$G:$G,I4471,'[1]2025年已发货'!$H:$H,J4471))</f>
        <v>40</v>
      </c>
      <c r="I4471" s="33" t="str">
        <f>VLOOKUP(B4471,辅助信息!E:I,3,FALSE)</f>
        <v>(五冶钢构龙泉东洪片区70亩住宅、商业及配套工程项目一标段)成都市龙泉驿外东洪路地铁2号线惠王陵地铁C口</v>
      </c>
      <c r="J4471" s="33" t="str">
        <f>VLOOKUP(B4471,辅助信息!E:I,4,FALSE)</f>
        <v>邹爱国</v>
      </c>
      <c r="K4471" s="33">
        <f>VLOOKUP(J4471,辅助信息!H:I,2,FALSE)</f>
        <v>13540231225</v>
      </c>
      <c r="L4471" s="102">
        <f>VLOOKUP(B4471,辅助信息!E:J,6,FALSE)</f>
        <v>0</v>
      </c>
      <c r="O4471" s="55" t="str">
        <f ca="1" t="shared" si="222"/>
        <v/>
      </c>
      <c r="P4471" s="55" t="str">
        <f ca="1" t="shared" si="223"/>
        <v/>
      </c>
      <c r="Q4471" s="22" t="str">
        <f>VLOOKUP(B4471,辅助信息!E:M,9,FALSE)</f>
        <v>ZTWM-CDGS-XS-2025-0156-五冶钢构-2025年九月第一批次钢筋采购合同(三圣乡项目)-中铁物贸成都公司</v>
      </c>
      <c r="R4471" s="22" t="str">
        <f>_xlfn._xlws.FILTER(辅助信息!D:D,辅助信息!E:E=B4471)</f>
        <v>五冶钢构龙泉东洪片区70亩住宅、商业及配套工程项目一标段</v>
      </c>
    </row>
    <row r="4472" hidden="1" spans="2:18">
      <c r="B4472" s="128" t="s">
        <v>226</v>
      </c>
      <c r="C4472" s="63">
        <v>45944</v>
      </c>
      <c r="D4472" s="33" t="str">
        <f>VLOOKUP(B4472,辅助信息!E:K,7,FALSE)</f>
        <v>JWDDCD2025092400211</v>
      </c>
      <c r="E4472" s="33" t="str">
        <f>VLOOKUP(F4472,辅助信息!A:B,2,FALSE)</f>
        <v>盘螺</v>
      </c>
      <c r="F4472" s="33" t="s">
        <v>26</v>
      </c>
      <c r="G4472" s="29">
        <v>35</v>
      </c>
      <c r="H4472" s="127">
        <f>IF(SUMIFS('[1]2025年已发货'!$E:$E,'[1]2025年已发货'!$F:$F,C4472,'[1]2025年已发货'!$C:$C,F4472,'[1]2025年已发货'!$G:$G,I4472,'[1]2025年已发货'!$H:$H,J4472)=0,"未发货",SUMIFS('[1]2025年已发货'!$E:$E,'[1]2025年已发货'!$F:$F,C4472,'[1]2025年已发货'!$C:$C,F4472,'[1]2025年已发货'!$G:$G,I4472,'[1]2025年已发货'!$H:$H,J4472))</f>
        <v>35</v>
      </c>
      <c r="I4472" s="33" t="str">
        <f>VLOOKUP(B4472,辅助信息!E:I,3,FALSE)</f>
        <v>(五冶钢构龙泉东洪片区85亩住宅、商业及配套工程项目二标段)成都市龙泉驿外东洪路地铁2号线惠王陵地铁C口</v>
      </c>
      <c r="J4472" s="33" t="str">
        <f>VLOOKUP(B4472,辅助信息!E:I,4,FALSE)</f>
        <v>李渊</v>
      </c>
      <c r="K4472" s="33">
        <f>VLOOKUP(J4472,辅助信息!H:I,2,FALSE)</f>
        <v>18381013849</v>
      </c>
      <c r="L4472" s="102">
        <f>VLOOKUP(B4472,辅助信息!E:J,6,FALSE)</f>
        <v>0</v>
      </c>
      <c r="O4472" s="55" t="str">
        <f ca="1" t="shared" si="222"/>
        <v/>
      </c>
      <c r="P4472" s="55" t="str">
        <f ca="1" t="shared" si="223"/>
        <v/>
      </c>
      <c r="Q4472" s="22" t="str">
        <f>VLOOKUP(B4472,辅助信息!E:M,9,FALSE)</f>
        <v>ZTWM-CDGS-XS-2025-0156-五冶钢构-2025年九月第一批次钢筋采购合同(三圣乡项目)-中铁物贸成都公司</v>
      </c>
      <c r="R4472" s="22" t="str">
        <f>_xlfn._xlws.FILTER(辅助信息!D:D,辅助信息!E:E=B4472)</f>
        <v>五冶钢构龙泉东洪片区85亩住宅、商业及配套工程项目二标段</v>
      </c>
    </row>
    <row r="4473" hidden="1" spans="2:18">
      <c r="B4473" s="128" t="s">
        <v>226</v>
      </c>
      <c r="C4473" s="63">
        <v>45944</v>
      </c>
      <c r="D4473" s="33" t="str">
        <f>VLOOKUP(B4473,辅助信息!E:K,7,FALSE)</f>
        <v>JWDDCD2025092400211</v>
      </c>
      <c r="E4473" s="33" t="str">
        <f>VLOOKUP(F4473,辅助信息!A:B,2,FALSE)</f>
        <v>盘螺</v>
      </c>
      <c r="F4473" s="33" t="s">
        <v>40</v>
      </c>
      <c r="G4473" s="29">
        <v>35</v>
      </c>
      <c r="H4473" s="127">
        <f>IF(SUMIFS('[1]2025年已发货'!$E:$E,'[1]2025年已发货'!$F:$F,C4473,'[1]2025年已发货'!$C:$C,F4473,'[1]2025年已发货'!$G:$G,I4473,'[1]2025年已发货'!$H:$H,J4473)=0,"未发货",SUMIFS('[1]2025年已发货'!$E:$E,'[1]2025年已发货'!$F:$F,C4473,'[1]2025年已发货'!$C:$C,F4473,'[1]2025年已发货'!$G:$G,I4473,'[1]2025年已发货'!$H:$H,J4473))</f>
        <v>35</v>
      </c>
      <c r="I4473" s="33" t="str">
        <f>VLOOKUP(B4473,辅助信息!E:I,3,FALSE)</f>
        <v>(五冶钢构龙泉东洪片区85亩住宅、商业及配套工程项目二标段)成都市龙泉驿外东洪路地铁2号线惠王陵地铁C口</v>
      </c>
      <c r="J4473" s="33" t="str">
        <f>VLOOKUP(B4473,辅助信息!E:I,4,FALSE)</f>
        <v>李渊</v>
      </c>
      <c r="K4473" s="33">
        <f>VLOOKUP(J4473,辅助信息!H:I,2,FALSE)</f>
        <v>18381013849</v>
      </c>
      <c r="L4473" s="102">
        <f>VLOOKUP(B4473,辅助信息!E:J,6,FALSE)</f>
        <v>0</v>
      </c>
      <c r="O4473" s="55" t="str">
        <f ca="1" t="shared" si="222"/>
        <v/>
      </c>
      <c r="P4473" s="55" t="str">
        <f ca="1" t="shared" si="223"/>
        <v/>
      </c>
      <c r="Q4473" s="22" t="str">
        <f>VLOOKUP(B4473,辅助信息!E:M,9,FALSE)</f>
        <v>ZTWM-CDGS-XS-2025-0156-五冶钢构-2025年九月第一批次钢筋采购合同(三圣乡项目)-中铁物贸成都公司</v>
      </c>
      <c r="R4473" s="22" t="str">
        <f>_xlfn._xlws.FILTER(辅助信息!D:D,辅助信息!E:E=B4473)</f>
        <v>五冶钢构龙泉东洪片区85亩住宅、商业及配套工程项目二标段</v>
      </c>
    </row>
    <row r="4474" hidden="1" spans="2:18">
      <c r="B4474" s="128" t="s">
        <v>229</v>
      </c>
      <c r="C4474" s="63">
        <v>45944</v>
      </c>
      <c r="D4474" s="33" t="str">
        <f>VLOOKUP(B4474,辅助信息!E:K,7,FALSE)</f>
        <v>JWDDCD2025092400212</v>
      </c>
      <c r="E4474" s="33" t="str">
        <f>VLOOKUP(F4474,辅助信息!A:B,2,FALSE)</f>
        <v>螺纹钢</v>
      </c>
      <c r="F4474" s="33" t="s">
        <v>27</v>
      </c>
      <c r="G4474" s="29">
        <v>60</v>
      </c>
      <c r="H4474" s="127"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33" t="str">
        <f>VLOOKUP(B4474,辅助信息!E:I,3,FALSE)</f>
        <v>(五冶钢构龙泉东洪片区85亩住宅、商业及配套工程项目三标段)成都市龙泉驿外东洪路地铁2号线惠王陵地铁C口</v>
      </c>
      <c r="J4474" s="33" t="str">
        <f>VLOOKUP(B4474,辅助信息!E:I,4,FALSE)</f>
        <v>王军宝</v>
      </c>
      <c r="K4474" s="33">
        <f>VLOOKUP(J4474,辅助信息!H:I,2,FALSE)</f>
        <v>13889142392</v>
      </c>
      <c r="L4474" s="102">
        <f>VLOOKUP(B4474,辅助信息!E:J,6,FALSE)</f>
        <v>0</v>
      </c>
      <c r="O4474" s="55" t="str">
        <f ca="1" t="shared" si="222"/>
        <v/>
      </c>
      <c r="P4474" s="55" t="str">
        <f ca="1" t="shared" si="223"/>
        <v/>
      </c>
      <c r="Q4474" s="22" t="str">
        <f>VLOOKUP(B4474,辅助信息!E:M,9,FALSE)</f>
        <v>ZTWM-CDGS-XS-2025-0156-五冶钢构-2025年九月第一批次钢筋采购合同(三圣乡项目)-中铁物贸成都公司</v>
      </c>
      <c r="R4474" s="22" t="str">
        <f>_xlfn._xlws.FILTER(辅助信息!D:D,辅助信息!E:E=B4474)</f>
        <v>五冶钢构龙泉东洪片区85亩住宅、商业及配套工程项目三标段</v>
      </c>
    </row>
    <row r="4475" hidden="1" spans="2:18">
      <c r="B4475" s="128" t="s">
        <v>229</v>
      </c>
      <c r="C4475" s="63">
        <v>45944</v>
      </c>
      <c r="D4475" s="33" t="str">
        <f>VLOOKUP(B4475,辅助信息!E:K,7,FALSE)</f>
        <v>JWDDCD2025092400212</v>
      </c>
      <c r="E4475" s="33" t="str">
        <f>VLOOKUP(F4475,辅助信息!A:B,2,FALSE)</f>
        <v>螺纹钢</v>
      </c>
      <c r="F4475" s="33" t="s">
        <v>19</v>
      </c>
      <c r="G4475" s="29">
        <v>38</v>
      </c>
      <c r="H4475" s="127"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33" t="str">
        <f>VLOOKUP(B4475,辅助信息!E:I,3,FALSE)</f>
        <v>(五冶钢构龙泉东洪片区85亩住宅、商业及配套工程项目三标段)成都市龙泉驿外东洪路地铁2号线惠王陵地铁C口</v>
      </c>
      <c r="J4475" s="33" t="str">
        <f>VLOOKUP(B4475,辅助信息!E:I,4,FALSE)</f>
        <v>王军宝</v>
      </c>
      <c r="K4475" s="33">
        <f>VLOOKUP(J4475,辅助信息!H:I,2,FALSE)</f>
        <v>13889142392</v>
      </c>
      <c r="L4475" s="102">
        <f>VLOOKUP(B4475,辅助信息!E:J,6,FALSE)</f>
        <v>0</v>
      </c>
      <c r="O4475" s="55" t="str">
        <f ca="1" t="shared" si="222"/>
        <v/>
      </c>
      <c r="P4475" s="55" t="str">
        <f ca="1" t="shared" si="223"/>
        <v/>
      </c>
      <c r="Q4475" s="22" t="str">
        <f>VLOOKUP(B4475,辅助信息!E:M,9,FALSE)</f>
        <v>ZTWM-CDGS-XS-2025-0156-五冶钢构-2025年九月第一批次钢筋采购合同(三圣乡项目)-中铁物贸成都公司</v>
      </c>
      <c r="R4475" s="22" t="str">
        <f>_xlfn._xlws.FILTER(辅助信息!D:D,辅助信息!E:E=B4475)</f>
        <v>五冶钢构龙泉东洪片区85亩住宅、商业及配套工程项目三标段</v>
      </c>
    </row>
    <row r="4476" hidden="1" spans="2:18">
      <c r="B4476" s="128" t="s">
        <v>229</v>
      </c>
      <c r="C4476" s="63">
        <v>45944</v>
      </c>
      <c r="D4476" s="33" t="str">
        <f>VLOOKUP(B4476,辅助信息!E:K,7,FALSE)</f>
        <v>JWDDCD2025092400212</v>
      </c>
      <c r="E4476" s="33" t="str">
        <f>VLOOKUP(F4476,辅助信息!A:B,2,FALSE)</f>
        <v>螺纹钢</v>
      </c>
      <c r="F4476" s="33" t="s">
        <v>32</v>
      </c>
      <c r="G4476" s="29">
        <v>80</v>
      </c>
      <c r="H4476" s="127">
        <f>IF(SUMIFS('[1]2025年已发货'!$E:$E,'[1]2025年已发货'!$F:$F,C4476,'[1]2025年已发货'!$C:$C,F4476,'[1]2025年已发货'!$G:$G,I4476,'[1]2025年已发货'!$H:$H,J4476)=0,"未发货",SUMIFS('[1]2025年已发货'!$E:$E,'[1]2025年已发货'!$F:$F,C4476,'[1]2025年已发货'!$C:$C,F4476,'[1]2025年已发货'!$G:$G,I4476,'[1]2025年已发货'!$H:$H,J4476))</f>
        <v>80</v>
      </c>
      <c r="I4476" s="33" t="str">
        <f>VLOOKUP(B4476,辅助信息!E:I,3,FALSE)</f>
        <v>(五冶钢构龙泉东洪片区85亩住宅、商业及配套工程项目三标段)成都市龙泉驿外东洪路地铁2号线惠王陵地铁C口</v>
      </c>
      <c r="J4476" s="33" t="str">
        <f>VLOOKUP(B4476,辅助信息!E:I,4,FALSE)</f>
        <v>王军宝</v>
      </c>
      <c r="K4476" s="33">
        <f>VLOOKUP(J4476,辅助信息!H:I,2,FALSE)</f>
        <v>13889142392</v>
      </c>
      <c r="L4476" s="102">
        <f>VLOOKUP(B4476,辅助信息!E:J,6,FALSE)</f>
        <v>0</v>
      </c>
      <c r="O4476" s="55" t="str">
        <f ca="1" t="shared" si="222"/>
        <v/>
      </c>
      <c r="P4476" s="55" t="str">
        <f ca="1" t="shared" si="223"/>
        <v/>
      </c>
      <c r="Q4476" s="22" t="str">
        <f>VLOOKUP(B4476,辅助信息!E:M,9,FALSE)</f>
        <v>ZTWM-CDGS-XS-2025-0156-五冶钢构-2025年九月第一批次钢筋采购合同(三圣乡项目)-中铁物贸成都公司</v>
      </c>
      <c r="R4476" s="22" t="str">
        <f>_xlfn._xlws.FILTER(辅助信息!D:D,辅助信息!E:E=B4476)</f>
        <v>五冶钢构龙泉东洪片区85亩住宅、商业及配套工程项目三标段</v>
      </c>
    </row>
    <row r="4477" hidden="1" spans="2:18">
      <c r="B4477" s="128" t="s">
        <v>229</v>
      </c>
      <c r="C4477" s="63">
        <v>45944</v>
      </c>
      <c r="D4477" s="33" t="str">
        <f>VLOOKUP(B4477,辅助信息!E:K,7,FALSE)</f>
        <v>JWDDCD2025092400212</v>
      </c>
      <c r="E4477" s="33" t="str">
        <f>VLOOKUP(F4477,辅助信息!A:B,2,FALSE)</f>
        <v>螺纹钢</v>
      </c>
      <c r="F4477" s="33" t="s">
        <v>30</v>
      </c>
      <c r="G4477" s="29">
        <v>36</v>
      </c>
      <c r="H4477" s="127">
        <f>IF(SUMIFS('[1]2025年已发货'!$E:$E,'[1]2025年已发货'!$F:$F,C4477,'[1]2025年已发货'!$C:$C,F4477,'[1]2025年已发货'!$G:$G,I4477,'[1]2025年已发货'!$H:$H,J4477)=0,"未发货",SUMIFS('[1]2025年已发货'!$E:$E,'[1]2025年已发货'!$F:$F,C4477,'[1]2025年已发货'!$C:$C,F4477,'[1]2025年已发货'!$G:$G,I4477,'[1]2025年已发货'!$H:$H,J4477))</f>
        <v>36</v>
      </c>
      <c r="I4477" s="33" t="str">
        <f>VLOOKUP(B4477,辅助信息!E:I,3,FALSE)</f>
        <v>(五冶钢构龙泉东洪片区85亩住宅、商业及配套工程项目三标段)成都市龙泉驿外东洪路地铁2号线惠王陵地铁C口</v>
      </c>
      <c r="J4477" s="33" t="str">
        <f>VLOOKUP(B4477,辅助信息!E:I,4,FALSE)</f>
        <v>王军宝</v>
      </c>
      <c r="K4477" s="33">
        <f>VLOOKUP(J4477,辅助信息!H:I,2,FALSE)</f>
        <v>13889142392</v>
      </c>
      <c r="L4477" s="102">
        <f>VLOOKUP(B4477,辅助信息!E:J,6,FALSE)</f>
        <v>0</v>
      </c>
      <c r="O4477" s="55" t="str">
        <f ca="1" t="shared" si="222"/>
        <v/>
      </c>
      <c r="P4477" s="55" t="str">
        <f ca="1" t="shared" si="223"/>
        <v/>
      </c>
      <c r="Q4477" s="22" t="str">
        <f>VLOOKUP(B4477,辅助信息!E:M,9,FALSE)</f>
        <v>ZTWM-CDGS-XS-2025-0156-五冶钢构-2025年九月第一批次钢筋采购合同(三圣乡项目)-中铁物贸成都公司</v>
      </c>
      <c r="R4477" s="22" t="str">
        <f>_xlfn._xlws.FILTER(辅助信息!D:D,辅助信息!E:E=B4477)</f>
        <v>五冶钢构龙泉东洪片区85亩住宅、商业及配套工程项目三标段</v>
      </c>
    </row>
    <row r="4478" hidden="1" spans="2:18">
      <c r="B4478" s="128" t="s">
        <v>229</v>
      </c>
      <c r="C4478" s="63">
        <v>45944</v>
      </c>
      <c r="D4478" s="33" t="str">
        <f>VLOOKUP(B4478,辅助信息!E:K,7,FALSE)</f>
        <v>JWDDCD2025092400212</v>
      </c>
      <c r="E4478" s="33" t="str">
        <f>VLOOKUP(F4478,辅助信息!A:B,2,FALSE)</f>
        <v>螺纹钢</v>
      </c>
      <c r="F4478" s="33" t="s">
        <v>33</v>
      </c>
      <c r="G4478" s="29">
        <v>20</v>
      </c>
      <c r="H4478" s="127"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33" t="str">
        <f>VLOOKUP(B4478,辅助信息!E:I,3,FALSE)</f>
        <v>(五冶钢构龙泉东洪片区85亩住宅、商业及配套工程项目三标段)成都市龙泉驿外东洪路地铁2号线惠王陵地铁C口</v>
      </c>
      <c r="J4478" s="33" t="str">
        <f>VLOOKUP(B4478,辅助信息!E:I,4,FALSE)</f>
        <v>王军宝</v>
      </c>
      <c r="K4478" s="33">
        <f>VLOOKUP(J4478,辅助信息!H:I,2,FALSE)</f>
        <v>13889142392</v>
      </c>
      <c r="L4478" s="102">
        <f>VLOOKUP(B4478,辅助信息!E:J,6,FALSE)</f>
        <v>0</v>
      </c>
      <c r="O4478" s="55" t="str">
        <f ca="1" t="shared" si="222"/>
        <v/>
      </c>
      <c r="P4478" s="55" t="str">
        <f ca="1" t="shared" si="223"/>
        <v/>
      </c>
      <c r="Q4478" s="22" t="str">
        <f>VLOOKUP(B4478,辅助信息!E:M,9,FALSE)</f>
        <v>ZTWM-CDGS-XS-2025-0156-五冶钢构-2025年九月第一批次钢筋采购合同(三圣乡项目)-中铁物贸成都公司</v>
      </c>
      <c r="R4478" s="22" t="str">
        <f>_xlfn._xlws.FILTER(辅助信息!D:D,辅助信息!E:E=B4478)</f>
        <v>五冶钢构龙泉东洪片区85亩住宅、商业及配套工程项目三标段</v>
      </c>
    </row>
    <row r="4479" hidden="1" spans="2:18">
      <c r="B4479" s="128" t="s">
        <v>229</v>
      </c>
      <c r="C4479" s="63">
        <v>45944</v>
      </c>
      <c r="D4479" s="33" t="str">
        <f>VLOOKUP(B4479,辅助信息!E:K,7,FALSE)</f>
        <v>JWDDCD2025092400212</v>
      </c>
      <c r="E4479" s="33" t="str">
        <f>VLOOKUP(F4479,辅助信息!A:B,2,FALSE)</f>
        <v>螺纹钢</v>
      </c>
      <c r="F4479" s="33" t="s">
        <v>28</v>
      </c>
      <c r="G4479" s="29">
        <v>24</v>
      </c>
      <c r="H4479" s="127"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33" t="str">
        <f>VLOOKUP(B4479,辅助信息!E:I,3,FALSE)</f>
        <v>(五冶钢构龙泉东洪片区85亩住宅、商业及配套工程项目三标段)成都市龙泉驿外东洪路地铁2号线惠王陵地铁C口</v>
      </c>
      <c r="J4479" s="33" t="str">
        <f>VLOOKUP(B4479,辅助信息!E:I,4,FALSE)</f>
        <v>王军宝</v>
      </c>
      <c r="K4479" s="33">
        <f>VLOOKUP(J4479,辅助信息!H:I,2,FALSE)</f>
        <v>13889142392</v>
      </c>
      <c r="L4479" s="102">
        <f>VLOOKUP(B4479,辅助信息!E:J,6,FALSE)</f>
        <v>0</v>
      </c>
      <c r="O4479" s="55" t="str">
        <f ca="1" t="shared" si="222"/>
        <v/>
      </c>
      <c r="P4479" s="55" t="str">
        <f ca="1" t="shared" si="223"/>
        <v/>
      </c>
      <c r="Q4479" s="22" t="str">
        <f>VLOOKUP(B4479,辅助信息!E:M,9,FALSE)</f>
        <v>ZTWM-CDGS-XS-2025-0156-五冶钢构-2025年九月第一批次钢筋采购合同(三圣乡项目)-中铁物贸成都公司</v>
      </c>
      <c r="R4479" s="22" t="str">
        <f>_xlfn._xlws.FILTER(辅助信息!D:D,辅助信息!E:E=B4479)</f>
        <v>五冶钢构龙泉东洪片区85亩住宅、商业及配套工程项目三标段</v>
      </c>
    </row>
    <row r="4480" hidden="1" spans="2:18">
      <c r="B4480" s="128" t="s">
        <v>229</v>
      </c>
      <c r="C4480" s="63">
        <v>45944</v>
      </c>
      <c r="D4480" s="33" t="str">
        <f>VLOOKUP(B4480,辅助信息!E:K,7,FALSE)</f>
        <v>JWDDCD2025092400212</v>
      </c>
      <c r="E4480" s="33" t="str">
        <f>VLOOKUP(F4480,辅助信息!A:B,2,FALSE)</f>
        <v>螺纹钢</v>
      </c>
      <c r="F4480" s="33" t="s">
        <v>18</v>
      </c>
      <c r="G4480" s="29">
        <v>4</v>
      </c>
      <c r="H4480" s="127"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33" t="str">
        <f>VLOOKUP(B4480,辅助信息!E:I,3,FALSE)</f>
        <v>(五冶钢构龙泉东洪片区85亩住宅、商业及配套工程项目三标段)成都市龙泉驿外东洪路地铁2号线惠王陵地铁C口</v>
      </c>
      <c r="J4480" s="33" t="str">
        <f>VLOOKUP(B4480,辅助信息!E:I,4,FALSE)</f>
        <v>王军宝</v>
      </c>
      <c r="K4480" s="33">
        <f>VLOOKUP(J4480,辅助信息!H:I,2,FALSE)</f>
        <v>13889142392</v>
      </c>
      <c r="L4480" s="102">
        <f>VLOOKUP(B4480,辅助信息!E:J,6,FALSE)</f>
        <v>0</v>
      </c>
      <c r="O4480" s="55" t="str">
        <f ca="1" t="shared" si="222"/>
        <v/>
      </c>
      <c r="P4480" s="55" t="str">
        <f ca="1" t="shared" si="223"/>
        <v/>
      </c>
      <c r="Q4480" s="22" t="str">
        <f>VLOOKUP(B4480,辅助信息!E:M,9,FALSE)</f>
        <v>ZTWM-CDGS-XS-2025-0156-五冶钢构-2025年九月第一批次钢筋采购合同(三圣乡项目)-中铁物贸成都公司</v>
      </c>
      <c r="R4480" s="22" t="str">
        <f>_xlfn._xlws.FILTER(辅助信息!D:D,辅助信息!E:E=B4480)</f>
        <v>五冶钢构龙泉东洪片区85亩住宅、商业及配套工程项目三标段</v>
      </c>
    </row>
    <row r="4481" hidden="1" spans="2:18">
      <c r="B4481" s="128" t="s">
        <v>229</v>
      </c>
      <c r="C4481" s="63">
        <v>45944</v>
      </c>
      <c r="D4481" s="33" t="str">
        <f>VLOOKUP(B4481,辅助信息!E:K,7,FALSE)</f>
        <v>JWDDCD2025092400212</v>
      </c>
      <c r="E4481" s="33" t="str">
        <f>VLOOKUP(F4481,辅助信息!A:B,2,FALSE)</f>
        <v>盘螺</v>
      </c>
      <c r="F4481" s="33" t="s">
        <v>41</v>
      </c>
      <c r="G4481" s="29">
        <v>62</v>
      </c>
      <c r="H4481" s="127"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33" t="str">
        <f>VLOOKUP(B4481,辅助信息!E:I,3,FALSE)</f>
        <v>(五冶钢构龙泉东洪片区85亩住宅、商业及配套工程项目三标段)成都市龙泉驿外东洪路地铁2号线惠王陵地铁C口</v>
      </c>
      <c r="J4481" s="33" t="str">
        <f>VLOOKUP(B4481,辅助信息!E:I,4,FALSE)</f>
        <v>王军宝</v>
      </c>
      <c r="K4481" s="33">
        <f>VLOOKUP(J4481,辅助信息!H:I,2,FALSE)</f>
        <v>13889142392</v>
      </c>
      <c r="L4481" s="102">
        <f>VLOOKUP(B4481,辅助信息!E:J,6,FALSE)</f>
        <v>0</v>
      </c>
      <c r="O4481" s="55" t="str">
        <f ca="1" t="shared" si="222"/>
        <v/>
      </c>
      <c r="P4481" s="55" t="str">
        <f ca="1" t="shared" si="223"/>
        <v/>
      </c>
      <c r="Q4481" s="22" t="str">
        <f>VLOOKUP(B4481,辅助信息!E:M,9,FALSE)</f>
        <v>ZTWM-CDGS-XS-2025-0156-五冶钢构-2025年九月第一批次钢筋采购合同(三圣乡项目)-中铁物贸成都公司</v>
      </c>
      <c r="R4481" s="22" t="str">
        <f>_xlfn._xlws.FILTER(辅助信息!D:D,辅助信息!E:E=B4481)</f>
        <v>五冶钢构龙泉东洪片区85亩住宅、商业及配套工程项目三标段</v>
      </c>
    </row>
    <row r="4482" hidden="1" spans="2:18">
      <c r="B4482" s="128" t="s">
        <v>229</v>
      </c>
      <c r="C4482" s="63">
        <v>45944</v>
      </c>
      <c r="D4482" s="33" t="str">
        <f>VLOOKUP(B4482,辅助信息!E:K,7,FALSE)</f>
        <v>JWDDCD2025092400212</v>
      </c>
      <c r="E4482" s="33" t="str">
        <f>VLOOKUP(F4482,辅助信息!A:B,2,FALSE)</f>
        <v>盘螺</v>
      </c>
      <c r="F4482" s="33" t="s">
        <v>49</v>
      </c>
      <c r="G4482" s="29">
        <v>6</v>
      </c>
      <c r="H4482" s="127"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33" t="str">
        <f>VLOOKUP(B4482,辅助信息!E:I,3,FALSE)</f>
        <v>(五冶钢构龙泉东洪片区85亩住宅、商业及配套工程项目三标段)成都市龙泉驿外东洪路地铁2号线惠王陵地铁C口</v>
      </c>
      <c r="J4482" s="33" t="str">
        <f>VLOOKUP(B4482,辅助信息!E:I,4,FALSE)</f>
        <v>王军宝</v>
      </c>
      <c r="K4482" s="33">
        <f>VLOOKUP(J4482,辅助信息!H:I,2,FALSE)</f>
        <v>13889142392</v>
      </c>
      <c r="L4482" s="102">
        <f>VLOOKUP(B4482,辅助信息!E:J,6,FALSE)</f>
        <v>0</v>
      </c>
      <c r="O4482" s="55" t="str">
        <f ca="1" t="shared" si="222"/>
        <v/>
      </c>
      <c r="P4482" s="55" t="str">
        <f ca="1" t="shared" si="223"/>
        <v/>
      </c>
      <c r="Q4482" s="22" t="str">
        <f>VLOOKUP(B4482,辅助信息!E:M,9,FALSE)</f>
        <v>ZTWM-CDGS-XS-2025-0156-五冶钢构-2025年九月第一批次钢筋采购合同(三圣乡项目)-中铁物贸成都公司</v>
      </c>
      <c r="R4482" s="22" t="str">
        <f>_xlfn._xlws.FILTER(辅助信息!D:D,辅助信息!E:E=B4482)</f>
        <v>五冶钢构龙泉东洪片区85亩住宅、商业及配套工程项目三标段</v>
      </c>
    </row>
    <row r="4483" hidden="1" spans="2:18">
      <c r="B4483" s="128" t="s">
        <v>229</v>
      </c>
      <c r="C4483" s="63">
        <v>45944</v>
      </c>
      <c r="D4483" s="33" t="str">
        <f>VLOOKUP(B4483,辅助信息!E:K,7,FALSE)</f>
        <v>JWDDCD2025092400212</v>
      </c>
      <c r="E4483" s="33" t="str">
        <f>VLOOKUP(F4483,辅助信息!A:B,2,FALSE)</f>
        <v>盘螺</v>
      </c>
      <c r="F4483" s="33" t="s">
        <v>40</v>
      </c>
      <c r="G4483" s="29">
        <v>109</v>
      </c>
      <c r="H4483" s="127"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33" t="str">
        <f>VLOOKUP(B4483,辅助信息!E:I,3,FALSE)</f>
        <v>(五冶钢构龙泉东洪片区85亩住宅、商业及配套工程项目三标段)成都市龙泉驿外东洪路地铁2号线惠王陵地铁C口</v>
      </c>
      <c r="J4483" s="33" t="str">
        <f>VLOOKUP(B4483,辅助信息!E:I,4,FALSE)</f>
        <v>王军宝</v>
      </c>
      <c r="K4483" s="33">
        <f>VLOOKUP(J4483,辅助信息!H:I,2,FALSE)</f>
        <v>13889142392</v>
      </c>
      <c r="L4483" s="102">
        <f>VLOOKUP(B4483,辅助信息!E:J,6,FALSE)</f>
        <v>0</v>
      </c>
      <c r="O4483" s="55" t="str">
        <f ca="1" t="shared" si="222"/>
        <v/>
      </c>
      <c r="P4483" s="55" t="str">
        <f ca="1" t="shared" si="223"/>
        <v/>
      </c>
      <c r="Q4483" s="22" t="str">
        <f>VLOOKUP(B4483,辅助信息!E:M,9,FALSE)</f>
        <v>ZTWM-CDGS-XS-2025-0156-五冶钢构-2025年九月第一批次钢筋采购合同(三圣乡项目)-中铁物贸成都公司</v>
      </c>
      <c r="R4483" s="22" t="str">
        <f>_xlfn._xlws.FILTER(辅助信息!D:D,辅助信息!E:E=B4483)</f>
        <v>五冶钢构龙泉东洪片区85亩住宅、商业及配套工程项目三标段</v>
      </c>
    </row>
    <row r="4484" hidden="1" spans="2:18">
      <c r="B4484" s="128" t="s">
        <v>225</v>
      </c>
      <c r="C4484" s="63">
        <v>45944</v>
      </c>
      <c r="D4484" s="33" t="str">
        <f>VLOOKUP(B4484,辅助信息!E:K,7,FALSE)</f>
        <v>JWDDCD2025092400210</v>
      </c>
      <c r="E4484" s="33" t="str">
        <f>VLOOKUP(F4484,辅助信息!A:B,2,FALSE)</f>
        <v>螺纹钢</v>
      </c>
      <c r="F4484" s="33" t="s">
        <v>32</v>
      </c>
      <c r="G4484" s="29">
        <v>30</v>
      </c>
      <c r="H4484" s="127"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33" t="str">
        <f>VLOOKUP(B4484,辅助信息!E:I,3,FALSE)</f>
        <v>(五冶钢构龙泉东洪片区85亩住宅、商业及配套工程项目一标段)成都市龙泉驿外东洪路地铁2号线惠王陵地铁C口</v>
      </c>
      <c r="J4484" s="33" t="str">
        <f>VLOOKUP(B4484,辅助信息!E:I,4,FALSE)</f>
        <v>岳工</v>
      </c>
      <c r="K4484" s="33">
        <f>VLOOKUP(J4484,辅助信息!H:I,2,FALSE)</f>
        <v>18599951655</v>
      </c>
      <c r="L4484" s="102">
        <f>VLOOKUP(B4484,辅助信息!E:J,6,FALSE)</f>
        <v>0</v>
      </c>
      <c r="O4484" s="55" t="str">
        <f ca="1" t="shared" si="222"/>
        <v/>
      </c>
      <c r="P4484" s="55" t="str">
        <f ca="1" t="shared" si="223"/>
        <v/>
      </c>
      <c r="Q4484" s="22" t="str">
        <f>VLOOKUP(B4484,辅助信息!E:M,9,FALSE)</f>
        <v>ZTWM-CDGS-XS-2025-0156-五冶钢构-2025年九月第一批次钢筋采购合同(三圣乡项目)-中铁物贸成都公司</v>
      </c>
      <c r="R4484" s="22" t="str">
        <f>_xlfn._xlws.FILTER(辅助信息!D:D,辅助信息!E:E=B4484)</f>
        <v>五冶钢构龙泉东洪片区85亩住宅、商业及配套工程项目一标段</v>
      </c>
    </row>
    <row r="4485" hidden="1" spans="2:18">
      <c r="B4485" s="128" t="s">
        <v>225</v>
      </c>
      <c r="C4485" s="63">
        <v>45944</v>
      </c>
      <c r="D4485" s="33" t="str">
        <f>VLOOKUP(B4485,辅助信息!E:K,7,FALSE)</f>
        <v>JWDDCD2025092400210</v>
      </c>
      <c r="E4485" s="33" t="str">
        <f>VLOOKUP(F4485,辅助信息!A:B,2,FALSE)</f>
        <v>螺纹钢</v>
      </c>
      <c r="F4485" s="33" t="s">
        <v>18</v>
      </c>
      <c r="G4485" s="29">
        <v>10</v>
      </c>
      <c r="H4485" s="127"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33" t="str">
        <f>VLOOKUP(B4485,辅助信息!E:I,3,FALSE)</f>
        <v>(五冶钢构龙泉东洪片区85亩住宅、商业及配套工程项目一标段)成都市龙泉驿外东洪路地铁2号线惠王陵地铁C口</v>
      </c>
      <c r="J4485" s="33" t="str">
        <f>VLOOKUP(B4485,辅助信息!E:I,4,FALSE)</f>
        <v>岳工</v>
      </c>
      <c r="K4485" s="33">
        <f>VLOOKUP(J4485,辅助信息!H:I,2,FALSE)</f>
        <v>18599951655</v>
      </c>
      <c r="L4485" s="102">
        <f>VLOOKUP(B4485,辅助信息!E:J,6,FALSE)</f>
        <v>0</v>
      </c>
      <c r="O4485" s="55" t="str">
        <f ca="1" t="shared" si="222"/>
        <v/>
      </c>
      <c r="P4485" s="55" t="str">
        <f ca="1" t="shared" si="223"/>
        <v/>
      </c>
      <c r="Q4485" s="22" t="str">
        <f>VLOOKUP(B4485,辅助信息!E:M,9,FALSE)</f>
        <v>ZTWM-CDGS-XS-2025-0156-五冶钢构-2025年九月第一批次钢筋采购合同(三圣乡项目)-中铁物贸成都公司</v>
      </c>
      <c r="R4485" s="22" t="str">
        <f>_xlfn._xlws.FILTER(辅助信息!D:D,辅助信息!E:E=B4485)</f>
        <v>五冶钢构龙泉东洪片区85亩住宅、商业及配套工程项目一标段</v>
      </c>
    </row>
    <row r="4486" hidden="1" spans="2:18">
      <c r="B4486" s="128" t="s">
        <v>225</v>
      </c>
      <c r="C4486" s="63">
        <v>45944</v>
      </c>
      <c r="D4486" s="33" t="str">
        <f>VLOOKUP(B4486,辅助信息!E:K,7,FALSE)</f>
        <v>JWDDCD2025092400210</v>
      </c>
      <c r="E4486" s="33" t="str">
        <f>VLOOKUP(F4486,辅助信息!A:B,2,FALSE)</f>
        <v>螺纹钢</v>
      </c>
      <c r="F4486" s="33" t="s">
        <v>46</v>
      </c>
      <c r="G4486" s="29">
        <v>6</v>
      </c>
      <c r="H4486" s="127"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33" t="str">
        <f>VLOOKUP(B4486,辅助信息!E:I,3,FALSE)</f>
        <v>(五冶钢构龙泉东洪片区85亩住宅、商业及配套工程项目一标段)成都市龙泉驿外东洪路地铁2号线惠王陵地铁C口</v>
      </c>
      <c r="J4486" s="33" t="str">
        <f>VLOOKUP(B4486,辅助信息!E:I,4,FALSE)</f>
        <v>岳工</v>
      </c>
      <c r="K4486" s="33">
        <f>VLOOKUP(J4486,辅助信息!H:I,2,FALSE)</f>
        <v>18599951655</v>
      </c>
      <c r="L4486" s="102">
        <f>VLOOKUP(B4486,辅助信息!E:J,6,FALSE)</f>
        <v>0</v>
      </c>
      <c r="O4486" s="55" t="str">
        <f ca="1" t="shared" si="222"/>
        <v/>
      </c>
      <c r="P4486" s="55" t="str">
        <f ca="1" t="shared" si="223"/>
        <v/>
      </c>
      <c r="Q4486" s="22" t="str">
        <f>VLOOKUP(B4486,辅助信息!E:M,9,FALSE)</f>
        <v>ZTWM-CDGS-XS-2025-0156-五冶钢构-2025年九月第一批次钢筋采购合同(三圣乡项目)-中铁物贸成都公司</v>
      </c>
      <c r="R4486" s="22" t="str">
        <f>_xlfn._xlws.FILTER(辅助信息!D:D,辅助信息!E:E=B4486)</f>
        <v>五冶钢构龙泉东洪片区85亩住宅、商业及配套工程项目一标段</v>
      </c>
    </row>
    <row r="4487" hidden="1" spans="2:18">
      <c r="B4487" s="128" t="s">
        <v>225</v>
      </c>
      <c r="C4487" s="63">
        <v>45944</v>
      </c>
      <c r="D4487" s="33" t="str">
        <f>VLOOKUP(B4487,辅助信息!E:K,7,FALSE)</f>
        <v>JWDDCD2025092400210</v>
      </c>
      <c r="E4487" s="33" t="str">
        <f>VLOOKUP(F4487,辅助信息!A:B,2,FALSE)</f>
        <v>盘螺</v>
      </c>
      <c r="F4487" s="33" t="s">
        <v>41</v>
      </c>
      <c r="G4487" s="29">
        <v>10</v>
      </c>
      <c r="H4487" s="127"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33" t="str">
        <f>VLOOKUP(B4487,辅助信息!E:I,3,FALSE)</f>
        <v>(五冶钢构龙泉东洪片区85亩住宅、商业及配套工程项目一标段)成都市龙泉驿外东洪路地铁2号线惠王陵地铁C口</v>
      </c>
      <c r="J4487" s="33" t="str">
        <f>VLOOKUP(B4487,辅助信息!E:I,4,FALSE)</f>
        <v>岳工</v>
      </c>
      <c r="K4487" s="33">
        <f>VLOOKUP(J4487,辅助信息!H:I,2,FALSE)</f>
        <v>18599951655</v>
      </c>
      <c r="L4487" s="102">
        <f>VLOOKUP(B4487,辅助信息!E:J,6,FALSE)</f>
        <v>0</v>
      </c>
      <c r="O4487" s="55" t="str">
        <f ca="1" t="shared" si="222"/>
        <v/>
      </c>
      <c r="P4487" s="55" t="str">
        <f ca="1" t="shared" si="223"/>
        <v/>
      </c>
      <c r="Q4487" s="22" t="str">
        <f>VLOOKUP(B4487,辅助信息!E:M,9,FALSE)</f>
        <v>ZTWM-CDGS-XS-2025-0156-五冶钢构-2025年九月第一批次钢筋采购合同(三圣乡项目)-中铁物贸成都公司</v>
      </c>
      <c r="R4487" s="22" t="str">
        <f>_xlfn._xlws.FILTER(辅助信息!D:D,辅助信息!E:E=B4487)</f>
        <v>五冶钢构龙泉东洪片区85亩住宅、商业及配套工程项目一标段</v>
      </c>
    </row>
    <row r="4488" hidden="1" spans="2:18">
      <c r="B4488" s="128" t="s">
        <v>225</v>
      </c>
      <c r="C4488" s="63">
        <v>45944</v>
      </c>
      <c r="D4488" s="33" t="str">
        <f>VLOOKUP(B4488,辅助信息!E:K,7,FALSE)</f>
        <v>JWDDCD2025092400210</v>
      </c>
      <c r="E4488" s="33" t="str">
        <f>VLOOKUP(F4488,辅助信息!A:B,2,FALSE)</f>
        <v>盘螺</v>
      </c>
      <c r="F4488" s="33" t="s">
        <v>26</v>
      </c>
      <c r="G4488" s="29">
        <v>14</v>
      </c>
      <c r="H4488" s="127"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33" t="str">
        <f>VLOOKUP(B4488,辅助信息!E:I,3,FALSE)</f>
        <v>(五冶钢构龙泉东洪片区85亩住宅、商业及配套工程项目一标段)成都市龙泉驿外东洪路地铁2号线惠王陵地铁C口</v>
      </c>
      <c r="J4488" s="33" t="str">
        <f>VLOOKUP(B4488,辅助信息!E:I,4,FALSE)</f>
        <v>岳工</v>
      </c>
      <c r="K4488" s="33">
        <f>VLOOKUP(J4488,辅助信息!H:I,2,FALSE)</f>
        <v>18599951655</v>
      </c>
      <c r="L4488" s="102">
        <f>VLOOKUP(B4488,辅助信息!E:J,6,FALSE)</f>
        <v>0</v>
      </c>
      <c r="O4488" s="55" t="str">
        <f ca="1" t="shared" si="222"/>
        <v/>
      </c>
      <c r="P4488" s="55" t="str">
        <f ca="1" t="shared" si="223"/>
        <v/>
      </c>
      <c r="Q4488" s="22" t="str">
        <f>VLOOKUP(B4488,辅助信息!E:M,9,FALSE)</f>
        <v>ZTWM-CDGS-XS-2025-0156-五冶钢构-2025年九月第一批次钢筋采购合同(三圣乡项目)-中铁物贸成都公司</v>
      </c>
      <c r="R4488" s="22" t="str">
        <f>_xlfn._xlws.FILTER(辅助信息!D:D,辅助信息!E:E=B4488)</f>
        <v>五冶钢构龙泉东洪片区85亩住宅、商业及配套工程项目一标段</v>
      </c>
    </row>
    <row r="4489" hidden="1" spans="2:18">
      <c r="B4489" s="128" t="s">
        <v>225</v>
      </c>
      <c r="C4489" s="63">
        <v>45944</v>
      </c>
      <c r="D4489" s="33" t="str">
        <f>VLOOKUP(B4489,辅助信息!E:K,7,FALSE)</f>
        <v>JWDDCD2025092400210</v>
      </c>
      <c r="E4489" s="33" t="str">
        <f>VLOOKUP(F4489,辅助信息!A:B,2,FALSE)</f>
        <v>盘螺</v>
      </c>
      <c r="F4489" s="33" t="s">
        <v>49</v>
      </c>
      <c r="G4489" s="29">
        <v>20</v>
      </c>
      <c r="H4489" s="127"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33" t="str">
        <f>VLOOKUP(B4489,辅助信息!E:I,3,FALSE)</f>
        <v>(五冶钢构龙泉东洪片区85亩住宅、商业及配套工程项目一标段)成都市龙泉驿外东洪路地铁2号线惠王陵地铁C口</v>
      </c>
      <c r="J4489" s="33" t="str">
        <f>VLOOKUP(B4489,辅助信息!E:I,4,FALSE)</f>
        <v>岳工</v>
      </c>
      <c r="K4489" s="33">
        <f>VLOOKUP(J4489,辅助信息!H:I,2,FALSE)</f>
        <v>18599951655</v>
      </c>
      <c r="L4489" s="102">
        <f>VLOOKUP(B4489,辅助信息!E:J,6,FALSE)</f>
        <v>0</v>
      </c>
      <c r="O4489" s="55" t="str">
        <f ca="1" t="shared" si="222"/>
        <v/>
      </c>
      <c r="P4489" s="55" t="str">
        <f ca="1" t="shared" si="223"/>
        <v/>
      </c>
      <c r="Q4489" s="22" t="str">
        <f>VLOOKUP(B4489,辅助信息!E:M,9,FALSE)</f>
        <v>ZTWM-CDGS-XS-2025-0156-五冶钢构-2025年九月第一批次钢筋采购合同(三圣乡项目)-中铁物贸成都公司</v>
      </c>
      <c r="R4489" s="22" t="str">
        <f>_xlfn._xlws.FILTER(辅助信息!D:D,辅助信息!E:E=B4489)</f>
        <v>五冶钢构龙泉东洪片区85亩住宅、商业及配套工程项目一标段</v>
      </c>
    </row>
    <row r="4490" hidden="1" spans="2:18">
      <c r="B4490" s="128" t="s">
        <v>225</v>
      </c>
      <c r="C4490" s="63">
        <v>45944</v>
      </c>
      <c r="D4490" s="33" t="str">
        <f>VLOOKUP(B4490,辅助信息!E:K,7,FALSE)</f>
        <v>JWDDCD2025092400210</v>
      </c>
      <c r="E4490" s="33" t="str">
        <f>VLOOKUP(F4490,辅助信息!A:B,2,FALSE)</f>
        <v>盘螺</v>
      </c>
      <c r="F4490" s="33" t="s">
        <v>40</v>
      </c>
      <c r="G4490" s="29">
        <v>50</v>
      </c>
      <c r="H4490" s="127"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33" t="str">
        <f>VLOOKUP(B4490,辅助信息!E:I,3,FALSE)</f>
        <v>(五冶钢构龙泉东洪片区85亩住宅、商业及配套工程项目一标段)成都市龙泉驿外东洪路地铁2号线惠王陵地铁C口</v>
      </c>
      <c r="J4490" s="33" t="str">
        <f>VLOOKUP(B4490,辅助信息!E:I,4,FALSE)</f>
        <v>岳工</v>
      </c>
      <c r="K4490" s="33">
        <f>VLOOKUP(J4490,辅助信息!H:I,2,FALSE)</f>
        <v>18599951655</v>
      </c>
      <c r="L4490" s="102">
        <f>VLOOKUP(B4490,辅助信息!E:J,6,FALSE)</f>
        <v>0</v>
      </c>
      <c r="O4490" s="55" t="str">
        <f ca="1" t="shared" si="222"/>
        <v/>
      </c>
      <c r="P4490" s="55" t="str">
        <f ca="1" t="shared" si="223"/>
        <v/>
      </c>
      <c r="Q4490" s="22" t="str">
        <f>VLOOKUP(B4490,辅助信息!E:M,9,FALSE)</f>
        <v>ZTWM-CDGS-XS-2025-0156-五冶钢构-2025年九月第一批次钢筋采购合同(三圣乡项目)-中铁物贸成都公司</v>
      </c>
      <c r="R4490" s="22" t="str">
        <f>_xlfn._xlws.FILTER(辅助信息!D:D,辅助信息!E:E=B4490)</f>
        <v>五冶钢构龙泉东洪片区85亩住宅、商业及配套工程项目一标段</v>
      </c>
    </row>
    <row r="4491" hidden="1" spans="2:18">
      <c r="B4491" s="128" t="s">
        <v>231</v>
      </c>
      <c r="C4491" s="63">
        <v>45944</v>
      </c>
      <c r="D4491" s="33" t="str">
        <f>VLOOKUP(B4491,辅助信息!E:K,7,FALSE)</f>
        <v>JWDDCD2025102100481</v>
      </c>
      <c r="E4491" s="33" t="str">
        <f>VLOOKUP(F4491,辅助信息!A:B,2,FALSE)</f>
        <v>螺纹钢</v>
      </c>
      <c r="F4491" s="33" t="s">
        <v>19</v>
      </c>
      <c r="G4491" s="29">
        <v>7</v>
      </c>
      <c r="H4491" s="127">
        <f>IF(SUMIFS('[1]2025年已发货'!$E:$E,'[1]2025年已发货'!$F:$F,C4491,'[1]2025年已发货'!$C:$C,F4491,'[1]2025年已发货'!$G:$G,I4491,'[1]2025年已发货'!$H:$H,J4491)=0,"未发货",SUMIFS('[1]2025年已发货'!$E:$E,'[1]2025年已发货'!$F:$F,C4491,'[1]2025年已发货'!$C:$C,F4491,'[1]2025年已发货'!$G:$G,I4491,'[1]2025年已发货'!$H:$H,J4491))</f>
        <v>7</v>
      </c>
      <c r="I4491" s="33" t="str">
        <f>VLOOKUP(B4491,辅助信息!E:I,3,FALSE)</f>
        <v>(五冶建设成都盐道街中学初中部改扩建工程-一标)四川省成都市锦江区春熙路街道盐道街4号（盐道街中学初中部）</v>
      </c>
      <c r="J4491" s="33" t="str">
        <f>VLOOKUP(B4491,辅助信息!E:I,4,FALSE)</f>
        <v>谢鑫</v>
      </c>
      <c r="K4491" s="33">
        <f>VLOOKUP(J4491,辅助信息!H:I,2,FALSE)</f>
        <v>18228465067</v>
      </c>
      <c r="L4491" s="102" t="str">
        <f>VLOOKUP(B4491,辅助信息!E:J,6,FALSE)</f>
        <v>联系实际收货人（易前刚18228465067）五冶建设送货单,6份材质书,锈货不收，装货前联系收货人核实到场规格,没提前告知进场规格现场不给予接收</v>
      </c>
      <c r="O4491" s="55" t="str">
        <f ca="1" t="shared" si="222"/>
        <v/>
      </c>
      <c r="P4491" s="55" t="str">
        <f ca="1" t="shared" si="223"/>
        <v/>
      </c>
      <c r="Q4491" s="22" t="str">
        <f>VLOOKUP(B4491,辅助信息!E:M,9,FALSE)</f>
        <v>ZTWM-CDGS-XS-2025-0073-五冶天府-成都怡心湖片区及龙泉驿医院等项目</v>
      </c>
      <c r="R4491" s="22" t="str">
        <f>_xlfn._xlws.FILTER(辅助信息!D:D,辅助信息!E:E=B4491)</f>
        <v>五冶建设成都盐道街中学初中部改扩建工程-一标</v>
      </c>
    </row>
    <row r="4492" hidden="1" spans="2:18">
      <c r="B4492" s="128" t="s">
        <v>231</v>
      </c>
      <c r="C4492" s="63">
        <v>45944</v>
      </c>
      <c r="D4492" s="33" t="str">
        <f>VLOOKUP(B4492,辅助信息!E:K,7,FALSE)</f>
        <v>JWDDCD2025102100481</v>
      </c>
      <c r="E4492" s="33" t="str">
        <f>VLOOKUP(F4492,辅助信息!A:B,2,FALSE)</f>
        <v>螺纹钢</v>
      </c>
      <c r="F4492" s="33" t="s">
        <v>30</v>
      </c>
      <c r="G4492" s="29">
        <v>5</v>
      </c>
      <c r="H4492" s="127">
        <f>IF(SUMIFS('[1]2025年已发货'!$E:$E,'[1]2025年已发货'!$F:$F,C4492,'[1]2025年已发货'!$C:$C,F4492,'[1]2025年已发货'!$G:$G,I4492,'[1]2025年已发货'!$H:$H,J4492)=0,"未发货",SUMIFS('[1]2025年已发货'!$E:$E,'[1]2025年已发货'!$F:$F,C4492,'[1]2025年已发货'!$C:$C,F4492,'[1]2025年已发货'!$G:$G,I4492,'[1]2025年已发货'!$H:$H,J4492))</f>
        <v>5</v>
      </c>
      <c r="I4492" s="33" t="str">
        <f>VLOOKUP(B4492,辅助信息!E:I,3,FALSE)</f>
        <v>(五冶建设成都盐道街中学初中部改扩建工程-一标)四川省成都市锦江区春熙路街道盐道街4号（盐道街中学初中部）</v>
      </c>
      <c r="J4492" s="33" t="str">
        <f>VLOOKUP(B4492,辅助信息!E:I,4,FALSE)</f>
        <v>谢鑫</v>
      </c>
      <c r="K4492" s="33">
        <f>VLOOKUP(J4492,辅助信息!H:I,2,FALSE)</f>
        <v>18228465067</v>
      </c>
      <c r="L4492" s="102" t="str">
        <f>VLOOKUP(B4492,辅助信息!E:J,6,FALSE)</f>
        <v>联系实际收货人（易前刚18228465067）五冶建设送货单,6份材质书,锈货不收，装货前联系收货人核实到场规格,没提前告知进场规格现场不给予接收</v>
      </c>
      <c r="O4492" s="55" t="str">
        <f ca="1" t="shared" si="222"/>
        <v/>
      </c>
      <c r="P4492" s="55" t="str">
        <f ca="1" t="shared" si="223"/>
        <v/>
      </c>
      <c r="Q4492" s="22" t="str">
        <f>VLOOKUP(B4492,辅助信息!E:M,9,FALSE)</f>
        <v>ZTWM-CDGS-XS-2025-0073-五冶天府-成都怡心湖片区及龙泉驿医院等项目</v>
      </c>
      <c r="R4492" s="22" t="str">
        <f>_xlfn._xlws.FILTER(辅助信息!D:D,辅助信息!E:E=B4492)</f>
        <v>五冶建设成都盐道街中学初中部改扩建工程-一标</v>
      </c>
    </row>
    <row r="4493" hidden="1" spans="2:18">
      <c r="B4493" s="128" t="s">
        <v>231</v>
      </c>
      <c r="C4493" s="63">
        <v>45944</v>
      </c>
      <c r="D4493" s="33" t="str">
        <f>VLOOKUP(B4493,辅助信息!E:K,7,FALSE)</f>
        <v>JWDDCD2025102100481</v>
      </c>
      <c r="E4493" s="33" t="str">
        <f>VLOOKUP(F4493,辅助信息!A:B,2,FALSE)</f>
        <v>螺纹钢</v>
      </c>
      <c r="F4493" s="33" t="s">
        <v>33</v>
      </c>
      <c r="G4493" s="29">
        <v>5</v>
      </c>
      <c r="H4493" s="127">
        <f>IF(SUMIFS('[1]2025年已发货'!$E:$E,'[1]2025年已发货'!$F:$F,C4493,'[1]2025年已发货'!$C:$C,F4493,'[1]2025年已发货'!$G:$G,I4493,'[1]2025年已发货'!$H:$H,J4493)=0,"未发货",SUMIFS('[1]2025年已发货'!$E:$E,'[1]2025年已发货'!$F:$F,C4493,'[1]2025年已发货'!$C:$C,F4493,'[1]2025年已发货'!$G:$G,I4493,'[1]2025年已发货'!$H:$H,J4493))</f>
        <v>5</v>
      </c>
      <c r="I4493" s="33" t="str">
        <f>VLOOKUP(B4493,辅助信息!E:I,3,FALSE)</f>
        <v>(五冶建设成都盐道街中学初中部改扩建工程-一标)四川省成都市锦江区春熙路街道盐道街4号（盐道街中学初中部）</v>
      </c>
      <c r="J4493" s="33" t="str">
        <f>VLOOKUP(B4493,辅助信息!E:I,4,FALSE)</f>
        <v>谢鑫</v>
      </c>
      <c r="K4493" s="33">
        <f>VLOOKUP(J4493,辅助信息!H:I,2,FALSE)</f>
        <v>18228465067</v>
      </c>
      <c r="L4493" s="102" t="str">
        <f>VLOOKUP(B4493,辅助信息!E:J,6,FALSE)</f>
        <v>联系实际收货人（易前刚18228465067）五冶建设送货单,6份材质书,锈货不收，装货前联系收货人核实到场规格,没提前告知进场规格现场不给予接收</v>
      </c>
      <c r="O4493" s="55" t="str">
        <f ca="1" t="shared" si="222"/>
        <v/>
      </c>
      <c r="P4493" s="55" t="str">
        <f ca="1" t="shared" si="223"/>
        <v/>
      </c>
      <c r="Q4493" s="22" t="str">
        <f>VLOOKUP(B4493,辅助信息!E:M,9,FALSE)</f>
        <v>ZTWM-CDGS-XS-2025-0073-五冶天府-成都怡心湖片区及龙泉驿医院等项目</v>
      </c>
      <c r="R4493" s="22" t="str">
        <f>_xlfn._xlws.FILTER(辅助信息!D:D,辅助信息!E:E=B4493)</f>
        <v>五冶建设成都盐道街中学初中部改扩建工程-一标</v>
      </c>
    </row>
    <row r="4494" hidden="1" spans="2:18">
      <c r="B4494" s="128" t="s">
        <v>231</v>
      </c>
      <c r="C4494" s="63">
        <v>45944</v>
      </c>
      <c r="D4494" s="33" t="str">
        <f>VLOOKUP(B4494,辅助信息!E:K,7,FALSE)</f>
        <v>JWDDCD2025102100481</v>
      </c>
      <c r="E4494" s="33" t="str">
        <f>VLOOKUP(F4494,辅助信息!A:B,2,FALSE)</f>
        <v>螺纹钢</v>
      </c>
      <c r="F4494" s="33" t="s">
        <v>28</v>
      </c>
      <c r="G4494" s="29">
        <v>12.5</v>
      </c>
      <c r="H4494" s="127">
        <f>IF(SUMIFS('[1]2025年已发货'!$E:$E,'[1]2025年已发货'!$F:$F,C4494,'[1]2025年已发货'!$C:$C,F4494,'[1]2025年已发货'!$G:$G,I4494,'[1]2025年已发货'!$H:$H,J4494)=0,"未发货",SUMIFS('[1]2025年已发货'!$E:$E,'[1]2025年已发货'!$F:$F,C4494,'[1]2025年已发货'!$C:$C,F4494,'[1]2025年已发货'!$G:$G,I4494,'[1]2025年已发货'!$H:$H,J4494))</f>
        <v>12.5</v>
      </c>
      <c r="I4494" s="33" t="str">
        <f>VLOOKUP(B4494,辅助信息!E:I,3,FALSE)</f>
        <v>(五冶建设成都盐道街中学初中部改扩建工程-一标)四川省成都市锦江区春熙路街道盐道街4号（盐道街中学初中部）</v>
      </c>
      <c r="J4494" s="33" t="str">
        <f>VLOOKUP(B4494,辅助信息!E:I,4,FALSE)</f>
        <v>谢鑫</v>
      </c>
      <c r="K4494" s="33">
        <f>VLOOKUP(J4494,辅助信息!H:I,2,FALSE)</f>
        <v>18228465067</v>
      </c>
      <c r="L4494" s="102" t="str">
        <f>VLOOKUP(B4494,辅助信息!E:J,6,FALSE)</f>
        <v>联系实际收货人（易前刚18228465067）五冶建设送货单,6份材质书,锈货不收，装货前联系收货人核实到场规格,没提前告知进场规格现场不给予接收</v>
      </c>
      <c r="O4494" s="55" t="str">
        <f ca="1" t="shared" si="222"/>
        <v/>
      </c>
      <c r="P4494" s="55" t="str">
        <f ca="1" t="shared" si="223"/>
        <v/>
      </c>
      <c r="Q4494" s="22" t="str">
        <f>VLOOKUP(B4494,辅助信息!E:M,9,FALSE)</f>
        <v>ZTWM-CDGS-XS-2025-0073-五冶天府-成都怡心湖片区及龙泉驿医院等项目</v>
      </c>
      <c r="R4494" s="22" t="str">
        <f>_xlfn._xlws.FILTER(辅助信息!D:D,辅助信息!E:E=B4494)</f>
        <v>五冶建设成都盐道街中学初中部改扩建工程-一标</v>
      </c>
    </row>
    <row r="4495" hidden="1" spans="2:18">
      <c r="B4495" s="128" t="s">
        <v>231</v>
      </c>
      <c r="C4495" s="63">
        <v>45944</v>
      </c>
      <c r="D4495" s="33" t="str">
        <f>VLOOKUP(B4495,辅助信息!E:K,7,FALSE)</f>
        <v>JWDDCD2025102100481</v>
      </c>
      <c r="E4495" s="33" t="str">
        <f>VLOOKUP(F4495,辅助信息!A:B,2,FALSE)</f>
        <v>盘螺</v>
      </c>
      <c r="F4495" s="33" t="s">
        <v>41</v>
      </c>
      <c r="G4495" s="29">
        <v>4</v>
      </c>
      <c r="H4495" s="127">
        <f>IF(SUMIFS('[1]2025年已发货'!$E:$E,'[1]2025年已发货'!$F:$F,C4495,'[1]2025年已发货'!$C:$C,F4495,'[1]2025年已发货'!$G:$G,I4495,'[1]2025年已发货'!$H:$H,J4495)=0,"未发货",SUMIFS('[1]2025年已发货'!$E:$E,'[1]2025年已发货'!$F:$F,C4495,'[1]2025年已发货'!$C:$C,F4495,'[1]2025年已发货'!$G:$G,I4495,'[1]2025年已发货'!$H:$H,J4495))</f>
        <v>4</v>
      </c>
      <c r="I4495" s="33" t="str">
        <f>VLOOKUP(B4495,辅助信息!E:I,3,FALSE)</f>
        <v>(五冶建设成都盐道街中学初中部改扩建工程-一标)四川省成都市锦江区春熙路街道盐道街4号（盐道街中学初中部）</v>
      </c>
      <c r="J4495" s="33" t="str">
        <f>VLOOKUP(B4495,辅助信息!E:I,4,FALSE)</f>
        <v>谢鑫</v>
      </c>
      <c r="K4495" s="33">
        <f>VLOOKUP(J4495,辅助信息!H:I,2,FALSE)</f>
        <v>18228465067</v>
      </c>
      <c r="L4495" s="102" t="str">
        <f>VLOOKUP(B4495,辅助信息!E:J,6,FALSE)</f>
        <v>联系实际收货人（易前刚18228465067）五冶建设送货单,6份材质书,锈货不收，装货前联系收货人核实到场规格,没提前告知进场规格现场不给予接收</v>
      </c>
      <c r="O4495" s="55" t="str">
        <f ca="1" t="shared" si="222"/>
        <v/>
      </c>
      <c r="P4495" s="55" t="str">
        <f ca="1" t="shared" si="223"/>
        <v/>
      </c>
      <c r="Q4495" s="22" t="str">
        <f>VLOOKUP(B4495,辅助信息!E:M,9,FALSE)</f>
        <v>ZTWM-CDGS-XS-2025-0073-五冶天府-成都怡心湖片区及龙泉驿医院等项目</v>
      </c>
      <c r="R4495" s="22" t="str">
        <f>_xlfn._xlws.FILTER(辅助信息!D:D,辅助信息!E:E=B4495)</f>
        <v>五冶建设成都盐道街中学初中部改扩建工程-一标</v>
      </c>
    </row>
    <row r="4496" hidden="1" spans="2:18">
      <c r="B4496" s="128" t="s">
        <v>167</v>
      </c>
      <c r="C4496" s="63">
        <v>45944</v>
      </c>
      <c r="D4496" s="33" t="str">
        <f>VLOOKUP(B4496,辅助信息!E:K,7,FALSE)</f>
        <v>JWDDCD2025102100473</v>
      </c>
      <c r="E4496" s="33" t="str">
        <f>VLOOKUP(F4496,辅助信息!A:B,2,FALSE)</f>
        <v>螺纹钢</v>
      </c>
      <c r="F4496" s="33" t="s">
        <v>27</v>
      </c>
      <c r="G4496" s="29">
        <v>28</v>
      </c>
      <c r="H4496" s="127">
        <f>IF(SUMIFS('[1]2025年已发货'!$E:$E,'[1]2025年已发货'!$F:$F,C4496,'[1]2025年已发货'!$C:$C,F4496,'[1]2025年已发货'!$G:$G,I4496,'[1]2025年已发货'!$H:$H,J4496)=0,"未发货",SUMIFS('[1]2025年已发货'!$E:$E,'[1]2025年已发货'!$F:$F,C4496,'[1]2025年已发货'!$C:$C,F4496,'[1]2025年已发货'!$G:$G,I4496,'[1]2025年已发货'!$H:$H,J4496))</f>
        <v>28</v>
      </c>
      <c r="I4496" s="33" t="str">
        <f>VLOOKUP(B4496,辅助信息!E:I,3,FALSE)</f>
        <v>(五冶建设扩建艺体中学二期工程)四川省成都市双流区光荣路成都艺体中学南200米</v>
      </c>
      <c r="J4496" s="33" t="str">
        <f>VLOOKUP(B4496,辅助信息!E:I,4,FALSE)</f>
        <v>谢序强</v>
      </c>
      <c r="K4496" s="33">
        <f>VLOOKUP(J4496,辅助信息!H:I,2,FALSE)</f>
        <v>13458588232</v>
      </c>
      <c r="L4496" s="102"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55" t="str">
        <f ca="1" t="shared" si="222"/>
        <v/>
      </c>
      <c r="P4496" s="55" t="str">
        <f ca="1" t="shared" si="223"/>
        <v/>
      </c>
      <c r="Q4496" s="22" t="str">
        <f>VLOOKUP(B4496,辅助信息!E:M,9,FALSE)</f>
        <v>ZTWM-CDGS-XS-2025-0073-五冶天府-成都怡心湖片区及龙泉驿医院等项目</v>
      </c>
      <c r="R4496" s="22" t="str">
        <f>_xlfn._xlws.FILTER(辅助信息!D:D,辅助信息!E:E=B4496)</f>
        <v>五冶建设扩建艺体中学二期工程</v>
      </c>
    </row>
    <row r="4497" hidden="1" spans="2:18">
      <c r="B4497" s="128" t="s">
        <v>167</v>
      </c>
      <c r="C4497" s="63">
        <v>45944</v>
      </c>
      <c r="D4497" s="33" t="str">
        <f>VLOOKUP(B4497,辅助信息!E:K,7,FALSE)</f>
        <v>JWDDCD2025102100473</v>
      </c>
      <c r="E4497" s="33" t="str">
        <f>VLOOKUP(F4497,辅助信息!A:B,2,FALSE)</f>
        <v>螺纹钢</v>
      </c>
      <c r="F4497" s="33" t="s">
        <v>19</v>
      </c>
      <c r="G4497" s="29">
        <v>3</v>
      </c>
      <c r="H4497" s="127">
        <f>IF(SUMIFS('[1]2025年已发货'!$E:$E,'[1]2025年已发货'!$F:$F,C4497,'[1]2025年已发货'!$C:$C,F4497,'[1]2025年已发货'!$G:$G,I4497,'[1]2025年已发货'!$H:$H,J4497)=0,"未发货",SUMIFS('[1]2025年已发货'!$E:$E,'[1]2025年已发货'!$F:$F,C4497,'[1]2025年已发货'!$C:$C,F4497,'[1]2025年已发货'!$G:$G,I4497,'[1]2025年已发货'!$H:$H,J4497))</f>
        <v>3</v>
      </c>
      <c r="I4497" s="33" t="str">
        <f>VLOOKUP(B4497,辅助信息!E:I,3,FALSE)</f>
        <v>(五冶建设扩建艺体中学二期工程)四川省成都市双流区光荣路成都艺体中学南200米</v>
      </c>
      <c r="J4497" s="33" t="str">
        <f>VLOOKUP(B4497,辅助信息!E:I,4,FALSE)</f>
        <v>谢序强</v>
      </c>
      <c r="K4497" s="33">
        <f>VLOOKUP(J4497,辅助信息!H:I,2,FALSE)</f>
        <v>13458588232</v>
      </c>
      <c r="L4497" s="102"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55" t="str">
        <f ca="1" t="shared" si="222"/>
        <v/>
      </c>
      <c r="P4497" s="55" t="str">
        <f ca="1" t="shared" si="223"/>
        <v/>
      </c>
      <c r="Q4497" s="22" t="str">
        <f>VLOOKUP(B4497,辅助信息!E:M,9,FALSE)</f>
        <v>ZTWM-CDGS-XS-2025-0073-五冶天府-成都怡心湖片区及龙泉驿医院等项目</v>
      </c>
      <c r="R4497" s="22" t="str">
        <f>_xlfn._xlws.FILTER(辅助信息!D:D,辅助信息!E:E=B4497)</f>
        <v>五冶建设扩建艺体中学二期工程</v>
      </c>
    </row>
    <row r="4498" hidden="1" spans="2:18">
      <c r="B4498" s="128" t="s">
        <v>167</v>
      </c>
      <c r="C4498" s="63">
        <v>45944</v>
      </c>
      <c r="D4498" s="33" t="str">
        <f>VLOOKUP(B4498,辅助信息!E:K,7,FALSE)</f>
        <v>JWDDCD2025102100473</v>
      </c>
      <c r="E4498" s="33" t="str">
        <f>VLOOKUP(F4498,辅助信息!A:B,2,FALSE)</f>
        <v>螺纹钢</v>
      </c>
      <c r="F4498" s="33" t="s">
        <v>32</v>
      </c>
      <c r="G4498" s="29">
        <v>30</v>
      </c>
      <c r="H4498" s="127">
        <f>IF(SUMIFS('[1]2025年已发货'!$E:$E,'[1]2025年已发货'!$F:$F,C4498,'[1]2025年已发货'!$C:$C,F4498,'[1]2025年已发货'!$G:$G,I4498,'[1]2025年已发货'!$H:$H,J4498)=0,"未发货",SUMIFS('[1]2025年已发货'!$E:$E,'[1]2025年已发货'!$F:$F,C4498,'[1]2025年已发货'!$C:$C,F4498,'[1]2025年已发货'!$G:$G,I4498,'[1]2025年已发货'!$H:$H,J4498))</f>
        <v>30</v>
      </c>
      <c r="I4498" s="33" t="str">
        <f>VLOOKUP(B4498,辅助信息!E:I,3,FALSE)</f>
        <v>(五冶建设扩建艺体中学二期工程)四川省成都市双流区光荣路成都艺体中学南200米</v>
      </c>
      <c r="J4498" s="33" t="str">
        <f>VLOOKUP(B4498,辅助信息!E:I,4,FALSE)</f>
        <v>谢序强</v>
      </c>
      <c r="K4498" s="33">
        <f>VLOOKUP(J4498,辅助信息!H:I,2,FALSE)</f>
        <v>13458588232</v>
      </c>
      <c r="L4498" s="102"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55" t="str">
        <f ca="1" t="shared" si="222"/>
        <v/>
      </c>
      <c r="P4498" s="55" t="str">
        <f ca="1" t="shared" si="223"/>
        <v/>
      </c>
      <c r="Q4498" s="22" t="str">
        <f>VLOOKUP(B4498,辅助信息!E:M,9,FALSE)</f>
        <v>ZTWM-CDGS-XS-2025-0073-五冶天府-成都怡心湖片区及龙泉驿医院等项目</v>
      </c>
      <c r="R4498" s="22" t="str">
        <f>_xlfn._xlws.FILTER(辅助信息!D:D,辅助信息!E:E=B4498)</f>
        <v>五冶建设扩建艺体中学二期工程</v>
      </c>
    </row>
    <row r="4499" hidden="1" spans="2:18">
      <c r="B4499" s="128" t="s">
        <v>167</v>
      </c>
      <c r="C4499" s="63">
        <v>45944</v>
      </c>
      <c r="D4499" s="33" t="str">
        <f>VLOOKUP(B4499,辅助信息!E:K,7,FALSE)</f>
        <v>JWDDCD2025102100473</v>
      </c>
      <c r="E4499" s="33" t="str">
        <f>VLOOKUP(F4499,辅助信息!A:B,2,FALSE)</f>
        <v>螺纹钢</v>
      </c>
      <c r="F4499" s="33" t="s">
        <v>30</v>
      </c>
      <c r="G4499" s="29">
        <v>6</v>
      </c>
      <c r="H4499" s="127">
        <f>IF(SUMIFS('[1]2025年已发货'!$E:$E,'[1]2025年已发货'!$F:$F,C4499,'[1]2025年已发货'!$C:$C,F4499,'[1]2025年已发货'!$G:$G,I4499,'[1]2025年已发货'!$H:$H,J4499)=0,"未发货",SUMIFS('[1]2025年已发货'!$E:$E,'[1]2025年已发货'!$F:$F,C4499,'[1]2025年已发货'!$C:$C,F4499,'[1]2025年已发货'!$G:$G,I4499,'[1]2025年已发货'!$H:$H,J4499))</f>
        <v>6</v>
      </c>
      <c r="I4499" s="33" t="str">
        <f>VLOOKUP(B4499,辅助信息!E:I,3,FALSE)</f>
        <v>(五冶建设扩建艺体中学二期工程)四川省成都市双流区光荣路成都艺体中学南200米</v>
      </c>
      <c r="J4499" s="33" t="str">
        <f>VLOOKUP(B4499,辅助信息!E:I,4,FALSE)</f>
        <v>谢序强</v>
      </c>
      <c r="K4499" s="33">
        <f>VLOOKUP(J4499,辅助信息!H:I,2,FALSE)</f>
        <v>13458588232</v>
      </c>
      <c r="L4499" s="102"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55" t="str">
        <f ca="1" t="shared" si="222"/>
        <v/>
      </c>
      <c r="P4499" s="55" t="str">
        <f ca="1" t="shared" si="223"/>
        <v/>
      </c>
      <c r="Q4499" s="22" t="str">
        <f>VLOOKUP(B4499,辅助信息!E:M,9,FALSE)</f>
        <v>ZTWM-CDGS-XS-2025-0073-五冶天府-成都怡心湖片区及龙泉驿医院等项目</v>
      </c>
      <c r="R4499" s="22" t="str">
        <f>_xlfn._xlws.FILTER(辅助信息!D:D,辅助信息!E:E=B4499)</f>
        <v>五冶建设扩建艺体中学二期工程</v>
      </c>
    </row>
    <row r="4500" hidden="1" spans="2:18">
      <c r="B4500" s="128" t="s">
        <v>167</v>
      </c>
      <c r="C4500" s="63">
        <v>45944</v>
      </c>
      <c r="D4500" s="33" t="str">
        <f>VLOOKUP(B4500,辅助信息!E:K,7,FALSE)</f>
        <v>JWDDCD2025102100473</v>
      </c>
      <c r="E4500" s="33" t="str">
        <f>VLOOKUP(F4500,辅助信息!A:B,2,FALSE)</f>
        <v>螺纹钢</v>
      </c>
      <c r="F4500" s="33" t="s">
        <v>33</v>
      </c>
      <c r="G4500" s="29">
        <v>8</v>
      </c>
      <c r="H4500" s="127">
        <f>IF(SUMIFS('[1]2025年已发货'!$E:$E,'[1]2025年已发货'!$F:$F,C4500,'[1]2025年已发货'!$C:$C,F4500,'[1]2025年已发货'!$G:$G,I4500,'[1]2025年已发货'!$H:$H,J4500)=0,"未发货",SUMIFS('[1]2025年已发货'!$E:$E,'[1]2025年已发货'!$F:$F,C4500,'[1]2025年已发货'!$C:$C,F4500,'[1]2025年已发货'!$G:$G,I4500,'[1]2025年已发货'!$H:$H,J4500))</f>
        <v>8</v>
      </c>
      <c r="I4500" s="33" t="str">
        <f>VLOOKUP(B4500,辅助信息!E:I,3,FALSE)</f>
        <v>(五冶建设扩建艺体中学二期工程)四川省成都市双流区光荣路成都艺体中学南200米</v>
      </c>
      <c r="J4500" s="33" t="str">
        <f>VLOOKUP(B4500,辅助信息!E:I,4,FALSE)</f>
        <v>谢序强</v>
      </c>
      <c r="K4500" s="33">
        <f>VLOOKUP(J4500,辅助信息!H:I,2,FALSE)</f>
        <v>13458588232</v>
      </c>
      <c r="L4500" s="102"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55" t="str">
        <f ca="1" t="shared" si="222"/>
        <v/>
      </c>
      <c r="P4500" s="55" t="str">
        <f ca="1" t="shared" si="223"/>
        <v/>
      </c>
      <c r="Q4500" s="22" t="str">
        <f>VLOOKUP(B4500,辅助信息!E:M,9,FALSE)</f>
        <v>ZTWM-CDGS-XS-2025-0073-五冶天府-成都怡心湖片区及龙泉驿医院等项目</v>
      </c>
      <c r="R4500" s="22" t="str">
        <f>_xlfn._xlws.FILTER(辅助信息!D:D,辅助信息!E:E=B4500)</f>
        <v>五冶建设扩建艺体中学二期工程</v>
      </c>
    </row>
    <row r="4501" hidden="1" spans="2:18">
      <c r="B4501" s="128" t="s">
        <v>167</v>
      </c>
      <c r="C4501" s="63">
        <v>45944</v>
      </c>
      <c r="D4501" s="33" t="str">
        <f>VLOOKUP(B4501,辅助信息!E:K,7,FALSE)</f>
        <v>JWDDCD2025102100473</v>
      </c>
      <c r="E4501" s="33" t="str">
        <f>VLOOKUP(F4501,辅助信息!A:B,2,FALSE)</f>
        <v>螺纹钢</v>
      </c>
      <c r="F4501" s="33" t="s">
        <v>18</v>
      </c>
      <c r="G4501" s="29">
        <v>28</v>
      </c>
      <c r="H4501" s="127">
        <f>IF(SUMIFS('[1]2025年已发货'!$E:$E,'[1]2025年已发货'!$F:$F,C4501,'[1]2025年已发货'!$C:$C,F4501,'[1]2025年已发货'!$G:$G,I4501,'[1]2025年已发货'!$H:$H,J4501)=0,"未发货",SUMIFS('[1]2025年已发货'!$E:$E,'[1]2025年已发货'!$F:$F,C4501,'[1]2025年已发货'!$C:$C,F4501,'[1]2025年已发货'!$G:$G,I4501,'[1]2025年已发货'!$H:$H,J4501))</f>
        <v>28</v>
      </c>
      <c r="I4501" s="33" t="str">
        <f>VLOOKUP(B4501,辅助信息!E:I,3,FALSE)</f>
        <v>(五冶建设扩建艺体中学二期工程)四川省成都市双流区光荣路成都艺体中学南200米</v>
      </c>
      <c r="J4501" s="33" t="str">
        <f>VLOOKUP(B4501,辅助信息!E:I,4,FALSE)</f>
        <v>谢序强</v>
      </c>
      <c r="K4501" s="33">
        <f>VLOOKUP(J4501,辅助信息!H:I,2,FALSE)</f>
        <v>13458588232</v>
      </c>
      <c r="L4501" s="102"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55" t="str">
        <f ca="1" t="shared" si="222"/>
        <v/>
      </c>
      <c r="P4501" s="55" t="str">
        <f ca="1" t="shared" si="223"/>
        <v/>
      </c>
      <c r="Q4501" s="22" t="str">
        <f>VLOOKUP(B4501,辅助信息!E:M,9,FALSE)</f>
        <v>ZTWM-CDGS-XS-2025-0073-五冶天府-成都怡心湖片区及龙泉驿医院等项目</v>
      </c>
      <c r="R4501" s="22" t="str">
        <f>_xlfn._xlws.FILTER(辅助信息!D:D,辅助信息!E:E=B4501)</f>
        <v>五冶建设扩建艺体中学二期工程</v>
      </c>
    </row>
    <row r="4502" hidden="1" spans="2:18">
      <c r="B4502" s="128" t="s">
        <v>167</v>
      </c>
      <c r="C4502" s="63">
        <v>45944</v>
      </c>
      <c r="D4502" s="33" t="str">
        <f>VLOOKUP(B4502,辅助信息!E:K,7,FALSE)</f>
        <v>JWDDCD2025102100473</v>
      </c>
      <c r="E4502" s="33" t="str">
        <f>VLOOKUP(F4502,辅助信息!A:B,2,FALSE)</f>
        <v>螺纹钢</v>
      </c>
      <c r="F4502" s="33" t="s">
        <v>22</v>
      </c>
      <c r="G4502" s="29">
        <v>35</v>
      </c>
      <c r="H4502" s="127">
        <f>IF(SUMIFS('[1]2025年已发货'!$E:$E,'[1]2025年已发货'!$F:$F,C4502,'[1]2025年已发货'!$C:$C,F4502,'[1]2025年已发货'!$G:$G,I4502,'[1]2025年已发货'!$H:$H,J4502)=0,"未发货",SUMIFS('[1]2025年已发货'!$E:$E,'[1]2025年已发货'!$F:$F,C4502,'[1]2025年已发货'!$C:$C,F4502,'[1]2025年已发货'!$G:$G,I4502,'[1]2025年已发货'!$H:$H,J4502))</f>
        <v>35</v>
      </c>
      <c r="I4502" s="33" t="str">
        <f>VLOOKUP(B4502,辅助信息!E:I,3,FALSE)</f>
        <v>(五冶建设扩建艺体中学二期工程)四川省成都市双流区光荣路成都艺体中学南200米</v>
      </c>
      <c r="J4502" s="33" t="str">
        <f>VLOOKUP(B4502,辅助信息!E:I,4,FALSE)</f>
        <v>谢序强</v>
      </c>
      <c r="K4502" s="33">
        <f>VLOOKUP(J4502,辅助信息!H:I,2,FALSE)</f>
        <v>13458588232</v>
      </c>
      <c r="L4502" s="102"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55" t="str">
        <f ca="1" t="shared" si="222"/>
        <v/>
      </c>
      <c r="P4502" s="55" t="str">
        <f ca="1" t="shared" si="223"/>
        <v/>
      </c>
      <c r="Q4502" s="22" t="str">
        <f>VLOOKUP(B4502,辅助信息!E:M,9,FALSE)</f>
        <v>ZTWM-CDGS-XS-2025-0073-五冶天府-成都怡心湖片区及龙泉驿医院等项目</v>
      </c>
      <c r="R4502" s="22" t="str">
        <f>_xlfn._xlws.FILTER(辅助信息!D:D,辅助信息!E:E=B4502)</f>
        <v>五冶建设扩建艺体中学二期工程</v>
      </c>
    </row>
    <row r="4503" hidden="1" spans="2:18">
      <c r="B4503" s="128" t="s">
        <v>169</v>
      </c>
      <c r="C4503" s="63">
        <v>45944</v>
      </c>
      <c r="D4503" s="33" t="str">
        <f>VLOOKUP(B4503,辅助信息!E:K,7,FALSE)</f>
        <v>JWDDCD2025051800044</v>
      </c>
      <c r="E4503" s="33" t="str">
        <f>VLOOKUP(F4503,辅助信息!A:B,2,FALSE)</f>
        <v>高线</v>
      </c>
      <c r="F4503" s="33" t="s">
        <v>51</v>
      </c>
      <c r="G4503" s="29">
        <v>2.5</v>
      </c>
      <c r="H4503" s="127">
        <f>IF(SUMIFS('[1]2025年已发货'!$E:$E,'[1]2025年已发货'!$F:$F,C4503,'[1]2025年已发货'!$C:$C,F4503,'[1]2025年已发货'!$G:$G,I4503,'[1]2025年已发货'!$H:$H,J4503)=0,"未发货",SUMIFS('[1]2025年已发货'!$E:$E,'[1]2025年已发货'!$F:$F,C4503,'[1]2025年已发货'!$C:$C,F4503,'[1]2025年已发货'!$G:$G,I4503,'[1]2025年已发货'!$H:$H,J4503))</f>
        <v>2.5</v>
      </c>
      <c r="I4503" s="33" t="str">
        <f>VLOOKUP(B4503,辅助信息!E:I,3,FALSE)</f>
        <v>(五冶建设龙泉芙蓉花语项目-1,3地块)龙泉驿区北川路双堰塘钓鱼东100米(北川路)</v>
      </c>
      <c r="J4503" s="33" t="str">
        <f>VLOOKUP(B4503,辅助信息!E:I,4,FALSE)</f>
        <v>祝斯阳</v>
      </c>
      <c r="K4503" s="33">
        <f>VLOOKUP(J4503,辅助信息!H:I,2,FALSE)</f>
        <v>15583590797</v>
      </c>
      <c r="L4503" s="102"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55" t="str">
        <f ca="1" t="shared" si="222"/>
        <v/>
      </c>
      <c r="P4503" s="55" t="str">
        <f ca="1" t="shared" si="223"/>
        <v/>
      </c>
      <c r="Q4503" s="22" t="str">
        <f>VLOOKUP(B4503,辅助信息!E:M,9,FALSE)</f>
        <v>ZTWM-CDGS-XS-2025-0073-五冶天府-成都怡心湖片区及龙泉驿医院等项目</v>
      </c>
      <c r="R4503" s="22" t="str">
        <f>_xlfn._xlws.FILTER(辅助信息!D:D,辅助信息!E:E=B4503)</f>
        <v>五冶建设龙泉芙蓉花语项目</v>
      </c>
    </row>
    <row r="4504" hidden="1" spans="2:18">
      <c r="B4504" s="128" t="s">
        <v>169</v>
      </c>
      <c r="C4504" s="63">
        <v>45944</v>
      </c>
      <c r="D4504" s="33" t="str">
        <f>VLOOKUP(B4504,辅助信息!E:K,7,FALSE)</f>
        <v>JWDDCD2025051800044</v>
      </c>
      <c r="E4504" s="33" t="str">
        <f>VLOOKUP(F4504,辅助信息!A:B,2,FALSE)</f>
        <v>螺纹钢</v>
      </c>
      <c r="F4504" s="33" t="s">
        <v>28</v>
      </c>
      <c r="G4504" s="29">
        <v>64</v>
      </c>
      <c r="H4504" s="127">
        <f>IF(SUMIFS('[1]2025年已发货'!$E:$E,'[1]2025年已发货'!$F:$F,C4504,'[1]2025年已发货'!$C:$C,F4504,'[1]2025年已发货'!$G:$G,I4504,'[1]2025年已发货'!$H:$H,J4504)=0,"未发货",SUMIFS('[1]2025年已发货'!$E:$E,'[1]2025年已发货'!$F:$F,C4504,'[1]2025年已发货'!$C:$C,F4504,'[1]2025年已发货'!$G:$G,I4504,'[1]2025年已发货'!$H:$H,J4504))</f>
        <v>65</v>
      </c>
      <c r="I4504" s="33" t="str">
        <f>VLOOKUP(B4504,辅助信息!E:I,3,FALSE)</f>
        <v>(五冶建设龙泉芙蓉花语项目-1,3地块)龙泉驿区北川路双堰塘钓鱼东100米(北川路)</v>
      </c>
      <c r="J4504" s="33" t="str">
        <f>VLOOKUP(B4504,辅助信息!E:I,4,FALSE)</f>
        <v>祝斯阳</v>
      </c>
      <c r="K4504" s="33">
        <f>VLOOKUP(J4504,辅助信息!H:I,2,FALSE)</f>
        <v>15583590797</v>
      </c>
      <c r="L4504" s="102"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55" t="str">
        <f ca="1" t="shared" si="222"/>
        <v/>
      </c>
      <c r="P4504" s="55" t="str">
        <f ca="1" t="shared" si="223"/>
        <v/>
      </c>
      <c r="Q4504" s="22" t="str">
        <f>VLOOKUP(B4504,辅助信息!E:M,9,FALSE)</f>
        <v>ZTWM-CDGS-XS-2025-0073-五冶天府-成都怡心湖片区及龙泉驿医院等项目</v>
      </c>
      <c r="R4504" s="22" t="str">
        <f>_xlfn._xlws.FILTER(辅助信息!D:D,辅助信息!E:E=B4504)</f>
        <v>五冶建设龙泉芙蓉花语项目</v>
      </c>
    </row>
    <row r="4505" hidden="1" spans="2:18">
      <c r="B4505" s="128" t="s">
        <v>158</v>
      </c>
      <c r="C4505" s="63">
        <v>45944</v>
      </c>
      <c r="D4505" s="33" t="str">
        <f>VLOOKUP(B4505,辅助信息!E:K,7,FALSE)</f>
        <v>JWDDCD2025051800044</v>
      </c>
      <c r="E4505" s="33" t="str">
        <f>VLOOKUP(F4505,辅助信息!A:B,2,FALSE)</f>
        <v>螺纹钢</v>
      </c>
      <c r="F4505" s="33" t="s">
        <v>133</v>
      </c>
      <c r="G4505" s="29">
        <v>35</v>
      </c>
      <c r="H4505" s="127">
        <f>IF(SUMIFS('[1]2025年已发货'!$E:$E,'[1]2025年已发货'!$F:$F,C4505,'[1]2025年已发货'!$C:$C,F4505,'[1]2025年已发货'!$G:$G,I4505,'[1]2025年已发货'!$H:$H,J4505)=0,"未发货",SUMIFS('[1]2025年已发货'!$E:$E,'[1]2025年已发货'!$F:$F,C4505,'[1]2025年已发货'!$C:$C,F4505,'[1]2025年已发货'!$G:$G,I4505,'[1]2025年已发货'!$H:$H,J4505))</f>
        <v>35</v>
      </c>
      <c r="I4505" s="33" t="str">
        <f>VLOOKUP(B4505,辅助信息!E:I,3,FALSE)</f>
        <v>(五冶建设龙泉芙蓉花语项目-2地块)龙泉驿区北川路双堰塘钓鱼东100米(北川路)</v>
      </c>
      <c r="J4505" s="33" t="str">
        <f>VLOOKUP(B4505,辅助信息!E:I,4,FALSE)</f>
        <v>白燕军</v>
      </c>
      <c r="K4505" s="33">
        <f>VLOOKUP(J4505,辅助信息!H:I,2,FALSE)</f>
        <v>15982002377</v>
      </c>
      <c r="L4505" s="102" t="str">
        <f>VLOOKUP(B4505,辅助信息!E:J,6,FALSE)</f>
        <v>联系实际收货人（白燕军15982002377）五冶建设送货单,4份材质书,锈货不收，项目名称：中冶成勘-成都安置房项目，装货前联系收货人核实到场规格,没提前告知进场规格现场不给予接收</v>
      </c>
      <c r="O4505" s="55" t="str">
        <f ca="1" t="shared" si="222"/>
        <v/>
      </c>
      <c r="P4505" s="55" t="str">
        <f ca="1" t="shared" si="223"/>
        <v/>
      </c>
      <c r="Q4505" s="22" t="str">
        <f>VLOOKUP(B4505,辅助信息!E:M,9,FALSE)</f>
        <v>ZTWM-CDGS-XS-2025-0073-五冶天府-成都怡心湖片区及龙泉驿医院等项目</v>
      </c>
      <c r="R4505" s="22" t="str">
        <f>_xlfn._xlws.FILTER(辅助信息!D:D,辅助信息!E:E=B4505)</f>
        <v>五冶建设龙泉芙蓉花语项目</v>
      </c>
    </row>
    <row r="4506" hidden="1" spans="2:18">
      <c r="B4506" s="128" t="s">
        <v>215</v>
      </c>
      <c r="C4506" s="63">
        <v>45944</v>
      </c>
      <c r="D4506" s="33" t="str">
        <f>VLOOKUP(B4506,辅助信息!E:K,7,FALSE)</f>
        <v>JWDDCD2025102100486</v>
      </c>
      <c r="E4506" s="33" t="str">
        <f>VLOOKUP(F4506,辅助信息!A:B,2,FALSE)</f>
        <v>螺纹钢</v>
      </c>
      <c r="F4506" s="33" t="s">
        <v>27</v>
      </c>
      <c r="G4506" s="29">
        <v>10</v>
      </c>
      <c r="H4506" s="127">
        <f>IF(SUMIFS('[1]2025年已发货'!$E:$E,'[1]2025年已发货'!$F:$F,C4506,'[1]2025年已发货'!$C:$C,F4506,'[1]2025年已发货'!$G:$G,I4506,'[1]2025年已发货'!$H:$H,J4506)=0,"未发货",SUMIFS('[1]2025年已发货'!$E:$E,'[1]2025年已发货'!$F:$F,C4506,'[1]2025年已发货'!$C:$C,F4506,'[1]2025年已发货'!$G:$G,I4506,'[1]2025年已发货'!$H:$H,J4506))</f>
        <v>10</v>
      </c>
      <c r="I4506" s="33" t="str">
        <f>VLOOKUP(B4506,辅助信息!E:I,3,FALSE)</f>
        <v>(五冶建设龙泉驿一医院配套建设工程)成都市龙泉驿区董朗路69号龙泉驿一医院5号门</v>
      </c>
      <c r="J4506" s="33" t="str">
        <f>VLOOKUP(B4506,辅助信息!E:I,4,FALSE)</f>
        <v>孙敏</v>
      </c>
      <c r="K4506" s="33">
        <f>VLOOKUP(J4506,辅助信息!H:I,2,FALSE)</f>
        <v>13617695006</v>
      </c>
      <c r="L4506" s="102" t="str">
        <f>VLOOKUP(B4506,辅助信息!E:J,6,FALSE)</f>
        <v>联系实际收货人（孙敏13617695006）五冶建设送货单,6份材质书,锈货不收，装货前联系收货人核实到场规格,没提前告知进场规格现场不给予接收</v>
      </c>
      <c r="O4506" s="55" t="str">
        <f ca="1" t="shared" si="222"/>
        <v/>
      </c>
      <c r="P4506" s="55" t="str">
        <f ca="1" t="shared" si="223"/>
        <v/>
      </c>
      <c r="Q4506" s="22" t="str">
        <f>VLOOKUP(B4506,辅助信息!E:M,9,FALSE)</f>
        <v>ZTWM-CDGS-XS-2025-0073-五冶天府-成都怡心湖片区及龙泉驿医院等项目</v>
      </c>
      <c r="R4506" s="22" t="str">
        <f>_xlfn._xlws.FILTER(辅助信息!D:D,辅助信息!E:E=B4506)</f>
        <v>五冶建设龙泉驿一医院配套建设工程</v>
      </c>
    </row>
    <row r="4507" hidden="1" spans="2:18">
      <c r="B4507" s="128" t="s">
        <v>215</v>
      </c>
      <c r="C4507" s="63">
        <v>45944</v>
      </c>
      <c r="D4507" s="33" t="str">
        <f>VLOOKUP(B4507,辅助信息!E:K,7,FALSE)</f>
        <v>JWDDCD2025102100486</v>
      </c>
      <c r="E4507" s="33" t="str">
        <f>VLOOKUP(F4507,辅助信息!A:B,2,FALSE)</f>
        <v>螺纹钢</v>
      </c>
      <c r="F4507" s="33" t="s">
        <v>19</v>
      </c>
      <c r="G4507" s="29">
        <v>3</v>
      </c>
      <c r="H4507" s="127">
        <f>IF(SUMIFS('[1]2025年已发货'!$E:$E,'[1]2025年已发货'!$F:$F,C4507,'[1]2025年已发货'!$C:$C,F4507,'[1]2025年已发货'!$G:$G,I4507,'[1]2025年已发货'!$H:$H,J4507)=0,"未发货",SUMIFS('[1]2025年已发货'!$E:$E,'[1]2025年已发货'!$F:$F,C4507,'[1]2025年已发货'!$C:$C,F4507,'[1]2025年已发货'!$G:$G,I4507,'[1]2025年已发货'!$H:$H,J4507))</f>
        <v>3</v>
      </c>
      <c r="I4507" s="33" t="str">
        <f>VLOOKUP(B4507,辅助信息!E:I,3,FALSE)</f>
        <v>(五冶建设龙泉驿一医院配套建设工程)成都市龙泉驿区董朗路69号龙泉驿一医院5号门</v>
      </c>
      <c r="J4507" s="33" t="str">
        <f>VLOOKUP(B4507,辅助信息!E:I,4,FALSE)</f>
        <v>孙敏</v>
      </c>
      <c r="K4507" s="33">
        <f>VLOOKUP(J4507,辅助信息!H:I,2,FALSE)</f>
        <v>13617695006</v>
      </c>
      <c r="L4507" s="102" t="str">
        <f>VLOOKUP(B4507,辅助信息!E:J,6,FALSE)</f>
        <v>联系实际收货人（孙敏13617695006）五冶建设送货单,6份材质书,锈货不收，装货前联系收货人核实到场规格,没提前告知进场规格现场不给予接收</v>
      </c>
      <c r="O4507" s="55" t="str">
        <f ca="1" t="shared" si="222"/>
        <v/>
      </c>
      <c r="P4507" s="55" t="str">
        <f ca="1" t="shared" si="223"/>
        <v/>
      </c>
      <c r="Q4507" s="22" t="str">
        <f>VLOOKUP(B4507,辅助信息!E:M,9,FALSE)</f>
        <v>ZTWM-CDGS-XS-2025-0073-五冶天府-成都怡心湖片区及龙泉驿医院等项目</v>
      </c>
      <c r="R4507" s="22" t="str">
        <f>_xlfn._xlws.FILTER(辅助信息!D:D,辅助信息!E:E=B4507)</f>
        <v>五冶建设龙泉驿一医院配套建设工程</v>
      </c>
    </row>
    <row r="4508" hidden="1" spans="2:18">
      <c r="B4508" s="128" t="s">
        <v>215</v>
      </c>
      <c r="C4508" s="63">
        <v>45944</v>
      </c>
      <c r="D4508" s="33" t="str">
        <f>VLOOKUP(B4508,辅助信息!E:K,7,FALSE)</f>
        <v>JWDDCD2025102100486</v>
      </c>
      <c r="E4508" s="33" t="str">
        <f>VLOOKUP(F4508,辅助信息!A:B,2,FALSE)</f>
        <v>螺纹钢</v>
      </c>
      <c r="F4508" s="33" t="s">
        <v>32</v>
      </c>
      <c r="G4508" s="29">
        <v>7</v>
      </c>
      <c r="H4508" s="127">
        <f>IF(SUMIFS('[1]2025年已发货'!$E:$E,'[1]2025年已发货'!$F:$F,C4508,'[1]2025年已发货'!$C:$C,F4508,'[1]2025年已发货'!$G:$G,I4508,'[1]2025年已发货'!$H:$H,J4508)=0,"未发货",SUMIFS('[1]2025年已发货'!$E:$E,'[1]2025年已发货'!$F:$F,C4508,'[1]2025年已发货'!$C:$C,F4508,'[1]2025年已发货'!$G:$G,I4508,'[1]2025年已发货'!$H:$H,J4508))</f>
        <v>7</v>
      </c>
      <c r="I4508" s="33" t="str">
        <f>VLOOKUP(B4508,辅助信息!E:I,3,FALSE)</f>
        <v>(五冶建设龙泉驿一医院配套建设工程)成都市龙泉驿区董朗路69号龙泉驿一医院5号门</v>
      </c>
      <c r="J4508" s="33" t="str">
        <f>VLOOKUP(B4508,辅助信息!E:I,4,FALSE)</f>
        <v>孙敏</v>
      </c>
      <c r="K4508" s="33">
        <f>VLOOKUP(J4508,辅助信息!H:I,2,FALSE)</f>
        <v>13617695006</v>
      </c>
      <c r="L4508" s="102" t="str">
        <f>VLOOKUP(B4508,辅助信息!E:J,6,FALSE)</f>
        <v>联系实际收货人（孙敏13617695006）五冶建设送货单,6份材质书,锈货不收，装货前联系收货人核实到场规格,没提前告知进场规格现场不给予接收</v>
      </c>
      <c r="O4508" s="55" t="str">
        <f ca="1" t="shared" si="222"/>
        <v/>
      </c>
      <c r="P4508" s="55" t="str">
        <f ca="1" t="shared" si="223"/>
        <v/>
      </c>
      <c r="Q4508" s="22" t="str">
        <f>VLOOKUP(B4508,辅助信息!E:M,9,FALSE)</f>
        <v>ZTWM-CDGS-XS-2025-0073-五冶天府-成都怡心湖片区及龙泉驿医院等项目</v>
      </c>
      <c r="R4508" s="22" t="str">
        <f>_xlfn._xlws.FILTER(辅助信息!D:D,辅助信息!E:E=B4508)</f>
        <v>五冶建设龙泉驿一医院配套建设工程</v>
      </c>
    </row>
    <row r="4509" hidden="1" spans="2:18">
      <c r="B4509" s="128" t="s">
        <v>215</v>
      </c>
      <c r="C4509" s="63">
        <v>45944</v>
      </c>
      <c r="D4509" s="33" t="str">
        <f>VLOOKUP(B4509,辅助信息!E:K,7,FALSE)</f>
        <v>JWDDCD2025102100486</v>
      </c>
      <c r="E4509" s="33" t="str">
        <f>VLOOKUP(F4509,辅助信息!A:B,2,FALSE)</f>
        <v>螺纹钢</v>
      </c>
      <c r="F4509" s="33" t="s">
        <v>30</v>
      </c>
      <c r="G4509" s="29">
        <v>3</v>
      </c>
      <c r="H4509" s="127">
        <f>IF(SUMIFS('[1]2025年已发货'!$E:$E,'[1]2025年已发货'!$F:$F,C4509,'[1]2025年已发货'!$C:$C,F4509,'[1]2025年已发货'!$G:$G,I4509,'[1]2025年已发货'!$H:$H,J4509)=0,"未发货",SUMIFS('[1]2025年已发货'!$E:$E,'[1]2025年已发货'!$F:$F,C4509,'[1]2025年已发货'!$C:$C,F4509,'[1]2025年已发货'!$G:$G,I4509,'[1]2025年已发货'!$H:$H,J4509))</f>
        <v>3</v>
      </c>
      <c r="I4509" s="33" t="str">
        <f>VLOOKUP(B4509,辅助信息!E:I,3,FALSE)</f>
        <v>(五冶建设龙泉驿一医院配套建设工程)成都市龙泉驿区董朗路69号龙泉驿一医院5号门</v>
      </c>
      <c r="J4509" s="33" t="str">
        <f>VLOOKUP(B4509,辅助信息!E:I,4,FALSE)</f>
        <v>孙敏</v>
      </c>
      <c r="K4509" s="33">
        <f>VLOOKUP(J4509,辅助信息!H:I,2,FALSE)</f>
        <v>13617695006</v>
      </c>
      <c r="L4509" s="102" t="str">
        <f>VLOOKUP(B4509,辅助信息!E:J,6,FALSE)</f>
        <v>联系实际收货人（孙敏13617695006）五冶建设送货单,6份材质书,锈货不收，装货前联系收货人核实到场规格,没提前告知进场规格现场不给予接收</v>
      </c>
      <c r="O4509" s="55" t="str">
        <f ca="1" t="shared" si="222"/>
        <v/>
      </c>
      <c r="P4509" s="55" t="str">
        <f ca="1" t="shared" si="223"/>
        <v/>
      </c>
      <c r="Q4509" s="22" t="str">
        <f>VLOOKUP(B4509,辅助信息!E:M,9,FALSE)</f>
        <v>ZTWM-CDGS-XS-2025-0073-五冶天府-成都怡心湖片区及龙泉驿医院等项目</v>
      </c>
      <c r="R4509" s="22" t="str">
        <f>_xlfn._xlws.FILTER(辅助信息!D:D,辅助信息!E:E=B4509)</f>
        <v>五冶建设龙泉驿一医院配套建设工程</v>
      </c>
    </row>
    <row r="4510" hidden="1" spans="2:18">
      <c r="B4510" s="128" t="s">
        <v>215</v>
      </c>
      <c r="C4510" s="63">
        <v>45944</v>
      </c>
      <c r="D4510" s="33" t="str">
        <f>VLOOKUP(B4510,辅助信息!E:K,7,FALSE)</f>
        <v>JWDDCD2025102100486</v>
      </c>
      <c r="E4510" s="33" t="str">
        <f>VLOOKUP(F4510,辅助信息!A:B,2,FALSE)</f>
        <v>螺纹钢</v>
      </c>
      <c r="F4510" s="33" t="s">
        <v>28</v>
      </c>
      <c r="G4510" s="29">
        <v>10</v>
      </c>
      <c r="H4510" s="127">
        <f>IF(SUMIFS('[1]2025年已发货'!$E:$E,'[1]2025年已发货'!$F:$F,C4510,'[1]2025年已发货'!$C:$C,F4510,'[1]2025年已发货'!$G:$G,I4510,'[1]2025年已发货'!$H:$H,J4510)=0,"未发货",SUMIFS('[1]2025年已发货'!$E:$E,'[1]2025年已发货'!$F:$F,C4510,'[1]2025年已发货'!$C:$C,F4510,'[1]2025年已发货'!$G:$G,I4510,'[1]2025年已发货'!$H:$H,J4510))</f>
        <v>10</v>
      </c>
      <c r="I4510" s="33" t="str">
        <f>VLOOKUP(B4510,辅助信息!E:I,3,FALSE)</f>
        <v>(五冶建设龙泉驿一医院配套建设工程)成都市龙泉驿区董朗路69号龙泉驿一医院5号门</v>
      </c>
      <c r="J4510" s="33" t="str">
        <f>VLOOKUP(B4510,辅助信息!E:I,4,FALSE)</f>
        <v>孙敏</v>
      </c>
      <c r="K4510" s="33">
        <f>VLOOKUP(J4510,辅助信息!H:I,2,FALSE)</f>
        <v>13617695006</v>
      </c>
      <c r="L4510" s="102" t="str">
        <f>VLOOKUP(B4510,辅助信息!E:J,6,FALSE)</f>
        <v>联系实际收货人（孙敏13617695006）五冶建设送货单,6份材质书,锈货不收，装货前联系收货人核实到场规格,没提前告知进场规格现场不给予接收</v>
      </c>
      <c r="O4510" s="55" t="str">
        <f ca="1" t="shared" si="222"/>
        <v/>
      </c>
      <c r="P4510" s="55" t="str">
        <f ca="1" t="shared" si="223"/>
        <v/>
      </c>
      <c r="Q4510" s="22" t="str">
        <f>VLOOKUP(B4510,辅助信息!E:M,9,FALSE)</f>
        <v>ZTWM-CDGS-XS-2025-0073-五冶天府-成都怡心湖片区及龙泉驿医院等项目</v>
      </c>
      <c r="R4510" s="22" t="str">
        <f>_xlfn._xlws.FILTER(辅助信息!D:D,辅助信息!E:E=B4510)</f>
        <v>五冶建设龙泉驿一医院配套建设工程</v>
      </c>
    </row>
    <row r="4511" hidden="1" spans="2:18">
      <c r="B4511" s="128" t="s">
        <v>215</v>
      </c>
      <c r="C4511" s="63">
        <v>45944</v>
      </c>
      <c r="D4511" s="33" t="str">
        <f>VLOOKUP(B4511,辅助信息!E:K,7,FALSE)</f>
        <v>JWDDCD2025102100486</v>
      </c>
      <c r="E4511" s="33" t="str">
        <f>VLOOKUP(F4511,辅助信息!A:B,2,FALSE)</f>
        <v>螺纹钢</v>
      </c>
      <c r="F4511" s="33" t="s">
        <v>18</v>
      </c>
      <c r="G4511" s="29">
        <v>10</v>
      </c>
      <c r="H4511" s="127">
        <f>IF(SUMIFS('[1]2025年已发货'!$E:$E,'[1]2025年已发货'!$F:$F,C4511,'[1]2025年已发货'!$C:$C,F4511,'[1]2025年已发货'!$G:$G,I4511,'[1]2025年已发货'!$H:$H,J4511)=0,"未发货",SUMIFS('[1]2025年已发货'!$E:$E,'[1]2025年已发货'!$F:$F,C4511,'[1]2025年已发货'!$C:$C,F4511,'[1]2025年已发货'!$G:$G,I4511,'[1]2025年已发货'!$H:$H,J4511))</f>
        <v>10</v>
      </c>
      <c r="I4511" s="33" t="str">
        <f>VLOOKUP(B4511,辅助信息!E:I,3,FALSE)</f>
        <v>(五冶建设龙泉驿一医院配套建设工程)成都市龙泉驿区董朗路69号龙泉驿一医院5号门</v>
      </c>
      <c r="J4511" s="33" t="str">
        <f>VLOOKUP(B4511,辅助信息!E:I,4,FALSE)</f>
        <v>孙敏</v>
      </c>
      <c r="K4511" s="33">
        <f>VLOOKUP(J4511,辅助信息!H:I,2,FALSE)</f>
        <v>13617695006</v>
      </c>
      <c r="L4511" s="102" t="str">
        <f>VLOOKUP(B4511,辅助信息!E:J,6,FALSE)</f>
        <v>联系实际收货人（孙敏13617695006）五冶建设送货单,6份材质书,锈货不收，装货前联系收货人核实到场规格,没提前告知进场规格现场不给予接收</v>
      </c>
      <c r="O4511" s="55" t="str">
        <f ca="1" t="shared" si="222"/>
        <v/>
      </c>
      <c r="P4511" s="55" t="str">
        <f ca="1" t="shared" si="223"/>
        <v/>
      </c>
      <c r="Q4511" s="22" t="str">
        <f>VLOOKUP(B4511,辅助信息!E:M,9,FALSE)</f>
        <v>ZTWM-CDGS-XS-2025-0073-五冶天府-成都怡心湖片区及龙泉驿医院等项目</v>
      </c>
      <c r="R4511" s="22" t="str">
        <f>_xlfn._xlws.FILTER(辅助信息!D:D,辅助信息!E:E=B4511)</f>
        <v>五冶建设龙泉驿一医院配套建设工程</v>
      </c>
    </row>
    <row r="4512" hidden="1" spans="2:18">
      <c r="B4512" s="128" t="s">
        <v>215</v>
      </c>
      <c r="C4512" s="63">
        <v>45944</v>
      </c>
      <c r="D4512" s="33" t="str">
        <f>VLOOKUP(B4512,辅助信息!E:K,7,FALSE)</f>
        <v>JWDDCD2025102100486</v>
      </c>
      <c r="E4512" s="33" t="str">
        <f>VLOOKUP(F4512,辅助信息!A:B,2,FALSE)</f>
        <v>螺纹钢</v>
      </c>
      <c r="F4512" s="33" t="s">
        <v>52</v>
      </c>
      <c r="G4512" s="29">
        <v>5</v>
      </c>
      <c r="H4512" s="127">
        <f>IF(SUMIFS('[1]2025年已发货'!$E:$E,'[1]2025年已发货'!$F:$F,C4512,'[1]2025年已发货'!$C:$C,F4512,'[1]2025年已发货'!$G:$G,I4512,'[1]2025年已发货'!$H:$H,J4512)=0,"未发货",SUMIFS('[1]2025年已发货'!$E:$E,'[1]2025年已发货'!$F:$F,C4512,'[1]2025年已发货'!$C:$C,F4512,'[1]2025年已发货'!$G:$G,I4512,'[1]2025年已发货'!$H:$H,J4512))</f>
        <v>5</v>
      </c>
      <c r="I4512" s="33" t="str">
        <f>VLOOKUP(B4512,辅助信息!E:I,3,FALSE)</f>
        <v>(五冶建设龙泉驿一医院配套建设工程)成都市龙泉驿区董朗路69号龙泉驿一医院5号门</v>
      </c>
      <c r="J4512" s="33" t="str">
        <f>VLOOKUP(B4512,辅助信息!E:I,4,FALSE)</f>
        <v>孙敏</v>
      </c>
      <c r="K4512" s="33">
        <f>VLOOKUP(J4512,辅助信息!H:I,2,FALSE)</f>
        <v>13617695006</v>
      </c>
      <c r="L4512" s="102" t="str">
        <f>VLOOKUP(B4512,辅助信息!E:J,6,FALSE)</f>
        <v>联系实际收货人（孙敏13617695006）五冶建设送货单,6份材质书,锈货不收，装货前联系收货人核实到场规格,没提前告知进场规格现场不给予接收</v>
      </c>
      <c r="O4512" s="55" t="str">
        <f ca="1" t="shared" ref="O4512:O4575" si="224">IF(OR(M4512="",N4512&lt;&gt;""),"",MAX(M4512-TODAY(),0))</f>
        <v/>
      </c>
      <c r="P4512" s="55" t="str">
        <f ca="1" t="shared" ref="P4512:P4575" si="225">IF(M4512="","",IF(N4512&lt;&gt;"",MAX(N4512-M4512,0),IF(TODAY()&gt;M4512,TODAY()-M4512,0)))</f>
        <v/>
      </c>
      <c r="Q4512" s="22" t="str">
        <f>VLOOKUP(B4512,辅助信息!E:M,9,FALSE)</f>
        <v>ZTWM-CDGS-XS-2025-0073-五冶天府-成都怡心湖片区及龙泉驿医院等项目</v>
      </c>
      <c r="R4512" s="22" t="str">
        <f>_xlfn._xlws.FILTER(辅助信息!D:D,辅助信息!E:E=B4512)</f>
        <v>五冶建设龙泉驿一医院配套建设工程</v>
      </c>
    </row>
    <row r="4513" hidden="1" spans="2:18">
      <c r="B4513" s="128" t="s">
        <v>215</v>
      </c>
      <c r="C4513" s="63">
        <v>45944</v>
      </c>
      <c r="D4513" s="33" t="str">
        <f>VLOOKUP(B4513,辅助信息!E:K,7,FALSE)</f>
        <v>JWDDCD2025102100486</v>
      </c>
      <c r="E4513" s="33" t="str">
        <f>VLOOKUP(F4513,辅助信息!A:B,2,FALSE)</f>
        <v>螺纹钢</v>
      </c>
      <c r="F4513" s="33" t="s">
        <v>82</v>
      </c>
      <c r="G4513" s="29">
        <v>3</v>
      </c>
      <c r="H4513" s="127">
        <f>IF(SUMIFS('[1]2025年已发货'!$E:$E,'[1]2025年已发货'!$F:$F,C4513,'[1]2025年已发货'!$C:$C,F4513,'[1]2025年已发货'!$G:$G,I4513,'[1]2025年已发货'!$H:$H,J4513)=0,"未发货",SUMIFS('[1]2025年已发货'!$E:$E,'[1]2025年已发货'!$F:$F,C4513,'[1]2025年已发货'!$C:$C,F4513,'[1]2025年已发货'!$G:$G,I4513,'[1]2025年已发货'!$H:$H,J4513))</f>
        <v>3</v>
      </c>
      <c r="I4513" s="33" t="str">
        <f>VLOOKUP(B4513,辅助信息!E:I,3,FALSE)</f>
        <v>(五冶建设龙泉驿一医院配套建设工程)成都市龙泉驿区董朗路69号龙泉驿一医院5号门</v>
      </c>
      <c r="J4513" s="33" t="str">
        <f>VLOOKUP(B4513,辅助信息!E:I,4,FALSE)</f>
        <v>孙敏</v>
      </c>
      <c r="K4513" s="33">
        <f>VLOOKUP(J4513,辅助信息!H:I,2,FALSE)</f>
        <v>13617695006</v>
      </c>
      <c r="L4513" s="102" t="str">
        <f>VLOOKUP(B4513,辅助信息!E:J,6,FALSE)</f>
        <v>联系实际收货人（孙敏13617695006）五冶建设送货单,6份材质书,锈货不收，装货前联系收货人核实到场规格,没提前告知进场规格现场不给予接收</v>
      </c>
      <c r="O4513" s="55" t="str">
        <f ca="1" t="shared" si="224"/>
        <v/>
      </c>
      <c r="P4513" s="55" t="str">
        <f ca="1" t="shared" si="225"/>
        <v/>
      </c>
      <c r="Q4513" s="22" t="str">
        <f>VLOOKUP(B4513,辅助信息!E:M,9,FALSE)</f>
        <v>ZTWM-CDGS-XS-2025-0073-五冶天府-成都怡心湖片区及龙泉驿医院等项目</v>
      </c>
      <c r="R4513" s="22" t="str">
        <f>_xlfn._xlws.FILTER(辅助信息!D:D,辅助信息!E:E=B4513)</f>
        <v>五冶建设龙泉驿一医院配套建设工程</v>
      </c>
    </row>
    <row r="4514" hidden="1" spans="2:18">
      <c r="B4514" s="128" t="s">
        <v>215</v>
      </c>
      <c r="C4514" s="63">
        <v>45944</v>
      </c>
      <c r="D4514" s="33" t="str">
        <f>VLOOKUP(B4514,辅助信息!E:K,7,FALSE)</f>
        <v>JWDDCD2025102100486</v>
      </c>
      <c r="E4514" s="33" t="str">
        <f>VLOOKUP(F4514,辅助信息!A:B,2,FALSE)</f>
        <v>螺纹钢</v>
      </c>
      <c r="F4514" s="33" t="s">
        <v>45</v>
      </c>
      <c r="G4514" s="29">
        <v>3</v>
      </c>
      <c r="H4514" s="127">
        <f>IF(SUMIFS('[1]2025年已发货'!$E:$E,'[1]2025年已发货'!$F:$F,C4514,'[1]2025年已发货'!$C:$C,F4514,'[1]2025年已发货'!$G:$G,I4514,'[1]2025年已发货'!$H:$H,J4514)=0,"未发货",SUMIFS('[1]2025年已发货'!$E:$E,'[1]2025年已发货'!$F:$F,C4514,'[1]2025年已发货'!$C:$C,F4514,'[1]2025年已发货'!$G:$G,I4514,'[1]2025年已发货'!$H:$H,J4514))</f>
        <v>3</v>
      </c>
      <c r="I4514" s="33" t="str">
        <f>VLOOKUP(B4514,辅助信息!E:I,3,FALSE)</f>
        <v>(五冶建设龙泉驿一医院配套建设工程)成都市龙泉驿区董朗路69号龙泉驿一医院5号门</v>
      </c>
      <c r="J4514" s="33" t="str">
        <f>VLOOKUP(B4514,辅助信息!E:I,4,FALSE)</f>
        <v>孙敏</v>
      </c>
      <c r="K4514" s="33">
        <f>VLOOKUP(J4514,辅助信息!H:I,2,FALSE)</f>
        <v>13617695006</v>
      </c>
      <c r="L4514" s="102" t="str">
        <f>VLOOKUP(B4514,辅助信息!E:J,6,FALSE)</f>
        <v>联系实际收货人（孙敏13617695006）五冶建设送货单,6份材质书,锈货不收，装货前联系收货人核实到场规格,没提前告知进场规格现场不给予接收</v>
      </c>
      <c r="O4514" s="55" t="str">
        <f ca="1" t="shared" si="224"/>
        <v/>
      </c>
      <c r="P4514" s="55" t="str">
        <f ca="1" t="shared" si="225"/>
        <v/>
      </c>
      <c r="Q4514" s="22" t="str">
        <f>VLOOKUP(B4514,辅助信息!E:M,9,FALSE)</f>
        <v>ZTWM-CDGS-XS-2025-0073-五冶天府-成都怡心湖片区及龙泉驿医院等项目</v>
      </c>
      <c r="R4514" s="22" t="str">
        <f>_xlfn._xlws.FILTER(辅助信息!D:D,辅助信息!E:E=B4514)</f>
        <v>五冶建设龙泉驿一医院配套建设工程</v>
      </c>
    </row>
    <row r="4515" hidden="1" spans="2:18">
      <c r="B4515" s="128" t="s">
        <v>215</v>
      </c>
      <c r="C4515" s="63">
        <v>45944</v>
      </c>
      <c r="D4515" s="33" t="str">
        <f>VLOOKUP(B4515,辅助信息!E:K,7,FALSE)</f>
        <v>JWDDCD2025102100486</v>
      </c>
      <c r="E4515" s="33" t="str">
        <f>VLOOKUP(F4515,辅助信息!A:B,2,FALSE)</f>
        <v>螺纹钢</v>
      </c>
      <c r="F4515" s="33" t="s">
        <v>21</v>
      </c>
      <c r="G4515" s="29">
        <v>3</v>
      </c>
      <c r="H4515" s="127">
        <f>IF(SUMIFS('[1]2025年已发货'!$E:$E,'[1]2025年已发货'!$F:$F,C4515,'[1]2025年已发货'!$C:$C,F4515,'[1]2025年已发货'!$G:$G,I4515,'[1]2025年已发货'!$H:$H,J4515)=0,"未发货",SUMIFS('[1]2025年已发货'!$E:$E,'[1]2025年已发货'!$F:$F,C4515,'[1]2025年已发货'!$C:$C,F4515,'[1]2025年已发货'!$G:$G,I4515,'[1]2025年已发货'!$H:$H,J4515))</f>
        <v>3</v>
      </c>
      <c r="I4515" s="33" t="str">
        <f>VLOOKUP(B4515,辅助信息!E:I,3,FALSE)</f>
        <v>(五冶建设龙泉驿一医院配套建设工程)成都市龙泉驿区董朗路69号龙泉驿一医院5号门</v>
      </c>
      <c r="J4515" s="33" t="str">
        <f>VLOOKUP(B4515,辅助信息!E:I,4,FALSE)</f>
        <v>孙敏</v>
      </c>
      <c r="K4515" s="33">
        <f>VLOOKUP(J4515,辅助信息!H:I,2,FALSE)</f>
        <v>13617695006</v>
      </c>
      <c r="L4515" s="102" t="str">
        <f>VLOOKUP(B4515,辅助信息!E:J,6,FALSE)</f>
        <v>联系实际收货人（孙敏13617695006）五冶建设送货单,6份材质书,锈货不收，装货前联系收货人核实到场规格,没提前告知进场规格现场不给予接收</v>
      </c>
      <c r="O4515" s="55" t="str">
        <f ca="1" t="shared" si="224"/>
        <v/>
      </c>
      <c r="P4515" s="55" t="str">
        <f ca="1" t="shared" si="225"/>
        <v/>
      </c>
      <c r="Q4515" s="22" t="str">
        <f>VLOOKUP(B4515,辅助信息!E:M,9,FALSE)</f>
        <v>ZTWM-CDGS-XS-2025-0073-五冶天府-成都怡心湖片区及龙泉驿医院等项目</v>
      </c>
      <c r="R4515" s="22" t="str">
        <f>_xlfn._xlws.FILTER(辅助信息!D:D,辅助信息!E:E=B4515)</f>
        <v>五冶建设龙泉驿一医院配套建设工程</v>
      </c>
    </row>
    <row r="4516" hidden="1" spans="2:18">
      <c r="B4516" s="128" t="s">
        <v>215</v>
      </c>
      <c r="C4516" s="63">
        <v>45944</v>
      </c>
      <c r="D4516" s="33" t="str">
        <f>VLOOKUP(B4516,辅助信息!E:K,7,FALSE)</f>
        <v>JWDDCD2025102100486</v>
      </c>
      <c r="E4516" s="33" t="str">
        <f>VLOOKUP(F4516,辅助信息!A:B,2,FALSE)</f>
        <v>螺纹钢</v>
      </c>
      <c r="F4516" s="33" t="s">
        <v>58</v>
      </c>
      <c r="G4516" s="29">
        <v>15</v>
      </c>
      <c r="H4516" s="127">
        <f>IF(SUMIFS('[1]2025年已发货'!$E:$E,'[1]2025年已发货'!$F:$F,C4516,'[1]2025年已发货'!$C:$C,F4516,'[1]2025年已发货'!$G:$G,I4516,'[1]2025年已发货'!$H:$H,J4516)=0,"未发货",SUMIFS('[1]2025年已发货'!$E:$E,'[1]2025年已发货'!$F:$F,C4516,'[1]2025年已发货'!$C:$C,F4516,'[1]2025年已发货'!$G:$G,I4516,'[1]2025年已发货'!$H:$H,J4516))</f>
        <v>15</v>
      </c>
      <c r="I4516" s="33" t="str">
        <f>VLOOKUP(B4516,辅助信息!E:I,3,FALSE)</f>
        <v>(五冶建设龙泉驿一医院配套建设工程)成都市龙泉驿区董朗路69号龙泉驿一医院5号门</v>
      </c>
      <c r="J4516" s="33" t="str">
        <f>VLOOKUP(B4516,辅助信息!E:I,4,FALSE)</f>
        <v>孙敏</v>
      </c>
      <c r="K4516" s="33">
        <f>VLOOKUP(J4516,辅助信息!H:I,2,FALSE)</f>
        <v>13617695006</v>
      </c>
      <c r="L4516" s="102" t="str">
        <f>VLOOKUP(B4516,辅助信息!E:J,6,FALSE)</f>
        <v>联系实际收货人（孙敏13617695006）五冶建设送货单,6份材质书,锈货不收，装货前联系收货人核实到场规格,没提前告知进场规格现场不给予接收</v>
      </c>
      <c r="O4516" s="55" t="str">
        <f ca="1" t="shared" si="224"/>
        <v/>
      </c>
      <c r="P4516" s="55" t="str">
        <f ca="1" t="shared" si="225"/>
        <v/>
      </c>
      <c r="Q4516" s="22" t="str">
        <f>VLOOKUP(B4516,辅助信息!E:M,9,FALSE)</f>
        <v>ZTWM-CDGS-XS-2025-0073-五冶天府-成都怡心湖片区及龙泉驿医院等项目</v>
      </c>
      <c r="R4516" s="22" t="str">
        <f>_xlfn._xlws.FILTER(辅助信息!D:D,辅助信息!E:E=B4516)</f>
        <v>五冶建设龙泉驿一医院配套建设工程</v>
      </c>
    </row>
    <row r="4517" hidden="1" spans="2:18">
      <c r="B4517" s="128" t="s">
        <v>215</v>
      </c>
      <c r="C4517" s="63">
        <v>45944</v>
      </c>
      <c r="D4517" s="33" t="str">
        <f>VLOOKUP(B4517,辅助信息!E:K,7,FALSE)</f>
        <v>JWDDCD2025102100486</v>
      </c>
      <c r="E4517" s="33" t="str">
        <f>VLOOKUP(F4517,辅助信息!A:B,2,FALSE)</f>
        <v>螺纹钢</v>
      </c>
      <c r="F4517" s="33" t="s">
        <v>46</v>
      </c>
      <c r="G4517" s="29">
        <v>20</v>
      </c>
      <c r="H4517" s="127">
        <f>IF(SUMIFS('[1]2025年已发货'!$E:$E,'[1]2025年已发货'!$F:$F,C4517,'[1]2025年已发货'!$C:$C,F4517,'[1]2025年已发货'!$G:$G,I4517,'[1]2025年已发货'!$H:$H,J4517)=0,"未发货",SUMIFS('[1]2025年已发货'!$E:$E,'[1]2025年已发货'!$F:$F,C4517,'[1]2025年已发货'!$C:$C,F4517,'[1]2025年已发货'!$G:$G,I4517,'[1]2025年已发货'!$H:$H,J4517))</f>
        <v>20</v>
      </c>
      <c r="I4517" s="33" t="str">
        <f>VLOOKUP(B4517,辅助信息!E:I,3,FALSE)</f>
        <v>(五冶建设龙泉驿一医院配套建设工程)成都市龙泉驿区董朗路69号龙泉驿一医院5号门</v>
      </c>
      <c r="J4517" s="33" t="str">
        <f>VLOOKUP(B4517,辅助信息!E:I,4,FALSE)</f>
        <v>孙敏</v>
      </c>
      <c r="K4517" s="33">
        <f>VLOOKUP(J4517,辅助信息!H:I,2,FALSE)</f>
        <v>13617695006</v>
      </c>
      <c r="L4517" s="102" t="str">
        <f>VLOOKUP(B4517,辅助信息!E:J,6,FALSE)</f>
        <v>联系实际收货人（孙敏13617695006）五冶建设送货单,6份材质书,锈货不收，装货前联系收货人核实到场规格,没提前告知进场规格现场不给予接收</v>
      </c>
      <c r="O4517" s="55" t="str">
        <f ca="1" t="shared" si="224"/>
        <v/>
      </c>
      <c r="P4517" s="55" t="str">
        <f ca="1" t="shared" si="225"/>
        <v/>
      </c>
      <c r="Q4517" s="22" t="str">
        <f>VLOOKUP(B4517,辅助信息!E:M,9,FALSE)</f>
        <v>ZTWM-CDGS-XS-2025-0073-五冶天府-成都怡心湖片区及龙泉驿医院等项目</v>
      </c>
      <c r="R4517" s="22" t="str">
        <f>_xlfn._xlws.FILTER(辅助信息!D:D,辅助信息!E:E=B4517)</f>
        <v>五冶建设龙泉驿一医院配套建设工程</v>
      </c>
    </row>
    <row r="4518" hidden="1" spans="2:18">
      <c r="B4518" s="128" t="s">
        <v>215</v>
      </c>
      <c r="C4518" s="63">
        <v>45944</v>
      </c>
      <c r="D4518" s="33" t="str">
        <f>VLOOKUP(B4518,辅助信息!E:K,7,FALSE)</f>
        <v>JWDDCD2025102100486</v>
      </c>
      <c r="E4518" s="33" t="str">
        <f>VLOOKUP(F4518,辅助信息!A:B,2,FALSE)</f>
        <v>螺纹钢</v>
      </c>
      <c r="F4518" s="33" t="s">
        <v>22</v>
      </c>
      <c r="G4518" s="29">
        <v>47</v>
      </c>
      <c r="H4518" s="127">
        <f>IF(SUMIFS('[1]2025年已发货'!$E:$E,'[1]2025年已发货'!$F:$F,C4518,'[1]2025年已发货'!$C:$C,F4518,'[1]2025年已发货'!$G:$G,I4518,'[1]2025年已发货'!$H:$H,J4518)=0,"未发货",SUMIFS('[1]2025年已发货'!$E:$E,'[1]2025年已发货'!$F:$F,C4518,'[1]2025年已发货'!$C:$C,F4518,'[1]2025年已发货'!$G:$G,I4518,'[1]2025年已发货'!$H:$H,J4518))</f>
        <v>47</v>
      </c>
      <c r="I4518" s="33" t="str">
        <f>VLOOKUP(B4518,辅助信息!E:I,3,FALSE)</f>
        <v>(五冶建设龙泉驿一医院配套建设工程)成都市龙泉驿区董朗路69号龙泉驿一医院5号门</v>
      </c>
      <c r="J4518" s="33" t="str">
        <f>VLOOKUP(B4518,辅助信息!E:I,4,FALSE)</f>
        <v>孙敏</v>
      </c>
      <c r="K4518" s="33">
        <f>VLOOKUP(J4518,辅助信息!H:I,2,FALSE)</f>
        <v>13617695006</v>
      </c>
      <c r="L4518" s="102" t="str">
        <f>VLOOKUP(B4518,辅助信息!E:J,6,FALSE)</f>
        <v>联系实际收货人（孙敏13617695006）五冶建设送货单,6份材质书,锈货不收，装货前联系收货人核实到场规格,没提前告知进场规格现场不给予接收</v>
      </c>
      <c r="O4518" s="55" t="str">
        <f ca="1" t="shared" si="224"/>
        <v/>
      </c>
      <c r="P4518" s="55" t="str">
        <f ca="1" t="shared" si="225"/>
        <v/>
      </c>
      <c r="Q4518" s="22" t="str">
        <f>VLOOKUP(B4518,辅助信息!E:M,9,FALSE)</f>
        <v>ZTWM-CDGS-XS-2025-0073-五冶天府-成都怡心湖片区及龙泉驿医院等项目</v>
      </c>
      <c r="R4518" s="22" t="str">
        <f>_xlfn._xlws.FILTER(辅助信息!D:D,辅助信息!E:E=B4518)</f>
        <v>五冶建设龙泉驿一医院配套建设工程</v>
      </c>
    </row>
    <row r="4519" hidden="1" spans="2:18">
      <c r="B4519" s="128" t="s">
        <v>215</v>
      </c>
      <c r="C4519" s="63">
        <v>45944</v>
      </c>
      <c r="D4519" s="33" t="str">
        <f>VLOOKUP(B4519,辅助信息!E:K,7,FALSE)</f>
        <v>JWDDCD2025102100486</v>
      </c>
      <c r="E4519" s="33" t="str">
        <f>VLOOKUP(F4519,辅助信息!A:B,2,FALSE)</f>
        <v>螺纹钢</v>
      </c>
      <c r="F4519" s="33" t="s">
        <v>181</v>
      </c>
      <c r="G4519" s="29">
        <v>2</v>
      </c>
      <c r="H4519" s="127">
        <f>IF(SUMIFS('[1]2025年已发货'!$E:$E,'[1]2025年已发货'!$F:$F,C4519,'[1]2025年已发货'!$C:$C,F4519,'[1]2025年已发货'!$G:$G,I4519,'[1]2025年已发货'!$H:$H,J4519)=0,"未发货",SUMIFS('[1]2025年已发货'!$E:$E,'[1]2025年已发货'!$F:$F,C4519,'[1]2025年已发货'!$C:$C,F4519,'[1]2025年已发货'!$G:$G,I4519,'[1]2025年已发货'!$H:$H,J4519))</f>
        <v>2</v>
      </c>
      <c r="I4519" s="33" t="str">
        <f>VLOOKUP(B4519,辅助信息!E:I,3,FALSE)</f>
        <v>(五冶建设龙泉驿一医院配套建设工程)成都市龙泉驿区董朗路69号龙泉驿一医院5号门</v>
      </c>
      <c r="J4519" s="33" t="str">
        <f>VLOOKUP(B4519,辅助信息!E:I,4,FALSE)</f>
        <v>孙敏</v>
      </c>
      <c r="K4519" s="33">
        <f>VLOOKUP(J4519,辅助信息!H:I,2,FALSE)</f>
        <v>13617695006</v>
      </c>
      <c r="L4519" s="102" t="str">
        <f>VLOOKUP(B4519,辅助信息!E:J,6,FALSE)</f>
        <v>联系实际收货人（孙敏13617695006）五冶建设送货单,6份材质书,锈货不收，装货前联系收货人核实到场规格,没提前告知进场规格现场不给予接收</v>
      </c>
      <c r="O4519" s="55" t="str">
        <f ca="1" t="shared" si="224"/>
        <v/>
      </c>
      <c r="P4519" s="55" t="str">
        <f ca="1" t="shared" si="225"/>
        <v/>
      </c>
      <c r="Q4519" s="22" t="str">
        <f>VLOOKUP(B4519,辅助信息!E:M,9,FALSE)</f>
        <v>ZTWM-CDGS-XS-2025-0073-五冶天府-成都怡心湖片区及龙泉驿医院等项目</v>
      </c>
      <c r="R4519" s="22" t="str">
        <f>_xlfn._xlws.FILTER(辅助信息!D:D,辅助信息!E:E=B4519)</f>
        <v>五冶建设龙泉驿一医院配套建设工程</v>
      </c>
    </row>
    <row r="4520" hidden="1" spans="2:18">
      <c r="B4520" s="128" t="s">
        <v>215</v>
      </c>
      <c r="C4520" s="63">
        <v>45944</v>
      </c>
      <c r="D4520" s="33" t="str">
        <f>VLOOKUP(B4520,辅助信息!E:K,7,FALSE)</f>
        <v>JWDDCD2025102100486</v>
      </c>
      <c r="E4520" s="33" t="str">
        <f>VLOOKUP(F4520,辅助信息!A:B,2,FALSE)</f>
        <v>盘螺</v>
      </c>
      <c r="F4520" s="33" t="s">
        <v>41</v>
      </c>
      <c r="G4520" s="29">
        <v>12</v>
      </c>
      <c r="H4520" s="127">
        <f>IF(SUMIFS('[1]2025年已发货'!$E:$E,'[1]2025年已发货'!$F:$F,C4520,'[1]2025年已发货'!$C:$C,F4520,'[1]2025年已发货'!$G:$G,I4520,'[1]2025年已发货'!$H:$H,J4520)=0,"未发货",SUMIFS('[1]2025年已发货'!$E:$E,'[1]2025年已发货'!$F:$F,C4520,'[1]2025年已发货'!$C:$C,F4520,'[1]2025年已发货'!$G:$G,I4520,'[1]2025年已发货'!$H:$H,J4520))</f>
        <v>12</v>
      </c>
      <c r="I4520" s="33" t="str">
        <f>VLOOKUP(B4520,辅助信息!E:I,3,FALSE)</f>
        <v>(五冶建设龙泉驿一医院配套建设工程)成都市龙泉驿区董朗路69号龙泉驿一医院5号门</v>
      </c>
      <c r="J4520" s="33" t="str">
        <f>VLOOKUP(B4520,辅助信息!E:I,4,FALSE)</f>
        <v>孙敏</v>
      </c>
      <c r="K4520" s="33">
        <f>VLOOKUP(J4520,辅助信息!H:I,2,FALSE)</f>
        <v>13617695006</v>
      </c>
      <c r="L4520" s="102" t="str">
        <f>VLOOKUP(B4520,辅助信息!E:J,6,FALSE)</f>
        <v>联系实际收货人（孙敏13617695006）五冶建设送货单,6份材质书,锈货不收，装货前联系收货人核实到场规格,没提前告知进场规格现场不给予接收</v>
      </c>
      <c r="O4520" s="55" t="str">
        <f ca="1" t="shared" si="224"/>
        <v/>
      </c>
      <c r="P4520" s="55" t="str">
        <f ca="1" t="shared" si="225"/>
        <v/>
      </c>
      <c r="Q4520" s="22" t="str">
        <f>VLOOKUP(B4520,辅助信息!E:M,9,FALSE)</f>
        <v>ZTWM-CDGS-XS-2025-0073-五冶天府-成都怡心湖片区及龙泉驿医院等项目</v>
      </c>
      <c r="R4520" s="22" t="str">
        <f>_xlfn._xlws.FILTER(辅助信息!D:D,辅助信息!E:E=B4520)</f>
        <v>五冶建设龙泉驿一医院配套建设工程</v>
      </c>
    </row>
    <row r="4521" hidden="1" spans="2:18">
      <c r="B4521" s="128" t="s">
        <v>215</v>
      </c>
      <c r="C4521" s="63">
        <v>45944</v>
      </c>
      <c r="D4521" s="33" t="str">
        <f>VLOOKUP(B4521,辅助信息!E:K,7,FALSE)</f>
        <v>JWDDCD2025102100486</v>
      </c>
      <c r="E4521" s="33" t="str">
        <f>VLOOKUP(F4521,辅助信息!A:B,2,FALSE)</f>
        <v>盘螺</v>
      </c>
      <c r="F4521" s="33" t="s">
        <v>26</v>
      </c>
      <c r="G4521" s="29">
        <v>12</v>
      </c>
      <c r="H4521" s="127">
        <f>IF(SUMIFS('[1]2025年已发货'!$E:$E,'[1]2025年已发货'!$F:$F,C4521,'[1]2025年已发货'!$C:$C,F4521,'[1]2025年已发货'!$G:$G,I4521,'[1]2025年已发货'!$H:$H,J4521)=0,"未发货",SUMIFS('[1]2025年已发货'!$E:$E,'[1]2025年已发货'!$F:$F,C4521,'[1]2025年已发货'!$C:$C,F4521,'[1]2025年已发货'!$G:$G,I4521,'[1]2025年已发货'!$H:$H,J4521))</f>
        <v>12</v>
      </c>
      <c r="I4521" s="33" t="str">
        <f>VLOOKUP(B4521,辅助信息!E:I,3,FALSE)</f>
        <v>(五冶建设龙泉驿一医院配套建设工程)成都市龙泉驿区董朗路69号龙泉驿一医院5号门</v>
      </c>
      <c r="J4521" s="33" t="str">
        <f>VLOOKUP(B4521,辅助信息!E:I,4,FALSE)</f>
        <v>孙敏</v>
      </c>
      <c r="K4521" s="33">
        <f>VLOOKUP(J4521,辅助信息!H:I,2,FALSE)</f>
        <v>13617695006</v>
      </c>
      <c r="L4521" s="102" t="str">
        <f>VLOOKUP(B4521,辅助信息!E:J,6,FALSE)</f>
        <v>联系实际收货人（孙敏13617695006）五冶建设送货单,6份材质书,锈货不收，装货前联系收货人核实到场规格,没提前告知进场规格现场不给予接收</v>
      </c>
      <c r="O4521" s="55" t="str">
        <f ca="1" t="shared" si="224"/>
        <v/>
      </c>
      <c r="P4521" s="55" t="str">
        <f ca="1" t="shared" si="225"/>
        <v/>
      </c>
      <c r="Q4521" s="22" t="str">
        <f>VLOOKUP(B4521,辅助信息!E:M,9,FALSE)</f>
        <v>ZTWM-CDGS-XS-2025-0073-五冶天府-成都怡心湖片区及龙泉驿医院等项目</v>
      </c>
      <c r="R4521" s="22" t="str">
        <f>_xlfn._xlws.FILTER(辅助信息!D:D,辅助信息!E:E=B4521)</f>
        <v>五冶建设龙泉驿一医院配套建设工程</v>
      </c>
    </row>
    <row r="4522" hidden="1" spans="2:18">
      <c r="B4522" s="128" t="s">
        <v>215</v>
      </c>
      <c r="C4522" s="63">
        <v>45944</v>
      </c>
      <c r="D4522" s="33" t="str">
        <f>VLOOKUP(B4522,辅助信息!E:K,7,FALSE)</f>
        <v>JWDDCD2025102100486</v>
      </c>
      <c r="E4522" s="33" t="str">
        <f>VLOOKUP(F4522,辅助信息!A:B,2,FALSE)</f>
        <v>盘螺</v>
      </c>
      <c r="F4522" s="33" t="s">
        <v>40</v>
      </c>
      <c r="G4522" s="29">
        <v>10</v>
      </c>
      <c r="H4522" s="127">
        <f>IF(SUMIFS('[1]2025年已发货'!$E:$E,'[1]2025年已发货'!$F:$F,C4522,'[1]2025年已发货'!$C:$C,F4522,'[1]2025年已发货'!$G:$G,I4522,'[1]2025年已发货'!$H:$H,J4522)=0,"未发货",SUMIFS('[1]2025年已发货'!$E:$E,'[1]2025年已发货'!$F:$F,C4522,'[1]2025年已发货'!$C:$C,F4522,'[1]2025年已发货'!$G:$G,I4522,'[1]2025年已发货'!$H:$H,J4522))</f>
        <v>10</v>
      </c>
      <c r="I4522" s="33" t="str">
        <f>VLOOKUP(B4522,辅助信息!E:I,3,FALSE)</f>
        <v>(五冶建设龙泉驿一医院配套建设工程)成都市龙泉驿区董朗路69号龙泉驿一医院5号门</v>
      </c>
      <c r="J4522" s="33" t="str">
        <f>VLOOKUP(B4522,辅助信息!E:I,4,FALSE)</f>
        <v>孙敏</v>
      </c>
      <c r="K4522" s="33">
        <f>VLOOKUP(J4522,辅助信息!H:I,2,FALSE)</f>
        <v>13617695006</v>
      </c>
      <c r="L4522" s="102" t="str">
        <f>VLOOKUP(B4522,辅助信息!E:J,6,FALSE)</f>
        <v>联系实际收货人（孙敏13617695006）五冶建设送货单,6份材质书,锈货不收，装货前联系收货人核实到场规格,没提前告知进场规格现场不给予接收</v>
      </c>
      <c r="O4522" s="55" t="str">
        <f ca="1" t="shared" si="224"/>
        <v/>
      </c>
      <c r="P4522" s="55" t="str">
        <f ca="1" t="shared" si="225"/>
        <v/>
      </c>
      <c r="Q4522" s="22" t="str">
        <f>VLOOKUP(B4522,辅助信息!E:M,9,FALSE)</f>
        <v>ZTWM-CDGS-XS-2025-0073-五冶天府-成都怡心湖片区及龙泉驿医院等项目</v>
      </c>
      <c r="R4522" s="22" t="str">
        <f>_xlfn._xlws.FILTER(辅助信息!D:D,辅助信息!E:E=B4522)</f>
        <v>五冶建设龙泉驿一医院配套建设工程</v>
      </c>
    </row>
    <row r="4523" hidden="1" spans="2:18">
      <c r="B4523" s="128" t="s">
        <v>196</v>
      </c>
      <c r="C4523" s="63">
        <v>45944</v>
      </c>
      <c r="D4523" s="33" t="str">
        <f>VLOOKUP(B4523,辅助信息!E:K,7,FALSE)</f>
        <v>JWDDCD2025102100476</v>
      </c>
      <c r="E4523" s="33" t="str">
        <f>VLOOKUP(F4523,辅助信息!A:B,2,FALSE)</f>
        <v>螺纹钢</v>
      </c>
      <c r="F4523" s="33" t="s">
        <v>182</v>
      </c>
      <c r="G4523" s="29">
        <v>8.5</v>
      </c>
      <c r="H4523" s="127">
        <f>IF(SUMIFS('[1]2025年已发货'!$E:$E,'[1]2025年已发货'!$F:$F,C4523,'[1]2025年已发货'!$C:$C,F4523,'[1]2025年已发货'!$G:$G,I4523,'[1]2025年已发货'!$H:$H,J4523)=0,"未发货",SUMIFS('[1]2025年已发货'!$E:$E,'[1]2025年已发货'!$F:$F,C4523,'[1]2025年已发货'!$C:$C,F4523,'[1]2025年已发货'!$G:$G,I4523,'[1]2025年已发货'!$H:$H,J4523))</f>
        <v>8.5</v>
      </c>
      <c r="I4523" s="33" t="str">
        <f>VLOOKUP(B4523,辅助信息!E:I,3,FALSE)</f>
        <v>(五冶建设师大附中外语校新建教学楼工程)四川省成都市成华区大观堰2号(四川师范大学附属中学外国语学校)</v>
      </c>
      <c r="J4523" s="33" t="str">
        <f>VLOOKUP(B4523,辅助信息!E:I,4,FALSE)</f>
        <v>蔡浩</v>
      </c>
      <c r="K4523" s="33">
        <f>VLOOKUP(J4523,辅助信息!H:I,2,FALSE)</f>
        <v>13980880820</v>
      </c>
      <c r="L4523" s="102"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55" t="str">
        <f ca="1" t="shared" si="224"/>
        <v/>
      </c>
      <c r="P4523" s="55" t="str">
        <f ca="1" t="shared" si="225"/>
        <v/>
      </c>
      <c r="Q4523" s="22" t="str">
        <f>VLOOKUP(B4523,辅助信息!E:M,9,FALSE)</f>
        <v>ZTWM-CDGS-XS-2025-0073-五冶天府-成都怡心湖片区及龙泉驿医院等项目</v>
      </c>
      <c r="R4523" s="22" t="str">
        <f>_xlfn._xlws.FILTER(辅助信息!D:D,辅助信息!E:E=B4523)</f>
        <v>五冶建设师大附中外语校新建教学楼工程</v>
      </c>
    </row>
    <row r="4524" hidden="1" spans="2:18">
      <c r="B4524" s="128" t="s">
        <v>196</v>
      </c>
      <c r="C4524" s="63">
        <v>45944</v>
      </c>
      <c r="D4524" s="33" t="str">
        <f>VLOOKUP(B4524,辅助信息!E:K,7,FALSE)</f>
        <v>JWDDCD2025102100476</v>
      </c>
      <c r="E4524" s="33" t="str">
        <f>VLOOKUP(F4524,辅助信息!A:B,2,FALSE)</f>
        <v>盘螺</v>
      </c>
      <c r="F4524" s="33" t="s">
        <v>41</v>
      </c>
      <c r="G4524" s="29">
        <v>15</v>
      </c>
      <c r="H4524" s="127">
        <f>IF(SUMIFS('[1]2025年已发货'!$E:$E,'[1]2025年已发货'!$F:$F,C4524,'[1]2025年已发货'!$C:$C,F4524,'[1]2025年已发货'!$G:$G,I4524,'[1]2025年已发货'!$H:$H,J4524)=0,"未发货",SUMIFS('[1]2025年已发货'!$E:$E,'[1]2025年已发货'!$F:$F,C4524,'[1]2025年已发货'!$C:$C,F4524,'[1]2025年已发货'!$G:$G,I4524,'[1]2025年已发货'!$H:$H,J4524))</f>
        <v>15</v>
      </c>
      <c r="I4524" s="33" t="str">
        <f>VLOOKUP(B4524,辅助信息!E:I,3,FALSE)</f>
        <v>(五冶建设师大附中外语校新建教学楼工程)四川省成都市成华区大观堰2号(四川师范大学附属中学外国语学校)</v>
      </c>
      <c r="J4524" s="33" t="str">
        <f>VLOOKUP(B4524,辅助信息!E:I,4,FALSE)</f>
        <v>蔡浩</v>
      </c>
      <c r="K4524" s="33">
        <f>VLOOKUP(J4524,辅助信息!H:I,2,FALSE)</f>
        <v>13980880820</v>
      </c>
      <c r="L4524" s="102"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55" t="str">
        <f ca="1" t="shared" si="224"/>
        <v/>
      </c>
      <c r="P4524" s="55" t="str">
        <f ca="1" t="shared" si="225"/>
        <v/>
      </c>
      <c r="Q4524" s="22" t="str">
        <f>VLOOKUP(B4524,辅助信息!E:M,9,FALSE)</f>
        <v>ZTWM-CDGS-XS-2025-0073-五冶天府-成都怡心湖片区及龙泉驿医院等项目</v>
      </c>
      <c r="R4524" s="22" t="str">
        <f>_xlfn._xlws.FILTER(辅助信息!D:D,辅助信息!E:E=B4524)</f>
        <v>五冶建设师大附中外语校新建教学楼工程</v>
      </c>
    </row>
    <row r="4525" hidden="1" spans="2:18">
      <c r="B4525" s="128" t="s">
        <v>196</v>
      </c>
      <c r="C4525" s="63">
        <v>45944</v>
      </c>
      <c r="D4525" s="33" t="str">
        <f>VLOOKUP(B4525,辅助信息!E:K,7,FALSE)</f>
        <v>JWDDCD2025102100476</v>
      </c>
      <c r="E4525" s="33" t="str">
        <f>VLOOKUP(F4525,辅助信息!A:B,2,FALSE)</f>
        <v>盘螺</v>
      </c>
      <c r="F4525" s="33" t="s">
        <v>40</v>
      </c>
      <c r="G4525" s="29">
        <v>11.5</v>
      </c>
      <c r="H4525" s="127">
        <f>IF(SUMIFS('[1]2025年已发货'!$E:$E,'[1]2025年已发货'!$F:$F,C4525,'[1]2025年已发货'!$C:$C,F4525,'[1]2025年已发货'!$G:$G,I4525,'[1]2025年已发货'!$H:$H,J4525)=0,"未发货",SUMIFS('[1]2025年已发货'!$E:$E,'[1]2025年已发货'!$F:$F,C4525,'[1]2025年已发货'!$C:$C,F4525,'[1]2025年已发货'!$G:$G,I4525,'[1]2025年已发货'!$H:$H,J4525))</f>
        <v>11.5</v>
      </c>
      <c r="I4525" s="33" t="str">
        <f>VLOOKUP(B4525,辅助信息!E:I,3,FALSE)</f>
        <v>(五冶建设师大附中外语校新建教学楼工程)四川省成都市成华区大观堰2号(四川师范大学附属中学外国语学校)</v>
      </c>
      <c r="J4525" s="33" t="str">
        <f>VLOOKUP(B4525,辅助信息!E:I,4,FALSE)</f>
        <v>蔡浩</v>
      </c>
      <c r="K4525" s="33">
        <f>VLOOKUP(J4525,辅助信息!H:I,2,FALSE)</f>
        <v>13980880820</v>
      </c>
      <c r="L4525" s="102"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55" t="str">
        <f ca="1" t="shared" si="224"/>
        <v/>
      </c>
      <c r="P4525" s="55" t="str">
        <f ca="1" t="shared" si="225"/>
        <v/>
      </c>
      <c r="Q4525" s="22" t="str">
        <f>VLOOKUP(B4525,辅助信息!E:M,9,FALSE)</f>
        <v>ZTWM-CDGS-XS-2025-0073-五冶天府-成都怡心湖片区及龙泉驿医院等项目</v>
      </c>
      <c r="R4525" s="22" t="str">
        <f>_xlfn._xlws.FILTER(辅助信息!D:D,辅助信息!E:E=B4525)</f>
        <v>五冶建设师大附中外语校新建教学楼工程</v>
      </c>
    </row>
    <row r="4526" hidden="1" spans="2:18">
      <c r="B4526" s="128" t="s">
        <v>194</v>
      </c>
      <c r="C4526" s="63">
        <v>45944</v>
      </c>
      <c r="D4526" s="33" t="str">
        <f>VLOOKUP(B4526,辅助信息!E:K,7,FALSE)</f>
        <v>JWDD2025071500089</v>
      </c>
      <c r="E4526" s="33" t="str">
        <f>VLOOKUP(F4526,辅助信息!A:B,2,FALSE)</f>
        <v>螺纹钢</v>
      </c>
      <c r="F4526" s="33" t="s">
        <v>28</v>
      </c>
      <c r="G4526" s="29">
        <v>10</v>
      </c>
      <c r="H4526" s="127"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33" t="str">
        <f>VLOOKUP(B4526,辅助信息!E:I,3,FALSE)</f>
        <v>(宜宾兴港三江新区长江工业园保障性租赁住房建设项目-土建)四川省宜宾市翠屏区永善路南段宜宾市三江新区长江工业园区</v>
      </c>
      <c r="J4526" s="33" t="str">
        <f>VLOOKUP(B4526,辅助信息!E:I,4,FALSE)</f>
        <v>赵元虎</v>
      </c>
      <c r="K4526" s="33">
        <f>VLOOKUP(J4526,辅助信息!H:I,2,FALSE)</f>
        <v>13684167136</v>
      </c>
      <c r="L4526" s="102" t="str">
        <f>VLOOKUP(B4526,辅助信息!E:J,6,FALSE)</f>
        <v>现场要求调度统一联系指定收货人，不单独发司机位置。锈货不收，装货前联系收货人核实到场规格,没提前告知进场规格现场不给予接收</v>
      </c>
      <c r="O4526" s="55" t="str">
        <f ca="1" t="shared" si="224"/>
        <v/>
      </c>
      <c r="P4526" s="55" t="str">
        <f ca="1" t="shared" si="225"/>
        <v/>
      </c>
      <c r="Q4526" s="22" t="str">
        <f>VLOOKUP(B4526,辅助信息!E:M,9,FALSE)</f>
        <v>ZTWM-CDYXGS-XS-2025-0014-宜宾兴港建材-三江新区长江工业园片区保障性租赁住房建设项目</v>
      </c>
      <c r="R4526" s="22" t="str">
        <f>_xlfn._xlws.FILTER(辅助信息!D:D,辅助信息!E:E=B4526)</f>
        <v>宜宾兴港三江新区长江工业园建设项目</v>
      </c>
    </row>
    <row r="4527" hidden="1" spans="2:18">
      <c r="B4527" s="128" t="s">
        <v>194</v>
      </c>
      <c r="C4527" s="63">
        <v>45944</v>
      </c>
      <c r="D4527" s="33" t="str">
        <f>VLOOKUP(B4527,辅助信息!E:K,7,FALSE)</f>
        <v>JWDD2025071500089</v>
      </c>
      <c r="E4527" s="33" t="str">
        <f>VLOOKUP(F4527,辅助信息!A:B,2,FALSE)</f>
        <v>盘螺</v>
      </c>
      <c r="F4527" s="33" t="s">
        <v>49</v>
      </c>
      <c r="G4527" s="29">
        <v>10</v>
      </c>
      <c r="H4527" s="127"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33" t="str">
        <f>VLOOKUP(B4527,辅助信息!E:I,3,FALSE)</f>
        <v>(宜宾兴港三江新区长江工业园保障性租赁住房建设项目-土建)四川省宜宾市翠屏区永善路南段宜宾市三江新区长江工业园区</v>
      </c>
      <c r="J4527" s="33" t="str">
        <f>VLOOKUP(B4527,辅助信息!E:I,4,FALSE)</f>
        <v>赵元虎</v>
      </c>
      <c r="K4527" s="33">
        <f>VLOOKUP(J4527,辅助信息!H:I,2,FALSE)</f>
        <v>13684167136</v>
      </c>
      <c r="L4527" s="102" t="str">
        <f>VLOOKUP(B4527,辅助信息!E:J,6,FALSE)</f>
        <v>现场要求调度统一联系指定收货人，不单独发司机位置。锈货不收，装货前联系收货人核实到场规格,没提前告知进场规格现场不给予接收</v>
      </c>
      <c r="O4527" s="55" t="str">
        <f ca="1" t="shared" si="224"/>
        <v/>
      </c>
      <c r="P4527" s="55" t="str">
        <f ca="1" t="shared" si="225"/>
        <v/>
      </c>
      <c r="Q4527" s="22" t="str">
        <f>VLOOKUP(B4527,辅助信息!E:M,9,FALSE)</f>
        <v>ZTWM-CDYXGS-XS-2025-0014-宜宾兴港建材-三江新区长江工业园片区保障性租赁住房建设项目</v>
      </c>
      <c r="R4527" s="22" t="str">
        <f>_xlfn._xlws.FILTER(辅助信息!D:D,辅助信息!E:E=B4527)</f>
        <v>宜宾兴港三江新区长江工业园建设项目</v>
      </c>
    </row>
    <row r="4528" hidden="1" spans="2:18">
      <c r="B4528" s="128" t="s">
        <v>194</v>
      </c>
      <c r="C4528" s="63">
        <v>45944</v>
      </c>
      <c r="D4528" s="33" t="str">
        <f>VLOOKUP(B4528,辅助信息!E:K,7,FALSE)</f>
        <v>JWDD2025071500089</v>
      </c>
      <c r="E4528" s="33" t="str">
        <f>VLOOKUP(F4528,辅助信息!A:B,2,FALSE)</f>
        <v>盘螺</v>
      </c>
      <c r="F4528" s="33" t="s">
        <v>40</v>
      </c>
      <c r="G4528" s="29">
        <v>70</v>
      </c>
      <c r="H4528" s="127"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33" t="str">
        <f>VLOOKUP(B4528,辅助信息!E:I,3,FALSE)</f>
        <v>(宜宾兴港三江新区长江工业园保障性租赁住房建设项目-土建)四川省宜宾市翠屏区永善路南段宜宾市三江新区长江工业园区</v>
      </c>
      <c r="J4528" s="33" t="str">
        <f>VLOOKUP(B4528,辅助信息!E:I,4,FALSE)</f>
        <v>赵元虎</v>
      </c>
      <c r="K4528" s="33">
        <f>VLOOKUP(J4528,辅助信息!H:I,2,FALSE)</f>
        <v>13684167136</v>
      </c>
      <c r="L4528" s="102" t="str">
        <f>VLOOKUP(B4528,辅助信息!E:J,6,FALSE)</f>
        <v>现场要求调度统一联系指定收货人，不单独发司机位置。锈货不收，装货前联系收货人核实到场规格,没提前告知进场规格现场不给予接收</v>
      </c>
      <c r="O4528" s="55" t="str">
        <f ca="1" t="shared" si="224"/>
        <v/>
      </c>
      <c r="P4528" s="55" t="str">
        <f ca="1" t="shared" si="225"/>
        <v/>
      </c>
      <c r="Q4528" s="22" t="str">
        <f>VLOOKUP(B4528,辅助信息!E:M,9,FALSE)</f>
        <v>ZTWM-CDYXGS-XS-2025-0014-宜宾兴港建材-三江新区长江工业园片区保障性租赁住房建设项目</v>
      </c>
      <c r="R4528" s="22" t="str">
        <f>_xlfn._xlws.FILTER(辅助信息!D:D,辅助信息!E:E=B4528)</f>
        <v>宜宾兴港三江新区长江工业园建设项目</v>
      </c>
    </row>
    <row r="4529" hidden="1" spans="2:18">
      <c r="B4529" s="128" t="s">
        <v>92</v>
      </c>
      <c r="C4529" s="63">
        <v>45944</v>
      </c>
      <c r="D4529" s="33" t="str">
        <f>VLOOKUP(B4529,辅助信息!E:K,7,FALSE)</f>
        <v>JWDDCD2025051800046</v>
      </c>
      <c r="E4529" s="33" t="str">
        <f>VLOOKUP(F4529,辅助信息!A:B,2,FALSE)</f>
        <v>盘螺</v>
      </c>
      <c r="F4529" s="33" t="s">
        <v>41</v>
      </c>
      <c r="G4529" s="29">
        <v>5</v>
      </c>
      <c r="H4529" s="127">
        <f>IF(SUMIFS('[1]2025年已发货'!$E:$E,'[1]2025年已发货'!$F:$F,C4529,'[1]2025年已发货'!$C:$C,F4529,'[1]2025年已发货'!$G:$G,I4529,'[1]2025年已发货'!$H:$H,J4529)=0,"未发货",SUMIFS('[1]2025年已发货'!$E:$E,'[1]2025年已发货'!$F:$F,C4529,'[1]2025年已发货'!$C:$C,F4529,'[1]2025年已发货'!$G:$G,I4529,'[1]2025年已发货'!$H:$H,J4529))</f>
        <v>5</v>
      </c>
      <c r="I4529" s="33" t="str">
        <f>VLOOKUP(B4529,辅助信息!E:I,3,FALSE)</f>
        <v>（华西萌海科创农业生态谷）成都市简阳市白金山水库</v>
      </c>
      <c r="J4529" s="33" t="str">
        <f>VLOOKUP(B4529,辅助信息!E:I,4,FALSE)</f>
        <v>石清国</v>
      </c>
      <c r="K4529" s="33">
        <f>VLOOKUP(J4529,辅助信息!H:I,2,FALSE)</f>
        <v>13458642015</v>
      </c>
      <c r="L4529" s="102" t="str">
        <f>VLOOKUP(B4529,辅助信息!E:J,6,FALSE)</f>
        <v>优先威钢,我方卸车,新老国标钢厂不加价可直发</v>
      </c>
      <c r="O4529" s="55" t="str">
        <f ca="1" t="shared" si="224"/>
        <v/>
      </c>
      <c r="P4529" s="55" t="str">
        <f ca="1" t="shared" si="225"/>
        <v/>
      </c>
      <c r="Q4529" s="22" t="str">
        <f>VLOOKUP(B4529,辅助信息!E:M,9,FALSE)</f>
        <v>ZTWM-CDGS-XS-2024-0092-华西-萌海科创农业生态谷</v>
      </c>
      <c r="R4529" s="22" t="str">
        <f>_xlfn._xlws.FILTER(辅助信息!D:D,辅助信息!E:E=B4529)</f>
        <v>华西萌海-科创农业生态谷</v>
      </c>
    </row>
    <row r="4530" hidden="1" spans="2:18">
      <c r="B4530" s="129" t="s">
        <v>187</v>
      </c>
      <c r="C4530" s="63">
        <v>45945</v>
      </c>
      <c r="D4530" s="113" t="str">
        <f>VLOOKUP(B4530,辅助信息!E:K,7,FALSE)</f>
        <v>JWDDCD2025072900121</v>
      </c>
      <c r="E4530" s="113" t="str">
        <f>VLOOKUP(F4530,辅助信息!A:B,2,FALSE)</f>
        <v>螺纹钢</v>
      </c>
      <c r="F4530" s="113" t="s">
        <v>198</v>
      </c>
      <c r="G4530" s="114">
        <v>10</v>
      </c>
      <c r="H4530" s="127">
        <f>IF(SUMIFS('[1]2025年已发货'!$E:$E,'[1]2025年已发货'!$F:$F,C4530,'[1]2025年已发货'!$C:$C,F4530,'[1]2025年已发货'!$G:$G,I4530,'[1]2025年已发货'!$H:$H,J4530)=0,"未发货",SUMIFS('[1]2025年已发货'!$E:$E,'[1]2025年已发货'!$F:$F,C4530,'[1]2025年已发货'!$C:$C,F4530,'[1]2025年已发货'!$G:$G,I4530,'[1]2025年已发货'!$H:$H,J4530))</f>
        <v>10</v>
      </c>
      <c r="I4530" s="113" t="str">
        <f>VLOOKUP(B4530,辅助信息!E:I,3,FALSE)</f>
        <v>(乐山市校地共建产教融合基地建设项目一标段)四川省乐山市市中区苏稽镇周山嘴</v>
      </c>
      <c r="J4530" s="113" t="str">
        <f>VLOOKUP(B4530,辅助信息!E:I,4,FALSE)</f>
        <v>范增云</v>
      </c>
      <c r="K4530" s="113">
        <f>VLOOKUP(J4530,辅助信息!H:I,2,FALSE)</f>
        <v>13668153241</v>
      </c>
      <c r="L4530" s="115" t="str">
        <f>VLOOKUP(B4530,辅助信息!E:J,6,FALSE)</f>
        <v>联系实际收货人（范增云13668153241）现场要求炉批号控制2个以下，超2个不给予签收。提前联系到场规格及数量</v>
      </c>
      <c r="O4530" s="55" t="str">
        <f ca="1" t="shared" si="224"/>
        <v/>
      </c>
      <c r="P4530" s="55" t="str">
        <f ca="1" t="shared" si="225"/>
        <v/>
      </c>
      <c r="Q4530" s="22" t="str">
        <f>VLOOKUP(B4530,辅助信息!E:M,9,FALSE)</f>
        <v>ZTWM-CDGS-XS-2025-0125-四川机司-乐山市校地共建产教融合基地配套设施项目施工一标段钢筋采购合同</v>
      </c>
      <c r="R4530" s="22" t="str">
        <f>_xlfn._xlws.FILTER(辅助信息!D:D,辅助信息!E:E=B4530)</f>
        <v>乐山市校地共建产教融合基地建设项目一标段</v>
      </c>
    </row>
    <row r="4531" hidden="1" spans="2:18">
      <c r="B4531" s="129" t="s">
        <v>187</v>
      </c>
      <c r="C4531" s="63">
        <v>45945</v>
      </c>
      <c r="D4531" s="113" t="str">
        <f>VLOOKUP(B4531,辅助信息!E:K,7,FALSE)</f>
        <v>JWDDCD2025072900121</v>
      </c>
      <c r="E4531" s="113" t="str">
        <f>VLOOKUP(F4531,辅助信息!A:B,2,FALSE)</f>
        <v>螺纹钢</v>
      </c>
      <c r="F4531" s="113" t="s">
        <v>199</v>
      </c>
      <c r="G4531" s="114">
        <v>10</v>
      </c>
      <c r="H4531" s="127">
        <f>IF(SUMIFS('[1]2025年已发货'!$E:$E,'[1]2025年已发货'!$F:$F,C4531,'[1]2025年已发货'!$C:$C,F4531,'[1]2025年已发货'!$G:$G,I4531,'[1]2025年已发货'!$H:$H,J4531)=0,"未发货",SUMIFS('[1]2025年已发货'!$E:$E,'[1]2025年已发货'!$F:$F,C4531,'[1]2025年已发货'!$C:$C,F4531,'[1]2025年已发货'!$G:$G,I4531,'[1]2025年已发货'!$H:$H,J4531))</f>
        <v>10</v>
      </c>
      <c r="I4531" s="113" t="str">
        <f>VLOOKUP(B4531,辅助信息!E:I,3,FALSE)</f>
        <v>(乐山市校地共建产教融合基地建设项目一标段)四川省乐山市市中区苏稽镇周山嘴</v>
      </c>
      <c r="J4531" s="113" t="str">
        <f>VLOOKUP(B4531,辅助信息!E:I,4,FALSE)</f>
        <v>范增云</v>
      </c>
      <c r="K4531" s="113">
        <f>VLOOKUP(J4531,辅助信息!H:I,2,FALSE)</f>
        <v>13668153241</v>
      </c>
      <c r="L4531" s="115" t="str">
        <f>VLOOKUP(B4531,辅助信息!E:J,6,FALSE)</f>
        <v>联系实际收货人（范增云13668153241）现场要求炉批号控制2个以下，超2个不给予签收。提前联系到场规格及数量</v>
      </c>
      <c r="O4531" s="55" t="str">
        <f ca="1" t="shared" si="224"/>
        <v/>
      </c>
      <c r="P4531" s="55" t="str">
        <f ca="1" t="shared" si="225"/>
        <v/>
      </c>
      <c r="Q4531" s="22" t="str">
        <f>VLOOKUP(B4531,辅助信息!E:M,9,FALSE)</f>
        <v>ZTWM-CDGS-XS-2025-0125-四川机司-乐山市校地共建产教融合基地配套设施项目施工一标段钢筋采购合同</v>
      </c>
      <c r="R4531" s="22" t="str">
        <f>_xlfn._xlws.FILTER(辅助信息!D:D,辅助信息!E:E=B4531)</f>
        <v>乐山市校地共建产教融合基地建设项目一标段</v>
      </c>
    </row>
    <row r="4532" hidden="1" spans="2:18">
      <c r="B4532" s="129" t="s">
        <v>187</v>
      </c>
      <c r="C4532" s="63">
        <v>45945</v>
      </c>
      <c r="D4532" s="113" t="str">
        <f>VLOOKUP(B4532,辅助信息!E:K,7,FALSE)</f>
        <v>JWDDCD2025072900121</v>
      </c>
      <c r="E4532" s="113" t="str">
        <f>VLOOKUP(F4532,辅助信息!A:B,2,FALSE)</f>
        <v>盘螺</v>
      </c>
      <c r="F4532" s="113" t="s">
        <v>41</v>
      </c>
      <c r="G4532" s="114">
        <v>40</v>
      </c>
      <c r="H4532" s="127">
        <f>IF(SUMIFS('[1]2025年已发货'!$E:$E,'[1]2025年已发货'!$F:$F,C4532,'[1]2025年已发货'!$C:$C,F4532,'[1]2025年已发货'!$G:$G,I4532,'[1]2025年已发货'!$H:$H,J4532)=0,"未发货",SUMIFS('[1]2025年已发货'!$E:$E,'[1]2025年已发货'!$F:$F,C4532,'[1]2025年已发货'!$C:$C,F4532,'[1]2025年已发货'!$G:$G,I4532,'[1]2025年已发货'!$H:$H,J4532))</f>
        <v>40</v>
      </c>
      <c r="I4532" s="113" t="str">
        <f>VLOOKUP(B4532,辅助信息!E:I,3,FALSE)</f>
        <v>(乐山市校地共建产教融合基地建设项目一标段)四川省乐山市市中区苏稽镇周山嘴</v>
      </c>
      <c r="J4532" s="113" t="str">
        <f>VLOOKUP(B4532,辅助信息!E:I,4,FALSE)</f>
        <v>范增云</v>
      </c>
      <c r="K4532" s="113">
        <f>VLOOKUP(J4532,辅助信息!H:I,2,FALSE)</f>
        <v>13668153241</v>
      </c>
      <c r="L4532" s="115" t="str">
        <f>VLOOKUP(B4532,辅助信息!E:J,6,FALSE)</f>
        <v>联系实际收货人（范增云13668153241）现场要求炉批号控制2个以下，超2个不给予签收。提前联系到场规格及数量</v>
      </c>
      <c r="O4532" s="55" t="str">
        <f ca="1" t="shared" si="224"/>
        <v/>
      </c>
      <c r="P4532" s="55" t="str">
        <f ca="1" t="shared" si="225"/>
        <v/>
      </c>
      <c r="Q4532" s="22" t="str">
        <f>VLOOKUP(B4532,辅助信息!E:M,9,FALSE)</f>
        <v>ZTWM-CDGS-XS-2025-0125-四川机司-乐山市校地共建产教融合基地配套设施项目施工一标段钢筋采购合同</v>
      </c>
      <c r="R4532" s="22" t="str">
        <f>_xlfn._xlws.FILTER(辅助信息!D:D,辅助信息!E:E=B4532)</f>
        <v>乐山市校地共建产教融合基地建设项目一标段</v>
      </c>
    </row>
    <row r="4533" hidden="1" spans="2:18">
      <c r="B4533" s="129" t="s">
        <v>187</v>
      </c>
      <c r="C4533" s="63">
        <v>45945</v>
      </c>
      <c r="D4533" s="113" t="str">
        <f>VLOOKUP(B4533,辅助信息!E:K,7,FALSE)</f>
        <v>JWDDCD2025072900121</v>
      </c>
      <c r="E4533" s="113" t="str">
        <f>VLOOKUP(F4533,辅助信息!A:B,2,FALSE)</f>
        <v>盘螺</v>
      </c>
      <c r="F4533" s="113" t="s">
        <v>26</v>
      </c>
      <c r="G4533" s="114">
        <v>15</v>
      </c>
      <c r="H4533" s="127">
        <f>IF(SUMIFS('[1]2025年已发货'!$E:$E,'[1]2025年已发货'!$F:$F,C4533,'[1]2025年已发货'!$C:$C,F4533,'[1]2025年已发货'!$G:$G,I4533,'[1]2025年已发货'!$H:$H,J4533)=0,"未发货",SUMIFS('[1]2025年已发货'!$E:$E,'[1]2025年已发货'!$F:$F,C4533,'[1]2025年已发货'!$C:$C,F4533,'[1]2025年已发货'!$G:$G,I4533,'[1]2025年已发货'!$H:$H,J4533))</f>
        <v>15</v>
      </c>
      <c r="I4533" s="113" t="str">
        <f>VLOOKUP(B4533,辅助信息!E:I,3,FALSE)</f>
        <v>(乐山市校地共建产教融合基地建设项目一标段)四川省乐山市市中区苏稽镇周山嘴</v>
      </c>
      <c r="J4533" s="113" t="str">
        <f>VLOOKUP(B4533,辅助信息!E:I,4,FALSE)</f>
        <v>范增云</v>
      </c>
      <c r="K4533" s="113">
        <f>VLOOKUP(J4533,辅助信息!H:I,2,FALSE)</f>
        <v>13668153241</v>
      </c>
      <c r="L4533" s="115" t="str">
        <f>VLOOKUP(B4533,辅助信息!E:J,6,FALSE)</f>
        <v>联系实际收货人（范增云13668153241）现场要求炉批号控制2个以下，超2个不给予签收。提前联系到场规格及数量</v>
      </c>
      <c r="O4533" s="55" t="str">
        <f ca="1" t="shared" si="224"/>
        <v/>
      </c>
      <c r="P4533" s="55" t="str">
        <f ca="1" t="shared" si="225"/>
        <v/>
      </c>
      <c r="Q4533" s="22" t="str">
        <f>VLOOKUP(B4533,辅助信息!E:M,9,FALSE)</f>
        <v>ZTWM-CDGS-XS-2025-0125-四川机司-乐山市校地共建产教融合基地配套设施项目施工一标段钢筋采购合同</v>
      </c>
      <c r="R4533" s="22" t="str">
        <f>_xlfn._xlws.FILTER(辅助信息!D:D,辅助信息!E:E=B4533)</f>
        <v>乐山市校地共建产教融合基地建设项目一标段</v>
      </c>
    </row>
    <row r="4534" hidden="1" spans="2:18">
      <c r="B4534" s="129" t="s">
        <v>187</v>
      </c>
      <c r="C4534" s="63">
        <v>45945</v>
      </c>
      <c r="D4534" s="113" t="str">
        <f>VLOOKUP(B4534,辅助信息!E:K,7,FALSE)</f>
        <v>JWDDCD2025072900121</v>
      </c>
      <c r="E4534" s="113" t="str">
        <f>VLOOKUP(F4534,辅助信息!A:B,2,FALSE)</f>
        <v>盘螺</v>
      </c>
      <c r="F4534" s="113" t="s">
        <v>40</v>
      </c>
      <c r="G4534" s="114">
        <v>70</v>
      </c>
      <c r="H4534" s="127">
        <f>IF(SUMIFS('[1]2025年已发货'!$E:$E,'[1]2025年已发货'!$F:$F,C4534,'[1]2025年已发货'!$C:$C,F4534,'[1]2025年已发货'!$G:$G,I4534,'[1]2025年已发货'!$H:$H,J4534)=0,"未发货",SUMIFS('[1]2025年已发货'!$E:$E,'[1]2025年已发货'!$F:$F,C4534,'[1]2025年已发货'!$C:$C,F4534,'[1]2025年已发货'!$G:$G,I4534,'[1]2025年已发货'!$H:$H,J4534))</f>
        <v>70</v>
      </c>
      <c r="I4534" s="113" t="str">
        <f>VLOOKUP(B4534,辅助信息!E:I,3,FALSE)</f>
        <v>(乐山市校地共建产教融合基地建设项目一标段)四川省乐山市市中区苏稽镇周山嘴</v>
      </c>
      <c r="J4534" s="113" t="str">
        <f>VLOOKUP(B4534,辅助信息!E:I,4,FALSE)</f>
        <v>范增云</v>
      </c>
      <c r="K4534" s="113">
        <f>VLOOKUP(J4534,辅助信息!H:I,2,FALSE)</f>
        <v>13668153241</v>
      </c>
      <c r="L4534" s="115" t="str">
        <f>VLOOKUP(B4534,辅助信息!E:J,6,FALSE)</f>
        <v>联系实际收货人（范增云13668153241）现场要求炉批号控制2个以下，超2个不给予签收。提前联系到场规格及数量</v>
      </c>
      <c r="O4534" s="55" t="str">
        <f ca="1" t="shared" si="224"/>
        <v/>
      </c>
      <c r="P4534" s="55" t="str">
        <f ca="1" t="shared" si="225"/>
        <v/>
      </c>
      <c r="Q4534" s="22" t="str">
        <f>VLOOKUP(B4534,辅助信息!E:M,9,FALSE)</f>
        <v>ZTWM-CDGS-XS-2025-0125-四川机司-乐山市校地共建产教融合基地配套设施项目施工一标段钢筋采购合同</v>
      </c>
      <c r="R4534" s="22" t="str">
        <f>_xlfn._xlws.FILTER(辅助信息!D:D,辅助信息!E:E=B4534)</f>
        <v>乐山市校地共建产教融合基地建设项目一标段</v>
      </c>
    </row>
    <row r="4535" hidden="1" spans="2:18">
      <c r="B4535" s="129" t="s">
        <v>47</v>
      </c>
      <c r="C4535" s="63">
        <v>45945</v>
      </c>
      <c r="D4535" s="113" t="str">
        <f>VLOOKUP(B4535,辅助信息!E:K,7,FALSE)</f>
        <v>JWDDCD2025052800131</v>
      </c>
      <c r="E4535" s="113" t="str">
        <f>VLOOKUP(F4535,辅助信息!A:B,2,FALSE)</f>
        <v>螺纹钢</v>
      </c>
      <c r="F4535" s="113" t="s">
        <v>27</v>
      </c>
      <c r="G4535" s="114">
        <v>9</v>
      </c>
      <c r="H4535" s="127">
        <f>IF(SUMIFS('[1]2025年已发货'!$E:$E,'[1]2025年已发货'!$F:$F,C4535,'[1]2025年已发货'!$C:$C,F4535,'[1]2025年已发货'!$G:$G,I4535,'[1]2025年已发货'!$H:$H,J4535)=0,"未发货",SUMIFS('[1]2025年已发货'!$E:$E,'[1]2025年已发货'!$F:$F,C4535,'[1]2025年已发货'!$C:$C,F4535,'[1]2025年已发货'!$G:$G,I4535,'[1]2025年已发货'!$H:$H,J4535))</f>
        <v>7.5</v>
      </c>
      <c r="I4535" s="113" t="str">
        <f>VLOOKUP(B4535,辅助信息!E:I,3,FALSE)</f>
        <v>（商投建工达州中医药科技园-1工区）达州市通川区达州中医药职业学院犀牛大道北段</v>
      </c>
      <c r="J4535" s="113" t="str">
        <f>VLOOKUP(B4535,辅助信息!E:I,4,FALSE)</f>
        <v>程黄刚</v>
      </c>
      <c r="K4535" s="113">
        <f>VLOOKUP(J4535,辅助信息!H:I,2,FALSE)</f>
        <v>15108211617</v>
      </c>
      <c r="L4535" s="115" t="str">
        <f>VLOOKUP(B4535,辅助信息!E:J,6,FALSE)</f>
        <v>控制炉批号！多了现场不收！,优先安排达钢,提前联系到场规格及数量</v>
      </c>
      <c r="O4535" s="55" t="str">
        <f ca="1" t="shared" si="224"/>
        <v/>
      </c>
      <c r="P4535" s="55" t="str">
        <f ca="1" t="shared" si="225"/>
        <v/>
      </c>
      <c r="Q4535" s="22" t="str">
        <f>VLOOKUP(B4535,辅助信息!E:M,9,FALSE)</f>
        <v>ZTWM-CDGS-XS-2024-0134-商投建工达州中医药科技成果示范园项目</v>
      </c>
      <c r="R4535" s="22" t="str">
        <f>_xlfn._xlws.FILTER(辅助信息!D:D,辅助信息!E:E=B4535)</f>
        <v>商投建工达州中医药科技园</v>
      </c>
    </row>
    <row r="4536" hidden="1" spans="2:18">
      <c r="B4536" s="129" t="s">
        <v>47</v>
      </c>
      <c r="C4536" s="63">
        <v>45945</v>
      </c>
      <c r="D4536" s="113" t="str">
        <f>VLOOKUP(B4536,辅助信息!E:K,7,FALSE)</f>
        <v>JWDDCD2025052800131</v>
      </c>
      <c r="E4536" s="113" t="str">
        <f>VLOOKUP(F4536,辅助信息!A:B,2,FALSE)</f>
        <v>螺纹钢</v>
      </c>
      <c r="F4536" s="113" t="s">
        <v>30</v>
      </c>
      <c r="G4536" s="114">
        <v>9</v>
      </c>
      <c r="H4536" s="127">
        <f>IF(SUMIFS('[1]2025年已发货'!$E:$E,'[1]2025年已发货'!$F:$F,C4536,'[1]2025年已发货'!$C:$C,F4536,'[1]2025年已发货'!$G:$G,I4536,'[1]2025年已发货'!$H:$H,J4536)=0,"未发货",SUMIFS('[1]2025年已发货'!$E:$E,'[1]2025年已发货'!$F:$F,C4536,'[1]2025年已发货'!$C:$C,F4536,'[1]2025年已发货'!$G:$G,I4536,'[1]2025年已发货'!$H:$H,J4536))</f>
        <v>7.5</v>
      </c>
      <c r="I4536" s="113" t="str">
        <f>VLOOKUP(B4536,辅助信息!E:I,3,FALSE)</f>
        <v>（商投建工达州中医药科技园-1工区）达州市通川区达州中医药职业学院犀牛大道北段</v>
      </c>
      <c r="J4536" s="113" t="str">
        <f>VLOOKUP(B4536,辅助信息!E:I,4,FALSE)</f>
        <v>程黄刚</v>
      </c>
      <c r="K4536" s="113">
        <f>VLOOKUP(J4536,辅助信息!H:I,2,FALSE)</f>
        <v>15108211617</v>
      </c>
      <c r="L4536" s="115" t="str">
        <f>VLOOKUP(B4536,辅助信息!E:J,6,FALSE)</f>
        <v>控制炉批号！多了现场不收！,优先安排达钢,提前联系到场规格及数量</v>
      </c>
      <c r="O4536" s="55" t="str">
        <f ca="1" t="shared" si="224"/>
        <v/>
      </c>
      <c r="P4536" s="55" t="str">
        <f ca="1" t="shared" si="225"/>
        <v/>
      </c>
      <c r="Q4536" s="22" t="str">
        <f>VLOOKUP(B4536,辅助信息!E:M,9,FALSE)</f>
        <v>ZTWM-CDGS-XS-2024-0134-商投建工达州中医药科技成果示范园项目</v>
      </c>
      <c r="R4536" s="22" t="str">
        <f>_xlfn._xlws.FILTER(辅助信息!D:D,辅助信息!E:E=B4536)</f>
        <v>商投建工达州中医药科技园</v>
      </c>
    </row>
    <row r="4537" hidden="1" spans="2:18">
      <c r="B4537" s="129" t="s">
        <v>47</v>
      </c>
      <c r="C4537" s="63">
        <v>45945</v>
      </c>
      <c r="D4537" s="113" t="str">
        <f>VLOOKUP(B4537,辅助信息!E:K,7,FALSE)</f>
        <v>JWDDCD2025052800131</v>
      </c>
      <c r="E4537" s="113" t="str">
        <f>VLOOKUP(F4537,辅助信息!A:B,2,FALSE)</f>
        <v>螺纹钢</v>
      </c>
      <c r="F4537" s="113" t="s">
        <v>33</v>
      </c>
      <c r="G4537" s="114">
        <v>9</v>
      </c>
      <c r="H4537" s="127">
        <f>IF(SUMIFS('[1]2025年已发货'!$E:$E,'[1]2025年已发货'!$F:$F,C4537,'[1]2025年已发货'!$C:$C,F4537,'[1]2025年已发货'!$G:$G,I4537,'[1]2025年已发货'!$H:$H,J4537)=0,"未发货",SUMIFS('[1]2025年已发货'!$E:$E,'[1]2025年已发货'!$F:$F,C4537,'[1]2025年已发货'!$C:$C,F4537,'[1]2025年已发货'!$G:$G,I4537,'[1]2025年已发货'!$H:$H,J4537))</f>
        <v>7.5</v>
      </c>
      <c r="I4537" s="113" t="str">
        <f>VLOOKUP(B4537,辅助信息!E:I,3,FALSE)</f>
        <v>（商投建工达州中医药科技园-1工区）达州市通川区达州中医药职业学院犀牛大道北段</v>
      </c>
      <c r="J4537" s="113" t="str">
        <f>VLOOKUP(B4537,辅助信息!E:I,4,FALSE)</f>
        <v>程黄刚</v>
      </c>
      <c r="K4537" s="113">
        <f>VLOOKUP(J4537,辅助信息!H:I,2,FALSE)</f>
        <v>15108211617</v>
      </c>
      <c r="L4537" s="115" t="str">
        <f>VLOOKUP(B4537,辅助信息!E:J,6,FALSE)</f>
        <v>控制炉批号！多了现场不收！,优先安排达钢,提前联系到场规格及数量</v>
      </c>
      <c r="O4537" s="55" t="str">
        <f ca="1" t="shared" si="224"/>
        <v/>
      </c>
      <c r="P4537" s="55" t="str">
        <f ca="1" t="shared" si="225"/>
        <v/>
      </c>
      <c r="Q4537" s="22" t="str">
        <f>VLOOKUP(B4537,辅助信息!E:M,9,FALSE)</f>
        <v>ZTWM-CDGS-XS-2024-0134-商投建工达州中医药科技成果示范园项目</v>
      </c>
      <c r="R4537" s="22" t="str">
        <f>_xlfn._xlws.FILTER(辅助信息!D:D,辅助信息!E:E=B4537)</f>
        <v>商投建工达州中医药科技园</v>
      </c>
    </row>
    <row r="4538" hidden="1" spans="2:18">
      <c r="B4538" s="129" t="s">
        <v>47</v>
      </c>
      <c r="C4538" s="63">
        <v>45945</v>
      </c>
      <c r="D4538" s="113" t="str">
        <f>VLOOKUP(B4538,辅助信息!E:K,7,FALSE)</f>
        <v>JWDDCD2025052800131</v>
      </c>
      <c r="E4538" s="113" t="str">
        <f>VLOOKUP(F4538,辅助信息!A:B,2,FALSE)</f>
        <v>螺纹钢</v>
      </c>
      <c r="F4538" s="113" t="s">
        <v>18</v>
      </c>
      <c r="G4538" s="114">
        <v>9</v>
      </c>
      <c r="H4538" s="127">
        <f>IF(SUMIFS('[1]2025年已发货'!$E:$E,'[1]2025年已发货'!$F:$F,C4538,'[1]2025年已发货'!$C:$C,F4538,'[1]2025年已发货'!$G:$G,I4538,'[1]2025年已发货'!$H:$H,J4538)=0,"未发货",SUMIFS('[1]2025年已发货'!$E:$E,'[1]2025年已发货'!$F:$F,C4538,'[1]2025年已发货'!$C:$C,F4538,'[1]2025年已发货'!$G:$G,I4538,'[1]2025年已发货'!$H:$H,J4538))</f>
        <v>7.5</v>
      </c>
      <c r="I4538" s="113" t="str">
        <f>VLOOKUP(B4538,辅助信息!E:I,3,FALSE)</f>
        <v>（商投建工达州中医药科技园-1工区）达州市通川区达州中医药职业学院犀牛大道北段</v>
      </c>
      <c r="J4538" s="113" t="str">
        <f>VLOOKUP(B4538,辅助信息!E:I,4,FALSE)</f>
        <v>程黄刚</v>
      </c>
      <c r="K4538" s="113">
        <f>VLOOKUP(J4538,辅助信息!H:I,2,FALSE)</f>
        <v>15108211617</v>
      </c>
      <c r="L4538" s="115" t="str">
        <f>VLOOKUP(B4538,辅助信息!E:J,6,FALSE)</f>
        <v>控制炉批号！多了现场不收！,优先安排达钢,提前联系到场规格及数量</v>
      </c>
      <c r="O4538" s="55" t="str">
        <f ca="1" t="shared" si="224"/>
        <v/>
      </c>
      <c r="P4538" s="55" t="str">
        <f ca="1" t="shared" si="225"/>
        <v/>
      </c>
      <c r="Q4538" s="22" t="str">
        <f>VLOOKUP(B4538,辅助信息!E:M,9,FALSE)</f>
        <v>ZTWM-CDGS-XS-2024-0134-商投建工达州中医药科技成果示范园项目</v>
      </c>
      <c r="R4538" s="22" t="str">
        <f>_xlfn._xlws.FILTER(辅助信息!D:D,辅助信息!E:E=B4538)</f>
        <v>商投建工达州中医药科技园</v>
      </c>
    </row>
    <row r="4539" hidden="1" spans="2:18">
      <c r="B4539" s="129" t="s">
        <v>47</v>
      </c>
      <c r="C4539" s="63">
        <v>45945</v>
      </c>
      <c r="D4539" s="113" t="str">
        <f>VLOOKUP(B4539,辅助信息!E:K,7,FALSE)</f>
        <v>JWDDCD2025052800131</v>
      </c>
      <c r="E4539" s="113" t="str">
        <f>VLOOKUP(F4539,辅助信息!A:B,2,FALSE)</f>
        <v>盘螺</v>
      </c>
      <c r="F4539" s="113" t="s">
        <v>40</v>
      </c>
      <c r="G4539" s="114">
        <v>15</v>
      </c>
      <c r="H4539" s="127">
        <f>IF(SUMIFS('[1]2025年已发货'!$E:$E,'[1]2025年已发货'!$F:$F,C4539,'[1]2025年已发货'!$C:$C,F4539,'[1]2025年已发货'!$G:$G,I4539,'[1]2025年已发货'!$H:$H,J4539)=0,"未发货",SUMIFS('[1]2025年已发货'!$E:$E,'[1]2025年已发货'!$F:$F,C4539,'[1]2025年已发货'!$C:$C,F4539,'[1]2025年已发货'!$G:$G,I4539,'[1]2025年已发货'!$H:$H,J4539))</f>
        <v>5</v>
      </c>
      <c r="I4539" s="113" t="str">
        <f>VLOOKUP(B4539,辅助信息!E:I,3,FALSE)</f>
        <v>（商投建工达州中医药科技园-1工区）达州市通川区达州中医药职业学院犀牛大道北段</v>
      </c>
      <c r="J4539" s="113" t="str">
        <f>VLOOKUP(B4539,辅助信息!E:I,4,FALSE)</f>
        <v>程黄刚</v>
      </c>
      <c r="K4539" s="113">
        <f>VLOOKUP(J4539,辅助信息!H:I,2,FALSE)</f>
        <v>15108211617</v>
      </c>
      <c r="L4539" s="115" t="str">
        <f>VLOOKUP(B4539,辅助信息!E:J,6,FALSE)</f>
        <v>控制炉批号！多了现场不收！,优先安排达钢,提前联系到场规格及数量</v>
      </c>
      <c r="O4539" s="55" t="str">
        <f ca="1" t="shared" si="224"/>
        <v/>
      </c>
      <c r="P4539" s="55" t="str">
        <f ca="1" t="shared" si="225"/>
        <v/>
      </c>
      <c r="Q4539" s="22" t="str">
        <f>VLOOKUP(B4539,辅助信息!E:M,9,FALSE)</f>
        <v>ZTWM-CDGS-XS-2024-0134-商投建工达州中医药科技成果示范园项目</v>
      </c>
      <c r="R4539" s="22" t="str">
        <f>_xlfn._xlws.FILTER(辅助信息!D:D,辅助信息!E:E=B4539)</f>
        <v>商投建工达州中医药科技园</v>
      </c>
    </row>
    <row r="4540" hidden="1" spans="2:18">
      <c r="B4540" s="129" t="s">
        <v>232</v>
      </c>
      <c r="C4540" s="63">
        <v>45945</v>
      </c>
      <c r="D4540" s="113" t="str">
        <f>VLOOKUP(B4540,辅助信息!E:K,7,FALSE)</f>
        <v>JWDDCD2025052800131</v>
      </c>
      <c r="E4540" s="113" t="str">
        <f>VLOOKUP(F4540,辅助信息!A:B,2,FALSE)</f>
        <v>螺纹钢</v>
      </c>
      <c r="F4540" s="113" t="s">
        <v>19</v>
      </c>
      <c r="G4540" s="114">
        <v>150</v>
      </c>
      <c r="H4540" s="127">
        <f>IF(SUMIFS('[1]2025年已发货'!$E:$E,'[1]2025年已发货'!$F:$F,C4540,'[1]2025年已发货'!$C:$C,F4540,'[1]2025年已发货'!$G:$G,I4540,'[1]2025年已发货'!$H:$H,J4540)=0,"未发货",SUMIFS('[1]2025年已发货'!$E:$E,'[1]2025年已发货'!$F:$F,C4540,'[1]2025年已发货'!$C:$C,F4540,'[1]2025年已发货'!$G:$G,I4540,'[1]2025年已发货'!$H:$H,J4540))</f>
        <v>150</v>
      </c>
      <c r="I4540" s="113" t="str">
        <f>VLOOKUP(B4540,辅助信息!E:I,3,FALSE)</f>
        <v>（商投建工达州中医药科技园-2工区-2号桥）达州市通川区达州中医药职业学院犀牛大道北段</v>
      </c>
      <c r="J4540" s="113" t="str">
        <f>VLOOKUP(B4540,辅助信息!E:I,4,FALSE)</f>
        <v>李波</v>
      </c>
      <c r="K4540" s="113">
        <f>VLOOKUP(J4540,辅助信息!H:I,2,FALSE)</f>
        <v>18381899787</v>
      </c>
      <c r="L4540" s="115" t="str">
        <f>VLOOKUP(B4540,辅助信息!E:J,6,FALSE)</f>
        <v>控制炉批号！多了现场不收！,优先安排达钢,提前联系到场规格及数量</v>
      </c>
      <c r="O4540" s="55" t="str">
        <f ca="1" t="shared" si="224"/>
        <v/>
      </c>
      <c r="P4540" s="55" t="str">
        <f ca="1" t="shared" si="225"/>
        <v/>
      </c>
      <c r="Q4540" s="22" t="str">
        <f>VLOOKUP(B4540,辅助信息!E:M,9,FALSE)</f>
        <v>ZTWM-CDGS-XS-2024-0134-商投建工达州中医药科技成果示范园项目</v>
      </c>
      <c r="R4540" s="22" t="str">
        <f>_xlfn._xlws.FILTER(辅助信息!D:D,辅助信息!E:E=B4540)</f>
        <v>商投建工达州中医药科技园</v>
      </c>
    </row>
    <row r="4541" hidden="1" spans="2:18">
      <c r="B4541" s="129" t="s">
        <v>232</v>
      </c>
      <c r="C4541" s="63">
        <v>45945</v>
      </c>
      <c r="D4541" s="113" t="str">
        <f>VLOOKUP(B4541,辅助信息!E:K,7,FALSE)</f>
        <v>JWDDCD2025052800131</v>
      </c>
      <c r="E4541" s="113" t="str">
        <f>VLOOKUP(F4541,辅助信息!A:B,2,FALSE)</f>
        <v>螺纹钢</v>
      </c>
      <c r="F4541" s="113" t="s">
        <v>21</v>
      </c>
      <c r="G4541" s="114">
        <v>20</v>
      </c>
      <c r="H4541" s="127"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13" t="str">
        <f>VLOOKUP(B4541,辅助信息!E:I,3,FALSE)</f>
        <v>（商投建工达州中医药科技园-2工区-2号桥）达州市通川区达州中医药职业学院犀牛大道北段</v>
      </c>
      <c r="J4541" s="113" t="str">
        <f>VLOOKUP(B4541,辅助信息!E:I,4,FALSE)</f>
        <v>李波</v>
      </c>
      <c r="K4541" s="113">
        <f>VLOOKUP(J4541,辅助信息!H:I,2,FALSE)</f>
        <v>18381899787</v>
      </c>
      <c r="L4541" s="115" t="str">
        <f>VLOOKUP(B4541,辅助信息!E:J,6,FALSE)</f>
        <v>控制炉批号！多了现场不收！,优先安排达钢,提前联系到场规格及数量</v>
      </c>
      <c r="O4541" s="55" t="str">
        <f ca="1" t="shared" si="224"/>
        <v/>
      </c>
      <c r="P4541" s="55" t="str">
        <f ca="1" t="shared" si="225"/>
        <v/>
      </c>
      <c r="Q4541" s="22" t="str">
        <f>VLOOKUP(B4541,辅助信息!E:M,9,FALSE)</f>
        <v>ZTWM-CDGS-XS-2024-0134-商投建工达州中医药科技成果示范园项目</v>
      </c>
      <c r="R4541" s="22" t="str">
        <f>_xlfn._xlws.FILTER(辅助信息!D:D,辅助信息!E:E=B4541)</f>
        <v>商投建工达州中医药科技园</v>
      </c>
    </row>
    <row r="4542" hidden="1" spans="2:18">
      <c r="B4542" s="129" t="s">
        <v>232</v>
      </c>
      <c r="C4542" s="63">
        <v>45945</v>
      </c>
      <c r="D4542" s="113" t="str">
        <f>VLOOKUP(B4542,辅助信息!E:K,7,FALSE)</f>
        <v>JWDDCD2025052800131</v>
      </c>
      <c r="E4542" s="113" t="str">
        <f>VLOOKUP(F4542,辅助信息!A:B,2,FALSE)</f>
        <v>螺纹钢</v>
      </c>
      <c r="F4542" s="113" t="s">
        <v>58</v>
      </c>
      <c r="G4542" s="114">
        <v>20</v>
      </c>
      <c r="H4542" s="127"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13" t="str">
        <f>VLOOKUP(B4542,辅助信息!E:I,3,FALSE)</f>
        <v>（商投建工达州中医药科技园-2工区-2号桥）达州市通川区达州中医药职业学院犀牛大道北段</v>
      </c>
      <c r="J4542" s="113" t="str">
        <f>VLOOKUP(B4542,辅助信息!E:I,4,FALSE)</f>
        <v>李波</v>
      </c>
      <c r="K4542" s="113">
        <f>VLOOKUP(J4542,辅助信息!H:I,2,FALSE)</f>
        <v>18381899787</v>
      </c>
      <c r="L4542" s="115" t="str">
        <f>VLOOKUP(B4542,辅助信息!E:J,6,FALSE)</f>
        <v>控制炉批号！多了现场不收！,优先安排达钢,提前联系到场规格及数量</v>
      </c>
      <c r="O4542" s="55" t="str">
        <f ca="1" t="shared" si="224"/>
        <v/>
      </c>
      <c r="P4542" s="55" t="str">
        <f ca="1" t="shared" si="225"/>
        <v/>
      </c>
      <c r="Q4542" s="22" t="str">
        <f>VLOOKUP(B4542,辅助信息!E:M,9,FALSE)</f>
        <v>ZTWM-CDGS-XS-2024-0134-商投建工达州中医药科技成果示范园项目</v>
      </c>
      <c r="R4542" s="22" t="str">
        <f>_xlfn._xlws.FILTER(辅助信息!D:D,辅助信息!E:E=B4542)</f>
        <v>商投建工达州中医药科技园</v>
      </c>
    </row>
    <row r="4543" hidden="1" spans="2:18">
      <c r="B4543" s="129" t="s">
        <v>68</v>
      </c>
      <c r="C4543" s="63">
        <v>45945</v>
      </c>
      <c r="D4543" s="113" t="str">
        <f>VLOOKUP(B4543,辅助信息!E:K,7,FALSE)</f>
        <v>JWDDCD2025052800131</v>
      </c>
      <c r="E4543" s="113" t="str">
        <f>VLOOKUP(F4543,辅助信息!A:B,2,FALSE)</f>
        <v>螺纹钢</v>
      </c>
      <c r="F4543" s="113" t="s">
        <v>30</v>
      </c>
      <c r="G4543" s="114">
        <v>20</v>
      </c>
      <c r="H4543" s="127"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13" t="str">
        <f>VLOOKUP(B4543,辅助信息!E:I,3,FALSE)</f>
        <v>（商投建工达州中医药科技园-2工区-景观桥）达州市通川区达州中医药职业学院犀牛大道北段</v>
      </c>
      <c r="J4543" s="113" t="str">
        <f>VLOOKUP(B4543,辅助信息!E:I,4,FALSE)</f>
        <v>李波</v>
      </c>
      <c r="K4543" s="113">
        <f>VLOOKUP(J4543,辅助信息!H:I,2,FALSE)</f>
        <v>18381899787</v>
      </c>
      <c r="L4543" s="115" t="str">
        <f>VLOOKUP(B4543,辅助信息!E:J,6,FALSE)</f>
        <v>控制炉批号！多了现场不收！,优先安排达钢,提前联系到场规格及数量</v>
      </c>
      <c r="O4543" s="55" t="str">
        <f ca="1" t="shared" si="224"/>
        <v/>
      </c>
      <c r="P4543" s="55" t="str">
        <f ca="1" t="shared" si="225"/>
        <v/>
      </c>
      <c r="Q4543" s="22" t="str">
        <f>VLOOKUP(B4543,辅助信息!E:M,9,FALSE)</f>
        <v>ZTWM-CDGS-XS-2024-0134-商投建工达州中医药科技成果示范园项目</v>
      </c>
      <c r="R4543" s="22" t="str">
        <f>_xlfn._xlws.FILTER(辅助信息!D:D,辅助信息!E:E=B4543)</f>
        <v>商投建工达州中医药科技园</v>
      </c>
    </row>
    <row r="4544" hidden="1" spans="2:18">
      <c r="B4544" s="129" t="s">
        <v>68</v>
      </c>
      <c r="C4544" s="63">
        <v>45945</v>
      </c>
      <c r="D4544" s="113" t="str">
        <f>VLOOKUP(B4544,辅助信息!E:K,7,FALSE)</f>
        <v>JWDDCD2025052800131</v>
      </c>
      <c r="E4544" s="113" t="str">
        <f>VLOOKUP(F4544,辅助信息!A:B,2,FALSE)</f>
        <v>螺纹钢</v>
      </c>
      <c r="F4544" s="113" t="s">
        <v>33</v>
      </c>
      <c r="G4544" s="114">
        <v>21</v>
      </c>
      <c r="H4544" s="127"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13" t="str">
        <f>VLOOKUP(B4544,辅助信息!E:I,3,FALSE)</f>
        <v>（商投建工达州中医药科技园-2工区-景观桥）达州市通川区达州中医药职业学院犀牛大道北段</v>
      </c>
      <c r="J4544" s="113" t="str">
        <f>VLOOKUP(B4544,辅助信息!E:I,4,FALSE)</f>
        <v>李波</v>
      </c>
      <c r="K4544" s="113">
        <f>VLOOKUP(J4544,辅助信息!H:I,2,FALSE)</f>
        <v>18381899787</v>
      </c>
      <c r="L4544" s="115" t="str">
        <f>VLOOKUP(B4544,辅助信息!E:J,6,FALSE)</f>
        <v>控制炉批号！多了现场不收！,优先安排达钢,提前联系到场规格及数量</v>
      </c>
      <c r="O4544" s="55" t="str">
        <f ca="1" t="shared" si="224"/>
        <v/>
      </c>
      <c r="P4544" s="55" t="str">
        <f ca="1" t="shared" si="225"/>
        <v/>
      </c>
      <c r="Q4544" s="22" t="str">
        <f>VLOOKUP(B4544,辅助信息!E:M,9,FALSE)</f>
        <v>ZTWM-CDGS-XS-2024-0134-商投建工达州中医药科技成果示范园项目</v>
      </c>
      <c r="R4544" s="22" t="str">
        <f>_xlfn._xlws.FILTER(辅助信息!D:D,辅助信息!E:E=B4544)</f>
        <v>商投建工达州中医药科技园</v>
      </c>
    </row>
    <row r="4545" hidden="1" spans="2:18">
      <c r="B4545" s="129" t="s">
        <v>68</v>
      </c>
      <c r="C4545" s="63">
        <v>45945</v>
      </c>
      <c r="D4545" s="113" t="str">
        <f>VLOOKUP(B4545,辅助信息!E:K,7,FALSE)</f>
        <v>JWDDCD2025052800131</v>
      </c>
      <c r="E4545" s="113" t="str">
        <f>VLOOKUP(F4545,辅助信息!A:B,2,FALSE)</f>
        <v>螺纹钢</v>
      </c>
      <c r="F4545" s="113" t="s">
        <v>18</v>
      </c>
      <c r="G4545" s="114">
        <v>10</v>
      </c>
      <c r="H4545" s="127"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13" t="str">
        <f>VLOOKUP(B4545,辅助信息!E:I,3,FALSE)</f>
        <v>（商投建工达州中医药科技园-2工区-景观桥）达州市通川区达州中医药职业学院犀牛大道北段</v>
      </c>
      <c r="J4545" s="113" t="str">
        <f>VLOOKUP(B4545,辅助信息!E:I,4,FALSE)</f>
        <v>李波</v>
      </c>
      <c r="K4545" s="113">
        <f>VLOOKUP(J4545,辅助信息!H:I,2,FALSE)</f>
        <v>18381899787</v>
      </c>
      <c r="L4545" s="115" t="str">
        <f>VLOOKUP(B4545,辅助信息!E:J,6,FALSE)</f>
        <v>控制炉批号！多了现场不收！,优先安排达钢,提前联系到场规格及数量</v>
      </c>
      <c r="O4545" s="55" t="str">
        <f ca="1" t="shared" si="224"/>
        <v/>
      </c>
      <c r="P4545" s="55" t="str">
        <f ca="1" t="shared" si="225"/>
        <v/>
      </c>
      <c r="Q4545" s="22" t="str">
        <f>VLOOKUP(B4545,辅助信息!E:M,9,FALSE)</f>
        <v>ZTWM-CDGS-XS-2024-0134-商投建工达州中医药科技成果示范园项目</v>
      </c>
      <c r="R4545" s="22" t="str">
        <f>_xlfn._xlws.FILTER(辅助信息!D:D,辅助信息!E:E=B4545)</f>
        <v>商投建工达州中医药科技园</v>
      </c>
    </row>
    <row r="4546" hidden="1" spans="2:18">
      <c r="B4546" s="129" t="s">
        <v>112</v>
      </c>
      <c r="C4546" s="63">
        <v>45945</v>
      </c>
      <c r="D4546" s="113" t="str">
        <f>VLOOKUP(B4546,辅助信息!E:K,7,FALSE)</f>
        <v>JWDDCD2025052800131</v>
      </c>
      <c r="E4546" s="113" t="str">
        <f>VLOOKUP(F4546,辅助信息!A:B,2,FALSE)</f>
        <v>螺纹钢</v>
      </c>
      <c r="F4546" s="113" t="s">
        <v>32</v>
      </c>
      <c r="G4546" s="114">
        <v>3</v>
      </c>
      <c r="H4546" s="127">
        <f>IF(SUMIFS('[1]2025年已发货'!$E:$E,'[1]2025年已发货'!$F:$F,C4546,'[1]2025年已发货'!$C:$C,F4546,'[1]2025年已发货'!$G:$G,I4546,'[1]2025年已发货'!$H:$H,J4546)=0,"未发货",SUMIFS('[1]2025年已发货'!$E:$E,'[1]2025年已发货'!$F:$F,C4546,'[1]2025年已发货'!$C:$C,F4546,'[1]2025年已发货'!$G:$G,I4546,'[1]2025年已发货'!$H:$H,J4546))</f>
        <v>3</v>
      </c>
      <c r="I4546" s="113" t="str">
        <f>VLOOKUP(B4546,辅助信息!E:I,3,FALSE)</f>
        <v>（商投建工达州中医药科技园-4工区-10号楼）达州市通川区达州中医药职业学院犀牛大道北段</v>
      </c>
      <c r="J4546" s="113" t="str">
        <f>VLOOKUP(B4546,辅助信息!E:I,4,FALSE)</f>
        <v>张扬</v>
      </c>
      <c r="K4546" s="113">
        <f>VLOOKUP(J4546,辅助信息!H:I,2,FALSE)</f>
        <v>18381904567</v>
      </c>
      <c r="L4546" s="115" t="str">
        <f>VLOOKUP(B4546,辅助信息!E:J,6,FALSE)</f>
        <v>控制炉批号！多了现场不收！,优先安排达钢,提前联系到场规格及数量</v>
      </c>
      <c r="O4546" s="55" t="str">
        <f ca="1" t="shared" si="224"/>
        <v/>
      </c>
      <c r="P4546" s="55" t="str">
        <f ca="1" t="shared" si="225"/>
        <v/>
      </c>
      <c r="Q4546" s="22" t="str">
        <f>VLOOKUP(B4546,辅助信息!E:M,9,FALSE)</f>
        <v>ZTWM-CDGS-XS-2024-0134-商投建工达州中医药科技成果示范园项目</v>
      </c>
      <c r="R4546" s="22" t="str">
        <f>_xlfn._xlws.FILTER(辅助信息!D:D,辅助信息!E:E=B4546)</f>
        <v>商投建工达州中医药科技园</v>
      </c>
    </row>
    <row r="4547" hidden="1" spans="2:18">
      <c r="B4547" s="129" t="s">
        <v>112</v>
      </c>
      <c r="C4547" s="63">
        <v>45945</v>
      </c>
      <c r="D4547" s="113" t="str">
        <f>VLOOKUP(B4547,辅助信息!E:K,7,FALSE)</f>
        <v>JWDDCD2025052800131</v>
      </c>
      <c r="E4547" s="113" t="str">
        <f>VLOOKUP(F4547,辅助信息!A:B,2,FALSE)</f>
        <v>螺纹钢</v>
      </c>
      <c r="F4547" s="113" t="s">
        <v>21</v>
      </c>
      <c r="G4547" s="114">
        <v>12</v>
      </c>
      <c r="H4547" s="127">
        <f>IF(SUMIFS('[1]2025年已发货'!$E:$E,'[1]2025年已发货'!$F:$F,C4547,'[1]2025年已发货'!$C:$C,F4547,'[1]2025年已发货'!$G:$G,I4547,'[1]2025年已发货'!$H:$H,J4547)=0,"未发货",SUMIFS('[1]2025年已发货'!$E:$E,'[1]2025年已发货'!$F:$F,C4547,'[1]2025年已发货'!$C:$C,F4547,'[1]2025年已发货'!$G:$G,I4547,'[1]2025年已发货'!$H:$H,J4547))</f>
        <v>10</v>
      </c>
      <c r="I4547" s="113" t="str">
        <f>VLOOKUP(B4547,辅助信息!E:I,3,FALSE)</f>
        <v>（商投建工达州中医药科技园-4工区-10号楼）达州市通川区达州中医药职业学院犀牛大道北段</v>
      </c>
      <c r="J4547" s="113" t="str">
        <f>VLOOKUP(B4547,辅助信息!E:I,4,FALSE)</f>
        <v>张扬</v>
      </c>
      <c r="K4547" s="113">
        <f>VLOOKUP(J4547,辅助信息!H:I,2,FALSE)</f>
        <v>18381904567</v>
      </c>
      <c r="L4547" s="115" t="str">
        <f>VLOOKUP(B4547,辅助信息!E:J,6,FALSE)</f>
        <v>控制炉批号！多了现场不收！,优先安排达钢,提前联系到场规格及数量</v>
      </c>
      <c r="O4547" s="55" t="str">
        <f ca="1" t="shared" si="224"/>
        <v/>
      </c>
      <c r="P4547" s="55" t="str">
        <f ca="1" t="shared" si="225"/>
        <v/>
      </c>
      <c r="Q4547" s="22" t="str">
        <f>VLOOKUP(B4547,辅助信息!E:M,9,FALSE)</f>
        <v>ZTWM-CDGS-XS-2024-0134-商投建工达州中医药科技成果示范园项目</v>
      </c>
      <c r="R4547" s="22" t="str">
        <f>_xlfn._xlws.FILTER(辅助信息!D:D,辅助信息!E:E=B4547)</f>
        <v>商投建工达州中医药科技园</v>
      </c>
    </row>
    <row r="4548" hidden="1" spans="2:18">
      <c r="B4548" s="129" t="s">
        <v>112</v>
      </c>
      <c r="C4548" s="63">
        <v>45945</v>
      </c>
      <c r="D4548" s="113" t="str">
        <f>VLOOKUP(B4548,辅助信息!E:K,7,FALSE)</f>
        <v>JWDDCD2025052800131</v>
      </c>
      <c r="E4548" s="113" t="str">
        <f>VLOOKUP(F4548,辅助信息!A:B,2,FALSE)</f>
        <v>螺纹钢</v>
      </c>
      <c r="F4548" s="113" t="s">
        <v>58</v>
      </c>
      <c r="G4548" s="114">
        <v>12</v>
      </c>
      <c r="H4548" s="127">
        <f>IF(SUMIFS('[1]2025年已发货'!$E:$E,'[1]2025年已发货'!$F:$F,C4548,'[1]2025年已发货'!$C:$C,F4548,'[1]2025年已发货'!$G:$G,I4548,'[1]2025年已发货'!$H:$H,J4548)=0,"未发货",SUMIFS('[1]2025年已发货'!$E:$E,'[1]2025年已发货'!$F:$F,C4548,'[1]2025年已发货'!$C:$C,F4548,'[1]2025年已发货'!$G:$G,I4548,'[1]2025年已发货'!$H:$H,J4548))</f>
        <v>10</v>
      </c>
      <c r="I4548" s="113" t="str">
        <f>VLOOKUP(B4548,辅助信息!E:I,3,FALSE)</f>
        <v>（商投建工达州中医药科技园-4工区-10号楼）达州市通川区达州中医药职业学院犀牛大道北段</v>
      </c>
      <c r="J4548" s="113" t="str">
        <f>VLOOKUP(B4548,辅助信息!E:I,4,FALSE)</f>
        <v>张扬</v>
      </c>
      <c r="K4548" s="113">
        <f>VLOOKUP(J4548,辅助信息!H:I,2,FALSE)</f>
        <v>18381904567</v>
      </c>
      <c r="L4548" s="115" t="str">
        <f>VLOOKUP(B4548,辅助信息!E:J,6,FALSE)</f>
        <v>控制炉批号！多了现场不收！,优先安排达钢,提前联系到场规格及数量</v>
      </c>
      <c r="O4548" s="55" t="str">
        <f ca="1" t="shared" si="224"/>
        <v/>
      </c>
      <c r="P4548" s="55" t="str">
        <f ca="1" t="shared" si="225"/>
        <v/>
      </c>
      <c r="Q4548" s="22" t="str">
        <f>VLOOKUP(B4548,辅助信息!E:M,9,FALSE)</f>
        <v>ZTWM-CDGS-XS-2024-0134-商投建工达州中医药科技成果示范园项目</v>
      </c>
      <c r="R4548" s="22" t="str">
        <f>_xlfn._xlws.FILTER(辅助信息!D:D,辅助信息!E:E=B4548)</f>
        <v>商投建工达州中医药科技园</v>
      </c>
    </row>
    <row r="4549" hidden="1" spans="2:18">
      <c r="B4549" s="129" t="s">
        <v>112</v>
      </c>
      <c r="C4549" s="63">
        <v>45945</v>
      </c>
      <c r="D4549" s="113" t="str">
        <f>VLOOKUP(B4549,辅助信息!E:K,7,FALSE)</f>
        <v>JWDDCD2025052800131</v>
      </c>
      <c r="E4549" s="113" t="str">
        <f>VLOOKUP(F4549,辅助信息!A:B,2,FALSE)</f>
        <v>盘螺</v>
      </c>
      <c r="F4549" s="113" t="s">
        <v>49</v>
      </c>
      <c r="G4549" s="114">
        <v>12</v>
      </c>
      <c r="H4549" s="127">
        <f>IF(SUMIFS('[1]2025年已发货'!$E:$E,'[1]2025年已发货'!$F:$F,C4549,'[1]2025年已发货'!$C:$C,F4549,'[1]2025年已发货'!$G:$G,I4549,'[1]2025年已发货'!$H:$H,J4549)=0,"未发货",SUMIFS('[1]2025年已发货'!$E:$E,'[1]2025年已发货'!$F:$F,C4549,'[1]2025年已发货'!$C:$C,F4549,'[1]2025年已发货'!$G:$G,I4549,'[1]2025年已发货'!$H:$H,J4549))</f>
        <v>12</v>
      </c>
      <c r="I4549" s="113" t="str">
        <f>VLOOKUP(B4549,辅助信息!E:I,3,FALSE)</f>
        <v>（商投建工达州中医药科技园-4工区-10号楼）达州市通川区达州中医药职业学院犀牛大道北段</v>
      </c>
      <c r="J4549" s="113" t="str">
        <f>VLOOKUP(B4549,辅助信息!E:I,4,FALSE)</f>
        <v>张扬</v>
      </c>
      <c r="K4549" s="113">
        <f>VLOOKUP(J4549,辅助信息!H:I,2,FALSE)</f>
        <v>18381904567</v>
      </c>
      <c r="L4549" s="115" t="str">
        <f>VLOOKUP(B4549,辅助信息!E:J,6,FALSE)</f>
        <v>控制炉批号！多了现场不收！,优先安排达钢,提前联系到场规格及数量</v>
      </c>
      <c r="O4549" s="55" t="str">
        <f ca="1" t="shared" si="224"/>
        <v/>
      </c>
      <c r="P4549" s="55" t="str">
        <f ca="1" t="shared" si="225"/>
        <v/>
      </c>
      <c r="Q4549" s="22" t="str">
        <f>VLOOKUP(B4549,辅助信息!E:M,9,FALSE)</f>
        <v>ZTWM-CDGS-XS-2024-0134-商投建工达州中医药科技成果示范园项目</v>
      </c>
      <c r="R4549" s="22" t="str">
        <f>_xlfn._xlws.FILTER(辅助信息!D:D,辅助信息!E:E=B4549)</f>
        <v>商投建工达州中医药科技园</v>
      </c>
    </row>
    <row r="4550" hidden="1" spans="2:18">
      <c r="B4550" s="129" t="s">
        <v>194</v>
      </c>
      <c r="C4550" s="63">
        <v>45945</v>
      </c>
      <c r="D4550" s="113" t="str">
        <f>VLOOKUP(B4550,辅助信息!E:K,7,FALSE)</f>
        <v>JWDD2025071500089</v>
      </c>
      <c r="E4550" s="113" t="str">
        <f>VLOOKUP(F4550,辅助信息!A:B,2,FALSE)</f>
        <v>螺纹钢</v>
      </c>
      <c r="F4550" s="113" t="s">
        <v>28</v>
      </c>
      <c r="G4550" s="114">
        <v>10</v>
      </c>
      <c r="H4550" s="127">
        <f>IF(SUMIFS('[1]2025年已发货'!$E:$E,'[1]2025年已发货'!$F:$F,C4550,'[1]2025年已发货'!$C:$C,F4550,'[1]2025年已发货'!$G:$G,I4550,'[1]2025年已发货'!$H:$H,J4550)=0,"未发货",SUMIFS('[1]2025年已发货'!$E:$E,'[1]2025年已发货'!$F:$F,C4550,'[1]2025年已发货'!$C:$C,F4550,'[1]2025年已发货'!$G:$G,I4550,'[1]2025年已发货'!$H:$H,J4550))</f>
        <v>10</v>
      </c>
      <c r="I4550" s="113" t="str">
        <f>VLOOKUP(B4550,辅助信息!E:I,3,FALSE)</f>
        <v>(宜宾兴港三江新区长江工业园保障性租赁住房建设项目-土建)四川省宜宾市翠屏区永善路南段宜宾市三江新区长江工业园区</v>
      </c>
      <c r="J4550" s="113" t="str">
        <f>VLOOKUP(B4550,辅助信息!E:I,4,FALSE)</f>
        <v>赵元虎</v>
      </c>
      <c r="K4550" s="113">
        <f>VLOOKUP(J4550,辅助信息!H:I,2,FALSE)</f>
        <v>13684167136</v>
      </c>
      <c r="L4550" s="115" t="str">
        <f>VLOOKUP(B4550,辅助信息!E:J,6,FALSE)</f>
        <v>现场要求调度统一联系指定收货人，不单独发司机位置。锈货不收，装货前联系收货人核实到场规格,没提前告知进场规格现场不给予接收</v>
      </c>
      <c r="O4550" s="55" t="str">
        <f ca="1" t="shared" si="224"/>
        <v/>
      </c>
      <c r="P4550" s="55" t="str">
        <f ca="1" t="shared" si="225"/>
        <v/>
      </c>
      <c r="Q4550" s="22" t="str">
        <f>VLOOKUP(B4550,辅助信息!E:M,9,FALSE)</f>
        <v>ZTWM-CDYXGS-XS-2025-0014-宜宾兴港建材-三江新区长江工业园片区保障性租赁住房建设项目</v>
      </c>
      <c r="R4550" s="22" t="str">
        <f>_xlfn._xlws.FILTER(辅助信息!D:D,辅助信息!E:E=B4550)</f>
        <v>宜宾兴港三江新区长江工业园建设项目</v>
      </c>
    </row>
    <row r="4551" hidden="1" spans="2:18">
      <c r="B4551" s="129" t="s">
        <v>194</v>
      </c>
      <c r="C4551" s="63">
        <v>45945</v>
      </c>
      <c r="D4551" s="113" t="str">
        <f>VLOOKUP(B4551,辅助信息!E:K,7,FALSE)</f>
        <v>JWDD2025071500089</v>
      </c>
      <c r="E4551" s="113" t="str">
        <f>VLOOKUP(F4551,辅助信息!A:B,2,FALSE)</f>
        <v>盘螺</v>
      </c>
      <c r="F4551" s="113" t="s">
        <v>49</v>
      </c>
      <c r="G4551" s="114">
        <v>10</v>
      </c>
      <c r="H4551" s="127">
        <f>IF(SUMIFS('[1]2025年已发货'!$E:$E,'[1]2025年已发货'!$F:$F,C4551,'[1]2025年已发货'!$C:$C,F4551,'[1]2025年已发货'!$G:$G,I4551,'[1]2025年已发货'!$H:$H,J4551)=0,"未发货",SUMIFS('[1]2025年已发货'!$E:$E,'[1]2025年已发货'!$F:$F,C4551,'[1]2025年已发货'!$C:$C,F4551,'[1]2025年已发货'!$G:$G,I4551,'[1]2025年已发货'!$H:$H,J4551))</f>
        <v>10</v>
      </c>
      <c r="I4551" s="113" t="str">
        <f>VLOOKUP(B4551,辅助信息!E:I,3,FALSE)</f>
        <v>(宜宾兴港三江新区长江工业园保障性租赁住房建设项目-土建)四川省宜宾市翠屏区永善路南段宜宾市三江新区长江工业园区</v>
      </c>
      <c r="J4551" s="113" t="str">
        <f>VLOOKUP(B4551,辅助信息!E:I,4,FALSE)</f>
        <v>赵元虎</v>
      </c>
      <c r="K4551" s="113">
        <f>VLOOKUP(J4551,辅助信息!H:I,2,FALSE)</f>
        <v>13684167136</v>
      </c>
      <c r="L4551" s="115" t="str">
        <f>VLOOKUP(B4551,辅助信息!E:J,6,FALSE)</f>
        <v>现场要求调度统一联系指定收货人，不单独发司机位置。锈货不收，装货前联系收货人核实到场规格,没提前告知进场规格现场不给予接收</v>
      </c>
      <c r="O4551" s="55" t="str">
        <f ca="1" t="shared" si="224"/>
        <v/>
      </c>
      <c r="P4551" s="55" t="str">
        <f ca="1" t="shared" si="225"/>
        <v/>
      </c>
      <c r="Q4551" s="22" t="str">
        <f>VLOOKUP(B4551,辅助信息!E:M,9,FALSE)</f>
        <v>ZTWM-CDYXGS-XS-2025-0014-宜宾兴港建材-三江新区长江工业园片区保障性租赁住房建设项目</v>
      </c>
      <c r="R4551" s="22" t="str">
        <f>_xlfn._xlws.FILTER(辅助信息!D:D,辅助信息!E:E=B4551)</f>
        <v>宜宾兴港三江新区长江工业园建设项目</v>
      </c>
    </row>
    <row r="4552" hidden="1" spans="2:18">
      <c r="B4552" s="129" t="s">
        <v>194</v>
      </c>
      <c r="C4552" s="63">
        <v>45945</v>
      </c>
      <c r="D4552" s="113" t="str">
        <f>VLOOKUP(B4552,辅助信息!E:K,7,FALSE)</f>
        <v>JWDD2025071500089</v>
      </c>
      <c r="E4552" s="113" t="str">
        <f>VLOOKUP(F4552,辅助信息!A:B,2,FALSE)</f>
        <v>盘螺</v>
      </c>
      <c r="F4552" s="113" t="s">
        <v>40</v>
      </c>
      <c r="G4552" s="114">
        <v>70</v>
      </c>
      <c r="H4552" s="127">
        <f>IF(SUMIFS('[1]2025年已发货'!$E:$E,'[1]2025年已发货'!$F:$F,C4552,'[1]2025年已发货'!$C:$C,F4552,'[1]2025年已发货'!$G:$G,I4552,'[1]2025年已发货'!$H:$H,J4552)=0,"未发货",SUMIFS('[1]2025年已发货'!$E:$E,'[1]2025年已发货'!$F:$F,C4552,'[1]2025年已发货'!$C:$C,F4552,'[1]2025年已发货'!$G:$G,I4552,'[1]2025年已发货'!$H:$H,J4552))</f>
        <v>70</v>
      </c>
      <c r="I4552" s="113" t="str">
        <f>VLOOKUP(B4552,辅助信息!E:I,3,FALSE)</f>
        <v>(宜宾兴港三江新区长江工业园保障性租赁住房建设项目-土建)四川省宜宾市翠屏区永善路南段宜宾市三江新区长江工业园区</v>
      </c>
      <c r="J4552" s="113" t="str">
        <f>VLOOKUP(B4552,辅助信息!E:I,4,FALSE)</f>
        <v>赵元虎</v>
      </c>
      <c r="K4552" s="113">
        <f>VLOOKUP(J4552,辅助信息!H:I,2,FALSE)</f>
        <v>13684167136</v>
      </c>
      <c r="L4552" s="115" t="str">
        <f>VLOOKUP(B4552,辅助信息!E:J,6,FALSE)</f>
        <v>现场要求调度统一联系指定收货人，不单独发司机位置。锈货不收，装货前联系收货人核实到场规格,没提前告知进场规格现场不给予接收</v>
      </c>
      <c r="O4552" s="55" t="str">
        <f ca="1" t="shared" si="224"/>
        <v/>
      </c>
      <c r="P4552" s="55" t="str">
        <f ca="1" t="shared" si="225"/>
        <v/>
      </c>
      <c r="Q4552" s="22" t="str">
        <f>VLOOKUP(B4552,辅助信息!E:M,9,FALSE)</f>
        <v>ZTWM-CDYXGS-XS-2025-0014-宜宾兴港建材-三江新区长江工业园片区保障性租赁住房建设项目</v>
      </c>
      <c r="R4552" s="22" t="str">
        <f>_xlfn._xlws.FILTER(辅助信息!D:D,辅助信息!E:E=B4552)</f>
        <v>宜宾兴港三江新区长江工业园建设项目</v>
      </c>
    </row>
    <row r="4553" hidden="1" spans="2:18">
      <c r="B4553" s="128" t="s">
        <v>231</v>
      </c>
      <c r="C4553" s="136">
        <v>45945</v>
      </c>
      <c r="D4553" s="33" t="str">
        <f>VLOOKUP(B4553,辅助信息!E:K,7,FALSE)</f>
        <v>JWDDCD2025102100481</v>
      </c>
      <c r="E4553" s="33" t="str">
        <f>VLOOKUP(F4553,辅助信息!A:B,2,FALSE)</f>
        <v>盘螺</v>
      </c>
      <c r="F4553" s="33" t="s">
        <v>40</v>
      </c>
      <c r="G4553" s="29">
        <v>2</v>
      </c>
      <c r="H4553" s="127">
        <f>IF(SUMIFS('[1]2025年已发货'!$E:$E,'[1]2025年已发货'!$F:$F,C4553,'[1]2025年已发货'!$C:$C,F4553,'[1]2025年已发货'!$G:$G,I4553,'[1]2025年已发货'!$H:$H,J4553)=0,"未发货",SUMIFS('[1]2025年已发货'!$E:$E,'[1]2025年已发货'!$F:$F,C4553,'[1]2025年已发货'!$C:$C,F4553,'[1]2025年已发货'!$G:$G,I4553,'[1]2025年已发货'!$H:$H,J4553))</f>
        <v>2</v>
      </c>
      <c r="I4553" s="33" t="str">
        <f>VLOOKUP(B4553,辅助信息!E:I,3,FALSE)</f>
        <v>(五冶建设成都盐道街中学初中部改扩建工程-一标)四川省成都市锦江区春熙路街道盐道街4号（盐道街中学初中部）</v>
      </c>
      <c r="J4553" s="33" t="str">
        <f>VLOOKUP(B4553,辅助信息!E:I,4,FALSE)</f>
        <v>谢鑫</v>
      </c>
      <c r="K4553" s="33">
        <f>VLOOKUP(J4553,辅助信息!H:I,2,FALSE)</f>
        <v>18228465067</v>
      </c>
      <c r="L4553" s="102" t="str">
        <f>VLOOKUP(B4553,辅助信息!E:J,6,FALSE)</f>
        <v>联系实际收货人（易前刚18228465067）五冶建设送货单,6份材质书,锈货不收，装货前联系收货人核实到场规格,没提前告知进场规格现场不给予接收</v>
      </c>
      <c r="O4553" s="55" t="str">
        <f ca="1" t="shared" si="224"/>
        <v/>
      </c>
      <c r="P4553" s="55" t="str">
        <f ca="1" t="shared" si="225"/>
        <v/>
      </c>
      <c r="Q4553" s="22" t="str">
        <f>VLOOKUP(B4553,辅助信息!E:M,9,FALSE)</f>
        <v>ZTWM-CDGS-XS-2025-0073-五冶天府-成都怡心湖片区及龙泉驿医院等项目</v>
      </c>
      <c r="R4553" s="22" t="str">
        <f>_xlfn._xlws.FILTER(辅助信息!D:D,辅助信息!E:E=B4553)</f>
        <v>五冶建设成都盐道街中学初中部改扩建工程-一标</v>
      </c>
    </row>
    <row r="4554" hidden="1" spans="2:18">
      <c r="B4554" s="128" t="s">
        <v>231</v>
      </c>
      <c r="C4554" s="136">
        <v>45945</v>
      </c>
      <c r="D4554" s="33" t="str">
        <f>VLOOKUP(B4554,辅助信息!E:K,7,FALSE)</f>
        <v>JWDDCD2025102100481</v>
      </c>
      <c r="E4554" s="33" t="str">
        <f>VLOOKUP(F4554,辅助信息!A:B,2,FALSE)</f>
        <v>盘螺</v>
      </c>
      <c r="F4554" s="33" t="s">
        <v>41</v>
      </c>
      <c r="G4554" s="29">
        <v>16</v>
      </c>
      <c r="H4554" s="127">
        <f>IF(SUMIFS('[1]2025年已发货'!$E:$E,'[1]2025年已发货'!$F:$F,C4554,'[1]2025年已发货'!$C:$C,F4554,'[1]2025年已发货'!$G:$G,I4554,'[1]2025年已发货'!$H:$H,J4554)=0,"未发货",SUMIFS('[1]2025年已发货'!$E:$E,'[1]2025年已发货'!$F:$F,C4554,'[1]2025年已发货'!$C:$C,F4554,'[1]2025年已发货'!$G:$G,I4554,'[1]2025年已发货'!$H:$H,J4554))</f>
        <v>16</v>
      </c>
      <c r="I4554" s="33" t="str">
        <f>VLOOKUP(B4554,辅助信息!E:I,3,FALSE)</f>
        <v>(五冶建设成都盐道街中学初中部改扩建工程-一标)四川省成都市锦江区春熙路街道盐道街4号（盐道街中学初中部）</v>
      </c>
      <c r="J4554" s="33" t="str">
        <f>VLOOKUP(B4554,辅助信息!E:I,4,FALSE)</f>
        <v>谢鑫</v>
      </c>
      <c r="K4554" s="33">
        <f>VLOOKUP(J4554,辅助信息!H:I,2,FALSE)</f>
        <v>18228465067</v>
      </c>
      <c r="L4554" s="102" t="str">
        <f>VLOOKUP(B4554,辅助信息!E:J,6,FALSE)</f>
        <v>联系实际收货人（易前刚18228465067）五冶建设送货单,6份材质书,锈货不收，装货前联系收货人核实到场规格,没提前告知进场规格现场不给予接收</v>
      </c>
      <c r="O4554" s="55" t="str">
        <f ca="1" t="shared" si="224"/>
        <v/>
      </c>
      <c r="P4554" s="55" t="str">
        <f ca="1" t="shared" si="225"/>
        <v/>
      </c>
      <c r="Q4554" s="22" t="str">
        <f>VLOOKUP(B4554,辅助信息!E:M,9,FALSE)</f>
        <v>ZTWM-CDGS-XS-2025-0073-五冶天府-成都怡心湖片区及龙泉驿医院等项目</v>
      </c>
      <c r="R4554" s="22" t="str">
        <f>_xlfn._xlws.FILTER(辅助信息!D:D,辅助信息!E:E=B4554)</f>
        <v>五冶建设成都盐道街中学初中部改扩建工程-一标</v>
      </c>
    </row>
    <row r="4555" hidden="1" spans="2:18">
      <c r="B4555" s="128" t="s">
        <v>231</v>
      </c>
      <c r="C4555" s="136">
        <v>45945</v>
      </c>
      <c r="D4555" s="33" t="str">
        <f>VLOOKUP(B4555,辅助信息!E:K,7,FALSE)</f>
        <v>JWDDCD2025102100481</v>
      </c>
      <c r="E4555" s="33" t="str">
        <f>VLOOKUP(F4555,辅助信息!A:B,2,FALSE)</f>
        <v>盘螺</v>
      </c>
      <c r="F4555" s="33" t="s">
        <v>26</v>
      </c>
      <c r="G4555" s="29">
        <v>12</v>
      </c>
      <c r="H4555" s="127">
        <f>IF(SUMIFS('[1]2025年已发货'!$E:$E,'[1]2025年已发货'!$F:$F,C4555,'[1]2025年已发货'!$C:$C,F4555,'[1]2025年已发货'!$G:$G,I4555,'[1]2025年已发货'!$H:$H,J4555)=0,"未发货",SUMIFS('[1]2025年已发货'!$E:$E,'[1]2025年已发货'!$F:$F,C4555,'[1]2025年已发货'!$C:$C,F4555,'[1]2025年已发货'!$G:$G,I4555,'[1]2025年已发货'!$H:$H,J4555))</f>
        <v>12</v>
      </c>
      <c r="I4555" s="33" t="str">
        <f>VLOOKUP(B4555,辅助信息!E:I,3,FALSE)</f>
        <v>(五冶建设成都盐道街中学初中部改扩建工程-一标)四川省成都市锦江区春熙路街道盐道街4号（盐道街中学初中部）</v>
      </c>
      <c r="J4555" s="33" t="str">
        <f>VLOOKUP(B4555,辅助信息!E:I,4,FALSE)</f>
        <v>谢鑫</v>
      </c>
      <c r="K4555" s="33">
        <f>VLOOKUP(J4555,辅助信息!H:I,2,FALSE)</f>
        <v>18228465067</v>
      </c>
      <c r="L4555" s="102" t="str">
        <f>VLOOKUP(B4555,辅助信息!E:J,6,FALSE)</f>
        <v>联系实际收货人（易前刚18228465067）五冶建设送货单,6份材质书,锈货不收，装货前联系收货人核实到场规格,没提前告知进场规格现场不给予接收</v>
      </c>
      <c r="O4555" s="55" t="str">
        <f ca="1" t="shared" si="224"/>
        <v/>
      </c>
      <c r="P4555" s="55" t="str">
        <f ca="1" t="shared" si="225"/>
        <v/>
      </c>
      <c r="Q4555" s="22" t="str">
        <f>VLOOKUP(B4555,辅助信息!E:M,9,FALSE)</f>
        <v>ZTWM-CDGS-XS-2025-0073-五冶天府-成都怡心湖片区及龙泉驿医院等项目</v>
      </c>
      <c r="R4555" s="22" t="str">
        <f>_xlfn._xlws.FILTER(辅助信息!D:D,辅助信息!E:E=B4555)</f>
        <v>五冶建设成都盐道街中学初中部改扩建工程-一标</v>
      </c>
    </row>
    <row r="4556" hidden="1" spans="2:18">
      <c r="B4556" s="128" t="s">
        <v>231</v>
      </c>
      <c r="C4556" s="136">
        <v>45945</v>
      </c>
      <c r="D4556" s="33" t="str">
        <f>VLOOKUP(B4556,辅助信息!E:K,7,FALSE)</f>
        <v>JWDDCD2025102100481</v>
      </c>
      <c r="E4556" s="33" t="str">
        <f>VLOOKUP(F4556,辅助信息!A:B,2,FALSE)</f>
        <v>螺纹钢</v>
      </c>
      <c r="F4556" s="33" t="s">
        <v>19</v>
      </c>
      <c r="G4556" s="29">
        <v>3</v>
      </c>
      <c r="H4556" s="127">
        <f>IF(SUMIFS('[1]2025年已发货'!$E:$E,'[1]2025年已发货'!$F:$F,C4556,'[1]2025年已发货'!$C:$C,F4556,'[1]2025年已发货'!$G:$G,I4556,'[1]2025年已发货'!$H:$H,J4556)=0,"未发货",SUMIFS('[1]2025年已发货'!$E:$E,'[1]2025年已发货'!$F:$F,C4556,'[1]2025年已发货'!$C:$C,F4556,'[1]2025年已发货'!$G:$G,I4556,'[1]2025年已发货'!$H:$H,J4556))</f>
        <v>3</v>
      </c>
      <c r="I4556" s="33" t="str">
        <f>VLOOKUP(B4556,辅助信息!E:I,3,FALSE)</f>
        <v>(五冶建设成都盐道街中学初中部改扩建工程-一标)四川省成都市锦江区春熙路街道盐道街4号（盐道街中学初中部）</v>
      </c>
      <c r="J4556" s="33" t="str">
        <f>VLOOKUP(B4556,辅助信息!E:I,4,FALSE)</f>
        <v>谢鑫</v>
      </c>
      <c r="K4556" s="33">
        <f>VLOOKUP(J4556,辅助信息!H:I,2,FALSE)</f>
        <v>18228465067</v>
      </c>
      <c r="L4556" s="102" t="str">
        <f>VLOOKUP(B4556,辅助信息!E:J,6,FALSE)</f>
        <v>联系实际收货人（易前刚18228465067）五冶建设送货单,6份材质书,锈货不收，装货前联系收货人核实到场规格,没提前告知进场规格现场不给予接收</v>
      </c>
      <c r="O4556" s="55" t="str">
        <f ca="1" t="shared" si="224"/>
        <v/>
      </c>
      <c r="P4556" s="55" t="str">
        <f ca="1" t="shared" si="225"/>
        <v/>
      </c>
      <c r="Q4556" s="22" t="str">
        <f>VLOOKUP(B4556,辅助信息!E:M,9,FALSE)</f>
        <v>ZTWM-CDGS-XS-2025-0073-五冶天府-成都怡心湖片区及龙泉驿医院等项目</v>
      </c>
      <c r="R4556" s="22" t="str">
        <f>_xlfn._xlws.FILTER(辅助信息!D:D,辅助信息!E:E=B4556)</f>
        <v>五冶建设成都盐道街中学初中部改扩建工程-一标</v>
      </c>
    </row>
    <row r="4557" hidden="1" spans="2:18">
      <c r="B4557" s="128" t="s">
        <v>231</v>
      </c>
      <c r="C4557" s="136">
        <v>45945</v>
      </c>
      <c r="D4557" s="33" t="str">
        <f>VLOOKUP(B4557,辅助信息!E:K,7,FALSE)</f>
        <v>JWDDCD2025102100481</v>
      </c>
      <c r="E4557" s="33" t="str">
        <f>VLOOKUP(F4557,辅助信息!A:B,2,FALSE)</f>
        <v>螺纹钢</v>
      </c>
      <c r="F4557" s="33" t="s">
        <v>30</v>
      </c>
      <c r="G4557" s="29">
        <v>9</v>
      </c>
      <c r="H4557" s="127">
        <f>IF(SUMIFS('[1]2025年已发货'!$E:$E,'[1]2025年已发货'!$F:$F,C4557,'[1]2025年已发货'!$C:$C,F4557,'[1]2025年已发货'!$G:$G,I4557,'[1]2025年已发货'!$H:$H,J4557)=0,"未发货",SUMIFS('[1]2025年已发货'!$E:$E,'[1]2025年已发货'!$F:$F,C4557,'[1]2025年已发货'!$C:$C,F4557,'[1]2025年已发货'!$G:$G,I4557,'[1]2025年已发货'!$H:$H,J4557))</f>
        <v>9</v>
      </c>
      <c r="I4557" s="33" t="str">
        <f>VLOOKUP(B4557,辅助信息!E:I,3,FALSE)</f>
        <v>(五冶建设成都盐道街中学初中部改扩建工程-一标)四川省成都市锦江区春熙路街道盐道街4号（盐道街中学初中部）</v>
      </c>
      <c r="J4557" s="33" t="str">
        <f>VLOOKUP(B4557,辅助信息!E:I,4,FALSE)</f>
        <v>谢鑫</v>
      </c>
      <c r="K4557" s="33">
        <f>VLOOKUP(J4557,辅助信息!H:I,2,FALSE)</f>
        <v>18228465067</v>
      </c>
      <c r="L4557" s="102" t="str">
        <f>VLOOKUP(B4557,辅助信息!E:J,6,FALSE)</f>
        <v>联系实际收货人（易前刚18228465067）五冶建设送货单,6份材质书,锈货不收，装货前联系收货人核实到场规格,没提前告知进场规格现场不给予接收</v>
      </c>
      <c r="O4557" s="55" t="str">
        <f ca="1" t="shared" si="224"/>
        <v/>
      </c>
      <c r="P4557" s="55" t="str">
        <f ca="1" t="shared" si="225"/>
        <v/>
      </c>
      <c r="Q4557" s="22" t="str">
        <f>VLOOKUP(B4557,辅助信息!E:M,9,FALSE)</f>
        <v>ZTWM-CDGS-XS-2025-0073-五冶天府-成都怡心湖片区及龙泉驿医院等项目</v>
      </c>
      <c r="R4557" s="22" t="str">
        <f>_xlfn._xlws.FILTER(辅助信息!D:D,辅助信息!E:E=B4557)</f>
        <v>五冶建设成都盐道街中学初中部改扩建工程-一标</v>
      </c>
    </row>
    <row r="4558" hidden="1" spans="2:18">
      <c r="B4558" s="128" t="s">
        <v>231</v>
      </c>
      <c r="C4558" s="136">
        <v>45945</v>
      </c>
      <c r="D4558" s="33" t="str">
        <f>VLOOKUP(B4558,辅助信息!E:K,7,FALSE)</f>
        <v>JWDDCD2025102100481</v>
      </c>
      <c r="E4558" s="33" t="str">
        <f>VLOOKUP(F4558,辅助信息!A:B,2,FALSE)</f>
        <v>螺纹钢</v>
      </c>
      <c r="F4558" s="33" t="s">
        <v>33</v>
      </c>
      <c r="G4558" s="29">
        <v>6</v>
      </c>
      <c r="H4558" s="127">
        <f>IF(SUMIFS('[1]2025年已发货'!$E:$E,'[1]2025年已发货'!$F:$F,C4558,'[1]2025年已发货'!$C:$C,F4558,'[1]2025年已发货'!$G:$G,I4558,'[1]2025年已发货'!$H:$H,J4558)=0,"未发货",SUMIFS('[1]2025年已发货'!$E:$E,'[1]2025年已发货'!$F:$F,C4558,'[1]2025年已发货'!$C:$C,F4558,'[1]2025年已发货'!$G:$G,I4558,'[1]2025年已发货'!$H:$H,J4558))</f>
        <v>6</v>
      </c>
      <c r="I4558" s="33" t="str">
        <f>VLOOKUP(B4558,辅助信息!E:I,3,FALSE)</f>
        <v>(五冶建设成都盐道街中学初中部改扩建工程-一标)四川省成都市锦江区春熙路街道盐道街4号（盐道街中学初中部）</v>
      </c>
      <c r="J4558" s="33" t="str">
        <f>VLOOKUP(B4558,辅助信息!E:I,4,FALSE)</f>
        <v>谢鑫</v>
      </c>
      <c r="K4558" s="33">
        <f>VLOOKUP(J4558,辅助信息!H:I,2,FALSE)</f>
        <v>18228465067</v>
      </c>
      <c r="L4558" s="102" t="str">
        <f>VLOOKUP(B4558,辅助信息!E:J,6,FALSE)</f>
        <v>联系实际收货人（易前刚18228465067）五冶建设送货单,6份材质书,锈货不收，装货前联系收货人核实到场规格,没提前告知进场规格现场不给予接收</v>
      </c>
      <c r="O4558" s="55" t="str">
        <f ca="1" t="shared" si="224"/>
        <v/>
      </c>
      <c r="P4558" s="55" t="str">
        <f ca="1" t="shared" si="225"/>
        <v/>
      </c>
      <c r="Q4558" s="22" t="str">
        <f>VLOOKUP(B4558,辅助信息!E:M,9,FALSE)</f>
        <v>ZTWM-CDGS-XS-2025-0073-五冶天府-成都怡心湖片区及龙泉驿医院等项目</v>
      </c>
      <c r="R4558" s="22" t="str">
        <f>_xlfn._xlws.FILTER(辅助信息!D:D,辅助信息!E:E=B4558)</f>
        <v>五冶建设成都盐道街中学初中部改扩建工程-一标</v>
      </c>
    </row>
    <row r="4559" hidden="1" spans="2:18">
      <c r="B4559" s="128" t="s">
        <v>231</v>
      </c>
      <c r="C4559" s="136">
        <v>45945</v>
      </c>
      <c r="D4559" s="33" t="str">
        <f>VLOOKUP(B4559,辅助信息!E:K,7,FALSE)</f>
        <v>JWDDCD2025102100481</v>
      </c>
      <c r="E4559" s="33" t="str">
        <f>VLOOKUP(F4559,辅助信息!A:B,2,FALSE)</f>
        <v>螺纹钢</v>
      </c>
      <c r="F4559" s="33" t="s">
        <v>28</v>
      </c>
      <c r="G4559" s="29">
        <v>6</v>
      </c>
      <c r="H4559" s="127">
        <f>IF(SUMIFS('[1]2025年已发货'!$E:$E,'[1]2025年已发货'!$F:$F,C4559,'[1]2025年已发货'!$C:$C,F4559,'[1]2025年已发货'!$G:$G,I4559,'[1]2025年已发货'!$H:$H,J4559)=0,"未发货",SUMIFS('[1]2025年已发货'!$E:$E,'[1]2025年已发货'!$F:$F,C4559,'[1]2025年已发货'!$C:$C,F4559,'[1]2025年已发货'!$G:$G,I4559,'[1]2025年已发货'!$H:$H,J4559))</f>
        <v>6</v>
      </c>
      <c r="I4559" s="33" t="str">
        <f>VLOOKUP(B4559,辅助信息!E:I,3,FALSE)</f>
        <v>(五冶建设成都盐道街中学初中部改扩建工程-一标)四川省成都市锦江区春熙路街道盐道街4号（盐道街中学初中部）</v>
      </c>
      <c r="J4559" s="33" t="str">
        <f>VLOOKUP(B4559,辅助信息!E:I,4,FALSE)</f>
        <v>谢鑫</v>
      </c>
      <c r="K4559" s="33">
        <f>VLOOKUP(J4559,辅助信息!H:I,2,FALSE)</f>
        <v>18228465067</v>
      </c>
      <c r="L4559" s="102" t="str">
        <f>VLOOKUP(B4559,辅助信息!E:J,6,FALSE)</f>
        <v>联系实际收货人（易前刚18228465067）五冶建设送货单,6份材质书,锈货不收，装货前联系收货人核实到场规格,没提前告知进场规格现场不给予接收</v>
      </c>
      <c r="O4559" s="55" t="str">
        <f ca="1" t="shared" si="224"/>
        <v/>
      </c>
      <c r="P4559" s="55" t="str">
        <f ca="1" t="shared" si="225"/>
        <v/>
      </c>
      <c r="Q4559" s="22" t="str">
        <f>VLOOKUP(B4559,辅助信息!E:M,9,FALSE)</f>
        <v>ZTWM-CDGS-XS-2025-0073-五冶天府-成都怡心湖片区及龙泉驿医院等项目</v>
      </c>
      <c r="R4559" s="22" t="str">
        <f>_xlfn._xlws.FILTER(辅助信息!D:D,辅助信息!E:E=B4559)</f>
        <v>五冶建设成都盐道街中学初中部改扩建工程-一标</v>
      </c>
    </row>
    <row r="4560" hidden="1" spans="2:18">
      <c r="B4560" s="128" t="s">
        <v>231</v>
      </c>
      <c r="C4560" s="136">
        <v>45945</v>
      </c>
      <c r="D4560" s="33" t="str">
        <f>VLOOKUP(B4560,辅助信息!E:K,7,FALSE)</f>
        <v>JWDDCD2025102100481</v>
      </c>
      <c r="E4560" s="33" t="str">
        <f>VLOOKUP(F4560,辅助信息!A:B,2,FALSE)</f>
        <v>螺纹钢</v>
      </c>
      <c r="F4560" s="33" t="s">
        <v>18</v>
      </c>
      <c r="G4560" s="29">
        <v>18</v>
      </c>
      <c r="H4560" s="127">
        <f>IF(SUMIFS('[1]2025年已发货'!$E:$E,'[1]2025年已发货'!$F:$F,C4560,'[1]2025年已发货'!$C:$C,F4560,'[1]2025年已发货'!$G:$G,I4560,'[1]2025年已发货'!$H:$H,J4560)=0,"未发货",SUMIFS('[1]2025年已发货'!$E:$E,'[1]2025年已发货'!$F:$F,C4560,'[1]2025年已发货'!$C:$C,F4560,'[1]2025年已发货'!$G:$G,I4560,'[1]2025年已发货'!$H:$H,J4560))</f>
        <v>18</v>
      </c>
      <c r="I4560" s="33" t="str">
        <f>VLOOKUP(B4560,辅助信息!E:I,3,FALSE)</f>
        <v>(五冶建设成都盐道街中学初中部改扩建工程-一标)四川省成都市锦江区春熙路街道盐道街4号（盐道街中学初中部）</v>
      </c>
      <c r="J4560" s="33" t="str">
        <f>VLOOKUP(B4560,辅助信息!E:I,4,FALSE)</f>
        <v>谢鑫</v>
      </c>
      <c r="K4560" s="33">
        <f>VLOOKUP(J4560,辅助信息!H:I,2,FALSE)</f>
        <v>18228465067</v>
      </c>
      <c r="L4560" s="102" t="str">
        <f>VLOOKUP(B4560,辅助信息!E:J,6,FALSE)</f>
        <v>联系实际收货人（易前刚18228465067）五冶建设送货单,6份材质书,锈货不收，装货前联系收货人核实到场规格,没提前告知进场规格现场不给予接收</v>
      </c>
      <c r="O4560" s="55" t="str">
        <f ca="1" t="shared" si="224"/>
        <v/>
      </c>
      <c r="P4560" s="55" t="str">
        <f ca="1" t="shared" si="225"/>
        <v/>
      </c>
      <c r="Q4560" s="22" t="str">
        <f>VLOOKUP(B4560,辅助信息!E:M,9,FALSE)</f>
        <v>ZTWM-CDGS-XS-2025-0073-五冶天府-成都怡心湖片区及龙泉驿医院等项目</v>
      </c>
      <c r="R4560" s="22" t="str">
        <f>_xlfn._xlws.FILTER(辅助信息!D:D,辅助信息!E:E=B4560)</f>
        <v>五冶建设成都盐道街中学初中部改扩建工程-一标</v>
      </c>
    </row>
    <row r="4561" hidden="1" spans="2:18">
      <c r="B4561" s="128" t="s">
        <v>208</v>
      </c>
      <c r="C4561" s="136">
        <v>45945</v>
      </c>
      <c r="D4561" s="33" t="str">
        <f>VLOOKUP(B4561,辅助信息!E:K,7,FALSE)</f>
        <v>JWDDCD2025102100480</v>
      </c>
      <c r="E4561" s="33" t="str">
        <f>VLOOKUP(F4561,辅助信息!A:B,2,FALSE)</f>
        <v>高线</v>
      </c>
      <c r="F4561" s="33" t="s">
        <v>53</v>
      </c>
      <c r="G4561" s="29">
        <v>10</v>
      </c>
      <c r="H4561" s="127">
        <f>IF(SUMIFS('[1]2025年已发货'!$E:$E,'[1]2025年已发货'!$F:$F,C4561,'[1]2025年已发货'!$C:$C,F4561,'[1]2025年已发货'!$G:$G,I4561,'[1]2025年已发货'!$H:$H,J4561)=0,"未发货",SUMIFS('[1]2025年已发货'!$E:$E,'[1]2025年已发货'!$F:$F,C4561,'[1]2025年已发货'!$C:$C,F4561,'[1]2025年已发货'!$G:$G,I4561,'[1]2025年已发货'!$H:$H,J4561))</f>
        <v>10</v>
      </c>
      <c r="I4561" s="33" t="str">
        <f>VLOOKUP(B4561,辅助信息!E:I,3,FALSE)</f>
        <v>(五冶建设锦江区林家坝片区20号地块商业项目)锦江区泰昌路锦江28亩项目部</v>
      </c>
      <c r="J4561" s="33" t="str">
        <f>VLOOKUP(B4561,辅助信息!E:I,4,FALSE)</f>
        <v>陶杰</v>
      </c>
      <c r="K4561" s="33">
        <f>VLOOKUP(J4561,辅助信息!H:I,2,FALSE)</f>
        <v>13980247952</v>
      </c>
      <c r="L4561" s="102" t="str">
        <f>VLOOKUP(B4561,辅助信息!E:J,6,FALSE)</f>
        <v>联系实际收货人（陶杰13980247952）五冶建设送货单,6份材质书,锈货不收，装货前联系收货人核实到场规格,没提前告知进场规格现场不给予接收</v>
      </c>
      <c r="O4561" s="55" t="str">
        <f ca="1" t="shared" si="224"/>
        <v/>
      </c>
      <c r="P4561" s="55" t="str">
        <f ca="1" t="shared" si="225"/>
        <v/>
      </c>
      <c r="Q4561" s="22" t="str">
        <f>VLOOKUP(B4561,辅助信息!E:M,9,FALSE)</f>
        <v>ZTWM-CDGS-XS-2025-0073-五冶天府-成都怡心湖片区及龙泉驿医院等项目</v>
      </c>
      <c r="R4561" s="22" t="str">
        <f>_xlfn._xlws.FILTER(辅助信息!D:D,辅助信息!E:E=B4561)</f>
        <v>五冶建设锦江区林家坝片区20号地块商业项目</v>
      </c>
    </row>
    <row r="4562" hidden="1" spans="2:18">
      <c r="B4562" s="128" t="s">
        <v>208</v>
      </c>
      <c r="C4562" s="136">
        <v>45945</v>
      </c>
      <c r="D4562" s="33" t="str">
        <f>VLOOKUP(B4562,辅助信息!E:K,7,FALSE)</f>
        <v>JWDDCD2025102100480</v>
      </c>
      <c r="E4562" s="33" t="str">
        <f>VLOOKUP(F4562,辅助信息!A:B,2,FALSE)</f>
        <v>螺纹钢</v>
      </c>
      <c r="F4562" s="33" t="s">
        <v>32</v>
      </c>
      <c r="G4562" s="29">
        <v>16.2</v>
      </c>
      <c r="H4562" s="127">
        <f>IF(SUMIFS('[1]2025年已发货'!$E:$E,'[1]2025年已发货'!$F:$F,C4562,'[1]2025年已发货'!$C:$C,F4562,'[1]2025年已发货'!$G:$G,I4562,'[1]2025年已发货'!$H:$H,J4562)=0,"未发货",SUMIFS('[1]2025年已发货'!$E:$E,'[1]2025年已发货'!$F:$F,C4562,'[1]2025年已发货'!$C:$C,F4562,'[1]2025年已发货'!$G:$G,I4562,'[1]2025年已发货'!$H:$H,J4562))</f>
        <v>16.2</v>
      </c>
      <c r="I4562" s="33" t="str">
        <f>VLOOKUP(B4562,辅助信息!E:I,3,FALSE)</f>
        <v>(五冶建设锦江区林家坝片区20号地块商业项目)锦江区泰昌路锦江28亩项目部</v>
      </c>
      <c r="J4562" s="33" t="str">
        <f>VLOOKUP(B4562,辅助信息!E:I,4,FALSE)</f>
        <v>陶杰</v>
      </c>
      <c r="K4562" s="33">
        <f>VLOOKUP(J4562,辅助信息!H:I,2,FALSE)</f>
        <v>13980247952</v>
      </c>
      <c r="L4562" s="102" t="str">
        <f>VLOOKUP(B4562,辅助信息!E:J,6,FALSE)</f>
        <v>联系实际收货人（陶杰13980247952）五冶建设送货单,6份材质书,锈货不收，装货前联系收货人核实到场规格,没提前告知进场规格现场不给予接收</v>
      </c>
      <c r="O4562" s="55" t="str">
        <f ca="1" t="shared" si="224"/>
        <v/>
      </c>
      <c r="P4562" s="55" t="str">
        <f ca="1" t="shared" si="225"/>
        <v/>
      </c>
      <c r="Q4562" s="22" t="str">
        <f>VLOOKUP(B4562,辅助信息!E:M,9,FALSE)</f>
        <v>ZTWM-CDGS-XS-2025-0073-五冶天府-成都怡心湖片区及龙泉驿医院等项目</v>
      </c>
      <c r="R4562" s="22" t="str">
        <f>_xlfn._xlws.FILTER(辅助信息!D:D,辅助信息!E:E=B4562)</f>
        <v>五冶建设锦江区林家坝片区20号地块商业项目</v>
      </c>
    </row>
    <row r="4563" hidden="1" spans="2:18">
      <c r="B4563" s="128" t="s">
        <v>208</v>
      </c>
      <c r="C4563" s="136">
        <v>45945</v>
      </c>
      <c r="D4563" s="33" t="str">
        <f>VLOOKUP(B4563,辅助信息!E:K,7,FALSE)</f>
        <v>JWDDCD2025102100480</v>
      </c>
      <c r="E4563" s="33" t="str">
        <f>VLOOKUP(F4563,辅助信息!A:B,2,FALSE)</f>
        <v>螺纹钢</v>
      </c>
      <c r="F4563" s="33" t="s">
        <v>30</v>
      </c>
      <c r="G4563" s="29">
        <v>13.5</v>
      </c>
      <c r="H4563" s="127">
        <f>IF(SUMIFS('[1]2025年已发货'!$E:$E,'[1]2025年已发货'!$F:$F,C4563,'[1]2025年已发货'!$C:$C,F4563,'[1]2025年已发货'!$G:$G,I4563,'[1]2025年已发货'!$H:$H,J4563)=0,"未发货",SUMIFS('[1]2025年已发货'!$E:$E,'[1]2025年已发货'!$F:$F,C4563,'[1]2025年已发货'!$C:$C,F4563,'[1]2025年已发货'!$G:$G,I4563,'[1]2025年已发货'!$H:$H,J4563))</f>
        <v>13.5</v>
      </c>
      <c r="I4563" s="33" t="str">
        <f>VLOOKUP(B4563,辅助信息!E:I,3,FALSE)</f>
        <v>(五冶建设锦江区林家坝片区20号地块商业项目)锦江区泰昌路锦江28亩项目部</v>
      </c>
      <c r="J4563" s="33" t="str">
        <f>VLOOKUP(B4563,辅助信息!E:I,4,FALSE)</f>
        <v>陶杰</v>
      </c>
      <c r="K4563" s="33">
        <f>VLOOKUP(J4563,辅助信息!H:I,2,FALSE)</f>
        <v>13980247952</v>
      </c>
      <c r="L4563" s="102" t="str">
        <f>VLOOKUP(B4563,辅助信息!E:J,6,FALSE)</f>
        <v>联系实际收货人（陶杰13980247952）五冶建设送货单,6份材质书,锈货不收，装货前联系收货人核实到场规格,没提前告知进场规格现场不给予接收</v>
      </c>
      <c r="O4563" s="55" t="str">
        <f ca="1" t="shared" si="224"/>
        <v/>
      </c>
      <c r="P4563" s="55" t="str">
        <f ca="1" t="shared" si="225"/>
        <v/>
      </c>
      <c r="Q4563" s="22" t="str">
        <f>VLOOKUP(B4563,辅助信息!E:M,9,FALSE)</f>
        <v>ZTWM-CDGS-XS-2025-0073-五冶天府-成都怡心湖片区及龙泉驿医院等项目</v>
      </c>
      <c r="R4563" s="22" t="str">
        <f>_xlfn._xlws.FILTER(辅助信息!D:D,辅助信息!E:E=B4563)</f>
        <v>五冶建设锦江区林家坝片区20号地块商业项目</v>
      </c>
    </row>
    <row r="4564" hidden="1" spans="2:18">
      <c r="B4564" s="128" t="s">
        <v>208</v>
      </c>
      <c r="C4564" s="136">
        <v>45945</v>
      </c>
      <c r="D4564" s="33" t="str">
        <f>VLOOKUP(B4564,辅助信息!E:K,7,FALSE)</f>
        <v>JWDDCD2025102100480</v>
      </c>
      <c r="E4564" s="33" t="str">
        <f>VLOOKUP(F4564,辅助信息!A:B,2,FALSE)</f>
        <v>螺纹钢</v>
      </c>
      <c r="F4564" s="33" t="s">
        <v>18</v>
      </c>
      <c r="G4564" s="29">
        <v>29.7</v>
      </c>
      <c r="H4564" s="127">
        <f>IF(SUMIFS('[1]2025年已发货'!$E:$E,'[1]2025年已发货'!$F:$F,C4564,'[1]2025年已发货'!$C:$C,F4564,'[1]2025年已发货'!$G:$G,I4564,'[1]2025年已发货'!$H:$H,J4564)=0,"未发货",SUMIFS('[1]2025年已发货'!$E:$E,'[1]2025年已发货'!$F:$F,C4564,'[1]2025年已发货'!$C:$C,F4564,'[1]2025年已发货'!$G:$G,I4564,'[1]2025年已发货'!$H:$H,J4564))</f>
        <v>30</v>
      </c>
      <c r="I4564" s="33" t="str">
        <f>VLOOKUP(B4564,辅助信息!E:I,3,FALSE)</f>
        <v>(五冶建设锦江区林家坝片区20号地块商业项目)锦江区泰昌路锦江28亩项目部</v>
      </c>
      <c r="J4564" s="33" t="str">
        <f>VLOOKUP(B4564,辅助信息!E:I,4,FALSE)</f>
        <v>陶杰</v>
      </c>
      <c r="K4564" s="33">
        <f>VLOOKUP(J4564,辅助信息!H:I,2,FALSE)</f>
        <v>13980247952</v>
      </c>
      <c r="L4564" s="102" t="str">
        <f>VLOOKUP(B4564,辅助信息!E:J,6,FALSE)</f>
        <v>联系实际收货人（陶杰13980247952）五冶建设送货单,6份材质书,锈货不收，装货前联系收货人核实到场规格,没提前告知进场规格现场不给予接收</v>
      </c>
      <c r="O4564" s="55" t="str">
        <f ca="1" t="shared" si="224"/>
        <v/>
      </c>
      <c r="P4564" s="55" t="str">
        <f ca="1" t="shared" si="225"/>
        <v/>
      </c>
      <c r="Q4564" s="22" t="str">
        <f>VLOOKUP(B4564,辅助信息!E:M,9,FALSE)</f>
        <v>ZTWM-CDGS-XS-2025-0073-五冶天府-成都怡心湖片区及龙泉驿医院等项目</v>
      </c>
      <c r="R4564" s="22" t="str">
        <f>_xlfn._xlws.FILTER(辅助信息!D:D,辅助信息!E:E=B4564)</f>
        <v>五冶建设锦江区林家坝片区20号地块商业项目</v>
      </c>
    </row>
    <row r="4565" hidden="1" spans="2:18">
      <c r="B4565" s="128" t="s">
        <v>203</v>
      </c>
      <c r="C4565" s="136">
        <v>45945</v>
      </c>
      <c r="D4565" s="33" t="str">
        <f>VLOOKUP(B4565,辅助信息!E:K,7,FALSE)</f>
        <v>JWDDCD2025102100479</v>
      </c>
      <c r="E4565" s="33" t="str">
        <f>VLOOKUP(F4565,辅助信息!A:B,2,FALSE)</f>
        <v>高线</v>
      </c>
      <c r="F4565" s="33" t="s">
        <v>57</v>
      </c>
      <c r="G4565" s="29">
        <v>4</v>
      </c>
      <c r="H4565" s="127"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33" t="str">
        <f>VLOOKUP(B4565,辅助信息!E:I,3,FALSE)</f>
        <v>(五冶建设空港兴城怡心街道83亩项目)成都市双流区怡心街道高峰社区一组剑和路一段空港兴城怡心街道83亩项目中国五冶项目部</v>
      </c>
      <c r="J4565" s="33" t="str">
        <f>VLOOKUP(B4565,辅助信息!E:I,4,FALSE)</f>
        <v>王刚</v>
      </c>
      <c r="K4565" s="33">
        <f>VLOOKUP(J4565,辅助信息!H:I,2,FALSE)</f>
        <v>15881190525</v>
      </c>
      <c r="L4565" s="102"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55" t="str">
        <f ca="1" t="shared" si="224"/>
        <v/>
      </c>
      <c r="P4565" s="55" t="str">
        <f ca="1" t="shared" si="225"/>
        <v/>
      </c>
      <c r="Q4565" s="22" t="str">
        <f>VLOOKUP(B4565,辅助信息!E:M,9,FALSE)</f>
        <v>ZTWM-CDGS-XS-2025-0073-五冶天府-成都怡心湖片区及龙泉驿医院等项目</v>
      </c>
      <c r="R4565" s="22" t="str">
        <f>_xlfn._xlws.FILTER(辅助信息!D:D,辅助信息!E:E=B4565)</f>
        <v>五冶建设空港兴城怡心街道83亩项目</v>
      </c>
    </row>
    <row r="4566" hidden="1" spans="2:18">
      <c r="B4566" s="128" t="s">
        <v>203</v>
      </c>
      <c r="C4566" s="136">
        <v>45945</v>
      </c>
      <c r="D4566" s="33" t="str">
        <f>VLOOKUP(B4566,辅助信息!E:K,7,FALSE)</f>
        <v>JWDDCD2025102100479</v>
      </c>
      <c r="E4566" s="33" t="str">
        <f>VLOOKUP(F4566,辅助信息!A:B,2,FALSE)</f>
        <v>盘螺</v>
      </c>
      <c r="F4566" s="33" t="s">
        <v>49</v>
      </c>
      <c r="G4566" s="29">
        <v>4</v>
      </c>
      <c r="H4566" s="127"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33" t="str">
        <f>VLOOKUP(B4566,辅助信息!E:I,3,FALSE)</f>
        <v>(五冶建设空港兴城怡心街道83亩项目)成都市双流区怡心街道高峰社区一组剑和路一段空港兴城怡心街道83亩项目中国五冶项目部</v>
      </c>
      <c r="J4566" s="33" t="str">
        <f>VLOOKUP(B4566,辅助信息!E:I,4,FALSE)</f>
        <v>王刚</v>
      </c>
      <c r="K4566" s="33">
        <f>VLOOKUP(J4566,辅助信息!H:I,2,FALSE)</f>
        <v>15881190525</v>
      </c>
      <c r="L4566" s="102"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55" t="str">
        <f ca="1" t="shared" si="224"/>
        <v/>
      </c>
      <c r="P4566" s="55" t="str">
        <f ca="1" t="shared" si="225"/>
        <v/>
      </c>
      <c r="Q4566" s="22" t="str">
        <f>VLOOKUP(B4566,辅助信息!E:M,9,FALSE)</f>
        <v>ZTWM-CDGS-XS-2025-0073-五冶天府-成都怡心湖片区及龙泉驿医院等项目</v>
      </c>
      <c r="R4566" s="22" t="str">
        <f>_xlfn._xlws.FILTER(辅助信息!D:D,辅助信息!E:E=B4566)</f>
        <v>五冶建设空港兴城怡心街道83亩项目</v>
      </c>
    </row>
    <row r="4567" hidden="1" spans="1:18">
      <c r="A4567" s="50" t="s">
        <v>241</v>
      </c>
      <c r="B4567" s="128" t="s">
        <v>203</v>
      </c>
      <c r="C4567" s="136">
        <v>45945</v>
      </c>
      <c r="D4567" s="33" t="str">
        <f>VLOOKUP(B4567,辅助信息!E:K,7,FALSE)</f>
        <v>JWDDCD2025102100479</v>
      </c>
      <c r="E4567" s="33" t="str">
        <f>VLOOKUP(F4567,辅助信息!A:B,2,FALSE)</f>
        <v>螺纹钢</v>
      </c>
      <c r="F4567" s="33" t="s">
        <v>27</v>
      </c>
      <c r="G4567" s="29">
        <v>6</v>
      </c>
      <c r="H4567" s="127">
        <f>IF(SUMIFS('[1]2025年已发货'!$E:$E,'[1]2025年已发货'!$F:$F,C4567,'[1]2025年已发货'!$C:$C,F4567,'[1]2025年已发货'!$G:$G,I4567,'[1]2025年已发货'!$H:$H,J4567)=0,"未发货",SUMIFS('[1]2025年已发货'!$E:$E,'[1]2025年已发货'!$F:$F,C4567,'[1]2025年已发货'!$C:$C,F4567,'[1]2025年已发货'!$G:$G,I4567,'[1]2025年已发货'!$H:$H,J4567))</f>
        <v>6</v>
      </c>
      <c r="I4567" s="33" t="str">
        <f>VLOOKUP(B4567,辅助信息!E:I,3,FALSE)</f>
        <v>(五冶建设空港兴城怡心街道83亩项目)成都市双流区怡心街道高峰社区一组剑和路一段空港兴城怡心街道83亩项目中国五冶项目部</v>
      </c>
      <c r="J4567" s="33" t="str">
        <f>VLOOKUP(B4567,辅助信息!E:I,4,FALSE)</f>
        <v>王刚</v>
      </c>
      <c r="K4567" s="33">
        <f>VLOOKUP(J4567,辅助信息!H:I,2,FALSE)</f>
        <v>15881190525</v>
      </c>
      <c r="L4567" s="102"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55" t="str">
        <f ca="1" t="shared" si="224"/>
        <v/>
      </c>
      <c r="P4567" s="55" t="str">
        <f ca="1" t="shared" si="225"/>
        <v/>
      </c>
      <c r="Q4567" s="22" t="str">
        <f>VLOOKUP(B4567,辅助信息!E:M,9,FALSE)</f>
        <v>ZTWM-CDGS-XS-2025-0073-五冶天府-成都怡心湖片区及龙泉驿医院等项目</v>
      </c>
      <c r="R4567" s="22" t="str">
        <f>_xlfn._xlws.FILTER(辅助信息!D:D,辅助信息!E:E=B4567)</f>
        <v>五冶建设空港兴城怡心街道83亩项目</v>
      </c>
    </row>
    <row r="4568" hidden="1" spans="2:18">
      <c r="B4568" s="128" t="s">
        <v>203</v>
      </c>
      <c r="C4568" s="136">
        <v>45945</v>
      </c>
      <c r="D4568" s="33" t="str">
        <f>VLOOKUP(B4568,辅助信息!E:K,7,FALSE)</f>
        <v>JWDDCD2025102100479</v>
      </c>
      <c r="E4568" s="33" t="str">
        <f>VLOOKUP(F4568,辅助信息!A:B,2,FALSE)</f>
        <v>螺纹钢</v>
      </c>
      <c r="F4568" s="33" t="s">
        <v>19</v>
      </c>
      <c r="G4568" s="29">
        <v>8</v>
      </c>
      <c r="H4568" s="127"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33" t="str">
        <f>VLOOKUP(B4568,辅助信息!E:I,3,FALSE)</f>
        <v>(五冶建设空港兴城怡心街道83亩项目)成都市双流区怡心街道高峰社区一组剑和路一段空港兴城怡心街道83亩项目中国五冶项目部</v>
      </c>
      <c r="J4568" s="33" t="str">
        <f>VLOOKUP(B4568,辅助信息!E:I,4,FALSE)</f>
        <v>王刚</v>
      </c>
      <c r="K4568" s="33">
        <f>VLOOKUP(J4568,辅助信息!H:I,2,FALSE)</f>
        <v>15881190525</v>
      </c>
      <c r="L4568" s="102"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55" t="str">
        <f ca="1" t="shared" si="224"/>
        <v/>
      </c>
      <c r="P4568" s="55" t="str">
        <f ca="1" t="shared" si="225"/>
        <v/>
      </c>
      <c r="Q4568" s="22" t="str">
        <f>VLOOKUP(B4568,辅助信息!E:M,9,FALSE)</f>
        <v>ZTWM-CDGS-XS-2025-0073-五冶天府-成都怡心湖片区及龙泉驿医院等项目</v>
      </c>
      <c r="R4568" s="22" t="str">
        <f>_xlfn._xlws.FILTER(辅助信息!D:D,辅助信息!E:E=B4568)</f>
        <v>五冶建设空港兴城怡心街道83亩项目</v>
      </c>
    </row>
    <row r="4569" hidden="1" spans="2:18">
      <c r="B4569" s="128" t="s">
        <v>203</v>
      </c>
      <c r="C4569" s="136">
        <v>45945</v>
      </c>
      <c r="D4569" s="33" t="str">
        <f>VLOOKUP(B4569,辅助信息!E:K,7,FALSE)</f>
        <v>JWDDCD2025102100479</v>
      </c>
      <c r="E4569" s="33" t="str">
        <f>VLOOKUP(F4569,辅助信息!A:B,2,FALSE)</f>
        <v>螺纹钢</v>
      </c>
      <c r="F4569" s="33" t="s">
        <v>32</v>
      </c>
      <c r="G4569" s="29">
        <v>8</v>
      </c>
      <c r="H4569" s="127"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33" t="str">
        <f>VLOOKUP(B4569,辅助信息!E:I,3,FALSE)</f>
        <v>(五冶建设空港兴城怡心街道83亩项目)成都市双流区怡心街道高峰社区一组剑和路一段空港兴城怡心街道83亩项目中国五冶项目部</v>
      </c>
      <c r="J4569" s="33" t="str">
        <f>VLOOKUP(B4569,辅助信息!E:I,4,FALSE)</f>
        <v>王刚</v>
      </c>
      <c r="K4569" s="33">
        <f>VLOOKUP(J4569,辅助信息!H:I,2,FALSE)</f>
        <v>15881190525</v>
      </c>
      <c r="L4569" s="102"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55" t="str">
        <f ca="1" t="shared" si="224"/>
        <v/>
      </c>
      <c r="P4569" s="55" t="str">
        <f ca="1" t="shared" si="225"/>
        <v/>
      </c>
      <c r="Q4569" s="22" t="str">
        <f>VLOOKUP(B4569,辅助信息!E:M,9,FALSE)</f>
        <v>ZTWM-CDGS-XS-2025-0073-五冶天府-成都怡心湖片区及龙泉驿医院等项目</v>
      </c>
      <c r="R4569" s="22" t="str">
        <f>_xlfn._xlws.FILTER(辅助信息!D:D,辅助信息!E:E=B4569)</f>
        <v>五冶建设空港兴城怡心街道83亩项目</v>
      </c>
    </row>
    <row r="4570" hidden="1" spans="2:18">
      <c r="B4570" s="128" t="s">
        <v>203</v>
      </c>
      <c r="C4570" s="136">
        <v>45945</v>
      </c>
      <c r="D4570" s="33" t="str">
        <f>VLOOKUP(B4570,辅助信息!E:K,7,FALSE)</f>
        <v>JWDDCD2025102100479</v>
      </c>
      <c r="E4570" s="33" t="str">
        <f>VLOOKUP(F4570,辅助信息!A:B,2,FALSE)</f>
        <v>螺纹钢</v>
      </c>
      <c r="F4570" s="33" t="s">
        <v>33</v>
      </c>
      <c r="G4570" s="29">
        <v>10</v>
      </c>
      <c r="H4570" s="127"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33" t="str">
        <f>VLOOKUP(B4570,辅助信息!E:I,3,FALSE)</f>
        <v>(五冶建设空港兴城怡心街道83亩项目)成都市双流区怡心街道高峰社区一组剑和路一段空港兴城怡心街道83亩项目中国五冶项目部</v>
      </c>
      <c r="J4570" s="33" t="str">
        <f>VLOOKUP(B4570,辅助信息!E:I,4,FALSE)</f>
        <v>王刚</v>
      </c>
      <c r="K4570" s="33">
        <f>VLOOKUP(J4570,辅助信息!H:I,2,FALSE)</f>
        <v>15881190525</v>
      </c>
      <c r="L4570" s="102"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55" t="str">
        <f ca="1" t="shared" si="224"/>
        <v/>
      </c>
      <c r="P4570" s="55" t="str">
        <f ca="1" t="shared" si="225"/>
        <v/>
      </c>
      <c r="Q4570" s="22" t="str">
        <f>VLOOKUP(B4570,辅助信息!E:M,9,FALSE)</f>
        <v>ZTWM-CDGS-XS-2025-0073-五冶天府-成都怡心湖片区及龙泉驿医院等项目</v>
      </c>
      <c r="R4570" s="22" t="str">
        <f>_xlfn._xlws.FILTER(辅助信息!D:D,辅助信息!E:E=B4570)</f>
        <v>五冶建设空港兴城怡心街道83亩项目</v>
      </c>
    </row>
    <row r="4571" hidden="1" spans="2:18">
      <c r="B4571" s="128" t="s">
        <v>203</v>
      </c>
      <c r="C4571" s="136">
        <v>45945</v>
      </c>
      <c r="D4571" s="33" t="str">
        <f>VLOOKUP(B4571,辅助信息!E:K,7,FALSE)</f>
        <v>JWDDCD2025102100479</v>
      </c>
      <c r="E4571" s="33" t="str">
        <f>VLOOKUP(F4571,辅助信息!A:B,2,FALSE)</f>
        <v>螺纹钢</v>
      </c>
      <c r="F4571" s="33" t="s">
        <v>28</v>
      </c>
      <c r="G4571" s="29">
        <v>3</v>
      </c>
      <c r="H4571" s="127">
        <f>IF(SUMIFS('[1]2025年已发货'!$E:$E,'[1]2025年已发货'!$F:$F,C4571,'[1]2025年已发货'!$C:$C,F4571,'[1]2025年已发货'!$G:$G,I4571,'[1]2025年已发货'!$H:$H,J4571)=0,"未发货",SUMIFS('[1]2025年已发货'!$E:$E,'[1]2025年已发货'!$F:$F,C4571,'[1]2025年已发货'!$C:$C,F4571,'[1]2025年已发货'!$G:$G,I4571,'[1]2025年已发货'!$H:$H,J4571))</f>
        <v>3</v>
      </c>
      <c r="I4571" s="33" t="str">
        <f>VLOOKUP(B4571,辅助信息!E:I,3,FALSE)</f>
        <v>(五冶建设空港兴城怡心街道83亩项目)成都市双流区怡心街道高峰社区一组剑和路一段空港兴城怡心街道83亩项目中国五冶项目部</v>
      </c>
      <c r="J4571" s="33" t="str">
        <f>VLOOKUP(B4571,辅助信息!E:I,4,FALSE)</f>
        <v>王刚</v>
      </c>
      <c r="K4571" s="33">
        <f>VLOOKUP(J4571,辅助信息!H:I,2,FALSE)</f>
        <v>15881190525</v>
      </c>
      <c r="L4571" s="102"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55" t="str">
        <f ca="1" t="shared" si="224"/>
        <v/>
      </c>
      <c r="P4571" s="55" t="str">
        <f ca="1" t="shared" si="225"/>
        <v/>
      </c>
      <c r="Q4571" s="22" t="str">
        <f>VLOOKUP(B4571,辅助信息!E:M,9,FALSE)</f>
        <v>ZTWM-CDGS-XS-2025-0073-五冶天府-成都怡心湖片区及龙泉驿医院等项目</v>
      </c>
      <c r="R4571" s="22" t="str">
        <f>_xlfn._xlws.FILTER(辅助信息!D:D,辅助信息!E:E=B4571)</f>
        <v>五冶建设空港兴城怡心街道83亩项目</v>
      </c>
    </row>
    <row r="4572" hidden="1" spans="2:18">
      <c r="B4572" s="128" t="s">
        <v>203</v>
      </c>
      <c r="C4572" s="136">
        <v>45945</v>
      </c>
      <c r="D4572" s="33" t="str">
        <f>VLOOKUP(B4572,辅助信息!E:K,7,FALSE)</f>
        <v>JWDDCD2025102100479</v>
      </c>
      <c r="E4572" s="33" t="str">
        <f>VLOOKUP(F4572,辅助信息!A:B,2,FALSE)</f>
        <v>螺纹钢</v>
      </c>
      <c r="F4572" s="33" t="s">
        <v>18</v>
      </c>
      <c r="G4572" s="29">
        <v>10</v>
      </c>
      <c r="H4572" s="127">
        <f>IF(SUMIFS('[1]2025年已发货'!$E:$E,'[1]2025年已发货'!$F:$F,C4572,'[1]2025年已发货'!$C:$C,F4572,'[1]2025年已发货'!$G:$G,I4572,'[1]2025年已发货'!$H:$H,J4572)=0,"未发货",SUMIFS('[1]2025年已发货'!$E:$E,'[1]2025年已发货'!$F:$F,C4572,'[1]2025年已发货'!$C:$C,F4572,'[1]2025年已发货'!$G:$G,I4572,'[1]2025年已发货'!$H:$H,J4572))</f>
        <v>10</v>
      </c>
      <c r="I4572" s="33" t="str">
        <f>VLOOKUP(B4572,辅助信息!E:I,3,FALSE)</f>
        <v>(五冶建设空港兴城怡心街道83亩项目)成都市双流区怡心街道高峰社区一组剑和路一段空港兴城怡心街道83亩项目中国五冶项目部</v>
      </c>
      <c r="J4572" s="33" t="str">
        <f>VLOOKUP(B4572,辅助信息!E:I,4,FALSE)</f>
        <v>王刚</v>
      </c>
      <c r="K4572" s="33">
        <f>VLOOKUP(J4572,辅助信息!H:I,2,FALSE)</f>
        <v>15881190525</v>
      </c>
      <c r="L4572" s="102"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55" t="str">
        <f ca="1" t="shared" si="224"/>
        <v/>
      </c>
      <c r="P4572" s="55" t="str">
        <f ca="1" t="shared" si="225"/>
        <v/>
      </c>
      <c r="Q4572" s="22" t="str">
        <f>VLOOKUP(B4572,辅助信息!E:M,9,FALSE)</f>
        <v>ZTWM-CDGS-XS-2025-0073-五冶天府-成都怡心湖片区及龙泉驿医院等项目</v>
      </c>
      <c r="R4572" s="22" t="str">
        <f>_xlfn._xlws.FILTER(辅助信息!D:D,辅助信息!E:E=B4572)</f>
        <v>五冶建设空港兴城怡心街道83亩项目</v>
      </c>
    </row>
    <row r="4573" hidden="1" spans="2:18">
      <c r="B4573" s="128" t="s">
        <v>203</v>
      </c>
      <c r="C4573" s="136">
        <v>45945</v>
      </c>
      <c r="D4573" s="33" t="str">
        <f>VLOOKUP(B4573,辅助信息!E:K,7,FALSE)</f>
        <v>JWDDCD2025102100479</v>
      </c>
      <c r="E4573" s="33" t="str">
        <f>VLOOKUP(F4573,辅助信息!A:B,2,FALSE)</f>
        <v>螺纹钢</v>
      </c>
      <c r="F4573" s="33" t="s">
        <v>65</v>
      </c>
      <c r="G4573" s="29">
        <v>3</v>
      </c>
      <c r="H4573" s="127">
        <f>IF(SUMIFS('[1]2025年已发货'!$E:$E,'[1]2025年已发货'!$F:$F,C4573,'[1]2025年已发货'!$C:$C,F4573,'[1]2025年已发货'!$G:$G,I4573,'[1]2025年已发货'!$H:$H,J4573)=0,"未发货",SUMIFS('[1]2025年已发货'!$E:$E,'[1]2025年已发货'!$F:$F,C4573,'[1]2025年已发货'!$C:$C,F4573,'[1]2025年已发货'!$G:$G,I4573,'[1]2025年已发货'!$H:$H,J4573))</f>
        <v>3</v>
      </c>
      <c r="I4573" s="33" t="str">
        <f>VLOOKUP(B4573,辅助信息!E:I,3,FALSE)</f>
        <v>(五冶建设空港兴城怡心街道83亩项目)成都市双流区怡心街道高峰社区一组剑和路一段空港兴城怡心街道83亩项目中国五冶项目部</v>
      </c>
      <c r="J4573" s="33" t="str">
        <f>VLOOKUP(B4573,辅助信息!E:I,4,FALSE)</f>
        <v>王刚</v>
      </c>
      <c r="K4573" s="33">
        <f>VLOOKUP(J4573,辅助信息!H:I,2,FALSE)</f>
        <v>15881190525</v>
      </c>
      <c r="L4573" s="102"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55" t="str">
        <f ca="1" t="shared" si="224"/>
        <v/>
      </c>
      <c r="P4573" s="55" t="str">
        <f ca="1" t="shared" si="225"/>
        <v/>
      </c>
      <c r="Q4573" s="22" t="str">
        <f>VLOOKUP(B4573,辅助信息!E:M,9,FALSE)</f>
        <v>ZTWM-CDGS-XS-2025-0073-五冶天府-成都怡心湖片区及龙泉驿医院等项目</v>
      </c>
      <c r="R4573" s="22" t="str">
        <f>_xlfn._xlws.FILTER(辅助信息!D:D,辅助信息!E:E=B4573)</f>
        <v>五冶建设空港兴城怡心街道83亩项目</v>
      </c>
    </row>
    <row r="4574" hidden="1" spans="2:18">
      <c r="B4574" s="128" t="s">
        <v>203</v>
      </c>
      <c r="C4574" s="136">
        <v>45945</v>
      </c>
      <c r="D4574" s="33" t="str">
        <f>VLOOKUP(B4574,辅助信息!E:K,7,FALSE)</f>
        <v>JWDDCD2025102100479</v>
      </c>
      <c r="E4574" s="33" t="str">
        <f>VLOOKUP(F4574,辅助信息!A:B,2,FALSE)</f>
        <v>螺纹钢</v>
      </c>
      <c r="F4574" s="33" t="s">
        <v>66</v>
      </c>
      <c r="G4574" s="29">
        <v>14</v>
      </c>
      <c r="H4574" s="127">
        <f>IF(SUMIFS('[1]2025年已发货'!$E:$E,'[1]2025年已发货'!$F:$F,C4574,'[1]2025年已发货'!$C:$C,F4574,'[1]2025年已发货'!$G:$G,I4574,'[1]2025年已发货'!$H:$H,J4574)=0,"未发货",SUMIFS('[1]2025年已发货'!$E:$E,'[1]2025年已发货'!$F:$F,C4574,'[1]2025年已发货'!$C:$C,F4574,'[1]2025年已发货'!$G:$G,I4574,'[1]2025年已发货'!$H:$H,J4574))</f>
        <v>14</v>
      </c>
      <c r="I4574" s="33" t="str">
        <f>VLOOKUP(B4574,辅助信息!E:I,3,FALSE)</f>
        <v>(五冶建设空港兴城怡心街道83亩项目)成都市双流区怡心街道高峰社区一组剑和路一段空港兴城怡心街道83亩项目中国五冶项目部</v>
      </c>
      <c r="J4574" s="33" t="str">
        <f>VLOOKUP(B4574,辅助信息!E:I,4,FALSE)</f>
        <v>王刚</v>
      </c>
      <c r="K4574" s="33">
        <f>VLOOKUP(J4574,辅助信息!H:I,2,FALSE)</f>
        <v>15881190525</v>
      </c>
      <c r="L4574" s="102"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55" t="str">
        <f ca="1" t="shared" si="224"/>
        <v/>
      </c>
      <c r="P4574" s="55" t="str">
        <f ca="1" t="shared" si="225"/>
        <v/>
      </c>
      <c r="Q4574" s="22" t="str">
        <f>VLOOKUP(B4574,辅助信息!E:M,9,FALSE)</f>
        <v>ZTWM-CDGS-XS-2025-0073-五冶天府-成都怡心湖片区及龙泉驿医院等项目</v>
      </c>
      <c r="R4574" s="22" t="str">
        <f>_xlfn._xlws.FILTER(辅助信息!D:D,辅助信息!E:E=B4574)</f>
        <v>五冶建设空港兴城怡心街道83亩项目</v>
      </c>
    </row>
    <row r="4575" hidden="1" spans="2:18">
      <c r="B4575" s="128" t="s">
        <v>228</v>
      </c>
      <c r="C4575" s="63">
        <v>45945</v>
      </c>
      <c r="D4575" s="33" t="str">
        <f>VLOOKUP(B4575,辅助信息!E:K,7,FALSE)</f>
        <v>JWDDCD2025092400190</v>
      </c>
      <c r="E4575" s="33" t="str">
        <f>VLOOKUP(F4575,辅助信息!A:B,2,FALSE)</f>
        <v>螺纹钢</v>
      </c>
      <c r="F4575" s="33" t="s">
        <v>27</v>
      </c>
      <c r="G4575" s="29">
        <v>17</v>
      </c>
      <c r="H4575" s="127"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33" t="str">
        <f>VLOOKUP(B4575,辅助信息!E:I,3,FALSE)</f>
        <v>(五冶钢构龙泉东洪片区70亩住宅、商业及配套工程项目二标段)成都市龙泉驿外东洪路地铁2号线惠王陵地铁C口</v>
      </c>
      <c r="J4575" s="33" t="str">
        <f>VLOOKUP(B4575,辅助信息!E:I,4,FALSE)</f>
        <v>蒋嗣伟</v>
      </c>
      <c r="K4575" s="33">
        <f>VLOOKUP(J4575,辅助信息!H:I,2,FALSE)</f>
        <v>15014331252</v>
      </c>
      <c r="L4575" s="102">
        <f>VLOOKUP(B4575,辅助信息!E:J,6,FALSE)</f>
        <v>0</v>
      </c>
      <c r="O4575" s="55" t="str">
        <f ca="1" t="shared" si="224"/>
        <v/>
      </c>
      <c r="P4575" s="55" t="str">
        <f ca="1" t="shared" si="225"/>
        <v/>
      </c>
      <c r="Q4575" s="22" t="str">
        <f>VLOOKUP(B4575,辅助信息!E:M,9,FALSE)</f>
        <v>ZTWM-CDGS-XS-2025-0156-五冶钢构-2025年九月第一批次钢筋采购合同(三圣乡项目)-中铁物贸成都公司</v>
      </c>
      <c r="R4575" s="22" t="str">
        <f>_xlfn._xlws.FILTER(辅助信息!D:D,辅助信息!E:E=B4575)</f>
        <v>五冶钢构龙泉东洪片区70亩住宅、商业及配套工程项目二标段</v>
      </c>
    </row>
    <row r="4576" hidden="1" spans="2:18">
      <c r="B4576" s="128" t="s">
        <v>228</v>
      </c>
      <c r="C4576" s="63">
        <v>45945</v>
      </c>
      <c r="D4576" s="33" t="str">
        <f>VLOOKUP(B4576,辅助信息!E:K,7,FALSE)</f>
        <v>JWDDCD2025092400190</v>
      </c>
      <c r="E4576" s="33" t="str">
        <f>VLOOKUP(F4576,辅助信息!A:B,2,FALSE)</f>
        <v>螺纹钢</v>
      </c>
      <c r="F4576" s="33" t="s">
        <v>19</v>
      </c>
      <c r="G4576" s="29">
        <v>20</v>
      </c>
      <c r="H4576" s="127">
        <f>IF(SUMIFS('[1]2025年已发货'!$E:$E,'[1]2025年已发货'!$F:$F,C4576,'[1]2025年已发货'!$C:$C,F4576,'[1]2025年已发货'!$G:$G,I4576,'[1]2025年已发货'!$H:$H,J4576)=0,"未发货",SUMIFS('[1]2025年已发货'!$E:$E,'[1]2025年已发货'!$F:$F,C4576,'[1]2025年已发货'!$C:$C,F4576,'[1]2025年已发货'!$G:$G,I4576,'[1]2025年已发货'!$H:$H,J4576))</f>
        <v>20</v>
      </c>
      <c r="I4576" s="33" t="str">
        <f>VLOOKUP(B4576,辅助信息!E:I,3,FALSE)</f>
        <v>(五冶钢构龙泉东洪片区70亩住宅、商业及配套工程项目二标段)成都市龙泉驿外东洪路地铁2号线惠王陵地铁C口</v>
      </c>
      <c r="J4576" s="33" t="str">
        <f>VLOOKUP(B4576,辅助信息!E:I,4,FALSE)</f>
        <v>蒋嗣伟</v>
      </c>
      <c r="K4576" s="33">
        <f>VLOOKUP(J4576,辅助信息!H:I,2,FALSE)</f>
        <v>15014331252</v>
      </c>
      <c r="L4576" s="102">
        <f>VLOOKUP(B4576,辅助信息!E:J,6,FALSE)</f>
        <v>0</v>
      </c>
      <c r="O4576" s="55" t="str">
        <f ca="1" t="shared" ref="O4576:O4639" si="226">IF(OR(M4576="",N4576&lt;&gt;""),"",MAX(M4576-TODAY(),0))</f>
        <v/>
      </c>
      <c r="P4576" s="55" t="str">
        <f ca="1" t="shared" ref="P4576:P4639" si="227">IF(M4576="","",IF(N4576&lt;&gt;"",MAX(N4576-M4576,0),IF(TODAY()&gt;M4576,TODAY()-M4576,0)))</f>
        <v/>
      </c>
      <c r="Q4576" s="22" t="str">
        <f>VLOOKUP(B4576,辅助信息!E:M,9,FALSE)</f>
        <v>ZTWM-CDGS-XS-2025-0156-五冶钢构-2025年九月第一批次钢筋采购合同(三圣乡项目)-中铁物贸成都公司</v>
      </c>
      <c r="R4576" s="22" t="str">
        <f>_xlfn._xlws.FILTER(辅助信息!D:D,辅助信息!E:E=B4576)</f>
        <v>五冶钢构龙泉东洪片区70亩住宅、商业及配套工程项目二标段</v>
      </c>
    </row>
    <row r="4577" hidden="1" spans="2:18">
      <c r="B4577" s="128" t="s">
        <v>228</v>
      </c>
      <c r="C4577" s="63">
        <v>45945</v>
      </c>
      <c r="D4577" s="33" t="str">
        <f>VLOOKUP(B4577,辅助信息!E:K,7,FALSE)</f>
        <v>JWDDCD2025092400190</v>
      </c>
      <c r="E4577" s="33" t="str">
        <f>VLOOKUP(F4577,辅助信息!A:B,2,FALSE)</f>
        <v>螺纹钢</v>
      </c>
      <c r="F4577" s="33" t="s">
        <v>18</v>
      </c>
      <c r="G4577" s="29">
        <v>15</v>
      </c>
      <c r="H4577" s="127">
        <f>IF(SUMIFS('[1]2025年已发货'!$E:$E,'[1]2025年已发货'!$F:$F,C4577,'[1]2025年已发货'!$C:$C,F4577,'[1]2025年已发货'!$G:$G,I4577,'[1]2025年已发货'!$H:$H,J4577)=0,"未发货",SUMIFS('[1]2025年已发货'!$E:$E,'[1]2025年已发货'!$F:$F,C4577,'[1]2025年已发货'!$C:$C,F4577,'[1]2025年已发货'!$G:$G,I4577,'[1]2025年已发货'!$H:$H,J4577))</f>
        <v>15</v>
      </c>
      <c r="I4577" s="33" t="str">
        <f>VLOOKUP(B4577,辅助信息!E:I,3,FALSE)</f>
        <v>(五冶钢构龙泉东洪片区70亩住宅、商业及配套工程项目二标段)成都市龙泉驿外东洪路地铁2号线惠王陵地铁C口</v>
      </c>
      <c r="J4577" s="33" t="str">
        <f>VLOOKUP(B4577,辅助信息!E:I,4,FALSE)</f>
        <v>蒋嗣伟</v>
      </c>
      <c r="K4577" s="33">
        <f>VLOOKUP(J4577,辅助信息!H:I,2,FALSE)</f>
        <v>15014331252</v>
      </c>
      <c r="L4577" s="102">
        <f>VLOOKUP(B4577,辅助信息!E:J,6,FALSE)</f>
        <v>0</v>
      </c>
      <c r="O4577" s="55" t="str">
        <f ca="1" t="shared" si="226"/>
        <v/>
      </c>
      <c r="P4577" s="55" t="str">
        <f ca="1" t="shared" si="227"/>
        <v/>
      </c>
      <c r="Q4577" s="22" t="str">
        <f>VLOOKUP(B4577,辅助信息!E:M,9,FALSE)</f>
        <v>ZTWM-CDGS-XS-2025-0156-五冶钢构-2025年九月第一批次钢筋采购合同(三圣乡项目)-中铁物贸成都公司</v>
      </c>
      <c r="R4577" s="22" t="str">
        <f>_xlfn._xlws.FILTER(辅助信息!D:D,辅助信息!E:E=B4577)</f>
        <v>五冶钢构龙泉东洪片区70亩住宅、商业及配套工程项目二标段</v>
      </c>
    </row>
    <row r="4578" hidden="1" spans="2:18">
      <c r="B4578" s="128" t="s">
        <v>228</v>
      </c>
      <c r="C4578" s="63">
        <v>45945</v>
      </c>
      <c r="D4578" s="33" t="str">
        <f>VLOOKUP(B4578,辅助信息!E:K,7,FALSE)</f>
        <v>JWDDCD2025092400190</v>
      </c>
      <c r="E4578" s="33" t="str">
        <f>VLOOKUP(F4578,辅助信息!A:B,2,FALSE)</f>
        <v>盘螺</v>
      </c>
      <c r="F4578" s="33" t="s">
        <v>40</v>
      </c>
      <c r="G4578" s="29">
        <v>18</v>
      </c>
      <c r="H4578" s="127">
        <f>IF(SUMIFS('[1]2025年已发货'!$E:$E,'[1]2025年已发货'!$F:$F,C4578,'[1]2025年已发货'!$C:$C,F4578,'[1]2025年已发货'!$G:$G,I4578,'[1]2025年已发货'!$H:$H,J4578)=0,"未发货",SUMIFS('[1]2025年已发货'!$E:$E,'[1]2025年已发货'!$F:$F,C4578,'[1]2025年已发货'!$C:$C,F4578,'[1]2025年已发货'!$G:$G,I4578,'[1]2025年已发货'!$H:$H,J4578))</f>
        <v>18</v>
      </c>
      <c r="I4578" s="33" t="str">
        <f>VLOOKUP(B4578,辅助信息!E:I,3,FALSE)</f>
        <v>(五冶钢构龙泉东洪片区70亩住宅、商业及配套工程项目二标段)成都市龙泉驿外东洪路地铁2号线惠王陵地铁C口</v>
      </c>
      <c r="J4578" s="33" t="str">
        <f>VLOOKUP(B4578,辅助信息!E:I,4,FALSE)</f>
        <v>蒋嗣伟</v>
      </c>
      <c r="K4578" s="33">
        <f>VLOOKUP(J4578,辅助信息!H:I,2,FALSE)</f>
        <v>15014331252</v>
      </c>
      <c r="L4578" s="102">
        <f>VLOOKUP(B4578,辅助信息!E:J,6,FALSE)</f>
        <v>0</v>
      </c>
      <c r="O4578" s="55" t="str">
        <f ca="1" t="shared" si="226"/>
        <v/>
      </c>
      <c r="P4578" s="55" t="str">
        <f ca="1" t="shared" si="227"/>
        <v/>
      </c>
      <c r="Q4578" s="22" t="str">
        <f>VLOOKUP(B4578,辅助信息!E:M,9,FALSE)</f>
        <v>ZTWM-CDGS-XS-2025-0156-五冶钢构-2025年九月第一批次钢筋采购合同(三圣乡项目)-中铁物贸成都公司</v>
      </c>
      <c r="R4578" s="22" t="str">
        <f>_xlfn._xlws.FILTER(辅助信息!D:D,辅助信息!E:E=B4578)</f>
        <v>五冶钢构龙泉东洪片区70亩住宅、商业及配套工程项目二标段</v>
      </c>
    </row>
    <row r="4579" hidden="1" spans="2:18">
      <c r="B4579" s="128" t="s">
        <v>240</v>
      </c>
      <c r="C4579" s="63">
        <v>45945</v>
      </c>
      <c r="D4579" s="33" t="str">
        <f>VLOOKUP(B4579,辅助信息!E:K,7,FALSE)</f>
        <v>JWDDCD2025092400204</v>
      </c>
      <c r="E4579" s="33" t="str">
        <f>VLOOKUP(F4579,辅助信息!A:B,2,FALSE)</f>
        <v>高线</v>
      </c>
      <c r="F4579" s="33" t="s">
        <v>53</v>
      </c>
      <c r="G4579" s="29">
        <v>2.5</v>
      </c>
      <c r="H4579" s="127"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33" t="str">
        <f>VLOOKUP(B4579,辅助信息!E:I,3,FALSE)</f>
        <v>(五冶钢构龙泉东洪片区70亩住宅、商业及配套工程项目三标段)成都市龙泉驿外东洪路地铁2号线惠王陵地铁C口</v>
      </c>
      <c r="J4579" s="33" t="str">
        <f>VLOOKUP(B4579,辅助信息!E:I,4,FALSE)</f>
        <v>蒋嗣伟</v>
      </c>
      <c r="K4579" s="33">
        <f>VLOOKUP(J4579,辅助信息!H:I,2,FALSE)</f>
        <v>15014331252</v>
      </c>
      <c r="L4579" s="102">
        <f>VLOOKUP(B4579,辅助信息!E:J,6,FALSE)</f>
        <v>0</v>
      </c>
      <c r="O4579" s="55" t="str">
        <f ca="1" t="shared" si="226"/>
        <v/>
      </c>
      <c r="P4579" s="55" t="str">
        <f ca="1" t="shared" si="227"/>
        <v/>
      </c>
      <c r="Q4579" s="22" t="str">
        <f>VLOOKUP(B4579,辅助信息!E:M,9,FALSE)</f>
        <v>ZTWM-CDGS-XS-2025-0156-五冶钢构-2025年九月第一批次钢筋采购合同(三圣乡项目)-中铁物贸成都公司</v>
      </c>
      <c r="R4579" s="22" t="str">
        <f>_xlfn._xlws.FILTER(辅助信息!D:D,辅助信息!E:E=B4579)</f>
        <v>五冶钢构龙泉东洪片区70亩住宅、商业及配套工程项目三标段</v>
      </c>
    </row>
    <row r="4580" hidden="1" spans="2:18">
      <c r="B4580" s="128" t="s">
        <v>240</v>
      </c>
      <c r="C4580" s="63">
        <v>45945</v>
      </c>
      <c r="D4580" s="33" t="str">
        <f>VLOOKUP(B4580,辅助信息!E:K,7,FALSE)</f>
        <v>JWDDCD2025092400204</v>
      </c>
      <c r="E4580" s="33" t="str">
        <f>VLOOKUP(F4580,辅助信息!A:B,2,FALSE)</f>
        <v>盘螺</v>
      </c>
      <c r="F4580" s="33" t="s">
        <v>41</v>
      </c>
      <c r="G4580" s="29">
        <v>15</v>
      </c>
      <c r="H4580" s="127"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33" t="str">
        <f>VLOOKUP(B4580,辅助信息!E:I,3,FALSE)</f>
        <v>(五冶钢构龙泉东洪片区70亩住宅、商业及配套工程项目三标段)成都市龙泉驿外东洪路地铁2号线惠王陵地铁C口</v>
      </c>
      <c r="J4580" s="33" t="str">
        <f>VLOOKUP(B4580,辅助信息!E:I,4,FALSE)</f>
        <v>蒋嗣伟</v>
      </c>
      <c r="K4580" s="33">
        <f>VLOOKUP(J4580,辅助信息!H:I,2,FALSE)</f>
        <v>15014331252</v>
      </c>
      <c r="L4580" s="102">
        <f>VLOOKUP(B4580,辅助信息!E:J,6,FALSE)</f>
        <v>0</v>
      </c>
      <c r="O4580" s="55" t="str">
        <f ca="1" t="shared" si="226"/>
        <v/>
      </c>
      <c r="P4580" s="55" t="str">
        <f ca="1" t="shared" si="227"/>
        <v/>
      </c>
      <c r="Q4580" s="22" t="str">
        <f>VLOOKUP(B4580,辅助信息!E:M,9,FALSE)</f>
        <v>ZTWM-CDGS-XS-2025-0156-五冶钢构-2025年九月第一批次钢筋采购合同(三圣乡项目)-中铁物贸成都公司</v>
      </c>
      <c r="R4580" s="22" t="str">
        <f>_xlfn._xlws.FILTER(辅助信息!D:D,辅助信息!E:E=B4580)</f>
        <v>五冶钢构龙泉东洪片区70亩住宅、商业及配套工程项目三标段</v>
      </c>
    </row>
    <row r="4581" hidden="1" spans="2:18">
      <c r="B4581" s="128" t="s">
        <v>240</v>
      </c>
      <c r="C4581" s="63">
        <v>45945</v>
      </c>
      <c r="D4581" s="33" t="str">
        <f>VLOOKUP(B4581,辅助信息!E:K,7,FALSE)</f>
        <v>JWDDCD2025092400204</v>
      </c>
      <c r="E4581" s="33" t="str">
        <f>VLOOKUP(F4581,辅助信息!A:B,2,FALSE)</f>
        <v>盘螺</v>
      </c>
      <c r="F4581" s="33" t="s">
        <v>49</v>
      </c>
      <c r="G4581" s="29">
        <v>5</v>
      </c>
      <c r="H4581" s="127"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33" t="str">
        <f>VLOOKUP(B4581,辅助信息!E:I,3,FALSE)</f>
        <v>(五冶钢构龙泉东洪片区70亩住宅、商业及配套工程项目三标段)成都市龙泉驿外东洪路地铁2号线惠王陵地铁C口</v>
      </c>
      <c r="J4581" s="33" t="str">
        <f>VLOOKUP(B4581,辅助信息!E:I,4,FALSE)</f>
        <v>蒋嗣伟</v>
      </c>
      <c r="K4581" s="33">
        <f>VLOOKUP(J4581,辅助信息!H:I,2,FALSE)</f>
        <v>15014331252</v>
      </c>
      <c r="L4581" s="102">
        <f>VLOOKUP(B4581,辅助信息!E:J,6,FALSE)</f>
        <v>0</v>
      </c>
      <c r="O4581" s="55" t="str">
        <f ca="1" t="shared" si="226"/>
        <v/>
      </c>
      <c r="P4581" s="55" t="str">
        <f ca="1" t="shared" si="227"/>
        <v/>
      </c>
      <c r="Q4581" s="22" t="str">
        <f>VLOOKUP(B4581,辅助信息!E:M,9,FALSE)</f>
        <v>ZTWM-CDGS-XS-2025-0156-五冶钢构-2025年九月第一批次钢筋采购合同(三圣乡项目)-中铁物贸成都公司</v>
      </c>
      <c r="R4581" s="22" t="str">
        <f>_xlfn._xlws.FILTER(辅助信息!D:D,辅助信息!E:E=B4581)</f>
        <v>五冶钢构龙泉东洪片区70亩住宅、商业及配套工程项目三标段</v>
      </c>
    </row>
    <row r="4582" hidden="1" spans="2:18">
      <c r="B4582" s="128" t="s">
        <v>240</v>
      </c>
      <c r="C4582" s="63">
        <v>45945</v>
      </c>
      <c r="D4582" s="33" t="str">
        <f>VLOOKUP(B4582,辅助信息!E:K,7,FALSE)</f>
        <v>JWDDCD2025092400204</v>
      </c>
      <c r="E4582" s="33" t="str">
        <f>VLOOKUP(F4582,辅助信息!A:B,2,FALSE)</f>
        <v>盘螺</v>
      </c>
      <c r="F4582" s="33" t="s">
        <v>40</v>
      </c>
      <c r="G4582" s="29">
        <v>10</v>
      </c>
      <c r="H4582" s="127"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33" t="str">
        <f>VLOOKUP(B4582,辅助信息!E:I,3,FALSE)</f>
        <v>(五冶钢构龙泉东洪片区70亩住宅、商业及配套工程项目三标段)成都市龙泉驿外东洪路地铁2号线惠王陵地铁C口</v>
      </c>
      <c r="J4582" s="33" t="str">
        <f>VLOOKUP(B4582,辅助信息!E:I,4,FALSE)</f>
        <v>蒋嗣伟</v>
      </c>
      <c r="K4582" s="33">
        <f>VLOOKUP(J4582,辅助信息!H:I,2,FALSE)</f>
        <v>15014331252</v>
      </c>
      <c r="L4582" s="102">
        <f>VLOOKUP(B4582,辅助信息!E:J,6,FALSE)</f>
        <v>0</v>
      </c>
      <c r="O4582" s="55" t="str">
        <f ca="1" t="shared" si="226"/>
        <v/>
      </c>
      <c r="P4582" s="55" t="str">
        <f ca="1" t="shared" si="227"/>
        <v/>
      </c>
      <c r="Q4582" s="22" t="str">
        <f>VLOOKUP(B4582,辅助信息!E:M,9,FALSE)</f>
        <v>ZTWM-CDGS-XS-2025-0156-五冶钢构-2025年九月第一批次钢筋采购合同(三圣乡项目)-中铁物贸成都公司</v>
      </c>
      <c r="R4582" s="22" t="str">
        <f>_xlfn._xlws.FILTER(辅助信息!D:D,辅助信息!E:E=B4582)</f>
        <v>五冶钢构龙泉东洪片区70亩住宅、商业及配套工程项目三标段</v>
      </c>
    </row>
    <row r="4583" hidden="1" spans="2:18">
      <c r="B4583" s="128" t="s">
        <v>224</v>
      </c>
      <c r="C4583" s="63">
        <v>45945</v>
      </c>
      <c r="D4583" s="33" t="str">
        <f>VLOOKUP(B4583,辅助信息!E:K,7,FALSE)</f>
        <v>JWDDCD2025092400188</v>
      </c>
      <c r="E4583" s="33" t="str">
        <f>VLOOKUP(F4583,辅助信息!A:B,2,FALSE)</f>
        <v>螺纹钢</v>
      </c>
      <c r="F4583" s="33" t="s">
        <v>27</v>
      </c>
      <c r="G4583" s="29">
        <v>35</v>
      </c>
      <c r="H4583" s="127">
        <f>IF(SUMIFS('[1]2025年已发货'!$E:$E,'[1]2025年已发货'!$F:$F,C4583,'[1]2025年已发货'!$C:$C,F4583,'[1]2025年已发货'!$G:$G,I4583,'[1]2025年已发货'!$H:$H,J4583)=0,"未发货",SUMIFS('[1]2025年已发货'!$E:$E,'[1]2025年已发货'!$F:$F,C4583,'[1]2025年已发货'!$C:$C,F4583,'[1]2025年已发货'!$G:$G,I4583,'[1]2025年已发货'!$H:$H,J4583))</f>
        <v>35</v>
      </c>
      <c r="I4583" s="33" t="str">
        <f>VLOOKUP(B4583,辅助信息!E:I,3,FALSE)</f>
        <v>(五冶钢构龙泉东洪片区70亩住宅、商业及配套工程项目一标段)成都市龙泉驿外东洪路地铁2号线惠王陵地铁C口</v>
      </c>
      <c r="J4583" s="33" t="str">
        <f>VLOOKUP(B4583,辅助信息!E:I,4,FALSE)</f>
        <v>邹爱国</v>
      </c>
      <c r="K4583" s="33">
        <f>VLOOKUP(J4583,辅助信息!H:I,2,FALSE)</f>
        <v>13540231225</v>
      </c>
      <c r="L4583" s="102">
        <f>VLOOKUP(B4583,辅助信息!E:J,6,FALSE)</f>
        <v>0</v>
      </c>
      <c r="O4583" s="55" t="str">
        <f ca="1" t="shared" si="226"/>
        <v/>
      </c>
      <c r="P4583" s="55" t="str">
        <f ca="1" t="shared" si="227"/>
        <v/>
      </c>
      <c r="Q4583" s="22" t="str">
        <f>VLOOKUP(B4583,辅助信息!E:M,9,FALSE)</f>
        <v>ZTWM-CDGS-XS-2025-0156-五冶钢构-2025年九月第一批次钢筋采购合同(三圣乡项目)-中铁物贸成都公司</v>
      </c>
      <c r="R4583" s="22" t="str">
        <f>_xlfn._xlws.FILTER(辅助信息!D:D,辅助信息!E:E=B4583)</f>
        <v>五冶钢构龙泉东洪片区70亩住宅、商业及配套工程项目一标段</v>
      </c>
    </row>
    <row r="4584" hidden="1" spans="2:18">
      <c r="B4584" s="128" t="s">
        <v>224</v>
      </c>
      <c r="C4584" s="63">
        <v>45945</v>
      </c>
      <c r="D4584" s="33" t="str">
        <f>VLOOKUP(B4584,辅助信息!E:K,7,FALSE)</f>
        <v>JWDDCD2025092400188</v>
      </c>
      <c r="E4584" s="33" t="str">
        <f>VLOOKUP(F4584,辅助信息!A:B,2,FALSE)</f>
        <v>盘螺</v>
      </c>
      <c r="F4584" s="33" t="s">
        <v>41</v>
      </c>
      <c r="G4584" s="29">
        <v>30</v>
      </c>
      <c r="H4584" s="127">
        <f>IF(SUMIFS('[1]2025年已发货'!$E:$E,'[1]2025年已发货'!$F:$F,C4584,'[1]2025年已发货'!$C:$C,F4584,'[1]2025年已发货'!$G:$G,I4584,'[1]2025年已发货'!$H:$H,J4584)=0,"未发货",SUMIFS('[1]2025年已发货'!$E:$E,'[1]2025年已发货'!$F:$F,C4584,'[1]2025年已发货'!$C:$C,F4584,'[1]2025年已发货'!$G:$G,I4584,'[1]2025年已发货'!$H:$H,J4584))</f>
        <v>30</v>
      </c>
      <c r="I4584" s="33" t="str">
        <f>VLOOKUP(B4584,辅助信息!E:I,3,FALSE)</f>
        <v>(五冶钢构龙泉东洪片区70亩住宅、商业及配套工程项目一标段)成都市龙泉驿外东洪路地铁2号线惠王陵地铁C口</v>
      </c>
      <c r="J4584" s="33" t="str">
        <f>VLOOKUP(B4584,辅助信息!E:I,4,FALSE)</f>
        <v>邹爱国</v>
      </c>
      <c r="K4584" s="33">
        <f>VLOOKUP(J4584,辅助信息!H:I,2,FALSE)</f>
        <v>13540231225</v>
      </c>
      <c r="L4584" s="102">
        <f>VLOOKUP(B4584,辅助信息!E:J,6,FALSE)</f>
        <v>0</v>
      </c>
      <c r="O4584" s="55" t="str">
        <f ca="1" t="shared" si="226"/>
        <v/>
      </c>
      <c r="P4584" s="55" t="str">
        <f ca="1" t="shared" si="227"/>
        <v/>
      </c>
      <c r="Q4584" s="22" t="str">
        <f>VLOOKUP(B4584,辅助信息!E:M,9,FALSE)</f>
        <v>ZTWM-CDGS-XS-2025-0156-五冶钢构-2025年九月第一批次钢筋采购合同(三圣乡项目)-中铁物贸成都公司</v>
      </c>
      <c r="R4584" s="22" t="str">
        <f>_xlfn._xlws.FILTER(辅助信息!D:D,辅助信息!E:E=B4584)</f>
        <v>五冶钢构龙泉东洪片区70亩住宅、商业及配套工程项目一标段</v>
      </c>
    </row>
    <row r="4585" hidden="1" spans="2:18">
      <c r="B4585" s="128" t="s">
        <v>224</v>
      </c>
      <c r="C4585" s="63">
        <v>45945</v>
      </c>
      <c r="D4585" s="33" t="str">
        <f>VLOOKUP(B4585,辅助信息!E:K,7,FALSE)</f>
        <v>JWDDCD2025092400188</v>
      </c>
      <c r="E4585" s="33" t="str">
        <f>VLOOKUP(F4585,辅助信息!A:B,2,FALSE)</f>
        <v>盘螺</v>
      </c>
      <c r="F4585" s="33" t="s">
        <v>40</v>
      </c>
      <c r="G4585" s="29">
        <v>40</v>
      </c>
      <c r="H4585" s="127">
        <f>IF(SUMIFS('[1]2025年已发货'!$E:$E,'[1]2025年已发货'!$F:$F,C4585,'[1]2025年已发货'!$C:$C,F4585,'[1]2025年已发货'!$G:$G,I4585,'[1]2025年已发货'!$H:$H,J4585)=0,"未发货",SUMIFS('[1]2025年已发货'!$E:$E,'[1]2025年已发货'!$F:$F,C4585,'[1]2025年已发货'!$C:$C,F4585,'[1]2025年已发货'!$G:$G,I4585,'[1]2025年已发货'!$H:$H,J4585))</f>
        <v>40</v>
      </c>
      <c r="I4585" s="33" t="str">
        <f>VLOOKUP(B4585,辅助信息!E:I,3,FALSE)</f>
        <v>(五冶钢构龙泉东洪片区70亩住宅、商业及配套工程项目一标段)成都市龙泉驿外东洪路地铁2号线惠王陵地铁C口</v>
      </c>
      <c r="J4585" s="33" t="str">
        <f>VLOOKUP(B4585,辅助信息!E:I,4,FALSE)</f>
        <v>邹爱国</v>
      </c>
      <c r="K4585" s="33">
        <f>VLOOKUP(J4585,辅助信息!H:I,2,FALSE)</f>
        <v>13540231225</v>
      </c>
      <c r="L4585" s="102">
        <f>VLOOKUP(B4585,辅助信息!E:J,6,FALSE)</f>
        <v>0</v>
      </c>
      <c r="O4585" s="55" t="str">
        <f ca="1" t="shared" si="226"/>
        <v/>
      </c>
      <c r="P4585" s="55" t="str">
        <f ca="1" t="shared" si="227"/>
        <v/>
      </c>
      <c r="Q4585" s="22" t="str">
        <f>VLOOKUP(B4585,辅助信息!E:M,9,FALSE)</f>
        <v>ZTWM-CDGS-XS-2025-0156-五冶钢构-2025年九月第一批次钢筋采购合同(三圣乡项目)-中铁物贸成都公司</v>
      </c>
      <c r="R4585" s="22" t="str">
        <f>_xlfn._xlws.FILTER(辅助信息!D:D,辅助信息!E:E=B4585)</f>
        <v>五冶钢构龙泉东洪片区70亩住宅、商业及配套工程项目一标段</v>
      </c>
    </row>
    <row r="4586" hidden="1" spans="2:18">
      <c r="B4586" s="128" t="s">
        <v>229</v>
      </c>
      <c r="C4586" s="63">
        <v>45945</v>
      </c>
      <c r="D4586" s="33" t="str">
        <f>VLOOKUP(B4586,辅助信息!E:K,7,FALSE)</f>
        <v>JWDDCD2025092400212</v>
      </c>
      <c r="E4586" s="33" t="str">
        <f>VLOOKUP(F4586,辅助信息!A:B,2,FALSE)</f>
        <v>螺纹钢</v>
      </c>
      <c r="F4586" s="33" t="s">
        <v>27</v>
      </c>
      <c r="G4586" s="29">
        <v>60</v>
      </c>
      <c r="H4586" s="127"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33" t="str">
        <f>VLOOKUP(B4586,辅助信息!E:I,3,FALSE)</f>
        <v>(五冶钢构龙泉东洪片区85亩住宅、商业及配套工程项目三标段)成都市龙泉驿外东洪路地铁2号线惠王陵地铁C口</v>
      </c>
      <c r="J4586" s="33" t="str">
        <f>VLOOKUP(B4586,辅助信息!E:I,4,FALSE)</f>
        <v>王军宝</v>
      </c>
      <c r="K4586" s="33">
        <f>VLOOKUP(J4586,辅助信息!H:I,2,FALSE)</f>
        <v>13889142392</v>
      </c>
      <c r="L4586" s="102">
        <f>VLOOKUP(B4586,辅助信息!E:J,6,FALSE)</f>
        <v>0</v>
      </c>
      <c r="O4586" s="55" t="str">
        <f ca="1" t="shared" si="226"/>
        <v/>
      </c>
      <c r="P4586" s="55" t="str">
        <f ca="1" t="shared" si="227"/>
        <v/>
      </c>
      <c r="Q4586" s="22" t="str">
        <f>VLOOKUP(B4586,辅助信息!E:M,9,FALSE)</f>
        <v>ZTWM-CDGS-XS-2025-0156-五冶钢构-2025年九月第一批次钢筋采购合同(三圣乡项目)-中铁物贸成都公司</v>
      </c>
      <c r="R4586" s="22" t="str">
        <f>_xlfn._xlws.FILTER(辅助信息!D:D,辅助信息!E:E=B4586)</f>
        <v>五冶钢构龙泉东洪片区85亩住宅、商业及配套工程项目三标段</v>
      </c>
    </row>
    <row r="4587" hidden="1" spans="2:18">
      <c r="B4587" s="128" t="s">
        <v>229</v>
      </c>
      <c r="C4587" s="63">
        <v>45945</v>
      </c>
      <c r="D4587" s="33" t="str">
        <f>VLOOKUP(B4587,辅助信息!E:K,7,FALSE)</f>
        <v>JWDDCD2025092400212</v>
      </c>
      <c r="E4587" s="33" t="str">
        <f>VLOOKUP(F4587,辅助信息!A:B,2,FALSE)</f>
        <v>螺纹钢</v>
      </c>
      <c r="F4587" s="33" t="s">
        <v>19</v>
      </c>
      <c r="G4587" s="29">
        <v>38</v>
      </c>
      <c r="H4587" s="127"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33" t="str">
        <f>VLOOKUP(B4587,辅助信息!E:I,3,FALSE)</f>
        <v>(五冶钢构龙泉东洪片区85亩住宅、商业及配套工程项目三标段)成都市龙泉驿外东洪路地铁2号线惠王陵地铁C口</v>
      </c>
      <c r="J4587" s="33" t="str">
        <f>VLOOKUP(B4587,辅助信息!E:I,4,FALSE)</f>
        <v>王军宝</v>
      </c>
      <c r="K4587" s="33">
        <f>VLOOKUP(J4587,辅助信息!H:I,2,FALSE)</f>
        <v>13889142392</v>
      </c>
      <c r="L4587" s="102">
        <f>VLOOKUP(B4587,辅助信息!E:J,6,FALSE)</f>
        <v>0</v>
      </c>
      <c r="O4587" s="55" t="str">
        <f ca="1" t="shared" si="226"/>
        <v/>
      </c>
      <c r="P4587" s="55" t="str">
        <f ca="1" t="shared" si="227"/>
        <v/>
      </c>
      <c r="Q4587" s="22" t="str">
        <f>VLOOKUP(B4587,辅助信息!E:M,9,FALSE)</f>
        <v>ZTWM-CDGS-XS-2025-0156-五冶钢构-2025年九月第一批次钢筋采购合同(三圣乡项目)-中铁物贸成都公司</v>
      </c>
      <c r="R4587" s="22" t="str">
        <f>_xlfn._xlws.FILTER(辅助信息!D:D,辅助信息!E:E=B4587)</f>
        <v>五冶钢构龙泉东洪片区85亩住宅、商业及配套工程项目三标段</v>
      </c>
    </row>
    <row r="4588" hidden="1" spans="2:18">
      <c r="B4588" s="128" t="s">
        <v>229</v>
      </c>
      <c r="C4588" s="63">
        <v>45945</v>
      </c>
      <c r="D4588" s="33" t="str">
        <f>VLOOKUP(B4588,辅助信息!E:K,7,FALSE)</f>
        <v>JWDDCD2025092400212</v>
      </c>
      <c r="E4588" s="33" t="str">
        <f>VLOOKUP(F4588,辅助信息!A:B,2,FALSE)</f>
        <v>螺纹钢</v>
      </c>
      <c r="F4588" s="33" t="s">
        <v>33</v>
      </c>
      <c r="G4588" s="29">
        <v>20</v>
      </c>
      <c r="H4588" s="127"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33" t="str">
        <f>VLOOKUP(B4588,辅助信息!E:I,3,FALSE)</f>
        <v>(五冶钢构龙泉东洪片区85亩住宅、商业及配套工程项目三标段)成都市龙泉驿外东洪路地铁2号线惠王陵地铁C口</v>
      </c>
      <c r="J4588" s="33" t="str">
        <f>VLOOKUP(B4588,辅助信息!E:I,4,FALSE)</f>
        <v>王军宝</v>
      </c>
      <c r="K4588" s="33">
        <f>VLOOKUP(J4588,辅助信息!H:I,2,FALSE)</f>
        <v>13889142392</v>
      </c>
      <c r="L4588" s="102">
        <f>VLOOKUP(B4588,辅助信息!E:J,6,FALSE)</f>
        <v>0</v>
      </c>
      <c r="O4588" s="55" t="str">
        <f ca="1" t="shared" si="226"/>
        <v/>
      </c>
      <c r="P4588" s="55" t="str">
        <f ca="1" t="shared" si="227"/>
        <v/>
      </c>
      <c r="Q4588" s="22" t="str">
        <f>VLOOKUP(B4588,辅助信息!E:M,9,FALSE)</f>
        <v>ZTWM-CDGS-XS-2025-0156-五冶钢构-2025年九月第一批次钢筋采购合同(三圣乡项目)-中铁物贸成都公司</v>
      </c>
      <c r="R4588" s="22" t="str">
        <f>_xlfn._xlws.FILTER(辅助信息!D:D,辅助信息!E:E=B4588)</f>
        <v>五冶钢构龙泉东洪片区85亩住宅、商业及配套工程项目三标段</v>
      </c>
    </row>
    <row r="4589" hidden="1" spans="2:18">
      <c r="B4589" s="128" t="s">
        <v>229</v>
      </c>
      <c r="C4589" s="63">
        <v>45945</v>
      </c>
      <c r="D4589" s="33" t="str">
        <f>VLOOKUP(B4589,辅助信息!E:K,7,FALSE)</f>
        <v>JWDDCD2025092400212</v>
      </c>
      <c r="E4589" s="33" t="str">
        <f>VLOOKUP(F4589,辅助信息!A:B,2,FALSE)</f>
        <v>螺纹钢</v>
      </c>
      <c r="F4589" s="33" t="s">
        <v>28</v>
      </c>
      <c r="G4589" s="29">
        <v>24</v>
      </c>
      <c r="H4589" s="127"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33" t="str">
        <f>VLOOKUP(B4589,辅助信息!E:I,3,FALSE)</f>
        <v>(五冶钢构龙泉东洪片区85亩住宅、商业及配套工程项目三标段)成都市龙泉驿外东洪路地铁2号线惠王陵地铁C口</v>
      </c>
      <c r="J4589" s="33" t="str">
        <f>VLOOKUP(B4589,辅助信息!E:I,4,FALSE)</f>
        <v>王军宝</v>
      </c>
      <c r="K4589" s="33">
        <f>VLOOKUP(J4589,辅助信息!H:I,2,FALSE)</f>
        <v>13889142392</v>
      </c>
      <c r="L4589" s="102">
        <f>VLOOKUP(B4589,辅助信息!E:J,6,FALSE)</f>
        <v>0</v>
      </c>
      <c r="O4589" s="55" t="str">
        <f ca="1" t="shared" si="226"/>
        <v/>
      </c>
      <c r="P4589" s="55" t="str">
        <f ca="1" t="shared" si="227"/>
        <v/>
      </c>
      <c r="Q4589" s="22" t="str">
        <f>VLOOKUP(B4589,辅助信息!E:M,9,FALSE)</f>
        <v>ZTWM-CDGS-XS-2025-0156-五冶钢构-2025年九月第一批次钢筋采购合同(三圣乡项目)-中铁物贸成都公司</v>
      </c>
      <c r="R4589" s="22" t="str">
        <f>_xlfn._xlws.FILTER(辅助信息!D:D,辅助信息!E:E=B4589)</f>
        <v>五冶钢构龙泉东洪片区85亩住宅、商业及配套工程项目三标段</v>
      </c>
    </row>
    <row r="4590" hidden="1" spans="2:18">
      <c r="B4590" s="128" t="s">
        <v>229</v>
      </c>
      <c r="C4590" s="63">
        <v>45945</v>
      </c>
      <c r="D4590" s="33" t="str">
        <f>VLOOKUP(B4590,辅助信息!E:K,7,FALSE)</f>
        <v>JWDDCD2025092400212</v>
      </c>
      <c r="E4590" s="33" t="str">
        <f>VLOOKUP(F4590,辅助信息!A:B,2,FALSE)</f>
        <v>螺纹钢</v>
      </c>
      <c r="F4590" s="33" t="s">
        <v>18</v>
      </c>
      <c r="G4590" s="29">
        <v>4</v>
      </c>
      <c r="H4590" s="127"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33" t="str">
        <f>VLOOKUP(B4590,辅助信息!E:I,3,FALSE)</f>
        <v>(五冶钢构龙泉东洪片区85亩住宅、商业及配套工程项目三标段)成都市龙泉驿外东洪路地铁2号线惠王陵地铁C口</v>
      </c>
      <c r="J4590" s="33" t="str">
        <f>VLOOKUP(B4590,辅助信息!E:I,4,FALSE)</f>
        <v>王军宝</v>
      </c>
      <c r="K4590" s="33">
        <f>VLOOKUP(J4590,辅助信息!H:I,2,FALSE)</f>
        <v>13889142392</v>
      </c>
      <c r="L4590" s="102">
        <f>VLOOKUP(B4590,辅助信息!E:J,6,FALSE)</f>
        <v>0</v>
      </c>
      <c r="O4590" s="55" t="str">
        <f ca="1" t="shared" si="226"/>
        <v/>
      </c>
      <c r="P4590" s="55" t="str">
        <f ca="1" t="shared" si="227"/>
        <v/>
      </c>
      <c r="Q4590" s="22" t="str">
        <f>VLOOKUP(B4590,辅助信息!E:M,9,FALSE)</f>
        <v>ZTWM-CDGS-XS-2025-0156-五冶钢构-2025年九月第一批次钢筋采购合同(三圣乡项目)-中铁物贸成都公司</v>
      </c>
      <c r="R4590" s="22" t="str">
        <f>_xlfn._xlws.FILTER(辅助信息!D:D,辅助信息!E:E=B4590)</f>
        <v>五冶钢构龙泉东洪片区85亩住宅、商业及配套工程项目三标段</v>
      </c>
    </row>
    <row r="4591" hidden="1" spans="2:18">
      <c r="B4591" s="128" t="s">
        <v>229</v>
      </c>
      <c r="C4591" s="63">
        <v>45945</v>
      </c>
      <c r="D4591" s="33" t="str">
        <f>VLOOKUP(B4591,辅助信息!E:K,7,FALSE)</f>
        <v>JWDDCD2025092400212</v>
      </c>
      <c r="E4591" s="33" t="str">
        <f>VLOOKUP(F4591,辅助信息!A:B,2,FALSE)</f>
        <v>盘螺</v>
      </c>
      <c r="F4591" s="33" t="s">
        <v>41</v>
      </c>
      <c r="G4591" s="29">
        <v>62</v>
      </c>
      <c r="H4591" s="127"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33" t="str">
        <f>VLOOKUP(B4591,辅助信息!E:I,3,FALSE)</f>
        <v>(五冶钢构龙泉东洪片区85亩住宅、商业及配套工程项目三标段)成都市龙泉驿外东洪路地铁2号线惠王陵地铁C口</v>
      </c>
      <c r="J4591" s="33" t="str">
        <f>VLOOKUP(B4591,辅助信息!E:I,4,FALSE)</f>
        <v>王军宝</v>
      </c>
      <c r="K4591" s="33">
        <f>VLOOKUP(J4591,辅助信息!H:I,2,FALSE)</f>
        <v>13889142392</v>
      </c>
      <c r="L4591" s="102">
        <f>VLOOKUP(B4591,辅助信息!E:J,6,FALSE)</f>
        <v>0</v>
      </c>
      <c r="O4591" s="55" t="str">
        <f ca="1" t="shared" si="226"/>
        <v/>
      </c>
      <c r="P4591" s="55" t="str">
        <f ca="1" t="shared" si="227"/>
        <v/>
      </c>
      <c r="Q4591" s="22" t="str">
        <f>VLOOKUP(B4591,辅助信息!E:M,9,FALSE)</f>
        <v>ZTWM-CDGS-XS-2025-0156-五冶钢构-2025年九月第一批次钢筋采购合同(三圣乡项目)-中铁物贸成都公司</v>
      </c>
      <c r="R4591" s="22" t="str">
        <f>_xlfn._xlws.FILTER(辅助信息!D:D,辅助信息!E:E=B4591)</f>
        <v>五冶钢构龙泉东洪片区85亩住宅、商业及配套工程项目三标段</v>
      </c>
    </row>
    <row r="4592" hidden="1" spans="2:18">
      <c r="B4592" s="128" t="s">
        <v>229</v>
      </c>
      <c r="C4592" s="63">
        <v>45945</v>
      </c>
      <c r="D4592" s="33" t="str">
        <f>VLOOKUP(B4592,辅助信息!E:K,7,FALSE)</f>
        <v>JWDDCD2025092400212</v>
      </c>
      <c r="E4592" s="33" t="str">
        <f>VLOOKUP(F4592,辅助信息!A:B,2,FALSE)</f>
        <v>盘螺</v>
      </c>
      <c r="F4592" s="33" t="s">
        <v>49</v>
      </c>
      <c r="G4592" s="29">
        <v>6</v>
      </c>
      <c r="H4592" s="127"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33" t="str">
        <f>VLOOKUP(B4592,辅助信息!E:I,3,FALSE)</f>
        <v>(五冶钢构龙泉东洪片区85亩住宅、商业及配套工程项目三标段)成都市龙泉驿外东洪路地铁2号线惠王陵地铁C口</v>
      </c>
      <c r="J4592" s="33" t="str">
        <f>VLOOKUP(B4592,辅助信息!E:I,4,FALSE)</f>
        <v>王军宝</v>
      </c>
      <c r="K4592" s="33">
        <f>VLOOKUP(J4592,辅助信息!H:I,2,FALSE)</f>
        <v>13889142392</v>
      </c>
      <c r="L4592" s="102">
        <f>VLOOKUP(B4592,辅助信息!E:J,6,FALSE)</f>
        <v>0</v>
      </c>
      <c r="O4592" s="55" t="str">
        <f ca="1" t="shared" si="226"/>
        <v/>
      </c>
      <c r="P4592" s="55" t="str">
        <f ca="1" t="shared" si="227"/>
        <v/>
      </c>
      <c r="Q4592" s="22" t="str">
        <f>VLOOKUP(B4592,辅助信息!E:M,9,FALSE)</f>
        <v>ZTWM-CDGS-XS-2025-0156-五冶钢构-2025年九月第一批次钢筋采购合同(三圣乡项目)-中铁物贸成都公司</v>
      </c>
      <c r="R4592" s="22" t="str">
        <f>_xlfn._xlws.FILTER(辅助信息!D:D,辅助信息!E:E=B4592)</f>
        <v>五冶钢构龙泉东洪片区85亩住宅、商业及配套工程项目三标段</v>
      </c>
    </row>
    <row r="4593" hidden="1" spans="2:18">
      <c r="B4593" s="128" t="s">
        <v>229</v>
      </c>
      <c r="C4593" s="63">
        <v>45945</v>
      </c>
      <c r="D4593" s="33" t="str">
        <f>VLOOKUP(B4593,辅助信息!E:K,7,FALSE)</f>
        <v>JWDDCD2025092400212</v>
      </c>
      <c r="E4593" s="33" t="str">
        <f>VLOOKUP(F4593,辅助信息!A:B,2,FALSE)</f>
        <v>盘螺</v>
      </c>
      <c r="F4593" s="33" t="s">
        <v>40</v>
      </c>
      <c r="G4593" s="29">
        <v>109</v>
      </c>
      <c r="H4593" s="127"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33" t="str">
        <f>VLOOKUP(B4593,辅助信息!E:I,3,FALSE)</f>
        <v>(五冶钢构龙泉东洪片区85亩住宅、商业及配套工程项目三标段)成都市龙泉驿外东洪路地铁2号线惠王陵地铁C口</v>
      </c>
      <c r="J4593" s="33" t="str">
        <f>VLOOKUP(B4593,辅助信息!E:I,4,FALSE)</f>
        <v>王军宝</v>
      </c>
      <c r="K4593" s="33">
        <f>VLOOKUP(J4593,辅助信息!H:I,2,FALSE)</f>
        <v>13889142392</v>
      </c>
      <c r="L4593" s="102">
        <f>VLOOKUP(B4593,辅助信息!E:J,6,FALSE)</f>
        <v>0</v>
      </c>
      <c r="O4593" s="55" t="str">
        <f ca="1" t="shared" si="226"/>
        <v/>
      </c>
      <c r="P4593" s="55" t="str">
        <f ca="1" t="shared" si="227"/>
        <v/>
      </c>
      <c r="Q4593" s="22" t="str">
        <f>VLOOKUP(B4593,辅助信息!E:M,9,FALSE)</f>
        <v>ZTWM-CDGS-XS-2025-0156-五冶钢构-2025年九月第一批次钢筋采购合同(三圣乡项目)-中铁物贸成都公司</v>
      </c>
      <c r="R4593" s="22" t="str">
        <f>_xlfn._xlws.FILTER(辅助信息!D:D,辅助信息!E:E=B4593)</f>
        <v>五冶钢构龙泉东洪片区85亩住宅、商业及配套工程项目三标段</v>
      </c>
    </row>
    <row r="4594" hidden="1" spans="2:18">
      <c r="B4594" s="128" t="s">
        <v>225</v>
      </c>
      <c r="C4594" s="63">
        <v>45945</v>
      </c>
      <c r="D4594" s="33" t="str">
        <f>VLOOKUP(B4594,辅助信息!E:K,7,FALSE)</f>
        <v>JWDDCD2025092400210</v>
      </c>
      <c r="E4594" s="33" t="str">
        <f>VLOOKUP(F4594,辅助信息!A:B,2,FALSE)</f>
        <v>螺纹钢</v>
      </c>
      <c r="F4594" s="33" t="s">
        <v>27</v>
      </c>
      <c r="G4594" s="29">
        <v>25</v>
      </c>
      <c r="H4594" s="127">
        <f>IF(SUMIFS('[1]2025年已发货'!$E:$E,'[1]2025年已发货'!$F:$F,C4594,'[1]2025年已发货'!$C:$C,F4594,'[1]2025年已发货'!$G:$G,I4594,'[1]2025年已发货'!$H:$H,J4594)=0,"未发货",SUMIFS('[1]2025年已发货'!$E:$E,'[1]2025年已发货'!$F:$F,C4594,'[1]2025年已发货'!$C:$C,F4594,'[1]2025年已发货'!$G:$G,I4594,'[1]2025年已发货'!$H:$H,J4594))</f>
        <v>25</v>
      </c>
      <c r="I4594" s="33" t="str">
        <f>VLOOKUP(B4594,辅助信息!E:I,3,FALSE)</f>
        <v>(五冶钢构龙泉东洪片区85亩住宅、商业及配套工程项目一标段)成都市龙泉驿外东洪路地铁2号线惠王陵地铁C口</v>
      </c>
      <c r="J4594" s="33" t="str">
        <f>VLOOKUP(B4594,辅助信息!E:I,4,FALSE)</f>
        <v>岳工</v>
      </c>
      <c r="K4594" s="33">
        <f>VLOOKUP(J4594,辅助信息!H:I,2,FALSE)</f>
        <v>18599951655</v>
      </c>
      <c r="L4594" s="102">
        <f>VLOOKUP(B4594,辅助信息!E:J,6,FALSE)</f>
        <v>0</v>
      </c>
      <c r="O4594" s="55" t="str">
        <f ca="1" t="shared" si="226"/>
        <v/>
      </c>
      <c r="P4594" s="55" t="str">
        <f ca="1" t="shared" si="227"/>
        <v/>
      </c>
      <c r="Q4594" s="22" t="str">
        <f>VLOOKUP(B4594,辅助信息!E:M,9,FALSE)</f>
        <v>ZTWM-CDGS-XS-2025-0156-五冶钢构-2025年九月第一批次钢筋采购合同(三圣乡项目)-中铁物贸成都公司</v>
      </c>
      <c r="R4594" s="22" t="str">
        <f>_xlfn._xlws.FILTER(辅助信息!D:D,辅助信息!E:E=B4594)</f>
        <v>五冶钢构龙泉东洪片区85亩住宅、商业及配套工程项目一标段</v>
      </c>
    </row>
    <row r="4595" hidden="1" spans="2:18">
      <c r="B4595" s="128" t="s">
        <v>225</v>
      </c>
      <c r="C4595" s="63">
        <v>45945</v>
      </c>
      <c r="D4595" s="33" t="str">
        <f>VLOOKUP(B4595,辅助信息!E:K,7,FALSE)</f>
        <v>JWDDCD2025092400210</v>
      </c>
      <c r="E4595" s="33" t="str">
        <f>VLOOKUP(F4595,辅助信息!A:B,2,FALSE)</f>
        <v>螺纹钢</v>
      </c>
      <c r="F4595" s="33" t="s">
        <v>32</v>
      </c>
      <c r="G4595" s="29">
        <v>40</v>
      </c>
      <c r="H4595" s="127">
        <f>IF(SUMIFS('[1]2025年已发货'!$E:$E,'[1]2025年已发货'!$F:$F,C4595,'[1]2025年已发货'!$C:$C,F4595,'[1]2025年已发货'!$G:$G,I4595,'[1]2025年已发货'!$H:$H,J4595)=0,"未发货",SUMIFS('[1]2025年已发货'!$E:$E,'[1]2025年已发货'!$F:$F,C4595,'[1]2025年已发货'!$C:$C,F4595,'[1]2025年已发货'!$G:$G,I4595,'[1]2025年已发货'!$H:$H,J4595))</f>
        <v>40</v>
      </c>
      <c r="I4595" s="33" t="str">
        <f>VLOOKUP(B4595,辅助信息!E:I,3,FALSE)</f>
        <v>(五冶钢构龙泉东洪片区85亩住宅、商业及配套工程项目一标段)成都市龙泉驿外东洪路地铁2号线惠王陵地铁C口</v>
      </c>
      <c r="J4595" s="33" t="str">
        <f>VLOOKUP(B4595,辅助信息!E:I,4,FALSE)</f>
        <v>岳工</v>
      </c>
      <c r="K4595" s="33">
        <f>VLOOKUP(J4595,辅助信息!H:I,2,FALSE)</f>
        <v>18599951655</v>
      </c>
      <c r="L4595" s="102">
        <f>VLOOKUP(B4595,辅助信息!E:J,6,FALSE)</f>
        <v>0</v>
      </c>
      <c r="O4595" s="55" t="str">
        <f ca="1" t="shared" si="226"/>
        <v/>
      </c>
      <c r="P4595" s="55" t="str">
        <f ca="1" t="shared" si="227"/>
        <v/>
      </c>
      <c r="Q4595" s="22" t="str">
        <f>VLOOKUP(B4595,辅助信息!E:M,9,FALSE)</f>
        <v>ZTWM-CDGS-XS-2025-0156-五冶钢构-2025年九月第一批次钢筋采购合同(三圣乡项目)-中铁物贸成都公司</v>
      </c>
      <c r="R4595" s="22" t="str">
        <f>_xlfn._xlws.FILTER(辅助信息!D:D,辅助信息!E:E=B4595)</f>
        <v>五冶钢构龙泉东洪片区85亩住宅、商业及配套工程项目一标段</v>
      </c>
    </row>
    <row r="4596" hidden="1" spans="2:18">
      <c r="B4596" s="128" t="s">
        <v>225</v>
      </c>
      <c r="C4596" s="63">
        <v>45945</v>
      </c>
      <c r="D4596" s="33" t="str">
        <f>VLOOKUP(B4596,辅助信息!E:K,7,FALSE)</f>
        <v>JWDDCD2025092400210</v>
      </c>
      <c r="E4596" s="33" t="str">
        <f>VLOOKUP(F4596,辅助信息!A:B,2,FALSE)</f>
        <v>螺纹钢</v>
      </c>
      <c r="F4596" s="33" t="s">
        <v>18</v>
      </c>
      <c r="G4596" s="29">
        <v>10</v>
      </c>
      <c r="H4596" s="127">
        <f>IF(SUMIFS('[1]2025年已发货'!$E:$E,'[1]2025年已发货'!$F:$F,C4596,'[1]2025年已发货'!$C:$C,F4596,'[1]2025年已发货'!$G:$G,I4596,'[1]2025年已发货'!$H:$H,J4596)=0,"未发货",SUMIFS('[1]2025年已发货'!$E:$E,'[1]2025年已发货'!$F:$F,C4596,'[1]2025年已发货'!$C:$C,F4596,'[1]2025年已发货'!$G:$G,I4596,'[1]2025年已发货'!$H:$H,J4596))</f>
        <v>10</v>
      </c>
      <c r="I4596" s="33" t="str">
        <f>VLOOKUP(B4596,辅助信息!E:I,3,FALSE)</f>
        <v>(五冶钢构龙泉东洪片区85亩住宅、商业及配套工程项目一标段)成都市龙泉驿外东洪路地铁2号线惠王陵地铁C口</v>
      </c>
      <c r="J4596" s="33" t="str">
        <f>VLOOKUP(B4596,辅助信息!E:I,4,FALSE)</f>
        <v>岳工</v>
      </c>
      <c r="K4596" s="33">
        <f>VLOOKUP(J4596,辅助信息!H:I,2,FALSE)</f>
        <v>18599951655</v>
      </c>
      <c r="L4596" s="102">
        <f>VLOOKUP(B4596,辅助信息!E:J,6,FALSE)</f>
        <v>0</v>
      </c>
      <c r="O4596" s="55" t="str">
        <f ca="1" t="shared" si="226"/>
        <v/>
      </c>
      <c r="P4596" s="55" t="str">
        <f ca="1" t="shared" si="227"/>
        <v/>
      </c>
      <c r="Q4596" s="22" t="str">
        <f>VLOOKUP(B4596,辅助信息!E:M,9,FALSE)</f>
        <v>ZTWM-CDGS-XS-2025-0156-五冶钢构-2025年九月第一批次钢筋采购合同(三圣乡项目)-中铁物贸成都公司</v>
      </c>
      <c r="R4596" s="22" t="str">
        <f>_xlfn._xlws.FILTER(辅助信息!D:D,辅助信息!E:E=B4596)</f>
        <v>五冶钢构龙泉东洪片区85亩住宅、商业及配套工程项目一标段</v>
      </c>
    </row>
    <row r="4597" hidden="1" spans="2:18">
      <c r="B4597" s="128" t="s">
        <v>225</v>
      </c>
      <c r="C4597" s="63">
        <v>45945</v>
      </c>
      <c r="D4597" s="33" t="str">
        <f>VLOOKUP(B4597,辅助信息!E:K,7,FALSE)</f>
        <v>JWDDCD2025092400210</v>
      </c>
      <c r="E4597" s="33" t="str">
        <f>VLOOKUP(F4597,辅助信息!A:B,2,FALSE)</f>
        <v>螺纹钢</v>
      </c>
      <c r="F4597" s="33" t="s">
        <v>46</v>
      </c>
      <c r="G4597" s="29">
        <v>6</v>
      </c>
      <c r="H4597" s="127">
        <f>IF(SUMIFS('[1]2025年已发货'!$E:$E,'[1]2025年已发货'!$F:$F,C4597,'[1]2025年已发货'!$C:$C,F4597,'[1]2025年已发货'!$G:$G,I4597,'[1]2025年已发货'!$H:$H,J4597)=0,"未发货",SUMIFS('[1]2025年已发货'!$E:$E,'[1]2025年已发货'!$F:$F,C4597,'[1]2025年已发货'!$C:$C,F4597,'[1]2025年已发货'!$G:$G,I4597,'[1]2025年已发货'!$H:$H,J4597))</f>
        <v>6</v>
      </c>
      <c r="I4597" s="33" t="str">
        <f>VLOOKUP(B4597,辅助信息!E:I,3,FALSE)</f>
        <v>(五冶钢构龙泉东洪片区85亩住宅、商业及配套工程项目一标段)成都市龙泉驿外东洪路地铁2号线惠王陵地铁C口</v>
      </c>
      <c r="J4597" s="33" t="str">
        <f>VLOOKUP(B4597,辅助信息!E:I,4,FALSE)</f>
        <v>岳工</v>
      </c>
      <c r="K4597" s="33">
        <f>VLOOKUP(J4597,辅助信息!H:I,2,FALSE)</f>
        <v>18599951655</v>
      </c>
      <c r="L4597" s="102">
        <f>VLOOKUP(B4597,辅助信息!E:J,6,FALSE)</f>
        <v>0</v>
      </c>
      <c r="O4597" s="55" t="str">
        <f ca="1" t="shared" si="226"/>
        <v/>
      </c>
      <c r="P4597" s="55" t="str">
        <f ca="1" t="shared" si="227"/>
        <v/>
      </c>
      <c r="Q4597" s="22" t="str">
        <f>VLOOKUP(B4597,辅助信息!E:M,9,FALSE)</f>
        <v>ZTWM-CDGS-XS-2025-0156-五冶钢构-2025年九月第一批次钢筋采购合同(三圣乡项目)-中铁物贸成都公司</v>
      </c>
      <c r="R4597" s="22" t="str">
        <f>_xlfn._xlws.FILTER(辅助信息!D:D,辅助信息!E:E=B4597)</f>
        <v>五冶钢构龙泉东洪片区85亩住宅、商业及配套工程项目一标段</v>
      </c>
    </row>
    <row r="4598" hidden="1" spans="2:18">
      <c r="B4598" s="128" t="s">
        <v>225</v>
      </c>
      <c r="C4598" s="63">
        <v>45945</v>
      </c>
      <c r="D4598" s="33" t="str">
        <f>VLOOKUP(B4598,辅助信息!E:K,7,FALSE)</f>
        <v>JWDDCD2025092400210</v>
      </c>
      <c r="E4598" s="33" t="str">
        <f>VLOOKUP(F4598,辅助信息!A:B,2,FALSE)</f>
        <v>盘螺</v>
      </c>
      <c r="F4598" s="33" t="s">
        <v>41</v>
      </c>
      <c r="G4598" s="29">
        <v>45</v>
      </c>
      <c r="H4598" s="127">
        <f>IF(SUMIFS('[1]2025年已发货'!$E:$E,'[1]2025年已发货'!$F:$F,C4598,'[1]2025年已发货'!$C:$C,F4598,'[1]2025年已发货'!$G:$G,I4598,'[1]2025年已发货'!$H:$H,J4598)=0,"未发货",SUMIFS('[1]2025年已发货'!$E:$E,'[1]2025年已发货'!$F:$F,C4598,'[1]2025年已发货'!$C:$C,F4598,'[1]2025年已发货'!$G:$G,I4598,'[1]2025年已发货'!$H:$H,J4598))</f>
        <v>45</v>
      </c>
      <c r="I4598" s="33" t="str">
        <f>VLOOKUP(B4598,辅助信息!E:I,3,FALSE)</f>
        <v>(五冶钢构龙泉东洪片区85亩住宅、商业及配套工程项目一标段)成都市龙泉驿外东洪路地铁2号线惠王陵地铁C口</v>
      </c>
      <c r="J4598" s="33" t="str">
        <f>VLOOKUP(B4598,辅助信息!E:I,4,FALSE)</f>
        <v>岳工</v>
      </c>
      <c r="K4598" s="33">
        <f>VLOOKUP(J4598,辅助信息!H:I,2,FALSE)</f>
        <v>18599951655</v>
      </c>
      <c r="L4598" s="102">
        <f>VLOOKUP(B4598,辅助信息!E:J,6,FALSE)</f>
        <v>0</v>
      </c>
      <c r="O4598" s="55" t="str">
        <f ca="1" t="shared" si="226"/>
        <v/>
      </c>
      <c r="P4598" s="55" t="str">
        <f ca="1" t="shared" si="227"/>
        <v/>
      </c>
      <c r="Q4598" s="22" t="str">
        <f>VLOOKUP(B4598,辅助信息!E:M,9,FALSE)</f>
        <v>ZTWM-CDGS-XS-2025-0156-五冶钢构-2025年九月第一批次钢筋采购合同(三圣乡项目)-中铁物贸成都公司</v>
      </c>
      <c r="R4598" s="22" t="str">
        <f>_xlfn._xlws.FILTER(辅助信息!D:D,辅助信息!E:E=B4598)</f>
        <v>五冶钢构龙泉东洪片区85亩住宅、商业及配套工程项目一标段</v>
      </c>
    </row>
    <row r="4599" hidden="1" spans="2:18">
      <c r="B4599" s="128" t="s">
        <v>225</v>
      </c>
      <c r="C4599" s="63">
        <v>45945</v>
      </c>
      <c r="D4599" s="33" t="str">
        <f>VLOOKUP(B4599,辅助信息!E:K,7,FALSE)</f>
        <v>JWDDCD2025092400210</v>
      </c>
      <c r="E4599" s="33" t="str">
        <f>VLOOKUP(F4599,辅助信息!A:B,2,FALSE)</f>
        <v>盘螺</v>
      </c>
      <c r="F4599" s="33" t="s">
        <v>26</v>
      </c>
      <c r="G4599" s="29">
        <v>14</v>
      </c>
      <c r="H4599" s="127"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33" t="str">
        <f>VLOOKUP(B4599,辅助信息!E:I,3,FALSE)</f>
        <v>(五冶钢构龙泉东洪片区85亩住宅、商业及配套工程项目一标段)成都市龙泉驿外东洪路地铁2号线惠王陵地铁C口</v>
      </c>
      <c r="J4599" s="33" t="str">
        <f>VLOOKUP(B4599,辅助信息!E:I,4,FALSE)</f>
        <v>岳工</v>
      </c>
      <c r="K4599" s="33">
        <f>VLOOKUP(J4599,辅助信息!H:I,2,FALSE)</f>
        <v>18599951655</v>
      </c>
      <c r="L4599" s="102">
        <f>VLOOKUP(B4599,辅助信息!E:J,6,FALSE)</f>
        <v>0</v>
      </c>
      <c r="O4599" s="55" t="str">
        <f ca="1" t="shared" si="226"/>
        <v/>
      </c>
      <c r="P4599" s="55" t="str">
        <f ca="1" t="shared" si="227"/>
        <v/>
      </c>
      <c r="Q4599" s="22" t="str">
        <f>VLOOKUP(B4599,辅助信息!E:M,9,FALSE)</f>
        <v>ZTWM-CDGS-XS-2025-0156-五冶钢构-2025年九月第一批次钢筋采购合同(三圣乡项目)-中铁物贸成都公司</v>
      </c>
      <c r="R4599" s="22" t="str">
        <f>_xlfn._xlws.FILTER(辅助信息!D:D,辅助信息!E:E=B4599)</f>
        <v>五冶钢构龙泉东洪片区85亩住宅、商业及配套工程项目一标段</v>
      </c>
    </row>
    <row r="4600" hidden="1" spans="2:18">
      <c r="B4600" s="128" t="s">
        <v>225</v>
      </c>
      <c r="C4600" s="63">
        <v>45945</v>
      </c>
      <c r="D4600" s="33" t="str">
        <f>VLOOKUP(B4600,辅助信息!E:K,7,FALSE)</f>
        <v>JWDDCD2025092400210</v>
      </c>
      <c r="E4600" s="33" t="str">
        <f>VLOOKUP(F4600,辅助信息!A:B,2,FALSE)</f>
        <v>盘螺</v>
      </c>
      <c r="F4600" s="33" t="s">
        <v>49</v>
      </c>
      <c r="G4600" s="29">
        <v>20</v>
      </c>
      <c r="H4600" s="127">
        <f>IF(SUMIFS('[1]2025年已发货'!$E:$E,'[1]2025年已发货'!$F:$F,C4600,'[1]2025年已发货'!$C:$C,F4600,'[1]2025年已发货'!$G:$G,I4600,'[1]2025年已发货'!$H:$H,J4600)=0,"未发货",SUMIFS('[1]2025年已发货'!$E:$E,'[1]2025年已发货'!$F:$F,C4600,'[1]2025年已发货'!$C:$C,F4600,'[1]2025年已发货'!$G:$G,I4600,'[1]2025年已发货'!$H:$H,J4600))</f>
        <v>20</v>
      </c>
      <c r="I4600" s="33" t="str">
        <f>VLOOKUP(B4600,辅助信息!E:I,3,FALSE)</f>
        <v>(五冶钢构龙泉东洪片区85亩住宅、商业及配套工程项目一标段)成都市龙泉驿外东洪路地铁2号线惠王陵地铁C口</v>
      </c>
      <c r="J4600" s="33" t="str">
        <f>VLOOKUP(B4600,辅助信息!E:I,4,FALSE)</f>
        <v>岳工</v>
      </c>
      <c r="K4600" s="33">
        <f>VLOOKUP(J4600,辅助信息!H:I,2,FALSE)</f>
        <v>18599951655</v>
      </c>
      <c r="L4600" s="102">
        <f>VLOOKUP(B4600,辅助信息!E:J,6,FALSE)</f>
        <v>0</v>
      </c>
      <c r="O4600" s="55" t="str">
        <f ca="1" t="shared" si="226"/>
        <v/>
      </c>
      <c r="P4600" s="55" t="str">
        <f ca="1" t="shared" si="227"/>
        <v/>
      </c>
      <c r="Q4600" s="22" t="str">
        <f>VLOOKUP(B4600,辅助信息!E:M,9,FALSE)</f>
        <v>ZTWM-CDGS-XS-2025-0156-五冶钢构-2025年九月第一批次钢筋采购合同(三圣乡项目)-中铁物贸成都公司</v>
      </c>
      <c r="R4600" s="22" t="str">
        <f>_xlfn._xlws.FILTER(辅助信息!D:D,辅助信息!E:E=B4600)</f>
        <v>五冶钢构龙泉东洪片区85亩住宅、商业及配套工程项目一标段</v>
      </c>
    </row>
    <row r="4601" hidden="1" spans="2:18">
      <c r="B4601" s="128" t="s">
        <v>225</v>
      </c>
      <c r="C4601" s="63">
        <v>45945</v>
      </c>
      <c r="D4601" s="33" t="str">
        <f>VLOOKUP(B4601,辅助信息!E:K,7,FALSE)</f>
        <v>JWDDCD2025092400210</v>
      </c>
      <c r="E4601" s="33" t="str">
        <f>VLOOKUP(F4601,辅助信息!A:B,2,FALSE)</f>
        <v>盘螺</v>
      </c>
      <c r="F4601" s="33" t="s">
        <v>40</v>
      </c>
      <c r="G4601" s="29">
        <v>50</v>
      </c>
      <c r="H4601" s="127">
        <f>IF(SUMIFS('[1]2025年已发货'!$E:$E,'[1]2025年已发货'!$F:$F,C4601,'[1]2025年已发货'!$C:$C,F4601,'[1]2025年已发货'!$G:$G,I4601,'[1]2025年已发货'!$H:$H,J4601)=0,"未发货",SUMIFS('[1]2025年已发货'!$E:$E,'[1]2025年已发货'!$F:$F,C4601,'[1]2025年已发货'!$C:$C,F4601,'[1]2025年已发货'!$G:$G,I4601,'[1]2025年已发货'!$H:$H,J4601))</f>
        <v>50</v>
      </c>
      <c r="I4601" s="33" t="str">
        <f>VLOOKUP(B4601,辅助信息!E:I,3,FALSE)</f>
        <v>(五冶钢构龙泉东洪片区85亩住宅、商业及配套工程项目一标段)成都市龙泉驿外东洪路地铁2号线惠王陵地铁C口</v>
      </c>
      <c r="J4601" s="33" t="str">
        <f>VLOOKUP(B4601,辅助信息!E:I,4,FALSE)</f>
        <v>岳工</v>
      </c>
      <c r="K4601" s="33">
        <f>VLOOKUP(J4601,辅助信息!H:I,2,FALSE)</f>
        <v>18599951655</v>
      </c>
      <c r="L4601" s="102">
        <f>VLOOKUP(B4601,辅助信息!E:J,6,FALSE)</f>
        <v>0</v>
      </c>
      <c r="O4601" s="55" t="str">
        <f ca="1" t="shared" si="226"/>
        <v/>
      </c>
      <c r="P4601" s="55" t="str">
        <f ca="1" t="shared" si="227"/>
        <v/>
      </c>
      <c r="Q4601" s="22" t="str">
        <f>VLOOKUP(B4601,辅助信息!E:M,9,FALSE)</f>
        <v>ZTWM-CDGS-XS-2025-0156-五冶钢构-2025年九月第一批次钢筋采购合同(三圣乡项目)-中铁物贸成都公司</v>
      </c>
      <c r="R4601" s="22" t="str">
        <f>_xlfn._xlws.FILTER(辅助信息!D:D,辅助信息!E:E=B4601)</f>
        <v>五冶钢构龙泉东洪片区85亩住宅、商业及配套工程项目一标段</v>
      </c>
    </row>
    <row r="4602" hidden="1" spans="2:18">
      <c r="B4602" s="129" t="s">
        <v>232</v>
      </c>
      <c r="C4602" s="63">
        <v>45946</v>
      </c>
      <c r="D4602" s="113" t="str">
        <f>VLOOKUP(B4602,辅助信息!E:K,7,FALSE)</f>
        <v>JWDDCD2025052800131</v>
      </c>
      <c r="E4602" s="113" t="str">
        <f>VLOOKUP(F4602,辅助信息!A:B,2,FALSE)</f>
        <v>螺纹钢</v>
      </c>
      <c r="F4602" s="113" t="s">
        <v>21</v>
      </c>
      <c r="G4602" s="114">
        <v>20</v>
      </c>
      <c r="H4602" s="127"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13" t="str">
        <f>VLOOKUP(B4602,辅助信息!E:I,3,FALSE)</f>
        <v>（商投建工达州中医药科技园-2工区-2号桥）达州市通川区达州中医药职业学院犀牛大道北段</v>
      </c>
      <c r="J4602" s="113" t="str">
        <f>VLOOKUP(B4602,辅助信息!E:I,4,FALSE)</f>
        <v>李波</v>
      </c>
      <c r="K4602" s="113">
        <f>VLOOKUP(J4602,辅助信息!H:I,2,FALSE)</f>
        <v>18381899787</v>
      </c>
      <c r="L4602" s="115" t="str">
        <f>VLOOKUP(B4602,辅助信息!E:J,6,FALSE)</f>
        <v>控制炉批号！多了现场不收！,优先安排达钢,提前联系到场规格及数量</v>
      </c>
      <c r="O4602" s="55" t="str">
        <f ca="1" t="shared" si="226"/>
        <v/>
      </c>
      <c r="P4602" s="55" t="str">
        <f ca="1" t="shared" si="227"/>
        <v/>
      </c>
      <c r="Q4602" s="22" t="str">
        <f>VLOOKUP(B4602,辅助信息!E:M,9,FALSE)</f>
        <v>ZTWM-CDGS-XS-2024-0134-商投建工达州中医药科技成果示范园项目</v>
      </c>
      <c r="R4602" s="22" t="str">
        <f>_xlfn._xlws.FILTER(辅助信息!D:D,辅助信息!E:E=B4602)</f>
        <v>商投建工达州中医药科技园</v>
      </c>
    </row>
    <row r="4603" hidden="1" spans="2:18">
      <c r="B4603" s="129" t="s">
        <v>232</v>
      </c>
      <c r="C4603" s="63">
        <v>45946</v>
      </c>
      <c r="D4603" s="113" t="str">
        <f>VLOOKUP(B4603,辅助信息!E:K,7,FALSE)</f>
        <v>JWDDCD2025052800131</v>
      </c>
      <c r="E4603" s="113" t="str">
        <f>VLOOKUP(F4603,辅助信息!A:B,2,FALSE)</f>
        <v>螺纹钢</v>
      </c>
      <c r="F4603" s="113" t="s">
        <v>58</v>
      </c>
      <c r="G4603" s="114">
        <v>20</v>
      </c>
      <c r="H4603" s="127"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13" t="str">
        <f>VLOOKUP(B4603,辅助信息!E:I,3,FALSE)</f>
        <v>（商投建工达州中医药科技园-2工区-2号桥）达州市通川区达州中医药职业学院犀牛大道北段</v>
      </c>
      <c r="J4603" s="113" t="str">
        <f>VLOOKUP(B4603,辅助信息!E:I,4,FALSE)</f>
        <v>李波</v>
      </c>
      <c r="K4603" s="113">
        <f>VLOOKUP(J4603,辅助信息!H:I,2,FALSE)</f>
        <v>18381899787</v>
      </c>
      <c r="L4603" s="115" t="str">
        <f>VLOOKUP(B4603,辅助信息!E:J,6,FALSE)</f>
        <v>控制炉批号！多了现场不收！,优先安排达钢,提前联系到场规格及数量</v>
      </c>
      <c r="O4603" s="55" t="str">
        <f ca="1" t="shared" si="226"/>
        <v/>
      </c>
      <c r="P4603" s="55" t="str">
        <f ca="1" t="shared" si="227"/>
        <v/>
      </c>
      <c r="Q4603" s="22" t="str">
        <f>VLOOKUP(B4603,辅助信息!E:M,9,FALSE)</f>
        <v>ZTWM-CDGS-XS-2024-0134-商投建工达州中医药科技成果示范园项目</v>
      </c>
      <c r="R4603" s="22" t="str">
        <f>_xlfn._xlws.FILTER(辅助信息!D:D,辅助信息!E:E=B4603)</f>
        <v>商投建工达州中医药科技园</v>
      </c>
    </row>
    <row r="4604" hidden="1" spans="2:18">
      <c r="B4604" s="129" t="s">
        <v>68</v>
      </c>
      <c r="C4604" s="63">
        <v>45946</v>
      </c>
      <c r="D4604" s="113" t="str">
        <f>VLOOKUP(B4604,辅助信息!E:K,7,FALSE)</f>
        <v>JWDDCD2025052800131</v>
      </c>
      <c r="E4604" s="113" t="str">
        <f>VLOOKUP(F4604,辅助信息!A:B,2,FALSE)</f>
        <v>螺纹钢</v>
      </c>
      <c r="F4604" s="113" t="s">
        <v>30</v>
      </c>
      <c r="G4604" s="114">
        <v>20</v>
      </c>
      <c r="H4604" s="127"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13" t="str">
        <f>VLOOKUP(B4604,辅助信息!E:I,3,FALSE)</f>
        <v>（商投建工达州中医药科技园-2工区-景观桥）达州市通川区达州中医药职业学院犀牛大道北段</v>
      </c>
      <c r="J4604" s="113" t="str">
        <f>VLOOKUP(B4604,辅助信息!E:I,4,FALSE)</f>
        <v>李波</v>
      </c>
      <c r="K4604" s="113">
        <f>VLOOKUP(J4604,辅助信息!H:I,2,FALSE)</f>
        <v>18381899787</v>
      </c>
      <c r="L4604" s="115" t="str">
        <f>VLOOKUP(B4604,辅助信息!E:J,6,FALSE)</f>
        <v>控制炉批号！多了现场不收！,优先安排达钢,提前联系到场规格及数量</v>
      </c>
      <c r="O4604" s="55" t="str">
        <f ca="1" t="shared" si="226"/>
        <v/>
      </c>
      <c r="P4604" s="55" t="str">
        <f ca="1" t="shared" si="227"/>
        <v/>
      </c>
      <c r="Q4604" s="22" t="str">
        <f>VLOOKUP(B4604,辅助信息!E:M,9,FALSE)</f>
        <v>ZTWM-CDGS-XS-2024-0134-商投建工达州中医药科技成果示范园项目</v>
      </c>
      <c r="R4604" s="22" t="str">
        <f>_xlfn._xlws.FILTER(辅助信息!D:D,辅助信息!E:E=B4604)</f>
        <v>商投建工达州中医药科技园</v>
      </c>
    </row>
    <row r="4605" hidden="1" spans="2:18">
      <c r="B4605" s="129" t="s">
        <v>68</v>
      </c>
      <c r="C4605" s="63">
        <v>45946</v>
      </c>
      <c r="D4605" s="113" t="str">
        <f>VLOOKUP(B4605,辅助信息!E:K,7,FALSE)</f>
        <v>JWDDCD2025052800131</v>
      </c>
      <c r="E4605" s="113" t="str">
        <f>VLOOKUP(F4605,辅助信息!A:B,2,FALSE)</f>
        <v>螺纹钢</v>
      </c>
      <c r="F4605" s="113" t="s">
        <v>33</v>
      </c>
      <c r="G4605" s="114">
        <v>21</v>
      </c>
      <c r="H4605" s="127"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13" t="str">
        <f>VLOOKUP(B4605,辅助信息!E:I,3,FALSE)</f>
        <v>（商投建工达州中医药科技园-2工区-景观桥）达州市通川区达州中医药职业学院犀牛大道北段</v>
      </c>
      <c r="J4605" s="113" t="str">
        <f>VLOOKUP(B4605,辅助信息!E:I,4,FALSE)</f>
        <v>李波</v>
      </c>
      <c r="K4605" s="113">
        <f>VLOOKUP(J4605,辅助信息!H:I,2,FALSE)</f>
        <v>18381899787</v>
      </c>
      <c r="L4605" s="115" t="str">
        <f>VLOOKUP(B4605,辅助信息!E:J,6,FALSE)</f>
        <v>控制炉批号！多了现场不收！,优先安排达钢,提前联系到场规格及数量</v>
      </c>
      <c r="O4605" s="55" t="str">
        <f ca="1" t="shared" si="226"/>
        <v/>
      </c>
      <c r="P4605" s="55" t="str">
        <f ca="1" t="shared" si="227"/>
        <v/>
      </c>
      <c r="Q4605" s="22" t="str">
        <f>VLOOKUP(B4605,辅助信息!E:M,9,FALSE)</f>
        <v>ZTWM-CDGS-XS-2024-0134-商投建工达州中医药科技成果示范园项目</v>
      </c>
      <c r="R4605" s="22" t="str">
        <f>_xlfn._xlws.FILTER(辅助信息!D:D,辅助信息!E:E=B4605)</f>
        <v>商投建工达州中医药科技园</v>
      </c>
    </row>
    <row r="4606" hidden="1" spans="2:18">
      <c r="B4606" s="129" t="s">
        <v>68</v>
      </c>
      <c r="C4606" s="63">
        <v>45946</v>
      </c>
      <c r="D4606" s="113" t="str">
        <f>VLOOKUP(B4606,辅助信息!E:K,7,FALSE)</f>
        <v>JWDDCD2025052800131</v>
      </c>
      <c r="E4606" s="113" t="str">
        <f>VLOOKUP(F4606,辅助信息!A:B,2,FALSE)</f>
        <v>螺纹钢</v>
      </c>
      <c r="F4606" s="113" t="s">
        <v>18</v>
      </c>
      <c r="G4606" s="114">
        <v>10</v>
      </c>
      <c r="H4606" s="127"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13" t="str">
        <f>VLOOKUP(B4606,辅助信息!E:I,3,FALSE)</f>
        <v>（商投建工达州中医药科技园-2工区-景观桥）达州市通川区达州中医药职业学院犀牛大道北段</v>
      </c>
      <c r="J4606" s="113" t="str">
        <f>VLOOKUP(B4606,辅助信息!E:I,4,FALSE)</f>
        <v>李波</v>
      </c>
      <c r="K4606" s="113">
        <f>VLOOKUP(J4606,辅助信息!H:I,2,FALSE)</f>
        <v>18381899787</v>
      </c>
      <c r="L4606" s="115" t="str">
        <f>VLOOKUP(B4606,辅助信息!E:J,6,FALSE)</f>
        <v>控制炉批号！多了现场不收！,优先安排达钢,提前联系到场规格及数量</v>
      </c>
      <c r="O4606" s="55" t="str">
        <f ca="1" t="shared" si="226"/>
        <v/>
      </c>
      <c r="P4606" s="55" t="str">
        <f ca="1" t="shared" si="227"/>
        <v/>
      </c>
      <c r="Q4606" s="22" t="str">
        <f>VLOOKUP(B4606,辅助信息!E:M,9,FALSE)</f>
        <v>ZTWM-CDGS-XS-2024-0134-商投建工达州中医药科技成果示范园项目</v>
      </c>
      <c r="R4606" s="22" t="str">
        <f>_xlfn._xlws.FILTER(辅助信息!D:D,辅助信息!E:E=B4606)</f>
        <v>商投建工达州中医药科技园</v>
      </c>
    </row>
    <row r="4607" hidden="1" spans="2:18">
      <c r="B4607" s="129" t="s">
        <v>203</v>
      </c>
      <c r="C4607" s="63">
        <v>45946</v>
      </c>
      <c r="D4607" s="113" t="str">
        <f>VLOOKUP(B4607,辅助信息!E:K,7,FALSE)</f>
        <v>JWDDCD2025102100479</v>
      </c>
      <c r="E4607" s="113" t="str">
        <f>VLOOKUP(F4607,辅助信息!A:B,2,FALSE)</f>
        <v>高线</v>
      </c>
      <c r="F4607" s="113" t="s">
        <v>57</v>
      </c>
      <c r="G4607" s="114">
        <v>4</v>
      </c>
      <c r="H4607" s="127"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13" t="str">
        <f>VLOOKUP(B4607,辅助信息!E:I,3,FALSE)</f>
        <v>(五冶建设空港兴城怡心街道83亩项目)成都市双流区怡心街道高峰社区一组剑和路一段空港兴城怡心街道83亩项目中国五冶项目部</v>
      </c>
      <c r="J4607" s="113" t="str">
        <f>VLOOKUP(B4607,辅助信息!E:I,4,FALSE)</f>
        <v>王刚</v>
      </c>
      <c r="K4607" s="113">
        <f>VLOOKUP(J4607,辅助信息!H:I,2,FALSE)</f>
        <v>15881190525</v>
      </c>
      <c r="L4607" s="115"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55" t="str">
        <f ca="1" t="shared" si="226"/>
        <v/>
      </c>
      <c r="P4607" s="55" t="str">
        <f ca="1" t="shared" si="227"/>
        <v/>
      </c>
      <c r="Q4607" s="22" t="str">
        <f>VLOOKUP(B4607,辅助信息!E:M,9,FALSE)</f>
        <v>ZTWM-CDGS-XS-2025-0073-五冶天府-成都怡心湖片区及龙泉驿医院等项目</v>
      </c>
      <c r="R4607" s="22" t="str">
        <f>_xlfn._xlws.FILTER(辅助信息!D:D,辅助信息!E:E=B4607)</f>
        <v>五冶建设空港兴城怡心街道83亩项目</v>
      </c>
    </row>
    <row r="4608" hidden="1" spans="2:18">
      <c r="B4608" s="129" t="s">
        <v>203</v>
      </c>
      <c r="C4608" s="63">
        <v>45946</v>
      </c>
      <c r="D4608" s="113" t="str">
        <f>VLOOKUP(B4608,辅助信息!E:K,7,FALSE)</f>
        <v>JWDDCD2025102100479</v>
      </c>
      <c r="E4608" s="113" t="str">
        <f>VLOOKUP(F4608,辅助信息!A:B,2,FALSE)</f>
        <v>盘螺</v>
      </c>
      <c r="F4608" s="113" t="s">
        <v>49</v>
      </c>
      <c r="G4608" s="114">
        <v>4</v>
      </c>
      <c r="H4608" s="127"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13" t="str">
        <f>VLOOKUP(B4608,辅助信息!E:I,3,FALSE)</f>
        <v>(五冶建设空港兴城怡心街道83亩项目)成都市双流区怡心街道高峰社区一组剑和路一段空港兴城怡心街道83亩项目中国五冶项目部</v>
      </c>
      <c r="J4608" s="113" t="str">
        <f>VLOOKUP(B4608,辅助信息!E:I,4,FALSE)</f>
        <v>王刚</v>
      </c>
      <c r="K4608" s="113">
        <f>VLOOKUP(J4608,辅助信息!H:I,2,FALSE)</f>
        <v>15881190525</v>
      </c>
      <c r="L4608" s="115"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55" t="str">
        <f ca="1" t="shared" si="226"/>
        <v/>
      </c>
      <c r="P4608" s="55" t="str">
        <f ca="1" t="shared" si="227"/>
        <v/>
      </c>
      <c r="Q4608" s="22" t="str">
        <f>VLOOKUP(B4608,辅助信息!E:M,9,FALSE)</f>
        <v>ZTWM-CDGS-XS-2025-0073-五冶天府-成都怡心湖片区及龙泉驿医院等项目</v>
      </c>
      <c r="R4608" s="22" t="str">
        <f>_xlfn._xlws.FILTER(辅助信息!D:D,辅助信息!E:E=B4608)</f>
        <v>五冶建设空港兴城怡心街道83亩项目</v>
      </c>
    </row>
    <row r="4609" hidden="1" spans="2:18">
      <c r="B4609" s="129" t="s">
        <v>203</v>
      </c>
      <c r="C4609" s="63">
        <v>45946</v>
      </c>
      <c r="D4609" s="113" t="str">
        <f>VLOOKUP(B4609,辅助信息!E:K,7,FALSE)</f>
        <v>JWDDCD2025102100479</v>
      </c>
      <c r="E4609" s="113" t="str">
        <f>VLOOKUP(F4609,辅助信息!A:B,2,FALSE)</f>
        <v>螺纹钢</v>
      </c>
      <c r="F4609" s="113" t="s">
        <v>19</v>
      </c>
      <c r="G4609" s="114">
        <v>8</v>
      </c>
      <c r="H4609" s="127"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13" t="str">
        <f>VLOOKUP(B4609,辅助信息!E:I,3,FALSE)</f>
        <v>(五冶建设空港兴城怡心街道83亩项目)成都市双流区怡心街道高峰社区一组剑和路一段空港兴城怡心街道83亩项目中国五冶项目部</v>
      </c>
      <c r="J4609" s="113" t="str">
        <f>VLOOKUP(B4609,辅助信息!E:I,4,FALSE)</f>
        <v>王刚</v>
      </c>
      <c r="K4609" s="113">
        <f>VLOOKUP(J4609,辅助信息!H:I,2,FALSE)</f>
        <v>15881190525</v>
      </c>
      <c r="L4609" s="115"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55" t="str">
        <f ca="1" t="shared" si="226"/>
        <v/>
      </c>
      <c r="P4609" s="55" t="str">
        <f ca="1" t="shared" si="227"/>
        <v/>
      </c>
      <c r="Q4609" s="22" t="str">
        <f>VLOOKUP(B4609,辅助信息!E:M,9,FALSE)</f>
        <v>ZTWM-CDGS-XS-2025-0073-五冶天府-成都怡心湖片区及龙泉驿医院等项目</v>
      </c>
      <c r="R4609" s="22" t="str">
        <f>_xlfn._xlws.FILTER(辅助信息!D:D,辅助信息!E:E=B4609)</f>
        <v>五冶建设空港兴城怡心街道83亩项目</v>
      </c>
    </row>
    <row r="4610" hidden="1" spans="2:18">
      <c r="B4610" s="129" t="s">
        <v>203</v>
      </c>
      <c r="C4610" s="63">
        <v>45946</v>
      </c>
      <c r="D4610" s="113" t="str">
        <f>VLOOKUP(B4610,辅助信息!E:K,7,FALSE)</f>
        <v>JWDDCD2025102100479</v>
      </c>
      <c r="E4610" s="113" t="str">
        <f>VLOOKUP(F4610,辅助信息!A:B,2,FALSE)</f>
        <v>螺纹钢</v>
      </c>
      <c r="F4610" s="113" t="s">
        <v>32</v>
      </c>
      <c r="G4610" s="114">
        <v>8</v>
      </c>
      <c r="H4610" s="127"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13" t="str">
        <f>VLOOKUP(B4610,辅助信息!E:I,3,FALSE)</f>
        <v>(五冶建设空港兴城怡心街道83亩项目)成都市双流区怡心街道高峰社区一组剑和路一段空港兴城怡心街道83亩项目中国五冶项目部</v>
      </c>
      <c r="J4610" s="113" t="str">
        <f>VLOOKUP(B4610,辅助信息!E:I,4,FALSE)</f>
        <v>王刚</v>
      </c>
      <c r="K4610" s="113">
        <f>VLOOKUP(J4610,辅助信息!H:I,2,FALSE)</f>
        <v>15881190525</v>
      </c>
      <c r="L4610" s="115"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55" t="str">
        <f ca="1" t="shared" si="226"/>
        <v/>
      </c>
      <c r="P4610" s="55" t="str">
        <f ca="1" t="shared" si="227"/>
        <v/>
      </c>
      <c r="Q4610" s="22" t="str">
        <f>VLOOKUP(B4610,辅助信息!E:M,9,FALSE)</f>
        <v>ZTWM-CDGS-XS-2025-0073-五冶天府-成都怡心湖片区及龙泉驿医院等项目</v>
      </c>
      <c r="R4610" s="22" t="str">
        <f>_xlfn._xlws.FILTER(辅助信息!D:D,辅助信息!E:E=B4610)</f>
        <v>五冶建设空港兴城怡心街道83亩项目</v>
      </c>
    </row>
    <row r="4611" hidden="1" spans="2:18">
      <c r="B4611" s="129" t="s">
        <v>203</v>
      </c>
      <c r="C4611" s="63">
        <v>45946</v>
      </c>
      <c r="D4611" s="113" t="str">
        <f>VLOOKUP(B4611,辅助信息!E:K,7,FALSE)</f>
        <v>JWDDCD2025102100479</v>
      </c>
      <c r="E4611" s="113" t="str">
        <f>VLOOKUP(F4611,辅助信息!A:B,2,FALSE)</f>
        <v>螺纹钢</v>
      </c>
      <c r="F4611" s="113" t="s">
        <v>33</v>
      </c>
      <c r="G4611" s="114">
        <v>10</v>
      </c>
      <c r="H4611" s="127"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13" t="str">
        <f>VLOOKUP(B4611,辅助信息!E:I,3,FALSE)</f>
        <v>(五冶建设空港兴城怡心街道83亩项目)成都市双流区怡心街道高峰社区一组剑和路一段空港兴城怡心街道83亩项目中国五冶项目部</v>
      </c>
      <c r="J4611" s="113" t="str">
        <f>VLOOKUP(B4611,辅助信息!E:I,4,FALSE)</f>
        <v>王刚</v>
      </c>
      <c r="K4611" s="113">
        <f>VLOOKUP(J4611,辅助信息!H:I,2,FALSE)</f>
        <v>15881190525</v>
      </c>
      <c r="L4611" s="115"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55" t="str">
        <f ca="1" t="shared" si="226"/>
        <v/>
      </c>
      <c r="P4611" s="55" t="str">
        <f ca="1" t="shared" si="227"/>
        <v/>
      </c>
      <c r="Q4611" s="22" t="str">
        <f>VLOOKUP(B4611,辅助信息!E:M,9,FALSE)</f>
        <v>ZTWM-CDGS-XS-2025-0073-五冶天府-成都怡心湖片区及龙泉驿医院等项目</v>
      </c>
      <c r="R4611" s="22" t="str">
        <f>_xlfn._xlws.FILTER(辅助信息!D:D,辅助信息!E:E=B4611)</f>
        <v>五冶建设空港兴城怡心街道83亩项目</v>
      </c>
    </row>
    <row r="4612" hidden="1" spans="2:18">
      <c r="B4612" s="129" t="s">
        <v>240</v>
      </c>
      <c r="C4612" s="63">
        <v>45946</v>
      </c>
      <c r="D4612" s="113" t="str">
        <f>VLOOKUP(B4612,辅助信息!E:K,7,FALSE)</f>
        <v>JWDDCD2025092400204</v>
      </c>
      <c r="E4612" s="113" t="str">
        <f>VLOOKUP(F4612,辅助信息!A:B,2,FALSE)</f>
        <v>高线</v>
      </c>
      <c r="F4612" s="113" t="s">
        <v>53</v>
      </c>
      <c r="G4612" s="114">
        <v>2.5</v>
      </c>
      <c r="H4612" s="127"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13" t="str">
        <f>VLOOKUP(B4612,辅助信息!E:I,3,FALSE)</f>
        <v>(五冶钢构龙泉东洪片区70亩住宅、商业及配套工程项目三标段)成都市龙泉驿外东洪路地铁2号线惠王陵地铁C口</v>
      </c>
      <c r="J4612" s="113" t="str">
        <f>VLOOKUP(B4612,辅助信息!E:I,4,FALSE)</f>
        <v>蒋嗣伟</v>
      </c>
      <c r="K4612" s="113">
        <f>VLOOKUP(J4612,辅助信息!H:I,2,FALSE)</f>
        <v>15014331252</v>
      </c>
      <c r="L4612" s="115">
        <f>VLOOKUP(B4612,辅助信息!E:J,6,FALSE)</f>
        <v>0</v>
      </c>
      <c r="O4612" s="55" t="str">
        <f ca="1" t="shared" si="226"/>
        <v/>
      </c>
      <c r="P4612" s="55" t="str">
        <f ca="1" t="shared" si="227"/>
        <v/>
      </c>
      <c r="Q4612" s="22" t="str">
        <f>VLOOKUP(B4612,辅助信息!E:M,9,FALSE)</f>
        <v>ZTWM-CDGS-XS-2025-0156-五冶钢构-2025年九月第一批次钢筋采购合同(三圣乡项目)-中铁物贸成都公司</v>
      </c>
      <c r="R4612" s="22" t="str">
        <f>_xlfn._xlws.FILTER(辅助信息!D:D,辅助信息!E:E=B4612)</f>
        <v>五冶钢构龙泉东洪片区70亩住宅、商业及配套工程项目三标段</v>
      </c>
    </row>
    <row r="4613" hidden="1" spans="2:18">
      <c r="B4613" s="129" t="s">
        <v>240</v>
      </c>
      <c r="C4613" s="63">
        <v>45946</v>
      </c>
      <c r="D4613" s="113" t="str">
        <f>VLOOKUP(B4613,辅助信息!E:K,7,FALSE)</f>
        <v>JWDDCD2025092400204</v>
      </c>
      <c r="E4613" s="113" t="str">
        <f>VLOOKUP(F4613,辅助信息!A:B,2,FALSE)</f>
        <v>盘螺</v>
      </c>
      <c r="F4613" s="113" t="s">
        <v>41</v>
      </c>
      <c r="G4613" s="114">
        <v>15</v>
      </c>
      <c r="H4613" s="127"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13" t="str">
        <f>VLOOKUP(B4613,辅助信息!E:I,3,FALSE)</f>
        <v>(五冶钢构龙泉东洪片区70亩住宅、商业及配套工程项目三标段)成都市龙泉驿外东洪路地铁2号线惠王陵地铁C口</v>
      </c>
      <c r="J4613" s="113" t="str">
        <f>VLOOKUP(B4613,辅助信息!E:I,4,FALSE)</f>
        <v>蒋嗣伟</v>
      </c>
      <c r="K4613" s="113">
        <f>VLOOKUP(J4613,辅助信息!H:I,2,FALSE)</f>
        <v>15014331252</v>
      </c>
      <c r="L4613" s="115">
        <f>VLOOKUP(B4613,辅助信息!E:J,6,FALSE)</f>
        <v>0</v>
      </c>
      <c r="O4613" s="55" t="str">
        <f ca="1" t="shared" si="226"/>
        <v/>
      </c>
      <c r="P4613" s="55" t="str">
        <f ca="1" t="shared" si="227"/>
        <v/>
      </c>
      <c r="Q4613" s="22" t="str">
        <f>VLOOKUP(B4613,辅助信息!E:M,9,FALSE)</f>
        <v>ZTWM-CDGS-XS-2025-0156-五冶钢构-2025年九月第一批次钢筋采购合同(三圣乡项目)-中铁物贸成都公司</v>
      </c>
      <c r="R4613" s="22" t="str">
        <f>_xlfn._xlws.FILTER(辅助信息!D:D,辅助信息!E:E=B4613)</f>
        <v>五冶钢构龙泉东洪片区70亩住宅、商业及配套工程项目三标段</v>
      </c>
    </row>
    <row r="4614" hidden="1" spans="2:18">
      <c r="B4614" s="129" t="s">
        <v>240</v>
      </c>
      <c r="C4614" s="63">
        <v>45946</v>
      </c>
      <c r="D4614" s="113" t="str">
        <f>VLOOKUP(B4614,辅助信息!E:K,7,FALSE)</f>
        <v>JWDDCD2025092400204</v>
      </c>
      <c r="E4614" s="113" t="str">
        <f>VLOOKUP(F4614,辅助信息!A:B,2,FALSE)</f>
        <v>盘螺</v>
      </c>
      <c r="F4614" s="113" t="s">
        <v>49</v>
      </c>
      <c r="G4614" s="114">
        <v>5</v>
      </c>
      <c r="H4614" s="127"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13" t="str">
        <f>VLOOKUP(B4614,辅助信息!E:I,3,FALSE)</f>
        <v>(五冶钢构龙泉东洪片区70亩住宅、商业及配套工程项目三标段)成都市龙泉驿外东洪路地铁2号线惠王陵地铁C口</v>
      </c>
      <c r="J4614" s="113" t="str">
        <f>VLOOKUP(B4614,辅助信息!E:I,4,FALSE)</f>
        <v>蒋嗣伟</v>
      </c>
      <c r="K4614" s="113">
        <f>VLOOKUP(J4614,辅助信息!H:I,2,FALSE)</f>
        <v>15014331252</v>
      </c>
      <c r="L4614" s="115">
        <f>VLOOKUP(B4614,辅助信息!E:J,6,FALSE)</f>
        <v>0</v>
      </c>
      <c r="O4614" s="55" t="str">
        <f ca="1" t="shared" si="226"/>
        <v/>
      </c>
      <c r="P4614" s="55" t="str">
        <f ca="1" t="shared" si="227"/>
        <v/>
      </c>
      <c r="Q4614" s="22" t="str">
        <f>VLOOKUP(B4614,辅助信息!E:M,9,FALSE)</f>
        <v>ZTWM-CDGS-XS-2025-0156-五冶钢构-2025年九月第一批次钢筋采购合同(三圣乡项目)-中铁物贸成都公司</v>
      </c>
      <c r="R4614" s="22" t="str">
        <f>_xlfn._xlws.FILTER(辅助信息!D:D,辅助信息!E:E=B4614)</f>
        <v>五冶钢构龙泉东洪片区70亩住宅、商业及配套工程项目三标段</v>
      </c>
    </row>
    <row r="4615" hidden="1" spans="2:18">
      <c r="B4615" s="129" t="s">
        <v>240</v>
      </c>
      <c r="C4615" s="63">
        <v>45946</v>
      </c>
      <c r="D4615" s="113" t="str">
        <f>VLOOKUP(B4615,辅助信息!E:K,7,FALSE)</f>
        <v>JWDDCD2025092400204</v>
      </c>
      <c r="E4615" s="113" t="str">
        <f>VLOOKUP(F4615,辅助信息!A:B,2,FALSE)</f>
        <v>盘螺</v>
      </c>
      <c r="F4615" s="113" t="s">
        <v>40</v>
      </c>
      <c r="G4615" s="114">
        <v>10</v>
      </c>
      <c r="H4615" s="127"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13" t="str">
        <f>VLOOKUP(B4615,辅助信息!E:I,3,FALSE)</f>
        <v>(五冶钢构龙泉东洪片区70亩住宅、商业及配套工程项目三标段)成都市龙泉驿外东洪路地铁2号线惠王陵地铁C口</v>
      </c>
      <c r="J4615" s="113" t="str">
        <f>VLOOKUP(B4615,辅助信息!E:I,4,FALSE)</f>
        <v>蒋嗣伟</v>
      </c>
      <c r="K4615" s="113">
        <f>VLOOKUP(J4615,辅助信息!H:I,2,FALSE)</f>
        <v>15014331252</v>
      </c>
      <c r="L4615" s="115">
        <f>VLOOKUP(B4615,辅助信息!E:J,6,FALSE)</f>
        <v>0</v>
      </c>
      <c r="O4615" s="55" t="str">
        <f ca="1" t="shared" si="226"/>
        <v/>
      </c>
      <c r="P4615" s="55" t="str">
        <f ca="1" t="shared" si="227"/>
        <v/>
      </c>
      <c r="Q4615" s="22" t="str">
        <f>VLOOKUP(B4615,辅助信息!E:M,9,FALSE)</f>
        <v>ZTWM-CDGS-XS-2025-0156-五冶钢构-2025年九月第一批次钢筋采购合同(三圣乡项目)-中铁物贸成都公司</v>
      </c>
      <c r="R4615" s="22" t="str">
        <f>_xlfn._xlws.FILTER(辅助信息!D:D,辅助信息!E:E=B4615)</f>
        <v>五冶钢构龙泉东洪片区70亩住宅、商业及配套工程项目三标段</v>
      </c>
    </row>
    <row r="4616" hidden="1" spans="2:18">
      <c r="B4616" s="129" t="s">
        <v>229</v>
      </c>
      <c r="C4616" s="63">
        <v>45946</v>
      </c>
      <c r="D4616" s="113" t="str">
        <f>VLOOKUP(B4616,辅助信息!E:K,7,FALSE)</f>
        <v>JWDDCD2025092400212</v>
      </c>
      <c r="E4616" s="113" t="str">
        <f>VLOOKUP(F4616,辅助信息!A:B,2,FALSE)</f>
        <v>螺纹钢</v>
      </c>
      <c r="F4616" s="113" t="s">
        <v>27</v>
      </c>
      <c r="G4616" s="114">
        <v>60</v>
      </c>
      <c r="H4616" s="127">
        <f>IF(SUMIFS('[1]2025年已发货'!$E:$E,'[1]2025年已发货'!$F:$F,C4616,'[1]2025年已发货'!$C:$C,F4616,'[1]2025年已发货'!$G:$G,I4616,'[1]2025年已发货'!$H:$H,J4616)=0,"未发货",SUMIFS('[1]2025年已发货'!$E:$E,'[1]2025年已发货'!$F:$F,C4616,'[1]2025年已发货'!$C:$C,F4616,'[1]2025年已发货'!$G:$G,I4616,'[1]2025年已发货'!$H:$H,J4616))</f>
        <v>60</v>
      </c>
      <c r="I4616" s="113" t="str">
        <f>VLOOKUP(B4616,辅助信息!E:I,3,FALSE)</f>
        <v>(五冶钢构龙泉东洪片区85亩住宅、商业及配套工程项目三标段)成都市龙泉驿外东洪路地铁2号线惠王陵地铁C口</v>
      </c>
      <c r="J4616" s="113" t="str">
        <f>VLOOKUP(B4616,辅助信息!E:I,4,FALSE)</f>
        <v>王军宝</v>
      </c>
      <c r="K4616" s="113">
        <f>VLOOKUP(J4616,辅助信息!H:I,2,FALSE)</f>
        <v>13889142392</v>
      </c>
      <c r="L4616" s="115">
        <f>VLOOKUP(B4616,辅助信息!E:J,6,FALSE)</f>
        <v>0</v>
      </c>
      <c r="O4616" s="55" t="str">
        <f ca="1" t="shared" si="226"/>
        <v/>
      </c>
      <c r="P4616" s="55" t="str">
        <f ca="1" t="shared" si="227"/>
        <v/>
      </c>
      <c r="Q4616" s="22" t="str">
        <f>VLOOKUP(B4616,辅助信息!E:M,9,FALSE)</f>
        <v>ZTWM-CDGS-XS-2025-0156-五冶钢构-2025年九月第一批次钢筋采购合同(三圣乡项目)-中铁物贸成都公司</v>
      </c>
      <c r="R4616" s="22" t="str">
        <f>_xlfn._xlws.FILTER(辅助信息!D:D,辅助信息!E:E=B4616)</f>
        <v>五冶钢构龙泉东洪片区85亩住宅、商业及配套工程项目三标段</v>
      </c>
    </row>
    <row r="4617" hidden="1" spans="2:18">
      <c r="B4617" s="129" t="s">
        <v>229</v>
      </c>
      <c r="C4617" s="63">
        <v>45946</v>
      </c>
      <c r="D4617" s="113" t="str">
        <f>VLOOKUP(B4617,辅助信息!E:K,7,FALSE)</f>
        <v>JWDDCD2025092400212</v>
      </c>
      <c r="E4617" s="113" t="str">
        <f>VLOOKUP(F4617,辅助信息!A:B,2,FALSE)</f>
        <v>螺纹钢</v>
      </c>
      <c r="F4617" s="113" t="s">
        <v>19</v>
      </c>
      <c r="G4617" s="114">
        <v>38</v>
      </c>
      <c r="H4617" s="127">
        <f>IF(SUMIFS('[1]2025年已发货'!$E:$E,'[1]2025年已发货'!$F:$F,C4617,'[1]2025年已发货'!$C:$C,F4617,'[1]2025年已发货'!$G:$G,I4617,'[1]2025年已发货'!$H:$H,J4617)=0,"未发货",SUMIFS('[1]2025年已发货'!$E:$E,'[1]2025年已发货'!$F:$F,C4617,'[1]2025年已发货'!$C:$C,F4617,'[1]2025年已发货'!$G:$G,I4617,'[1]2025年已发货'!$H:$H,J4617))</f>
        <v>38</v>
      </c>
      <c r="I4617" s="113" t="str">
        <f>VLOOKUP(B4617,辅助信息!E:I,3,FALSE)</f>
        <v>(五冶钢构龙泉东洪片区85亩住宅、商业及配套工程项目三标段)成都市龙泉驿外东洪路地铁2号线惠王陵地铁C口</v>
      </c>
      <c r="J4617" s="113" t="str">
        <f>VLOOKUP(B4617,辅助信息!E:I,4,FALSE)</f>
        <v>王军宝</v>
      </c>
      <c r="K4617" s="113">
        <f>VLOOKUP(J4617,辅助信息!H:I,2,FALSE)</f>
        <v>13889142392</v>
      </c>
      <c r="L4617" s="115">
        <f>VLOOKUP(B4617,辅助信息!E:J,6,FALSE)</f>
        <v>0</v>
      </c>
      <c r="O4617" s="55" t="str">
        <f ca="1" t="shared" si="226"/>
        <v/>
      </c>
      <c r="P4617" s="55" t="str">
        <f ca="1" t="shared" si="227"/>
        <v/>
      </c>
      <c r="Q4617" s="22" t="str">
        <f>VLOOKUP(B4617,辅助信息!E:M,9,FALSE)</f>
        <v>ZTWM-CDGS-XS-2025-0156-五冶钢构-2025年九月第一批次钢筋采购合同(三圣乡项目)-中铁物贸成都公司</v>
      </c>
      <c r="R4617" s="22" t="str">
        <f>_xlfn._xlws.FILTER(辅助信息!D:D,辅助信息!E:E=B4617)</f>
        <v>五冶钢构龙泉东洪片区85亩住宅、商业及配套工程项目三标段</v>
      </c>
    </row>
    <row r="4618" hidden="1" spans="2:18">
      <c r="B4618" s="129" t="s">
        <v>229</v>
      </c>
      <c r="C4618" s="63">
        <v>45946</v>
      </c>
      <c r="D4618" s="113" t="str">
        <f>VLOOKUP(B4618,辅助信息!E:K,7,FALSE)</f>
        <v>JWDDCD2025092400212</v>
      </c>
      <c r="E4618" s="113" t="str">
        <f>VLOOKUP(F4618,辅助信息!A:B,2,FALSE)</f>
        <v>螺纹钢</v>
      </c>
      <c r="F4618" s="113" t="s">
        <v>33</v>
      </c>
      <c r="G4618" s="114">
        <v>20</v>
      </c>
      <c r="H4618" s="127">
        <f>IF(SUMIFS('[1]2025年已发货'!$E:$E,'[1]2025年已发货'!$F:$F,C4618,'[1]2025年已发货'!$C:$C,F4618,'[1]2025年已发货'!$G:$G,I4618,'[1]2025年已发货'!$H:$H,J4618)=0,"未发货",SUMIFS('[1]2025年已发货'!$E:$E,'[1]2025年已发货'!$F:$F,C4618,'[1]2025年已发货'!$C:$C,F4618,'[1]2025年已发货'!$G:$G,I4618,'[1]2025年已发货'!$H:$H,J4618))</f>
        <v>20</v>
      </c>
      <c r="I4618" s="113" t="str">
        <f>VLOOKUP(B4618,辅助信息!E:I,3,FALSE)</f>
        <v>(五冶钢构龙泉东洪片区85亩住宅、商业及配套工程项目三标段)成都市龙泉驿外东洪路地铁2号线惠王陵地铁C口</v>
      </c>
      <c r="J4618" s="113" t="str">
        <f>VLOOKUP(B4618,辅助信息!E:I,4,FALSE)</f>
        <v>王军宝</v>
      </c>
      <c r="K4618" s="113">
        <f>VLOOKUP(J4618,辅助信息!H:I,2,FALSE)</f>
        <v>13889142392</v>
      </c>
      <c r="L4618" s="115">
        <f>VLOOKUP(B4618,辅助信息!E:J,6,FALSE)</f>
        <v>0</v>
      </c>
      <c r="O4618" s="55" t="str">
        <f ca="1" t="shared" si="226"/>
        <v/>
      </c>
      <c r="P4618" s="55" t="str">
        <f ca="1" t="shared" si="227"/>
        <v/>
      </c>
      <c r="Q4618" s="22" t="str">
        <f>VLOOKUP(B4618,辅助信息!E:M,9,FALSE)</f>
        <v>ZTWM-CDGS-XS-2025-0156-五冶钢构-2025年九月第一批次钢筋采购合同(三圣乡项目)-中铁物贸成都公司</v>
      </c>
      <c r="R4618" s="22" t="str">
        <f>_xlfn._xlws.FILTER(辅助信息!D:D,辅助信息!E:E=B4618)</f>
        <v>五冶钢构龙泉东洪片区85亩住宅、商业及配套工程项目三标段</v>
      </c>
    </row>
    <row r="4619" hidden="1" spans="2:18">
      <c r="B4619" s="129" t="s">
        <v>229</v>
      </c>
      <c r="C4619" s="63">
        <v>45946</v>
      </c>
      <c r="D4619" s="113" t="str">
        <f>VLOOKUP(B4619,辅助信息!E:K,7,FALSE)</f>
        <v>JWDDCD2025092400212</v>
      </c>
      <c r="E4619" s="113" t="str">
        <f>VLOOKUP(F4619,辅助信息!A:B,2,FALSE)</f>
        <v>螺纹钢</v>
      </c>
      <c r="F4619" s="113" t="s">
        <v>28</v>
      </c>
      <c r="G4619" s="114">
        <v>24</v>
      </c>
      <c r="H4619" s="127">
        <f>IF(SUMIFS('[1]2025年已发货'!$E:$E,'[1]2025年已发货'!$F:$F,C4619,'[1]2025年已发货'!$C:$C,F4619,'[1]2025年已发货'!$G:$G,I4619,'[1]2025年已发货'!$H:$H,J4619)=0,"未发货",SUMIFS('[1]2025年已发货'!$E:$E,'[1]2025年已发货'!$F:$F,C4619,'[1]2025年已发货'!$C:$C,F4619,'[1]2025年已发货'!$G:$G,I4619,'[1]2025年已发货'!$H:$H,J4619))</f>
        <v>24</v>
      </c>
      <c r="I4619" s="113" t="str">
        <f>VLOOKUP(B4619,辅助信息!E:I,3,FALSE)</f>
        <v>(五冶钢构龙泉东洪片区85亩住宅、商业及配套工程项目三标段)成都市龙泉驿外东洪路地铁2号线惠王陵地铁C口</v>
      </c>
      <c r="J4619" s="113" t="str">
        <f>VLOOKUP(B4619,辅助信息!E:I,4,FALSE)</f>
        <v>王军宝</v>
      </c>
      <c r="K4619" s="113">
        <f>VLOOKUP(J4619,辅助信息!H:I,2,FALSE)</f>
        <v>13889142392</v>
      </c>
      <c r="L4619" s="115">
        <f>VLOOKUP(B4619,辅助信息!E:J,6,FALSE)</f>
        <v>0</v>
      </c>
      <c r="O4619" s="55" t="str">
        <f ca="1" t="shared" si="226"/>
        <v/>
      </c>
      <c r="P4619" s="55" t="str">
        <f ca="1" t="shared" si="227"/>
        <v/>
      </c>
      <c r="Q4619" s="22" t="str">
        <f>VLOOKUP(B4619,辅助信息!E:M,9,FALSE)</f>
        <v>ZTWM-CDGS-XS-2025-0156-五冶钢构-2025年九月第一批次钢筋采购合同(三圣乡项目)-中铁物贸成都公司</v>
      </c>
      <c r="R4619" s="22" t="str">
        <f>_xlfn._xlws.FILTER(辅助信息!D:D,辅助信息!E:E=B4619)</f>
        <v>五冶钢构龙泉东洪片区85亩住宅、商业及配套工程项目三标段</v>
      </c>
    </row>
    <row r="4620" hidden="1" spans="2:18">
      <c r="B4620" s="129" t="s">
        <v>229</v>
      </c>
      <c r="C4620" s="63">
        <v>45946</v>
      </c>
      <c r="D4620" s="113" t="str">
        <f>VLOOKUP(B4620,辅助信息!E:K,7,FALSE)</f>
        <v>JWDDCD2025092400212</v>
      </c>
      <c r="E4620" s="113" t="str">
        <f>VLOOKUP(F4620,辅助信息!A:B,2,FALSE)</f>
        <v>螺纹钢</v>
      </c>
      <c r="F4620" s="113" t="s">
        <v>18</v>
      </c>
      <c r="G4620" s="114">
        <v>4</v>
      </c>
      <c r="H4620" s="127">
        <f>IF(SUMIFS('[1]2025年已发货'!$E:$E,'[1]2025年已发货'!$F:$F,C4620,'[1]2025年已发货'!$C:$C,F4620,'[1]2025年已发货'!$G:$G,I4620,'[1]2025年已发货'!$H:$H,J4620)=0,"未发货",SUMIFS('[1]2025年已发货'!$E:$E,'[1]2025年已发货'!$F:$F,C4620,'[1]2025年已发货'!$C:$C,F4620,'[1]2025年已发货'!$G:$G,I4620,'[1]2025年已发货'!$H:$H,J4620))</f>
        <v>4</v>
      </c>
      <c r="I4620" s="113" t="str">
        <f>VLOOKUP(B4620,辅助信息!E:I,3,FALSE)</f>
        <v>(五冶钢构龙泉东洪片区85亩住宅、商业及配套工程项目三标段)成都市龙泉驿外东洪路地铁2号线惠王陵地铁C口</v>
      </c>
      <c r="J4620" s="113" t="str">
        <f>VLOOKUP(B4620,辅助信息!E:I,4,FALSE)</f>
        <v>王军宝</v>
      </c>
      <c r="K4620" s="113">
        <f>VLOOKUP(J4620,辅助信息!H:I,2,FALSE)</f>
        <v>13889142392</v>
      </c>
      <c r="L4620" s="115">
        <f>VLOOKUP(B4620,辅助信息!E:J,6,FALSE)</f>
        <v>0</v>
      </c>
      <c r="O4620" s="55" t="str">
        <f ca="1" t="shared" si="226"/>
        <v/>
      </c>
      <c r="P4620" s="55" t="str">
        <f ca="1" t="shared" si="227"/>
        <v/>
      </c>
      <c r="Q4620" s="22" t="str">
        <f>VLOOKUP(B4620,辅助信息!E:M,9,FALSE)</f>
        <v>ZTWM-CDGS-XS-2025-0156-五冶钢构-2025年九月第一批次钢筋采购合同(三圣乡项目)-中铁物贸成都公司</v>
      </c>
      <c r="R4620" s="22" t="str">
        <f>_xlfn._xlws.FILTER(辅助信息!D:D,辅助信息!E:E=B4620)</f>
        <v>五冶钢构龙泉东洪片区85亩住宅、商业及配套工程项目三标段</v>
      </c>
    </row>
    <row r="4621" hidden="1" spans="2:18">
      <c r="B4621" s="129" t="s">
        <v>229</v>
      </c>
      <c r="C4621" s="63">
        <v>45946</v>
      </c>
      <c r="D4621" s="113" t="str">
        <f>VLOOKUP(B4621,辅助信息!E:K,7,FALSE)</f>
        <v>JWDDCD2025092400212</v>
      </c>
      <c r="E4621" s="113" t="str">
        <f>VLOOKUP(F4621,辅助信息!A:B,2,FALSE)</f>
        <v>盘螺</v>
      </c>
      <c r="F4621" s="113" t="s">
        <v>41</v>
      </c>
      <c r="G4621" s="114">
        <v>62</v>
      </c>
      <c r="H4621" s="127"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13" t="str">
        <f>VLOOKUP(B4621,辅助信息!E:I,3,FALSE)</f>
        <v>(五冶钢构龙泉东洪片区85亩住宅、商业及配套工程项目三标段)成都市龙泉驿外东洪路地铁2号线惠王陵地铁C口</v>
      </c>
      <c r="J4621" s="113" t="str">
        <f>VLOOKUP(B4621,辅助信息!E:I,4,FALSE)</f>
        <v>王军宝</v>
      </c>
      <c r="K4621" s="113">
        <f>VLOOKUP(J4621,辅助信息!H:I,2,FALSE)</f>
        <v>13889142392</v>
      </c>
      <c r="L4621" s="115">
        <f>VLOOKUP(B4621,辅助信息!E:J,6,FALSE)</f>
        <v>0</v>
      </c>
      <c r="O4621" s="55" t="str">
        <f ca="1" t="shared" si="226"/>
        <v/>
      </c>
      <c r="P4621" s="55" t="str">
        <f ca="1" t="shared" si="227"/>
        <v/>
      </c>
      <c r="Q4621" s="22" t="str">
        <f>VLOOKUP(B4621,辅助信息!E:M,9,FALSE)</f>
        <v>ZTWM-CDGS-XS-2025-0156-五冶钢构-2025年九月第一批次钢筋采购合同(三圣乡项目)-中铁物贸成都公司</v>
      </c>
      <c r="R4621" s="22" t="str">
        <f>_xlfn._xlws.FILTER(辅助信息!D:D,辅助信息!E:E=B4621)</f>
        <v>五冶钢构龙泉东洪片区85亩住宅、商业及配套工程项目三标段</v>
      </c>
    </row>
    <row r="4622" hidden="1" spans="2:18">
      <c r="B4622" s="129" t="s">
        <v>229</v>
      </c>
      <c r="C4622" s="63">
        <v>45946</v>
      </c>
      <c r="D4622" s="113" t="str">
        <f>VLOOKUP(B4622,辅助信息!E:K,7,FALSE)</f>
        <v>JWDDCD2025092400212</v>
      </c>
      <c r="E4622" s="113" t="str">
        <f>VLOOKUP(F4622,辅助信息!A:B,2,FALSE)</f>
        <v>盘螺</v>
      </c>
      <c r="F4622" s="113" t="s">
        <v>49</v>
      </c>
      <c r="G4622" s="114">
        <v>6</v>
      </c>
      <c r="H4622" s="127"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13" t="str">
        <f>VLOOKUP(B4622,辅助信息!E:I,3,FALSE)</f>
        <v>(五冶钢构龙泉东洪片区85亩住宅、商业及配套工程项目三标段)成都市龙泉驿外东洪路地铁2号线惠王陵地铁C口</v>
      </c>
      <c r="J4622" s="113" t="str">
        <f>VLOOKUP(B4622,辅助信息!E:I,4,FALSE)</f>
        <v>王军宝</v>
      </c>
      <c r="K4622" s="113">
        <f>VLOOKUP(J4622,辅助信息!H:I,2,FALSE)</f>
        <v>13889142392</v>
      </c>
      <c r="L4622" s="115">
        <f>VLOOKUP(B4622,辅助信息!E:J,6,FALSE)</f>
        <v>0</v>
      </c>
      <c r="O4622" s="55" t="str">
        <f ca="1" t="shared" si="226"/>
        <v/>
      </c>
      <c r="P4622" s="55" t="str">
        <f ca="1" t="shared" si="227"/>
        <v/>
      </c>
      <c r="Q4622" s="22" t="str">
        <f>VLOOKUP(B4622,辅助信息!E:M,9,FALSE)</f>
        <v>ZTWM-CDGS-XS-2025-0156-五冶钢构-2025年九月第一批次钢筋采购合同(三圣乡项目)-中铁物贸成都公司</v>
      </c>
      <c r="R4622" s="22" t="str">
        <f>_xlfn._xlws.FILTER(辅助信息!D:D,辅助信息!E:E=B4622)</f>
        <v>五冶钢构龙泉东洪片区85亩住宅、商业及配套工程项目三标段</v>
      </c>
    </row>
    <row r="4623" hidden="1" spans="2:18">
      <c r="B4623" s="129" t="s">
        <v>229</v>
      </c>
      <c r="C4623" s="63">
        <v>45946</v>
      </c>
      <c r="D4623" s="113" t="str">
        <f>VLOOKUP(B4623,辅助信息!E:K,7,FALSE)</f>
        <v>JWDDCD2025092400212</v>
      </c>
      <c r="E4623" s="113" t="str">
        <f>VLOOKUP(F4623,辅助信息!A:B,2,FALSE)</f>
        <v>盘螺</v>
      </c>
      <c r="F4623" s="113" t="s">
        <v>40</v>
      </c>
      <c r="G4623" s="114">
        <v>109</v>
      </c>
      <c r="H4623" s="127"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13" t="str">
        <f>VLOOKUP(B4623,辅助信息!E:I,3,FALSE)</f>
        <v>(五冶钢构龙泉东洪片区85亩住宅、商业及配套工程项目三标段)成都市龙泉驿外东洪路地铁2号线惠王陵地铁C口</v>
      </c>
      <c r="J4623" s="113" t="str">
        <f>VLOOKUP(B4623,辅助信息!E:I,4,FALSE)</f>
        <v>王军宝</v>
      </c>
      <c r="K4623" s="113">
        <f>VLOOKUP(J4623,辅助信息!H:I,2,FALSE)</f>
        <v>13889142392</v>
      </c>
      <c r="L4623" s="115">
        <f>VLOOKUP(B4623,辅助信息!E:J,6,FALSE)</f>
        <v>0</v>
      </c>
      <c r="O4623" s="55" t="str">
        <f ca="1" t="shared" si="226"/>
        <v/>
      </c>
      <c r="P4623" s="55" t="str">
        <f ca="1" t="shared" si="227"/>
        <v/>
      </c>
      <c r="Q4623" s="22" t="str">
        <f>VLOOKUP(B4623,辅助信息!E:M,9,FALSE)</f>
        <v>ZTWM-CDGS-XS-2025-0156-五冶钢构-2025年九月第一批次钢筋采购合同(三圣乡项目)-中铁物贸成都公司</v>
      </c>
      <c r="R4623" s="22" t="str">
        <f>_xlfn._xlws.FILTER(辅助信息!D:D,辅助信息!E:E=B4623)</f>
        <v>五冶钢构龙泉东洪片区85亩住宅、商业及配套工程项目三标段</v>
      </c>
    </row>
    <row r="4624" hidden="1" spans="2:18">
      <c r="B4624" s="129" t="s">
        <v>225</v>
      </c>
      <c r="C4624" s="63">
        <v>45946</v>
      </c>
      <c r="D4624" s="113" t="str">
        <f>VLOOKUP(B4624,辅助信息!E:K,7,FALSE)</f>
        <v>JWDDCD2025092400210</v>
      </c>
      <c r="E4624" s="113" t="str">
        <f>VLOOKUP(F4624,辅助信息!A:B,2,FALSE)</f>
        <v>盘螺</v>
      </c>
      <c r="F4624" s="113" t="s">
        <v>26</v>
      </c>
      <c r="G4624" s="114">
        <v>14</v>
      </c>
      <c r="H4624" s="127"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13" t="str">
        <f>VLOOKUP(B4624,辅助信息!E:I,3,FALSE)</f>
        <v>(五冶钢构龙泉东洪片区85亩住宅、商业及配套工程项目一标段)成都市龙泉驿外东洪路地铁2号线惠王陵地铁C口</v>
      </c>
      <c r="J4624" s="113" t="str">
        <f>VLOOKUP(B4624,辅助信息!E:I,4,FALSE)</f>
        <v>岳工</v>
      </c>
      <c r="K4624" s="113">
        <f>VLOOKUP(J4624,辅助信息!H:I,2,FALSE)</f>
        <v>18599951655</v>
      </c>
      <c r="L4624" s="115">
        <f>VLOOKUP(B4624,辅助信息!E:J,6,FALSE)</f>
        <v>0</v>
      </c>
      <c r="O4624" s="55" t="str">
        <f ca="1" t="shared" si="226"/>
        <v/>
      </c>
      <c r="P4624" s="55" t="str">
        <f ca="1" t="shared" si="227"/>
        <v/>
      </c>
      <c r="Q4624" s="22" t="str">
        <f>VLOOKUP(B4624,辅助信息!E:M,9,FALSE)</f>
        <v>ZTWM-CDGS-XS-2025-0156-五冶钢构-2025年九月第一批次钢筋采购合同(三圣乡项目)-中铁物贸成都公司</v>
      </c>
      <c r="R4624" s="22" t="str">
        <f>_xlfn._xlws.FILTER(辅助信息!D:D,辅助信息!E:E=B4624)</f>
        <v>五冶钢构龙泉东洪片区85亩住宅、商业及配套工程项目一标段</v>
      </c>
    </row>
    <row r="4625" hidden="1" spans="2:18">
      <c r="B4625" s="128" t="s">
        <v>194</v>
      </c>
      <c r="C4625" s="63">
        <v>45946</v>
      </c>
      <c r="D4625" s="33" t="str">
        <f>VLOOKUP(B4625,辅助信息!E:K,7,FALSE)</f>
        <v>JWDD2025071500089</v>
      </c>
      <c r="E4625" s="33" t="str">
        <f>VLOOKUP(F4625,辅助信息!A:B,2,FALSE)</f>
        <v>螺纹钢</v>
      </c>
      <c r="F4625" s="33" t="s">
        <v>32</v>
      </c>
      <c r="G4625" s="29">
        <v>20</v>
      </c>
      <c r="H4625" s="127">
        <f>IF(SUMIFS('[1]2025年已发货'!$E:$E,'[1]2025年已发货'!$F:$F,C4625,'[1]2025年已发货'!$C:$C,F4625,'[1]2025年已发货'!$G:$G,I4625,'[1]2025年已发货'!$H:$H,J4625)=0,"未发货",SUMIFS('[1]2025年已发货'!$E:$E,'[1]2025年已发货'!$F:$F,C4625,'[1]2025年已发货'!$C:$C,F4625,'[1]2025年已发货'!$G:$G,I4625,'[1]2025年已发货'!$H:$H,J4625))</f>
        <v>20</v>
      </c>
      <c r="I4625" s="33" t="str">
        <f>VLOOKUP(B4625,辅助信息!E:I,3,FALSE)</f>
        <v>(宜宾兴港三江新区长江工业园保障性租赁住房建设项目-土建)四川省宜宾市翠屏区永善路南段宜宾市三江新区长江工业园区</v>
      </c>
      <c r="J4625" s="33" t="str">
        <f>VLOOKUP(B4625,辅助信息!E:I,4,FALSE)</f>
        <v>赵元虎</v>
      </c>
      <c r="K4625" s="33">
        <f>VLOOKUP(J4625,辅助信息!H:I,2,FALSE)</f>
        <v>13684167136</v>
      </c>
      <c r="L4625" s="102" t="str">
        <f>VLOOKUP(B4625,辅助信息!E:J,6,FALSE)</f>
        <v>现场要求调度统一联系指定收货人，不单独发司机位置。锈货不收，装货前联系收货人核实到场规格,没提前告知进场规格现场不给予接收</v>
      </c>
      <c r="O4625" s="55" t="str">
        <f ca="1" t="shared" si="226"/>
        <v/>
      </c>
      <c r="P4625" s="55" t="str">
        <f ca="1" t="shared" si="227"/>
        <v/>
      </c>
      <c r="Q4625" s="22" t="str">
        <f>VLOOKUP(B4625,辅助信息!E:M,9,FALSE)</f>
        <v>ZTWM-CDYXGS-XS-2025-0014-宜宾兴港建材-三江新区长江工业园片区保障性租赁住房建设项目</v>
      </c>
      <c r="R4625" s="22" t="str">
        <f>_xlfn._xlws.FILTER(辅助信息!D:D,辅助信息!E:E=B4625)</f>
        <v>宜宾兴港三江新区长江工业园建设项目</v>
      </c>
    </row>
    <row r="4626" hidden="1" spans="2:18">
      <c r="B4626" s="128" t="s">
        <v>194</v>
      </c>
      <c r="C4626" s="63">
        <v>45946</v>
      </c>
      <c r="D4626" s="33" t="str">
        <f>VLOOKUP(B4626,辅助信息!E:K,7,FALSE)</f>
        <v>JWDD2025071500089</v>
      </c>
      <c r="E4626" s="33" t="str">
        <f>VLOOKUP(F4626,辅助信息!A:B,2,FALSE)</f>
        <v>螺纹钢</v>
      </c>
      <c r="F4626" s="33" t="s">
        <v>30</v>
      </c>
      <c r="G4626" s="29">
        <v>40</v>
      </c>
      <c r="H4626" s="127">
        <f>IF(SUMIFS('[1]2025年已发货'!$E:$E,'[1]2025年已发货'!$F:$F,C4626,'[1]2025年已发货'!$C:$C,F4626,'[1]2025年已发货'!$G:$G,I4626,'[1]2025年已发货'!$H:$H,J4626)=0,"未发货",SUMIFS('[1]2025年已发货'!$E:$E,'[1]2025年已发货'!$F:$F,C4626,'[1]2025年已发货'!$C:$C,F4626,'[1]2025年已发货'!$G:$G,I4626,'[1]2025年已发货'!$H:$H,J4626))</f>
        <v>40</v>
      </c>
      <c r="I4626" s="33" t="str">
        <f>VLOOKUP(B4626,辅助信息!E:I,3,FALSE)</f>
        <v>(宜宾兴港三江新区长江工业园保障性租赁住房建设项目-土建)四川省宜宾市翠屏区永善路南段宜宾市三江新区长江工业园区</v>
      </c>
      <c r="J4626" s="33" t="str">
        <f>VLOOKUP(B4626,辅助信息!E:I,4,FALSE)</f>
        <v>赵元虎</v>
      </c>
      <c r="K4626" s="33">
        <f>VLOOKUP(J4626,辅助信息!H:I,2,FALSE)</f>
        <v>13684167136</v>
      </c>
      <c r="L4626" s="102" t="str">
        <f>VLOOKUP(B4626,辅助信息!E:J,6,FALSE)</f>
        <v>现场要求调度统一联系指定收货人，不单独发司机位置。锈货不收，装货前联系收货人核实到场规格,没提前告知进场规格现场不给予接收</v>
      </c>
      <c r="O4626" s="55" t="str">
        <f ca="1" t="shared" si="226"/>
        <v/>
      </c>
      <c r="P4626" s="55" t="str">
        <f ca="1" t="shared" si="227"/>
        <v/>
      </c>
      <c r="Q4626" s="22" t="str">
        <f>VLOOKUP(B4626,辅助信息!E:M,9,FALSE)</f>
        <v>ZTWM-CDYXGS-XS-2025-0014-宜宾兴港建材-三江新区长江工业园片区保障性租赁住房建设项目</v>
      </c>
      <c r="R4626" s="22" t="str">
        <f>_xlfn._xlws.FILTER(辅助信息!D:D,辅助信息!E:E=B4626)</f>
        <v>宜宾兴港三江新区长江工业园建设项目</v>
      </c>
    </row>
    <row r="4627" hidden="1" spans="2:18">
      <c r="B4627" s="128" t="s">
        <v>194</v>
      </c>
      <c r="C4627" s="63">
        <v>45946</v>
      </c>
      <c r="D4627" s="33" t="str">
        <f>VLOOKUP(B4627,辅助信息!E:K,7,FALSE)</f>
        <v>JWDD2025071500089</v>
      </c>
      <c r="E4627" s="33" t="str">
        <f>VLOOKUP(F4627,辅助信息!A:B,2,FALSE)</f>
        <v>螺纹钢</v>
      </c>
      <c r="F4627" s="33" t="s">
        <v>33</v>
      </c>
      <c r="G4627" s="29">
        <v>10</v>
      </c>
      <c r="H4627" s="127">
        <f>IF(SUMIFS('[1]2025年已发货'!$E:$E,'[1]2025年已发货'!$F:$F,C4627,'[1]2025年已发货'!$C:$C,F4627,'[1]2025年已发货'!$G:$G,I4627,'[1]2025年已发货'!$H:$H,J4627)=0,"未发货",SUMIFS('[1]2025年已发货'!$E:$E,'[1]2025年已发货'!$F:$F,C4627,'[1]2025年已发货'!$C:$C,F4627,'[1]2025年已发货'!$G:$G,I4627,'[1]2025年已发货'!$H:$H,J4627))</f>
        <v>10</v>
      </c>
      <c r="I4627" s="33" t="str">
        <f>VLOOKUP(B4627,辅助信息!E:I,3,FALSE)</f>
        <v>(宜宾兴港三江新区长江工业园保障性租赁住房建设项目-土建)四川省宜宾市翠屏区永善路南段宜宾市三江新区长江工业园区</v>
      </c>
      <c r="J4627" s="33" t="str">
        <f>VLOOKUP(B4627,辅助信息!E:I,4,FALSE)</f>
        <v>赵元虎</v>
      </c>
      <c r="K4627" s="33">
        <f>VLOOKUP(J4627,辅助信息!H:I,2,FALSE)</f>
        <v>13684167136</v>
      </c>
      <c r="L4627" s="102" t="str">
        <f>VLOOKUP(B4627,辅助信息!E:J,6,FALSE)</f>
        <v>现场要求调度统一联系指定收货人，不单独发司机位置。锈货不收，装货前联系收货人核实到场规格,没提前告知进场规格现场不给予接收</v>
      </c>
      <c r="O4627" s="55" t="str">
        <f ca="1" t="shared" si="226"/>
        <v/>
      </c>
      <c r="P4627" s="55" t="str">
        <f ca="1" t="shared" si="227"/>
        <v/>
      </c>
      <c r="Q4627" s="22" t="str">
        <f>VLOOKUP(B4627,辅助信息!E:M,9,FALSE)</f>
        <v>ZTWM-CDYXGS-XS-2025-0014-宜宾兴港建材-三江新区长江工业园片区保障性租赁住房建设项目</v>
      </c>
      <c r="R4627" s="22" t="str">
        <f>_xlfn._xlws.FILTER(辅助信息!D:D,辅助信息!E:E=B4627)</f>
        <v>宜宾兴港三江新区长江工业园建设项目</v>
      </c>
    </row>
    <row r="4628" hidden="1" spans="2:18">
      <c r="B4628" s="128" t="s">
        <v>194</v>
      </c>
      <c r="C4628" s="63">
        <v>45946</v>
      </c>
      <c r="D4628" s="33" t="str">
        <f>VLOOKUP(B4628,辅助信息!E:K,7,FALSE)</f>
        <v>JWDD2025071500089</v>
      </c>
      <c r="E4628" s="33" t="str">
        <f>VLOOKUP(F4628,辅助信息!A:B,2,FALSE)</f>
        <v>螺纹钢</v>
      </c>
      <c r="F4628" s="33" t="s">
        <v>28</v>
      </c>
      <c r="G4628" s="29">
        <v>25</v>
      </c>
      <c r="H4628" s="127">
        <f>IF(SUMIFS('[1]2025年已发货'!$E:$E,'[1]2025年已发货'!$F:$F,C4628,'[1]2025年已发货'!$C:$C,F4628,'[1]2025年已发货'!$G:$G,I4628,'[1]2025年已发货'!$H:$H,J4628)=0,"未发货",SUMIFS('[1]2025年已发货'!$E:$E,'[1]2025年已发货'!$F:$F,C4628,'[1]2025年已发货'!$C:$C,F4628,'[1]2025年已发货'!$G:$G,I4628,'[1]2025年已发货'!$H:$H,J4628))</f>
        <v>25</v>
      </c>
      <c r="I4628" s="33" t="str">
        <f>VLOOKUP(B4628,辅助信息!E:I,3,FALSE)</f>
        <v>(宜宾兴港三江新区长江工业园保障性租赁住房建设项目-土建)四川省宜宾市翠屏区永善路南段宜宾市三江新区长江工业园区</v>
      </c>
      <c r="J4628" s="33" t="str">
        <f>VLOOKUP(B4628,辅助信息!E:I,4,FALSE)</f>
        <v>赵元虎</v>
      </c>
      <c r="K4628" s="33">
        <f>VLOOKUP(J4628,辅助信息!H:I,2,FALSE)</f>
        <v>13684167136</v>
      </c>
      <c r="L4628" s="102" t="str">
        <f>VLOOKUP(B4628,辅助信息!E:J,6,FALSE)</f>
        <v>现场要求调度统一联系指定收货人，不单独发司机位置。锈货不收，装货前联系收货人核实到场规格,没提前告知进场规格现场不给予接收</v>
      </c>
      <c r="O4628" s="55" t="str">
        <f ca="1" t="shared" si="226"/>
        <v/>
      </c>
      <c r="P4628" s="55" t="str">
        <f ca="1" t="shared" si="227"/>
        <v/>
      </c>
      <c r="Q4628" s="22" t="str">
        <f>VLOOKUP(B4628,辅助信息!E:M,9,FALSE)</f>
        <v>ZTWM-CDYXGS-XS-2025-0014-宜宾兴港建材-三江新区长江工业园片区保障性租赁住房建设项目</v>
      </c>
      <c r="R4628" s="22" t="str">
        <f>_xlfn._xlws.FILTER(辅助信息!D:D,辅助信息!E:E=B4628)</f>
        <v>宜宾兴港三江新区长江工业园建设项目</v>
      </c>
    </row>
    <row r="4629" hidden="1" spans="2:18">
      <c r="B4629" s="128" t="s">
        <v>194</v>
      </c>
      <c r="C4629" s="63">
        <v>45946</v>
      </c>
      <c r="D4629" s="33" t="str">
        <f>VLOOKUP(B4629,辅助信息!E:K,7,FALSE)</f>
        <v>JWDD2025071500089</v>
      </c>
      <c r="E4629" s="33" t="str">
        <f>VLOOKUP(F4629,辅助信息!A:B,2,FALSE)</f>
        <v>螺纹钢</v>
      </c>
      <c r="F4629" s="33" t="s">
        <v>18</v>
      </c>
      <c r="G4629" s="29">
        <v>45</v>
      </c>
      <c r="H4629" s="127">
        <f>IF(SUMIFS('[1]2025年已发货'!$E:$E,'[1]2025年已发货'!$F:$F,C4629,'[1]2025年已发货'!$C:$C,F4629,'[1]2025年已发货'!$G:$G,I4629,'[1]2025年已发货'!$H:$H,J4629)=0,"未发货",SUMIFS('[1]2025年已发货'!$E:$E,'[1]2025年已发货'!$F:$F,C4629,'[1]2025年已发货'!$C:$C,F4629,'[1]2025年已发货'!$G:$G,I4629,'[1]2025年已发货'!$H:$H,J4629))</f>
        <v>45</v>
      </c>
      <c r="I4629" s="33" t="str">
        <f>VLOOKUP(B4629,辅助信息!E:I,3,FALSE)</f>
        <v>(宜宾兴港三江新区长江工业园保障性租赁住房建设项目-土建)四川省宜宾市翠屏区永善路南段宜宾市三江新区长江工业园区</v>
      </c>
      <c r="J4629" s="33" t="str">
        <f>VLOOKUP(B4629,辅助信息!E:I,4,FALSE)</f>
        <v>赵元虎</v>
      </c>
      <c r="K4629" s="33">
        <f>VLOOKUP(J4629,辅助信息!H:I,2,FALSE)</f>
        <v>13684167136</v>
      </c>
      <c r="L4629" s="102" t="str">
        <f>VLOOKUP(B4629,辅助信息!E:J,6,FALSE)</f>
        <v>现场要求调度统一联系指定收货人，不单独发司机位置。锈货不收，装货前联系收货人核实到场规格,没提前告知进场规格现场不给予接收</v>
      </c>
      <c r="O4629" s="55" t="str">
        <f ca="1" t="shared" si="226"/>
        <v/>
      </c>
      <c r="P4629" s="55" t="str">
        <f ca="1" t="shared" si="227"/>
        <v/>
      </c>
      <c r="Q4629" s="22" t="str">
        <f>VLOOKUP(B4629,辅助信息!E:M,9,FALSE)</f>
        <v>ZTWM-CDYXGS-XS-2025-0014-宜宾兴港建材-三江新区长江工业园片区保障性租赁住房建设项目</v>
      </c>
      <c r="R4629" s="22" t="str">
        <f>_xlfn._xlws.FILTER(辅助信息!D:D,辅助信息!E:E=B4629)</f>
        <v>宜宾兴港三江新区长江工业园建设项目</v>
      </c>
    </row>
    <row r="4630" hidden="1" spans="1:18">
      <c r="A4630" s="64" t="s">
        <v>100</v>
      </c>
      <c r="B4630" s="128" t="s">
        <v>177</v>
      </c>
      <c r="C4630" s="63">
        <v>45946</v>
      </c>
      <c r="D4630" s="33" t="str">
        <f>VLOOKUP(B4630,辅助信息!E:K,7,FALSE)</f>
        <v>JWDDCD2025062200016</v>
      </c>
      <c r="E4630" s="33" t="str">
        <f>VLOOKUP(F4630,辅助信息!A:B,2,FALSE)</f>
        <v>高线</v>
      </c>
      <c r="F4630" s="33" t="s">
        <v>57</v>
      </c>
      <c r="G4630" s="29">
        <v>2</v>
      </c>
      <c r="H4630" s="127"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33" t="str">
        <f>VLOOKUP(B4630,辅助信息!E:I,3,FALSE)</f>
        <v>(武汉电气化局成达万高铁强电项目-南充营山)四川省南充市营山县保真路景阳名城南50米(保真路东)</v>
      </c>
      <c r="J4630" s="33" t="str">
        <f>VLOOKUP(B4630,辅助信息!E:I,4,FALSE)</f>
        <v>周开亮</v>
      </c>
      <c r="K4630" s="33">
        <f>VLOOKUP(J4630,辅助信息!H:I,2,FALSE)</f>
        <v>18381485052</v>
      </c>
      <c r="L4630" s="102" t="str">
        <f>VLOOKUP(B4630,辅助信息!E:J,6,FALSE)</f>
        <v>锈货不收！！下雨天钢筋没盖篷布不收！！，装货前联系收货人核实到场规格,没提前告知进场规格现场不给予接收</v>
      </c>
      <c r="O4630" s="55" t="str">
        <f ca="1" t="shared" si="226"/>
        <v/>
      </c>
      <c r="P4630" s="55" t="str">
        <f ca="1" t="shared" si="227"/>
        <v/>
      </c>
      <c r="Q4630" s="22" t="str">
        <f>VLOOKUP(B4630,辅助信息!E:M,9,FALSE)</f>
        <v>ZTWM-CDGS-XS-2025-0033-中铁武汉电气化局集团有限公司成达万高速铁路强电工程项目</v>
      </c>
      <c r="R4630" s="22" t="str">
        <f>_xlfn._xlws.FILTER(辅助信息!D:D,辅助信息!E:E=B4630)</f>
        <v>武汉电气化局成达万高铁强电项目</v>
      </c>
    </row>
    <row r="4631" hidden="1" spans="1:18">
      <c r="A4631" s="64"/>
      <c r="B4631" s="128" t="s">
        <v>177</v>
      </c>
      <c r="C4631" s="63">
        <v>45946</v>
      </c>
      <c r="D4631" s="33" t="str">
        <f>VLOOKUP(B4631,辅助信息!E:K,7,FALSE)</f>
        <v>JWDDCD2025062200016</v>
      </c>
      <c r="E4631" s="33" t="str">
        <f>VLOOKUP(F4631,辅助信息!A:B,2,FALSE)</f>
        <v>螺纹钢</v>
      </c>
      <c r="F4631" s="33" t="s">
        <v>19</v>
      </c>
      <c r="G4631" s="29">
        <v>6</v>
      </c>
      <c r="H4631" s="127"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33" t="str">
        <f>VLOOKUP(B4631,辅助信息!E:I,3,FALSE)</f>
        <v>(武汉电气化局成达万高铁强电项目-南充营山)四川省南充市营山县保真路景阳名城南50米(保真路东)</v>
      </c>
      <c r="J4631" s="33" t="str">
        <f>VLOOKUP(B4631,辅助信息!E:I,4,FALSE)</f>
        <v>周开亮</v>
      </c>
      <c r="K4631" s="33">
        <f>VLOOKUP(J4631,辅助信息!H:I,2,FALSE)</f>
        <v>18381485052</v>
      </c>
      <c r="L4631" s="102" t="str">
        <f>VLOOKUP(B4631,辅助信息!E:J,6,FALSE)</f>
        <v>锈货不收！！下雨天钢筋没盖篷布不收！！，装货前联系收货人核实到场规格,没提前告知进场规格现场不给予接收</v>
      </c>
      <c r="O4631" s="55" t="str">
        <f ca="1" t="shared" si="226"/>
        <v/>
      </c>
      <c r="P4631" s="55" t="str">
        <f ca="1" t="shared" si="227"/>
        <v/>
      </c>
      <c r="Q4631" s="22" t="str">
        <f>VLOOKUP(B4631,辅助信息!E:M,9,FALSE)</f>
        <v>ZTWM-CDGS-XS-2025-0033-中铁武汉电气化局集团有限公司成达万高速铁路强电工程项目</v>
      </c>
      <c r="R4631" s="22" t="str">
        <f>_xlfn._xlws.FILTER(辅助信息!D:D,辅助信息!E:E=B4631)</f>
        <v>武汉电气化局成达万高铁强电项目</v>
      </c>
    </row>
    <row r="4632" hidden="1" spans="1:18">
      <c r="A4632" s="64"/>
      <c r="B4632" s="128" t="s">
        <v>177</v>
      </c>
      <c r="C4632" s="63">
        <v>45946</v>
      </c>
      <c r="D4632" s="33" t="str">
        <f>VLOOKUP(B4632,辅助信息!E:K,7,FALSE)</f>
        <v>JWDDCD2025062200016</v>
      </c>
      <c r="E4632" s="33" t="str">
        <f>VLOOKUP(F4632,辅助信息!A:B,2,FALSE)</f>
        <v>螺纹钢</v>
      </c>
      <c r="F4632" s="33" t="s">
        <v>33</v>
      </c>
      <c r="G4632" s="29">
        <v>16</v>
      </c>
      <c r="H4632" s="127"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33" t="str">
        <f>VLOOKUP(B4632,辅助信息!E:I,3,FALSE)</f>
        <v>(武汉电气化局成达万高铁强电项目-南充营山)四川省南充市营山县保真路景阳名城南50米(保真路东)</v>
      </c>
      <c r="J4632" s="33" t="str">
        <f>VLOOKUP(B4632,辅助信息!E:I,4,FALSE)</f>
        <v>周开亮</v>
      </c>
      <c r="K4632" s="33">
        <f>VLOOKUP(J4632,辅助信息!H:I,2,FALSE)</f>
        <v>18381485052</v>
      </c>
      <c r="L4632" s="102" t="str">
        <f>VLOOKUP(B4632,辅助信息!E:J,6,FALSE)</f>
        <v>锈货不收！！下雨天钢筋没盖篷布不收！！，装货前联系收货人核实到场规格,没提前告知进场规格现场不给予接收</v>
      </c>
      <c r="O4632" s="55" t="str">
        <f ca="1" t="shared" si="226"/>
        <v/>
      </c>
      <c r="P4632" s="55" t="str">
        <f ca="1" t="shared" si="227"/>
        <v/>
      </c>
      <c r="Q4632" s="22" t="str">
        <f>VLOOKUP(B4632,辅助信息!E:M,9,FALSE)</f>
        <v>ZTWM-CDGS-XS-2025-0033-中铁武汉电气化局集团有限公司成达万高速铁路强电工程项目</v>
      </c>
      <c r="R4632" s="22" t="str">
        <f>_xlfn._xlws.FILTER(辅助信息!D:D,辅助信息!E:E=B4632)</f>
        <v>武汉电气化局成达万高铁强电项目</v>
      </c>
    </row>
    <row r="4633" hidden="1" spans="1:18">
      <c r="A4633" s="64"/>
      <c r="B4633" s="128" t="s">
        <v>177</v>
      </c>
      <c r="C4633" s="63">
        <v>45946</v>
      </c>
      <c r="D4633" s="33" t="str">
        <f>VLOOKUP(B4633,辅助信息!E:K,7,FALSE)</f>
        <v>JWDDCD2025062200016</v>
      </c>
      <c r="E4633" s="33" t="str">
        <f>VLOOKUP(F4633,辅助信息!A:B,2,FALSE)</f>
        <v>螺纹钢</v>
      </c>
      <c r="F4633" s="33" t="s">
        <v>18</v>
      </c>
      <c r="G4633" s="29">
        <v>12</v>
      </c>
      <c r="H4633" s="127"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33" t="str">
        <f>VLOOKUP(B4633,辅助信息!E:I,3,FALSE)</f>
        <v>(武汉电气化局成达万高铁强电项目-南充营山)四川省南充市营山县保真路景阳名城南50米(保真路东)</v>
      </c>
      <c r="J4633" s="33" t="str">
        <f>VLOOKUP(B4633,辅助信息!E:I,4,FALSE)</f>
        <v>周开亮</v>
      </c>
      <c r="K4633" s="33">
        <f>VLOOKUP(J4633,辅助信息!H:I,2,FALSE)</f>
        <v>18381485052</v>
      </c>
      <c r="L4633" s="102" t="str">
        <f>VLOOKUP(B4633,辅助信息!E:J,6,FALSE)</f>
        <v>锈货不收！！下雨天钢筋没盖篷布不收！！，装货前联系收货人核实到场规格,没提前告知进场规格现场不给予接收</v>
      </c>
      <c r="O4633" s="55" t="str">
        <f ca="1" t="shared" si="226"/>
        <v/>
      </c>
      <c r="P4633" s="55" t="str">
        <f ca="1" t="shared" si="227"/>
        <v/>
      </c>
      <c r="Q4633" s="22" t="str">
        <f>VLOOKUP(B4633,辅助信息!E:M,9,FALSE)</f>
        <v>ZTWM-CDGS-XS-2025-0033-中铁武汉电气化局集团有限公司成达万高速铁路强电工程项目</v>
      </c>
      <c r="R4633" s="22" t="str">
        <f>_xlfn._xlws.FILTER(辅助信息!D:D,辅助信息!E:E=B4633)</f>
        <v>武汉电气化局成达万高铁强电项目</v>
      </c>
    </row>
    <row r="4634" hidden="1" spans="1:18">
      <c r="A4634" s="64"/>
      <c r="B4634" s="128" t="s">
        <v>177</v>
      </c>
      <c r="C4634" s="63">
        <v>45946</v>
      </c>
      <c r="D4634" s="33" t="str">
        <f>VLOOKUP(B4634,辅助信息!E:K,7,FALSE)</f>
        <v>JWDDCD2025062200016</v>
      </c>
      <c r="E4634" s="33" t="str">
        <f>VLOOKUP(F4634,辅助信息!A:B,2,FALSE)</f>
        <v>盘螺</v>
      </c>
      <c r="F4634" s="33" t="s">
        <v>41</v>
      </c>
      <c r="G4634" s="29">
        <v>10</v>
      </c>
      <c r="H4634" s="127"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33" t="str">
        <f>VLOOKUP(B4634,辅助信息!E:I,3,FALSE)</f>
        <v>(武汉电气化局成达万高铁强电项目-南充营山)四川省南充市营山县保真路景阳名城南50米(保真路东)</v>
      </c>
      <c r="J4634" s="33" t="str">
        <f>VLOOKUP(B4634,辅助信息!E:I,4,FALSE)</f>
        <v>周开亮</v>
      </c>
      <c r="K4634" s="33">
        <f>VLOOKUP(J4634,辅助信息!H:I,2,FALSE)</f>
        <v>18381485052</v>
      </c>
      <c r="L4634" s="102" t="str">
        <f>VLOOKUP(B4634,辅助信息!E:J,6,FALSE)</f>
        <v>锈货不收！！下雨天钢筋没盖篷布不收！！，装货前联系收货人核实到场规格,没提前告知进场规格现场不给予接收</v>
      </c>
      <c r="O4634" s="55" t="str">
        <f ca="1" t="shared" si="226"/>
        <v/>
      </c>
      <c r="P4634" s="55" t="str">
        <f ca="1" t="shared" si="227"/>
        <v/>
      </c>
      <c r="Q4634" s="22" t="str">
        <f>VLOOKUP(B4634,辅助信息!E:M,9,FALSE)</f>
        <v>ZTWM-CDGS-XS-2025-0033-中铁武汉电气化局集团有限公司成达万高速铁路强电工程项目</v>
      </c>
      <c r="R4634" s="22" t="str">
        <f>_xlfn._xlws.FILTER(辅助信息!D:D,辅助信息!E:E=B4634)</f>
        <v>武汉电气化局成达万高铁强电项目</v>
      </c>
    </row>
    <row r="4635" hidden="1" spans="1:18">
      <c r="A4635" s="64"/>
      <c r="B4635" s="128" t="s">
        <v>177</v>
      </c>
      <c r="C4635" s="63">
        <v>45946</v>
      </c>
      <c r="D4635" s="33" t="str">
        <f>VLOOKUP(B4635,辅助信息!E:K,7,FALSE)</f>
        <v>JWDDCD2025062200016</v>
      </c>
      <c r="E4635" s="33" t="str">
        <f>VLOOKUP(F4635,辅助信息!A:B,2,FALSE)</f>
        <v>螺纹钢</v>
      </c>
      <c r="F4635" s="33" t="s">
        <v>130</v>
      </c>
      <c r="G4635" s="29">
        <v>26</v>
      </c>
      <c r="H4635" s="127"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33" t="str">
        <f>VLOOKUP(B4635,辅助信息!E:I,3,FALSE)</f>
        <v>(武汉电气化局成达万高铁强电项目-南充营山)四川省南充市营山县保真路景阳名城南50米(保真路东)</v>
      </c>
      <c r="J4635" s="33" t="str">
        <f>VLOOKUP(B4635,辅助信息!E:I,4,FALSE)</f>
        <v>周开亮</v>
      </c>
      <c r="K4635" s="33">
        <f>VLOOKUP(J4635,辅助信息!H:I,2,FALSE)</f>
        <v>18381485052</v>
      </c>
      <c r="L4635" s="102" t="str">
        <f>VLOOKUP(B4635,辅助信息!E:J,6,FALSE)</f>
        <v>锈货不收！！下雨天钢筋没盖篷布不收！！，装货前联系收货人核实到场规格,没提前告知进场规格现场不给予接收</v>
      </c>
      <c r="M4635" s="84">
        <v>45941</v>
      </c>
      <c r="O4635" s="55">
        <f ca="1" t="shared" si="226"/>
        <v>0</v>
      </c>
      <c r="P4635" s="55">
        <f ca="1" t="shared" si="227"/>
        <v>16</v>
      </c>
      <c r="Q4635" s="22" t="str">
        <f>VLOOKUP(B4635,辅助信息!E:M,9,FALSE)</f>
        <v>ZTWM-CDGS-XS-2025-0033-中铁武汉电气化局集团有限公司成达万高速铁路强电工程项目</v>
      </c>
      <c r="R4635" s="22" t="str">
        <f>_xlfn._xlws.FILTER(辅助信息!D:D,辅助信息!E:E=B4635)</f>
        <v>武汉电气化局成达万高铁强电项目</v>
      </c>
    </row>
    <row r="4636" hidden="1" spans="2:18">
      <c r="B4636" s="128" t="s">
        <v>163</v>
      </c>
      <c r="C4636" s="63">
        <v>45946</v>
      </c>
      <c r="D4636" s="33" t="str">
        <f>VLOOKUP(B4636,辅助信息!E:K,7,FALSE)</f>
        <v>JWDDCD2025052800131</v>
      </c>
      <c r="E4636" s="33" t="str">
        <f>VLOOKUP(F4636,辅助信息!A:B,2,FALSE)</f>
        <v>螺纹钢</v>
      </c>
      <c r="F4636" s="33" t="s">
        <v>58</v>
      </c>
      <c r="G4636" s="29">
        <v>15</v>
      </c>
      <c r="H4636" s="127"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33" t="str">
        <f>VLOOKUP(B4636,辅助信息!E:I,3,FALSE)</f>
        <v>（商投建工达州中医药科技园-4工区-9号楼）达州市通川区达州中医药职业学院犀牛大道北段</v>
      </c>
      <c r="J4636" s="33" t="str">
        <f>VLOOKUP(B4636,辅助信息!E:I,4,FALSE)</f>
        <v>张扬</v>
      </c>
      <c r="K4636" s="33">
        <f>VLOOKUP(J4636,辅助信息!H:I,2,FALSE)</f>
        <v>18381904567</v>
      </c>
      <c r="L4636" s="102" t="str">
        <f>VLOOKUP(B4636,辅助信息!E:J,6,FALSE)</f>
        <v>控制炉批号！多了现场不收！,优先安排达钢,提前联系到场规格及数量</v>
      </c>
      <c r="O4636" s="55" t="str">
        <f ca="1" t="shared" si="226"/>
        <v/>
      </c>
      <c r="P4636" s="55" t="str">
        <f ca="1" t="shared" si="227"/>
        <v/>
      </c>
      <c r="Q4636" s="22" t="str">
        <f>VLOOKUP(B4636,辅助信息!E:M,9,FALSE)</f>
        <v>ZTWM-CDGS-XS-2024-0134-商投建工达州中医药科技成果示范园项目</v>
      </c>
      <c r="R4636" s="22" t="str">
        <f>_xlfn._xlws.FILTER(辅助信息!D:D,辅助信息!E:E=B4636)</f>
        <v>商投建工达州中医药科技园</v>
      </c>
    </row>
    <row r="4637" hidden="1" spans="2:18">
      <c r="B4637" s="128" t="s">
        <v>163</v>
      </c>
      <c r="C4637" s="63">
        <v>45946</v>
      </c>
      <c r="D4637" s="33" t="str">
        <f>VLOOKUP(B4637,辅助信息!E:K,7,FALSE)</f>
        <v>JWDDCD2025052800131</v>
      </c>
      <c r="E4637" s="33" t="str">
        <f>VLOOKUP(F4637,辅助信息!A:B,2,FALSE)</f>
        <v>螺纹钢</v>
      </c>
      <c r="F4637" s="33" t="s">
        <v>46</v>
      </c>
      <c r="G4637" s="29">
        <v>12</v>
      </c>
      <c r="H4637" s="127"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33" t="str">
        <f>VLOOKUP(B4637,辅助信息!E:I,3,FALSE)</f>
        <v>（商投建工达州中医药科技园-4工区-9号楼）达州市通川区达州中医药职业学院犀牛大道北段</v>
      </c>
      <c r="J4637" s="33" t="str">
        <f>VLOOKUP(B4637,辅助信息!E:I,4,FALSE)</f>
        <v>张扬</v>
      </c>
      <c r="K4637" s="33">
        <f>VLOOKUP(J4637,辅助信息!H:I,2,FALSE)</f>
        <v>18381904567</v>
      </c>
      <c r="L4637" s="102" t="str">
        <f>VLOOKUP(B4637,辅助信息!E:J,6,FALSE)</f>
        <v>控制炉批号！多了现场不收！,优先安排达钢,提前联系到场规格及数量</v>
      </c>
      <c r="O4637" s="55" t="str">
        <f ca="1" t="shared" si="226"/>
        <v/>
      </c>
      <c r="P4637" s="55" t="str">
        <f ca="1" t="shared" si="227"/>
        <v/>
      </c>
      <c r="Q4637" s="22" t="str">
        <f>VLOOKUP(B4637,辅助信息!E:M,9,FALSE)</f>
        <v>ZTWM-CDGS-XS-2024-0134-商投建工达州中医药科技成果示范园项目</v>
      </c>
      <c r="R4637" s="22" t="str">
        <f>_xlfn._xlws.FILTER(辅助信息!D:D,辅助信息!E:E=B4637)</f>
        <v>商投建工达州中医药科技园</v>
      </c>
    </row>
    <row r="4638" hidden="1" spans="2:18">
      <c r="B4638" s="128" t="s">
        <v>163</v>
      </c>
      <c r="C4638" s="63">
        <v>45946</v>
      </c>
      <c r="D4638" s="33" t="str">
        <f>VLOOKUP(B4638,辅助信息!E:K,7,FALSE)</f>
        <v>JWDDCD2025052800131</v>
      </c>
      <c r="E4638" s="33" t="str">
        <f>VLOOKUP(F4638,辅助信息!A:B,2,FALSE)</f>
        <v>螺纹钢</v>
      </c>
      <c r="F4638" s="33" t="s">
        <v>22</v>
      </c>
      <c r="G4638" s="29">
        <v>9</v>
      </c>
      <c r="H4638" s="127"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33" t="str">
        <f>VLOOKUP(B4638,辅助信息!E:I,3,FALSE)</f>
        <v>（商投建工达州中医药科技园-4工区-9号楼）达州市通川区达州中医药职业学院犀牛大道北段</v>
      </c>
      <c r="J4638" s="33" t="str">
        <f>VLOOKUP(B4638,辅助信息!E:I,4,FALSE)</f>
        <v>张扬</v>
      </c>
      <c r="K4638" s="33">
        <f>VLOOKUP(J4638,辅助信息!H:I,2,FALSE)</f>
        <v>18381904567</v>
      </c>
      <c r="L4638" s="102" t="str">
        <f>VLOOKUP(B4638,辅助信息!E:J,6,FALSE)</f>
        <v>控制炉批号！多了现场不收！,优先安排达钢,提前联系到场规格及数量</v>
      </c>
      <c r="O4638" s="55" t="str">
        <f ca="1" t="shared" si="226"/>
        <v/>
      </c>
      <c r="P4638" s="55" t="str">
        <f ca="1" t="shared" si="227"/>
        <v/>
      </c>
      <c r="Q4638" s="22" t="str">
        <f>VLOOKUP(B4638,辅助信息!E:M,9,FALSE)</f>
        <v>ZTWM-CDGS-XS-2024-0134-商投建工达州中医药科技成果示范园项目</v>
      </c>
      <c r="R4638" s="22" t="str">
        <f>_xlfn._xlws.FILTER(辅助信息!D:D,辅助信息!E:E=B4638)</f>
        <v>商投建工达州中医药科技园</v>
      </c>
    </row>
    <row r="4639" hidden="1" spans="2:18">
      <c r="B4639" s="128" t="s">
        <v>163</v>
      </c>
      <c r="C4639" s="63">
        <v>45946</v>
      </c>
      <c r="D4639" s="33" t="str">
        <f>VLOOKUP(B4639,辅助信息!E:K,7,FALSE)</f>
        <v>JWDDCD2025052800131</v>
      </c>
      <c r="E4639" s="33" t="str">
        <f>VLOOKUP(F4639,辅助信息!A:B,2,FALSE)</f>
        <v>螺纹钢</v>
      </c>
      <c r="F4639" s="33" t="s">
        <v>32</v>
      </c>
      <c r="G4639" s="29">
        <v>3</v>
      </c>
      <c r="H4639" s="127"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33" t="str">
        <f>VLOOKUP(B4639,辅助信息!E:I,3,FALSE)</f>
        <v>（商投建工达州中医药科技园-4工区-9号楼）达州市通川区达州中医药职业学院犀牛大道北段</v>
      </c>
      <c r="J4639" s="33" t="str">
        <f>VLOOKUP(B4639,辅助信息!E:I,4,FALSE)</f>
        <v>张扬</v>
      </c>
      <c r="K4639" s="33">
        <f>VLOOKUP(J4639,辅助信息!H:I,2,FALSE)</f>
        <v>18381904567</v>
      </c>
      <c r="L4639" s="102" t="str">
        <f>VLOOKUP(B4639,辅助信息!E:J,6,FALSE)</f>
        <v>控制炉批号！多了现场不收！,优先安排达钢,提前联系到场规格及数量</v>
      </c>
      <c r="O4639" s="55" t="str">
        <f ca="1" t="shared" si="226"/>
        <v/>
      </c>
      <c r="P4639" s="55" t="str">
        <f ca="1" t="shared" si="227"/>
        <v/>
      </c>
      <c r="Q4639" s="22" t="str">
        <f>VLOOKUP(B4639,辅助信息!E:M,9,FALSE)</f>
        <v>ZTWM-CDGS-XS-2024-0134-商投建工达州中医药科技成果示范园项目</v>
      </c>
      <c r="R4639" s="22" t="str">
        <f>_xlfn._xlws.FILTER(辅助信息!D:D,辅助信息!E:E=B4639)</f>
        <v>商投建工达州中医药科技园</v>
      </c>
    </row>
    <row r="4640" hidden="1" spans="2:18">
      <c r="B4640" s="128" t="s">
        <v>163</v>
      </c>
      <c r="C4640" s="63">
        <v>45946</v>
      </c>
      <c r="D4640" s="33" t="str">
        <f>VLOOKUP(B4640,辅助信息!E:K,7,FALSE)</f>
        <v>JWDDCD2025052800131</v>
      </c>
      <c r="E4640" s="33" t="str">
        <f>VLOOKUP(F4640,辅助信息!A:B,2,FALSE)</f>
        <v>螺纹钢</v>
      </c>
      <c r="F4640" s="33" t="s">
        <v>30</v>
      </c>
      <c r="G4640" s="29">
        <v>9</v>
      </c>
      <c r="H4640" s="127"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33" t="str">
        <f>VLOOKUP(B4640,辅助信息!E:I,3,FALSE)</f>
        <v>（商投建工达州中医药科技园-4工区-9号楼）达州市通川区达州中医药职业学院犀牛大道北段</v>
      </c>
      <c r="J4640" s="33" t="str">
        <f>VLOOKUP(B4640,辅助信息!E:I,4,FALSE)</f>
        <v>张扬</v>
      </c>
      <c r="K4640" s="33">
        <f>VLOOKUP(J4640,辅助信息!H:I,2,FALSE)</f>
        <v>18381904567</v>
      </c>
      <c r="L4640" s="102" t="str">
        <f>VLOOKUP(B4640,辅助信息!E:J,6,FALSE)</f>
        <v>控制炉批号！多了现场不收！,优先安排达钢,提前联系到场规格及数量</v>
      </c>
      <c r="O4640" s="55" t="str">
        <f ca="1" t="shared" ref="O4640:O4703" si="228">IF(OR(M4640="",N4640&lt;&gt;""),"",MAX(M4640-TODAY(),0))</f>
        <v/>
      </c>
      <c r="P4640" s="55" t="str">
        <f ca="1" t="shared" ref="P4640:P4703" si="229">IF(M4640="","",IF(N4640&lt;&gt;"",MAX(N4640-M4640,0),IF(TODAY()&gt;M4640,TODAY()-M4640,0)))</f>
        <v/>
      </c>
      <c r="Q4640" s="22" t="str">
        <f>VLOOKUP(B4640,辅助信息!E:M,9,FALSE)</f>
        <v>ZTWM-CDGS-XS-2024-0134-商投建工达州中医药科技成果示范园项目</v>
      </c>
      <c r="R4640" s="22" t="str">
        <f>_xlfn._xlws.FILTER(辅助信息!D:D,辅助信息!E:E=B4640)</f>
        <v>商投建工达州中医药科技园</v>
      </c>
    </row>
    <row r="4641" hidden="1" spans="2:18">
      <c r="B4641" s="128" t="s">
        <v>163</v>
      </c>
      <c r="C4641" s="63">
        <v>45946</v>
      </c>
      <c r="D4641" s="33" t="str">
        <f>VLOOKUP(B4641,辅助信息!E:K,7,FALSE)</f>
        <v>JWDDCD2025052800131</v>
      </c>
      <c r="E4641" s="33" t="str">
        <f>VLOOKUP(F4641,辅助信息!A:B,2,FALSE)</f>
        <v>螺纹钢</v>
      </c>
      <c r="F4641" s="33" t="s">
        <v>33</v>
      </c>
      <c r="G4641" s="29">
        <v>6</v>
      </c>
      <c r="H4641" s="127"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33" t="str">
        <f>VLOOKUP(B4641,辅助信息!E:I,3,FALSE)</f>
        <v>（商投建工达州中医药科技园-4工区-9号楼）达州市通川区达州中医药职业学院犀牛大道北段</v>
      </c>
      <c r="J4641" s="33" t="str">
        <f>VLOOKUP(B4641,辅助信息!E:I,4,FALSE)</f>
        <v>张扬</v>
      </c>
      <c r="K4641" s="33">
        <f>VLOOKUP(J4641,辅助信息!H:I,2,FALSE)</f>
        <v>18381904567</v>
      </c>
      <c r="L4641" s="102" t="str">
        <f>VLOOKUP(B4641,辅助信息!E:J,6,FALSE)</f>
        <v>控制炉批号！多了现场不收！,优先安排达钢,提前联系到场规格及数量</v>
      </c>
      <c r="O4641" s="55" t="str">
        <f ca="1" t="shared" si="228"/>
        <v/>
      </c>
      <c r="P4641" s="55" t="str">
        <f ca="1" t="shared" si="229"/>
        <v/>
      </c>
      <c r="Q4641" s="22" t="str">
        <f>VLOOKUP(B4641,辅助信息!E:M,9,FALSE)</f>
        <v>ZTWM-CDGS-XS-2024-0134-商投建工达州中医药科技成果示范园项目</v>
      </c>
      <c r="R4641" s="22" t="str">
        <f>_xlfn._xlws.FILTER(辅助信息!D:D,辅助信息!E:E=B4641)</f>
        <v>商投建工达州中医药科技园</v>
      </c>
    </row>
    <row r="4642" hidden="1" spans="2:18">
      <c r="B4642" s="128" t="s">
        <v>163</v>
      </c>
      <c r="C4642" s="63">
        <v>45946</v>
      </c>
      <c r="D4642" s="33" t="str">
        <f>VLOOKUP(B4642,辅助信息!E:K,7,FALSE)</f>
        <v>JWDDCD2025052800131</v>
      </c>
      <c r="E4642" s="33" t="str">
        <f>VLOOKUP(F4642,辅助信息!A:B,2,FALSE)</f>
        <v>螺纹钢</v>
      </c>
      <c r="F4642" s="33" t="s">
        <v>28</v>
      </c>
      <c r="G4642" s="29">
        <v>9</v>
      </c>
      <c r="H4642" s="127"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33" t="str">
        <f>VLOOKUP(B4642,辅助信息!E:I,3,FALSE)</f>
        <v>（商投建工达州中医药科技园-4工区-9号楼）达州市通川区达州中医药职业学院犀牛大道北段</v>
      </c>
      <c r="J4642" s="33" t="str">
        <f>VLOOKUP(B4642,辅助信息!E:I,4,FALSE)</f>
        <v>张扬</v>
      </c>
      <c r="K4642" s="33">
        <f>VLOOKUP(J4642,辅助信息!H:I,2,FALSE)</f>
        <v>18381904567</v>
      </c>
      <c r="L4642" s="102" t="str">
        <f>VLOOKUP(B4642,辅助信息!E:J,6,FALSE)</f>
        <v>控制炉批号！多了现场不收！,优先安排达钢,提前联系到场规格及数量</v>
      </c>
      <c r="O4642" s="55" t="str">
        <f ca="1" t="shared" si="228"/>
        <v/>
      </c>
      <c r="P4642" s="55" t="str">
        <f ca="1" t="shared" si="229"/>
        <v/>
      </c>
      <c r="Q4642" s="22" t="str">
        <f>VLOOKUP(B4642,辅助信息!E:M,9,FALSE)</f>
        <v>ZTWM-CDGS-XS-2024-0134-商投建工达州中医药科技成果示范园项目</v>
      </c>
      <c r="R4642" s="22" t="str">
        <f>_xlfn._xlws.FILTER(辅助信息!D:D,辅助信息!E:E=B4642)</f>
        <v>商投建工达州中医药科技园</v>
      </c>
    </row>
    <row r="4643" hidden="1" spans="2:18">
      <c r="B4643" s="128" t="s">
        <v>163</v>
      </c>
      <c r="C4643" s="63">
        <v>45946</v>
      </c>
      <c r="D4643" s="33" t="str">
        <f>VLOOKUP(B4643,辅助信息!E:K,7,FALSE)</f>
        <v>JWDDCD2025052800131</v>
      </c>
      <c r="E4643" s="33" t="str">
        <f>VLOOKUP(F4643,辅助信息!A:B,2,FALSE)</f>
        <v>螺纹钢</v>
      </c>
      <c r="F4643" s="33" t="s">
        <v>18</v>
      </c>
      <c r="G4643" s="29">
        <v>9</v>
      </c>
      <c r="H4643" s="127"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33" t="str">
        <f>VLOOKUP(B4643,辅助信息!E:I,3,FALSE)</f>
        <v>（商投建工达州中医药科技园-4工区-9号楼）达州市通川区达州中医药职业学院犀牛大道北段</v>
      </c>
      <c r="J4643" s="33" t="str">
        <f>VLOOKUP(B4643,辅助信息!E:I,4,FALSE)</f>
        <v>张扬</v>
      </c>
      <c r="K4643" s="33">
        <f>VLOOKUP(J4643,辅助信息!H:I,2,FALSE)</f>
        <v>18381904567</v>
      </c>
      <c r="L4643" s="102" t="str">
        <f>VLOOKUP(B4643,辅助信息!E:J,6,FALSE)</f>
        <v>控制炉批号！多了现场不收！,优先安排达钢,提前联系到场规格及数量</v>
      </c>
      <c r="O4643" s="55" t="str">
        <f ca="1" t="shared" si="228"/>
        <v/>
      </c>
      <c r="P4643" s="55" t="str">
        <f ca="1" t="shared" si="229"/>
        <v/>
      </c>
      <c r="Q4643" s="22" t="str">
        <f>VLOOKUP(B4643,辅助信息!E:M,9,FALSE)</f>
        <v>ZTWM-CDGS-XS-2024-0134-商投建工达州中医药科技成果示范园项目</v>
      </c>
      <c r="R4643" s="22" t="str">
        <f>_xlfn._xlws.FILTER(辅助信息!D:D,辅助信息!E:E=B4643)</f>
        <v>商投建工达州中医药科技园</v>
      </c>
    </row>
    <row r="4644" hidden="1" spans="2:18">
      <c r="B4644" s="128" t="s">
        <v>228</v>
      </c>
      <c r="C4644" s="63">
        <v>45946</v>
      </c>
      <c r="D4644" s="33" t="str">
        <f>VLOOKUP(B4644,辅助信息!E:K,7,FALSE)</f>
        <v>JWDDCD2025092400190</v>
      </c>
      <c r="E4644" s="33" t="str">
        <f>VLOOKUP(F4644,辅助信息!A:B,2,FALSE)</f>
        <v>盘螺</v>
      </c>
      <c r="F4644" s="33" t="s">
        <v>40</v>
      </c>
      <c r="G4644" s="29">
        <v>60</v>
      </c>
      <c r="H4644" s="127">
        <f>IF(SUMIFS('[1]2025年已发货'!$E:$E,'[1]2025年已发货'!$F:$F,C4644,'[1]2025年已发货'!$C:$C,F4644,'[1]2025年已发货'!$G:$G,I4644,'[1]2025年已发货'!$H:$H,J4644)=0,"未发货",SUMIFS('[1]2025年已发货'!$E:$E,'[1]2025年已发货'!$F:$F,C4644,'[1]2025年已发货'!$C:$C,F4644,'[1]2025年已发货'!$G:$G,I4644,'[1]2025年已发货'!$H:$H,J4644))</f>
        <v>60</v>
      </c>
      <c r="I4644" s="33" t="str">
        <f>VLOOKUP(B4644,辅助信息!E:I,3,FALSE)</f>
        <v>(五冶钢构龙泉东洪片区70亩住宅、商业及配套工程项目二标段)成都市龙泉驿外东洪路地铁2号线惠王陵地铁C口</v>
      </c>
      <c r="J4644" s="33" t="str">
        <f>VLOOKUP(B4644,辅助信息!E:I,4,FALSE)</f>
        <v>蒋嗣伟</v>
      </c>
      <c r="K4644" s="33">
        <f>VLOOKUP(J4644,辅助信息!H:I,2,FALSE)</f>
        <v>15014331252</v>
      </c>
      <c r="L4644" s="102">
        <f>VLOOKUP(B4644,辅助信息!E:J,6,FALSE)</f>
        <v>0</v>
      </c>
      <c r="O4644" s="55" t="str">
        <f ca="1" t="shared" si="228"/>
        <v/>
      </c>
      <c r="P4644" s="55" t="str">
        <f ca="1" t="shared" si="229"/>
        <v/>
      </c>
      <c r="Q4644" s="22" t="str">
        <f>VLOOKUP(B4644,辅助信息!E:M,9,FALSE)</f>
        <v>ZTWM-CDGS-XS-2025-0156-五冶钢构-2025年九月第一批次钢筋采购合同(三圣乡项目)-中铁物贸成都公司</v>
      </c>
      <c r="R4644" s="22" t="str">
        <f>_xlfn._xlws.FILTER(辅助信息!D:D,辅助信息!E:E=B4644)</f>
        <v>五冶钢构龙泉东洪片区70亩住宅、商业及配套工程项目二标段</v>
      </c>
    </row>
    <row r="4645" hidden="1" spans="2:18">
      <c r="B4645" s="128" t="s">
        <v>228</v>
      </c>
      <c r="C4645" s="63">
        <v>45946</v>
      </c>
      <c r="D4645" s="33" t="str">
        <f>VLOOKUP(B4645,辅助信息!E:K,7,FALSE)</f>
        <v>JWDDCD2025092400190</v>
      </c>
      <c r="E4645" s="33" t="str">
        <f>VLOOKUP(F4645,辅助信息!A:B,2,FALSE)</f>
        <v>盘螺</v>
      </c>
      <c r="F4645" s="33" t="s">
        <v>41</v>
      </c>
      <c r="G4645" s="29">
        <v>50</v>
      </c>
      <c r="H4645" s="127"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33" t="str">
        <f>VLOOKUP(B4645,辅助信息!E:I,3,FALSE)</f>
        <v>(五冶钢构龙泉东洪片区70亩住宅、商业及配套工程项目二标段)成都市龙泉驿外东洪路地铁2号线惠王陵地铁C口</v>
      </c>
      <c r="J4645" s="33" t="str">
        <f>VLOOKUP(B4645,辅助信息!E:I,4,FALSE)</f>
        <v>蒋嗣伟</v>
      </c>
      <c r="K4645" s="33">
        <f>VLOOKUP(J4645,辅助信息!H:I,2,FALSE)</f>
        <v>15014331252</v>
      </c>
      <c r="L4645" s="102">
        <f>VLOOKUP(B4645,辅助信息!E:J,6,FALSE)</f>
        <v>0</v>
      </c>
      <c r="O4645" s="55" t="str">
        <f ca="1" t="shared" si="228"/>
        <v/>
      </c>
      <c r="P4645" s="55" t="str">
        <f ca="1" t="shared" si="229"/>
        <v/>
      </c>
      <c r="Q4645" s="22" t="str">
        <f>VLOOKUP(B4645,辅助信息!E:M,9,FALSE)</f>
        <v>ZTWM-CDGS-XS-2025-0156-五冶钢构-2025年九月第一批次钢筋采购合同(三圣乡项目)-中铁物贸成都公司</v>
      </c>
      <c r="R4645" s="22" t="str">
        <f>_xlfn._xlws.FILTER(辅助信息!D:D,辅助信息!E:E=B4645)</f>
        <v>五冶钢构龙泉东洪片区70亩住宅、商业及配套工程项目二标段</v>
      </c>
    </row>
    <row r="4646" hidden="1" spans="2:18">
      <c r="B4646" s="128" t="s">
        <v>228</v>
      </c>
      <c r="C4646" s="63">
        <v>45946</v>
      </c>
      <c r="D4646" s="33" t="str">
        <f>VLOOKUP(B4646,辅助信息!E:K,7,FALSE)</f>
        <v>JWDDCD2025092400190</v>
      </c>
      <c r="E4646" s="33" t="str">
        <f>VLOOKUP(F4646,辅助信息!A:B,2,FALSE)</f>
        <v>螺纹钢</v>
      </c>
      <c r="F4646" s="33" t="s">
        <v>27</v>
      </c>
      <c r="G4646" s="29">
        <v>20</v>
      </c>
      <c r="H4646" s="127">
        <f>IF(SUMIFS('[1]2025年已发货'!$E:$E,'[1]2025年已发货'!$F:$F,C4646,'[1]2025年已发货'!$C:$C,F4646,'[1]2025年已发货'!$G:$G,I4646,'[1]2025年已发货'!$H:$H,J4646)=0,"未发货",SUMIFS('[1]2025年已发货'!$E:$E,'[1]2025年已发货'!$F:$F,C4646,'[1]2025年已发货'!$C:$C,F4646,'[1]2025年已发货'!$G:$G,I4646,'[1]2025年已发货'!$H:$H,J4646))</f>
        <v>20</v>
      </c>
      <c r="I4646" s="33" t="str">
        <f>VLOOKUP(B4646,辅助信息!E:I,3,FALSE)</f>
        <v>(五冶钢构龙泉东洪片区70亩住宅、商业及配套工程项目二标段)成都市龙泉驿外东洪路地铁2号线惠王陵地铁C口</v>
      </c>
      <c r="J4646" s="33" t="str">
        <f>VLOOKUP(B4646,辅助信息!E:I,4,FALSE)</f>
        <v>蒋嗣伟</v>
      </c>
      <c r="K4646" s="33">
        <f>VLOOKUP(J4646,辅助信息!H:I,2,FALSE)</f>
        <v>15014331252</v>
      </c>
      <c r="L4646" s="102">
        <f>VLOOKUP(B4646,辅助信息!E:J,6,FALSE)</f>
        <v>0</v>
      </c>
      <c r="O4646" s="55" t="str">
        <f ca="1" t="shared" si="228"/>
        <v/>
      </c>
      <c r="P4646" s="55" t="str">
        <f ca="1" t="shared" si="229"/>
        <v/>
      </c>
      <c r="Q4646" s="22" t="str">
        <f>VLOOKUP(B4646,辅助信息!E:M,9,FALSE)</f>
        <v>ZTWM-CDGS-XS-2025-0156-五冶钢构-2025年九月第一批次钢筋采购合同(三圣乡项目)-中铁物贸成都公司</v>
      </c>
      <c r="R4646" s="22" t="str">
        <f>_xlfn._xlws.FILTER(辅助信息!D:D,辅助信息!E:E=B4646)</f>
        <v>五冶钢构龙泉东洪片区70亩住宅、商业及配套工程项目二标段</v>
      </c>
    </row>
    <row r="4647" hidden="1" spans="2:18">
      <c r="B4647" s="128" t="s">
        <v>228</v>
      </c>
      <c r="C4647" s="63">
        <v>45946</v>
      </c>
      <c r="D4647" s="33" t="str">
        <f>VLOOKUP(B4647,辅助信息!E:K,7,FALSE)</f>
        <v>JWDDCD2025092400190</v>
      </c>
      <c r="E4647" s="33" t="str">
        <f>VLOOKUP(F4647,辅助信息!A:B,2,FALSE)</f>
        <v>螺纹钢</v>
      </c>
      <c r="F4647" s="33" t="s">
        <v>33</v>
      </c>
      <c r="G4647" s="29">
        <v>15</v>
      </c>
      <c r="H4647" s="127">
        <f>IF(SUMIFS('[1]2025年已发货'!$E:$E,'[1]2025年已发货'!$F:$F,C4647,'[1]2025年已发货'!$C:$C,F4647,'[1]2025年已发货'!$G:$G,I4647,'[1]2025年已发货'!$H:$H,J4647)=0,"未发货",SUMIFS('[1]2025年已发货'!$E:$E,'[1]2025年已发货'!$F:$F,C4647,'[1]2025年已发货'!$C:$C,F4647,'[1]2025年已发货'!$G:$G,I4647,'[1]2025年已发货'!$H:$H,J4647))</f>
        <v>15</v>
      </c>
      <c r="I4647" s="33" t="str">
        <f>VLOOKUP(B4647,辅助信息!E:I,3,FALSE)</f>
        <v>(五冶钢构龙泉东洪片区70亩住宅、商业及配套工程项目二标段)成都市龙泉驿外东洪路地铁2号线惠王陵地铁C口</v>
      </c>
      <c r="J4647" s="33" t="str">
        <f>VLOOKUP(B4647,辅助信息!E:I,4,FALSE)</f>
        <v>蒋嗣伟</v>
      </c>
      <c r="K4647" s="33">
        <f>VLOOKUP(J4647,辅助信息!H:I,2,FALSE)</f>
        <v>15014331252</v>
      </c>
      <c r="L4647" s="102">
        <f>VLOOKUP(B4647,辅助信息!E:J,6,FALSE)</f>
        <v>0</v>
      </c>
      <c r="O4647" s="55" t="str">
        <f ca="1" t="shared" si="228"/>
        <v/>
      </c>
      <c r="P4647" s="55" t="str">
        <f ca="1" t="shared" si="229"/>
        <v/>
      </c>
      <c r="Q4647" s="22" t="str">
        <f>VLOOKUP(B4647,辅助信息!E:M,9,FALSE)</f>
        <v>ZTWM-CDGS-XS-2025-0156-五冶钢构-2025年九月第一批次钢筋采购合同(三圣乡项目)-中铁物贸成都公司</v>
      </c>
      <c r="R4647" s="22" t="str">
        <f>_xlfn._xlws.FILTER(辅助信息!D:D,辅助信息!E:E=B4647)</f>
        <v>五冶钢构龙泉东洪片区70亩住宅、商业及配套工程项目二标段</v>
      </c>
    </row>
    <row r="4648" hidden="1" spans="2:18">
      <c r="B4648" s="128" t="s">
        <v>228</v>
      </c>
      <c r="C4648" s="63">
        <v>45946</v>
      </c>
      <c r="D4648" s="33" t="str">
        <f>VLOOKUP(B4648,辅助信息!E:K,7,FALSE)</f>
        <v>JWDDCD2025092400190</v>
      </c>
      <c r="E4648" s="33" t="str">
        <f>VLOOKUP(F4648,辅助信息!A:B,2,FALSE)</f>
        <v>螺纹钢</v>
      </c>
      <c r="F4648" s="33" t="s">
        <v>46</v>
      </c>
      <c r="G4648" s="29">
        <v>15</v>
      </c>
      <c r="H4648" s="127">
        <f>IF(SUMIFS('[1]2025年已发货'!$E:$E,'[1]2025年已发货'!$F:$F,C4648,'[1]2025年已发货'!$C:$C,F4648,'[1]2025年已发货'!$G:$G,I4648,'[1]2025年已发货'!$H:$H,J4648)=0,"未发货",SUMIFS('[1]2025年已发货'!$E:$E,'[1]2025年已发货'!$F:$F,C4648,'[1]2025年已发货'!$C:$C,F4648,'[1]2025年已发货'!$G:$G,I4648,'[1]2025年已发货'!$H:$H,J4648))</f>
        <v>15</v>
      </c>
      <c r="I4648" s="33" t="str">
        <f>VLOOKUP(B4648,辅助信息!E:I,3,FALSE)</f>
        <v>(五冶钢构龙泉东洪片区70亩住宅、商业及配套工程项目二标段)成都市龙泉驿外东洪路地铁2号线惠王陵地铁C口</v>
      </c>
      <c r="J4648" s="33" t="str">
        <f>VLOOKUP(B4648,辅助信息!E:I,4,FALSE)</f>
        <v>蒋嗣伟</v>
      </c>
      <c r="K4648" s="33">
        <f>VLOOKUP(J4648,辅助信息!H:I,2,FALSE)</f>
        <v>15014331252</v>
      </c>
      <c r="L4648" s="102">
        <f>VLOOKUP(B4648,辅助信息!E:J,6,FALSE)</f>
        <v>0</v>
      </c>
      <c r="O4648" s="55" t="str">
        <f ca="1" t="shared" si="228"/>
        <v/>
      </c>
      <c r="P4648" s="55" t="str">
        <f ca="1" t="shared" si="229"/>
        <v/>
      </c>
      <c r="Q4648" s="22" t="str">
        <f>VLOOKUP(B4648,辅助信息!E:M,9,FALSE)</f>
        <v>ZTWM-CDGS-XS-2025-0156-五冶钢构-2025年九月第一批次钢筋采购合同(三圣乡项目)-中铁物贸成都公司</v>
      </c>
      <c r="R4648" s="22" t="str">
        <f>_xlfn._xlws.FILTER(辅助信息!D:D,辅助信息!E:E=B4648)</f>
        <v>五冶钢构龙泉东洪片区70亩住宅、商业及配套工程项目二标段</v>
      </c>
    </row>
    <row r="4649" hidden="1" spans="2:18">
      <c r="B4649" s="128" t="s">
        <v>228</v>
      </c>
      <c r="C4649" s="63">
        <v>45946</v>
      </c>
      <c r="D4649" s="33" t="str">
        <f>VLOOKUP(B4649,辅助信息!E:K,7,FALSE)</f>
        <v>JWDDCD2025092400190</v>
      </c>
      <c r="E4649" s="33" t="str">
        <f>VLOOKUP(F4649,辅助信息!A:B,2,FALSE)</f>
        <v>螺纹钢</v>
      </c>
      <c r="F4649" s="33" t="s">
        <v>22</v>
      </c>
      <c r="G4649" s="29">
        <v>15</v>
      </c>
      <c r="H4649" s="127">
        <f>IF(SUMIFS('[1]2025年已发货'!$E:$E,'[1]2025年已发货'!$F:$F,C4649,'[1]2025年已发货'!$C:$C,F4649,'[1]2025年已发货'!$G:$G,I4649,'[1]2025年已发货'!$H:$H,J4649)=0,"未发货",SUMIFS('[1]2025年已发货'!$E:$E,'[1]2025年已发货'!$F:$F,C4649,'[1]2025年已发货'!$C:$C,F4649,'[1]2025年已发货'!$G:$G,I4649,'[1]2025年已发货'!$H:$H,J4649))</f>
        <v>15</v>
      </c>
      <c r="I4649" s="33" t="str">
        <f>VLOOKUP(B4649,辅助信息!E:I,3,FALSE)</f>
        <v>(五冶钢构龙泉东洪片区70亩住宅、商业及配套工程项目二标段)成都市龙泉驿外东洪路地铁2号线惠王陵地铁C口</v>
      </c>
      <c r="J4649" s="33" t="str">
        <f>VLOOKUP(B4649,辅助信息!E:I,4,FALSE)</f>
        <v>蒋嗣伟</v>
      </c>
      <c r="K4649" s="33">
        <f>VLOOKUP(J4649,辅助信息!H:I,2,FALSE)</f>
        <v>15014331252</v>
      </c>
      <c r="L4649" s="102">
        <f>VLOOKUP(B4649,辅助信息!E:J,6,FALSE)</f>
        <v>0</v>
      </c>
      <c r="O4649" s="55" t="str">
        <f ca="1" t="shared" si="228"/>
        <v/>
      </c>
      <c r="P4649" s="55" t="str">
        <f ca="1" t="shared" si="229"/>
        <v/>
      </c>
      <c r="Q4649" s="22" t="str">
        <f>VLOOKUP(B4649,辅助信息!E:M,9,FALSE)</f>
        <v>ZTWM-CDGS-XS-2025-0156-五冶钢构-2025年九月第一批次钢筋采购合同(三圣乡项目)-中铁物贸成都公司</v>
      </c>
      <c r="R4649" s="22" t="str">
        <f>_xlfn._xlws.FILTER(辅助信息!D:D,辅助信息!E:E=B4649)</f>
        <v>五冶钢构龙泉东洪片区70亩住宅、商业及配套工程项目二标段</v>
      </c>
    </row>
    <row r="4650" hidden="1" spans="1:18">
      <c r="A4650" s="64" t="s">
        <v>100</v>
      </c>
      <c r="B4650" s="128" t="s">
        <v>188</v>
      </c>
      <c r="C4650" s="63">
        <v>45946</v>
      </c>
      <c r="D4650" s="33" t="str">
        <f>VLOOKUP(B4650,辅助信息!E:K,7,FALSE)</f>
        <v>JWDDCD2025062200016</v>
      </c>
      <c r="E4650" s="33" t="str">
        <f>VLOOKUP(F4650,辅助信息!A:B,2,FALSE)</f>
        <v>盘螺</v>
      </c>
      <c r="F4650" s="33" t="s">
        <v>40</v>
      </c>
      <c r="G4650" s="29">
        <v>12.5</v>
      </c>
      <c r="H4650" s="127"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33" t="str">
        <f>VLOOKUP(B4650,辅助信息!E:I,3,FALSE)</f>
        <v>(武汉电气化局成达万高铁强电项目-达州主城区)四川省达州市达川区斌郎街道四川省达州市达川区洞洞湾256米</v>
      </c>
      <c r="J4650" s="33" t="str">
        <f>VLOOKUP(B4650,辅助信息!E:I,4,FALSE)</f>
        <v>余凡</v>
      </c>
      <c r="K4650" s="33">
        <f>VLOOKUP(J4650,辅助信息!H:I,2,FALSE)</f>
        <v>18228076992</v>
      </c>
      <c r="L4650" s="102" t="str">
        <f>VLOOKUP(B4650,辅助信息!E:J,6,FALSE)</f>
        <v>锈货不收！！下雨天钢筋没盖篷布不收！！，装货前联系收货人核实到场规格,没提前告知进场规格现场不给予接收</v>
      </c>
      <c r="O4650" s="55" t="str">
        <f ca="1" t="shared" si="228"/>
        <v/>
      </c>
      <c r="P4650" s="55" t="str">
        <f ca="1" t="shared" si="229"/>
        <v/>
      </c>
      <c r="Q4650" s="22" t="str">
        <f>VLOOKUP(B4650,辅助信息!E:M,9,FALSE)</f>
        <v>ZTWM-CDGS-XS-2025-0033-中铁武汉电气化局集团有限公司成达万高速铁路强电工程项目</v>
      </c>
      <c r="R4650" s="22" t="str">
        <f>_xlfn._xlws.FILTER(辅助信息!D:D,辅助信息!E:E=B4650)</f>
        <v>武汉电气化局成达万高铁强电项目</v>
      </c>
    </row>
    <row r="4651" hidden="1" spans="1:18">
      <c r="A4651" s="64"/>
      <c r="B4651" s="128" t="s">
        <v>188</v>
      </c>
      <c r="C4651" s="63">
        <v>45946</v>
      </c>
      <c r="D4651" s="33" t="str">
        <f>VLOOKUP(B4651,辅助信息!E:K,7,FALSE)</f>
        <v>JWDDCD2025062200016</v>
      </c>
      <c r="E4651" s="33" t="str">
        <f>VLOOKUP(F4651,辅助信息!A:B,2,FALSE)</f>
        <v>盘螺</v>
      </c>
      <c r="F4651" s="33" t="s">
        <v>41</v>
      </c>
      <c r="G4651" s="29">
        <v>12.5</v>
      </c>
      <c r="H4651" s="127"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33" t="str">
        <f>VLOOKUP(B4651,辅助信息!E:I,3,FALSE)</f>
        <v>(武汉电气化局成达万高铁强电项目-达州主城区)四川省达州市达川区斌郎街道四川省达州市达川区洞洞湾256米</v>
      </c>
      <c r="J4651" s="33" t="str">
        <f>VLOOKUP(B4651,辅助信息!E:I,4,FALSE)</f>
        <v>余凡</v>
      </c>
      <c r="K4651" s="33">
        <f>VLOOKUP(J4651,辅助信息!H:I,2,FALSE)</f>
        <v>18228076992</v>
      </c>
      <c r="L4651" s="102" t="str">
        <f>VLOOKUP(B4651,辅助信息!E:J,6,FALSE)</f>
        <v>锈货不收！！下雨天钢筋没盖篷布不收！！，装货前联系收货人核实到场规格,没提前告知进场规格现场不给予接收</v>
      </c>
      <c r="O4651" s="55" t="str">
        <f ca="1" t="shared" si="228"/>
        <v/>
      </c>
      <c r="P4651" s="55" t="str">
        <f ca="1" t="shared" si="229"/>
        <v/>
      </c>
      <c r="Q4651" s="22" t="str">
        <f>VLOOKUP(B4651,辅助信息!E:M,9,FALSE)</f>
        <v>ZTWM-CDGS-XS-2025-0033-中铁武汉电气化局集团有限公司成达万高速铁路强电工程项目</v>
      </c>
      <c r="R4651" s="22" t="str">
        <f>_xlfn._xlws.FILTER(辅助信息!D:D,辅助信息!E:E=B4651)</f>
        <v>武汉电气化局成达万高铁强电项目</v>
      </c>
    </row>
    <row r="4652" hidden="1" spans="1:18">
      <c r="A4652" s="64"/>
      <c r="B4652" s="128" t="s">
        <v>188</v>
      </c>
      <c r="C4652" s="63">
        <v>45946</v>
      </c>
      <c r="D4652" s="33" t="str">
        <f>VLOOKUP(B4652,辅助信息!E:K,7,FALSE)</f>
        <v>JWDDCD2025062200016</v>
      </c>
      <c r="E4652" s="33" t="str">
        <f>VLOOKUP(F4652,辅助信息!A:B,2,FALSE)</f>
        <v>螺纹钢</v>
      </c>
      <c r="F4652" s="33" t="s">
        <v>18</v>
      </c>
      <c r="G4652" s="29">
        <v>10</v>
      </c>
      <c r="H4652" s="127"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33" t="str">
        <f>VLOOKUP(B4652,辅助信息!E:I,3,FALSE)</f>
        <v>(武汉电气化局成达万高铁强电项目-达州主城区)四川省达州市达川区斌郎街道四川省达州市达川区洞洞湾256米</v>
      </c>
      <c r="J4652" s="33" t="str">
        <f>VLOOKUP(B4652,辅助信息!E:I,4,FALSE)</f>
        <v>余凡</v>
      </c>
      <c r="K4652" s="33">
        <f>VLOOKUP(J4652,辅助信息!H:I,2,FALSE)</f>
        <v>18228076992</v>
      </c>
      <c r="L4652" s="102" t="str">
        <f>VLOOKUP(B4652,辅助信息!E:J,6,FALSE)</f>
        <v>锈货不收！！下雨天钢筋没盖篷布不收！！，装货前联系收货人核实到场规格,没提前告知进场规格现场不给予接收</v>
      </c>
      <c r="O4652" s="55" t="str">
        <f ca="1" t="shared" si="228"/>
        <v/>
      </c>
      <c r="P4652" s="55" t="str">
        <f ca="1" t="shared" si="229"/>
        <v/>
      </c>
      <c r="Q4652" s="22" t="str">
        <f>VLOOKUP(B4652,辅助信息!E:M,9,FALSE)</f>
        <v>ZTWM-CDGS-XS-2025-0033-中铁武汉电气化局集团有限公司成达万高速铁路强电工程项目</v>
      </c>
      <c r="R4652" s="22" t="str">
        <f>_xlfn._xlws.FILTER(辅助信息!D:D,辅助信息!E:E=B4652)</f>
        <v>武汉电气化局成达万高铁强电项目</v>
      </c>
    </row>
    <row r="4653" hidden="1" spans="2:18">
      <c r="B4653" s="128" t="s">
        <v>150</v>
      </c>
      <c r="C4653" s="63">
        <v>45946</v>
      </c>
      <c r="D4653" s="33" t="str">
        <f>VLOOKUP(B4653,辅助信息!E:K,7,FALSE)</f>
        <v>JWDDCD2025050800101</v>
      </c>
      <c r="E4653" s="33" t="str">
        <f>VLOOKUP(F4653,辅助信息!A:B,2,FALSE)</f>
        <v>盘螺</v>
      </c>
      <c r="F4653" s="33" t="s">
        <v>41</v>
      </c>
      <c r="G4653" s="29">
        <v>20</v>
      </c>
      <c r="H4653" s="127"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33" t="str">
        <f>VLOOKUP(B4653,辅助信息!E:I,3,FALSE)</f>
        <v>(中铁科研院宜宾泥溪项目)中铁科研院集团有限公司宜宾市泥溪东互通式立交下穿成贵客专铁路工程项目钢筋加工厂</v>
      </c>
      <c r="J4653" s="33" t="str">
        <f>VLOOKUP(B4653,辅助信息!E:I,4,FALSE)</f>
        <v>蔡鹏</v>
      </c>
      <c r="K4653" s="33">
        <f>VLOOKUP(J4653,辅助信息!H:I,2,FALSE)</f>
        <v>19130850820</v>
      </c>
      <c r="L4653" s="102" t="str">
        <f>VLOOKUP(B4653,辅助信息!E:J,6,FALSE)</f>
        <v>装货前联系收货人核实到场规格，货物最下面用方木垫下方便卸货</v>
      </c>
      <c r="O4653" s="55" t="str">
        <f ca="1" t="shared" si="228"/>
        <v/>
      </c>
      <c r="P4653" s="55" t="str">
        <f ca="1" t="shared" si="229"/>
        <v/>
      </c>
      <c r="Q4653" s="22" t="str">
        <f>VLOOKUP(B4653,辅助信息!E:M,9,FALSE)</f>
        <v>ZTWM-CDGS-XS-2025-0050-中铁科研院-宜宾泥溪项目</v>
      </c>
      <c r="R4653" s="22" t="str">
        <f>_xlfn._xlws.FILTER(辅助信息!D:D,辅助信息!E:E=B4653)</f>
        <v>中铁科研院宜宾泥溪项目</v>
      </c>
    </row>
    <row r="4654" hidden="1" spans="2:18">
      <c r="B4654" s="128" t="s">
        <v>150</v>
      </c>
      <c r="C4654" s="63">
        <v>45946</v>
      </c>
      <c r="D4654" s="33" t="str">
        <f>VLOOKUP(B4654,辅助信息!E:K,7,FALSE)</f>
        <v>JWDDCD2025050800101</v>
      </c>
      <c r="E4654" s="33" t="str">
        <f>VLOOKUP(F4654,辅助信息!A:B,2,FALSE)</f>
        <v>盘螺</v>
      </c>
      <c r="F4654" s="33" t="s">
        <v>26</v>
      </c>
      <c r="G4654" s="29">
        <v>35</v>
      </c>
      <c r="H4654" s="127"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33" t="str">
        <f>VLOOKUP(B4654,辅助信息!E:I,3,FALSE)</f>
        <v>(中铁科研院宜宾泥溪项目)中铁科研院集团有限公司宜宾市泥溪东互通式立交下穿成贵客专铁路工程项目钢筋加工厂</v>
      </c>
      <c r="J4654" s="33" t="str">
        <f>VLOOKUP(B4654,辅助信息!E:I,4,FALSE)</f>
        <v>蔡鹏</v>
      </c>
      <c r="K4654" s="33">
        <f>VLOOKUP(J4654,辅助信息!H:I,2,FALSE)</f>
        <v>19130850820</v>
      </c>
      <c r="L4654" s="102" t="str">
        <f>VLOOKUP(B4654,辅助信息!E:J,6,FALSE)</f>
        <v>装货前联系收货人核实到场规格，货物最下面用方木垫下方便卸货</v>
      </c>
      <c r="O4654" s="55" t="str">
        <f ca="1" t="shared" si="228"/>
        <v/>
      </c>
      <c r="P4654" s="55" t="str">
        <f ca="1" t="shared" si="229"/>
        <v/>
      </c>
      <c r="Q4654" s="22" t="str">
        <f>VLOOKUP(B4654,辅助信息!E:M,9,FALSE)</f>
        <v>ZTWM-CDGS-XS-2025-0050-中铁科研院-宜宾泥溪项目</v>
      </c>
      <c r="R4654" s="22" t="str">
        <f>_xlfn._xlws.FILTER(辅助信息!D:D,辅助信息!E:E=B4654)</f>
        <v>中铁科研院宜宾泥溪项目</v>
      </c>
    </row>
    <row r="4655" hidden="1" spans="2:18">
      <c r="B4655" s="128" t="s">
        <v>150</v>
      </c>
      <c r="C4655" s="63">
        <v>45946</v>
      </c>
      <c r="D4655" s="33" t="str">
        <f>VLOOKUP(B4655,辅助信息!E:K,7,FALSE)</f>
        <v>JWDDCD2025050800101</v>
      </c>
      <c r="E4655" s="33" t="str">
        <f>VLOOKUP(F4655,辅助信息!A:B,2,FALSE)</f>
        <v>螺纹钢</v>
      </c>
      <c r="F4655" s="33" t="s">
        <v>32</v>
      </c>
      <c r="G4655" s="29">
        <v>9</v>
      </c>
      <c r="H4655" s="127"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33" t="str">
        <f>VLOOKUP(B4655,辅助信息!E:I,3,FALSE)</f>
        <v>(中铁科研院宜宾泥溪项目)中铁科研院集团有限公司宜宾市泥溪东互通式立交下穿成贵客专铁路工程项目钢筋加工厂</v>
      </c>
      <c r="J4655" s="33" t="str">
        <f>VLOOKUP(B4655,辅助信息!E:I,4,FALSE)</f>
        <v>蔡鹏</v>
      </c>
      <c r="K4655" s="33">
        <f>VLOOKUP(J4655,辅助信息!H:I,2,FALSE)</f>
        <v>19130850820</v>
      </c>
      <c r="L4655" s="102" t="str">
        <f>VLOOKUP(B4655,辅助信息!E:J,6,FALSE)</f>
        <v>装货前联系收货人核实到场规格，货物最下面用方木垫下方便卸货</v>
      </c>
      <c r="O4655" s="55" t="str">
        <f ca="1" t="shared" si="228"/>
        <v/>
      </c>
      <c r="P4655" s="55" t="str">
        <f ca="1" t="shared" si="229"/>
        <v/>
      </c>
      <c r="Q4655" s="22" t="str">
        <f>VLOOKUP(B4655,辅助信息!E:M,9,FALSE)</f>
        <v>ZTWM-CDGS-XS-2025-0050-中铁科研院-宜宾泥溪项目</v>
      </c>
      <c r="R4655" s="22" t="str">
        <f>_xlfn._xlws.FILTER(辅助信息!D:D,辅助信息!E:E=B4655)</f>
        <v>中铁科研院宜宾泥溪项目</v>
      </c>
    </row>
    <row r="4656" hidden="1" spans="2:18">
      <c r="B4656" s="128" t="s">
        <v>150</v>
      </c>
      <c r="C4656" s="63">
        <v>45946</v>
      </c>
      <c r="D4656" s="33" t="str">
        <f>VLOOKUP(B4656,辅助信息!E:K,7,FALSE)</f>
        <v>JWDDCD2025050800101</v>
      </c>
      <c r="E4656" s="33" t="str">
        <f>VLOOKUP(F4656,辅助信息!A:B,2,FALSE)</f>
        <v>螺纹钢</v>
      </c>
      <c r="F4656" s="33" t="s">
        <v>28</v>
      </c>
      <c r="G4656" s="29">
        <v>6</v>
      </c>
      <c r="H4656" s="127"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33" t="str">
        <f>VLOOKUP(B4656,辅助信息!E:I,3,FALSE)</f>
        <v>(中铁科研院宜宾泥溪项目)中铁科研院集团有限公司宜宾市泥溪东互通式立交下穿成贵客专铁路工程项目钢筋加工厂</v>
      </c>
      <c r="J4656" s="33" t="str">
        <f>VLOOKUP(B4656,辅助信息!E:I,4,FALSE)</f>
        <v>蔡鹏</v>
      </c>
      <c r="K4656" s="33">
        <f>VLOOKUP(J4656,辅助信息!H:I,2,FALSE)</f>
        <v>19130850820</v>
      </c>
      <c r="L4656" s="102" t="str">
        <f>VLOOKUP(B4656,辅助信息!E:J,6,FALSE)</f>
        <v>装货前联系收货人核实到场规格，货物最下面用方木垫下方便卸货</v>
      </c>
      <c r="O4656" s="55" t="str">
        <f ca="1" t="shared" si="228"/>
        <v/>
      </c>
      <c r="P4656" s="55" t="str">
        <f ca="1" t="shared" si="229"/>
        <v/>
      </c>
      <c r="Q4656" s="22" t="str">
        <f>VLOOKUP(B4656,辅助信息!E:M,9,FALSE)</f>
        <v>ZTWM-CDGS-XS-2025-0050-中铁科研院-宜宾泥溪项目</v>
      </c>
      <c r="R4656" s="22" t="str">
        <f>_xlfn._xlws.FILTER(辅助信息!D:D,辅助信息!E:E=B4656)</f>
        <v>中铁科研院宜宾泥溪项目</v>
      </c>
    </row>
    <row r="4657" hidden="1" spans="2:18">
      <c r="B4657" s="129" t="s">
        <v>232</v>
      </c>
      <c r="C4657" s="63">
        <v>45950</v>
      </c>
      <c r="D4657" s="113" t="str">
        <f>VLOOKUP(B4657,辅助信息!E:K,7,FALSE)</f>
        <v>JWDDCD2025052800131</v>
      </c>
      <c r="E4657" s="113" t="str">
        <f>VLOOKUP(F4657,辅助信息!A:B,2,FALSE)</f>
        <v>螺纹钢</v>
      </c>
      <c r="F4657" s="124" t="s">
        <v>21</v>
      </c>
      <c r="G4657" s="123">
        <v>20</v>
      </c>
      <c r="H4657" s="127">
        <f>IF(SUMIFS('[1]2025年已发货'!$E:$E,'[1]2025年已发货'!$F:$F,C4657,'[1]2025年已发货'!$C:$C,F4657,'[1]2025年已发货'!$G:$G,I4657,'[1]2025年已发货'!$H:$H,J4657)=0,"未发货",SUMIFS('[1]2025年已发货'!$E:$E,'[1]2025年已发货'!$F:$F,C4657,'[1]2025年已发货'!$C:$C,F4657,'[1]2025年已发货'!$G:$G,I4657,'[1]2025年已发货'!$H:$H,J4657))</f>
        <v>5</v>
      </c>
      <c r="I4657" s="113" t="str">
        <f>VLOOKUP(B4657,辅助信息!E:I,3,FALSE)</f>
        <v>（商投建工达州中医药科技园-2工区-2号桥）达州市通川区达州中医药职业学院犀牛大道北段</v>
      </c>
      <c r="J4657" s="113" t="str">
        <f>VLOOKUP(B4657,辅助信息!E:I,4,FALSE)</f>
        <v>李波</v>
      </c>
      <c r="K4657" s="113">
        <f>VLOOKUP(J4657,辅助信息!H:I,2,FALSE)</f>
        <v>18381899787</v>
      </c>
      <c r="L4657" s="115" t="str">
        <f>VLOOKUP(B4657,辅助信息!E:J,6,FALSE)</f>
        <v>控制炉批号！多了现场不收！,优先安排达钢,提前联系到场规格及数量</v>
      </c>
      <c r="M4657" s="84">
        <v>45944</v>
      </c>
      <c r="O4657" s="55">
        <f ca="1" t="shared" si="228"/>
        <v>0</v>
      </c>
      <c r="P4657" s="55">
        <f ca="1" t="shared" si="229"/>
        <v>13</v>
      </c>
      <c r="Q4657" s="22" t="str">
        <f>VLOOKUP(B4657,辅助信息!E:M,9,FALSE)</f>
        <v>ZTWM-CDGS-XS-2024-0134-商投建工达州中医药科技成果示范园项目</v>
      </c>
      <c r="R4657" s="22" t="str">
        <f>_xlfn._xlws.FILTER(辅助信息!D:D,辅助信息!E:E=B4657)</f>
        <v>商投建工达州中医药科技园</v>
      </c>
    </row>
    <row r="4658" hidden="1" spans="2:18">
      <c r="B4658" s="129" t="s">
        <v>232</v>
      </c>
      <c r="C4658" s="63">
        <v>45950</v>
      </c>
      <c r="D4658" s="113" t="str">
        <f>VLOOKUP(B4658,辅助信息!E:K,7,FALSE)</f>
        <v>JWDDCD2025052800131</v>
      </c>
      <c r="E4658" s="113" t="str">
        <f>VLOOKUP(F4658,辅助信息!A:B,2,FALSE)</f>
        <v>螺纹钢</v>
      </c>
      <c r="F4658" s="124" t="s">
        <v>58</v>
      </c>
      <c r="G4658" s="123">
        <v>20</v>
      </c>
      <c r="H4658" s="127">
        <f>IF(SUMIFS('[1]2025年已发货'!$E:$E,'[1]2025年已发货'!$F:$F,C4658,'[1]2025年已发货'!$C:$C,F4658,'[1]2025年已发货'!$G:$G,I4658,'[1]2025年已发货'!$H:$H,J4658)=0,"未发货",SUMIFS('[1]2025年已发货'!$E:$E,'[1]2025年已发货'!$F:$F,C4658,'[1]2025年已发货'!$C:$C,F4658,'[1]2025年已发货'!$G:$G,I4658,'[1]2025年已发货'!$H:$H,J4658))</f>
        <v>20</v>
      </c>
      <c r="I4658" s="113" t="str">
        <f>VLOOKUP(B4658,辅助信息!E:I,3,FALSE)</f>
        <v>（商投建工达州中医药科技园-2工区-2号桥）达州市通川区达州中医药职业学院犀牛大道北段</v>
      </c>
      <c r="J4658" s="113" t="str">
        <f>VLOOKUP(B4658,辅助信息!E:I,4,FALSE)</f>
        <v>李波</v>
      </c>
      <c r="K4658" s="113">
        <f>VLOOKUP(J4658,辅助信息!H:I,2,FALSE)</f>
        <v>18381899787</v>
      </c>
      <c r="L4658" s="115" t="str">
        <f>VLOOKUP(B4658,辅助信息!E:J,6,FALSE)</f>
        <v>控制炉批号！多了现场不收！,优先安排达钢,提前联系到场规格及数量</v>
      </c>
      <c r="M4658" s="84">
        <v>45944</v>
      </c>
      <c r="O4658" s="55">
        <f ca="1" t="shared" si="228"/>
        <v>0</v>
      </c>
      <c r="P4658" s="55">
        <f ca="1" t="shared" si="229"/>
        <v>13</v>
      </c>
      <c r="Q4658" s="22" t="str">
        <f>VLOOKUP(B4658,辅助信息!E:M,9,FALSE)</f>
        <v>ZTWM-CDGS-XS-2024-0134-商投建工达州中医药科技成果示范园项目</v>
      </c>
      <c r="R4658" s="22" t="str">
        <f>_xlfn._xlws.FILTER(辅助信息!D:D,辅助信息!E:E=B4658)</f>
        <v>商投建工达州中医药科技园</v>
      </c>
    </row>
    <row r="4659" hidden="1" spans="2:18">
      <c r="B4659" s="129" t="s">
        <v>232</v>
      </c>
      <c r="C4659" s="63">
        <v>45950</v>
      </c>
      <c r="D4659" s="113" t="str">
        <f>VLOOKUP(B4659,辅助信息!E:K,7,FALSE)</f>
        <v>JWDDCD2025052800131</v>
      </c>
      <c r="E4659" s="113" t="str">
        <f>VLOOKUP(F4659,辅助信息!A:B,2,FALSE)</f>
        <v>螺纹钢</v>
      </c>
      <c r="F4659" s="124" t="s">
        <v>19</v>
      </c>
      <c r="G4659" s="123">
        <v>6</v>
      </c>
      <c r="H4659" s="127">
        <f>IF(SUMIFS('[1]2025年已发货'!$E:$E,'[1]2025年已发货'!$F:$F,C4659,'[1]2025年已发货'!$C:$C,F4659,'[1]2025年已发货'!$G:$G,I4659,'[1]2025年已发货'!$H:$H,J4659)=0,"未发货",SUMIFS('[1]2025年已发货'!$E:$E,'[1]2025年已发货'!$F:$F,C4659,'[1]2025年已发货'!$C:$C,F4659,'[1]2025年已发货'!$G:$G,I4659,'[1]2025年已发货'!$H:$H,J4659))</f>
        <v>9</v>
      </c>
      <c r="I4659" s="113" t="str">
        <f>VLOOKUP(B4659,辅助信息!E:I,3,FALSE)</f>
        <v>（商投建工达州中医药科技园-2工区-2号桥）达州市通川区达州中医药职业学院犀牛大道北段</v>
      </c>
      <c r="J4659" s="113" t="str">
        <f>VLOOKUP(B4659,辅助信息!E:I,4,FALSE)</f>
        <v>李波</v>
      </c>
      <c r="K4659" s="113">
        <f>VLOOKUP(J4659,辅助信息!H:I,2,FALSE)</f>
        <v>18381899787</v>
      </c>
      <c r="L4659" s="115" t="str">
        <f>VLOOKUP(B4659,辅助信息!E:J,6,FALSE)</f>
        <v>控制炉批号！多了现场不收！,优先安排达钢,提前联系到场规格及数量</v>
      </c>
      <c r="M4659" s="84">
        <v>45944</v>
      </c>
      <c r="O4659" s="55">
        <f ca="1" t="shared" si="228"/>
        <v>0</v>
      </c>
      <c r="P4659" s="55">
        <f ca="1" t="shared" si="229"/>
        <v>13</v>
      </c>
      <c r="Q4659" s="22" t="str">
        <f>VLOOKUP(B4659,辅助信息!E:M,9,FALSE)</f>
        <v>ZTWM-CDGS-XS-2024-0134-商投建工达州中医药科技成果示范园项目</v>
      </c>
      <c r="R4659" s="22" t="str">
        <f>_xlfn._xlws.FILTER(辅助信息!D:D,辅助信息!E:E=B4659)</f>
        <v>商投建工达州中医药科技园</v>
      </c>
    </row>
    <row r="4660" hidden="1" spans="2:18">
      <c r="B4660" s="129" t="s">
        <v>68</v>
      </c>
      <c r="C4660" s="63">
        <v>45950</v>
      </c>
      <c r="D4660" s="113" t="str">
        <f>VLOOKUP(B4660,辅助信息!E:K,7,FALSE)</f>
        <v>JWDDCD2025052800131</v>
      </c>
      <c r="E4660" s="113" t="str">
        <f>VLOOKUP(F4660,辅助信息!A:B,2,FALSE)</f>
        <v>螺纹钢</v>
      </c>
      <c r="F4660" s="113" t="s">
        <v>30</v>
      </c>
      <c r="G4660" s="114">
        <v>12</v>
      </c>
      <c r="H4660" s="127"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13" t="str">
        <f>VLOOKUP(B4660,辅助信息!E:I,3,FALSE)</f>
        <v>（商投建工达州中医药科技园-2工区-景观桥）达州市通川区达州中医药职业学院犀牛大道北段</v>
      </c>
      <c r="J4660" s="113" t="str">
        <f>VLOOKUP(B4660,辅助信息!E:I,4,FALSE)</f>
        <v>李波</v>
      </c>
      <c r="K4660" s="113">
        <f>VLOOKUP(J4660,辅助信息!H:I,2,FALSE)</f>
        <v>18381899787</v>
      </c>
      <c r="L4660" s="115" t="str">
        <f>VLOOKUP(B4660,辅助信息!E:J,6,FALSE)</f>
        <v>控制炉批号！多了现场不收！,优先安排达钢,提前联系到场规格及数量</v>
      </c>
      <c r="M4660" s="84">
        <v>45944</v>
      </c>
      <c r="O4660" s="55">
        <f ca="1" t="shared" si="228"/>
        <v>0</v>
      </c>
      <c r="P4660" s="55">
        <f ca="1" t="shared" si="229"/>
        <v>13</v>
      </c>
      <c r="Q4660" s="22" t="str">
        <f>VLOOKUP(B4660,辅助信息!E:M,9,FALSE)</f>
        <v>ZTWM-CDGS-XS-2024-0134-商投建工达州中医药科技成果示范园项目</v>
      </c>
      <c r="R4660" s="22" t="str">
        <f>_xlfn._xlws.FILTER(辅助信息!D:D,辅助信息!E:E=B4660)</f>
        <v>商投建工达州中医药科技园</v>
      </c>
    </row>
    <row r="4661" hidden="1" spans="2:18">
      <c r="B4661" s="129" t="s">
        <v>232</v>
      </c>
      <c r="C4661" s="63">
        <v>45950</v>
      </c>
      <c r="D4661" s="113" t="str">
        <f>VLOOKUP(B4661,辅助信息!E:K,7,FALSE)</f>
        <v>JWDDCD2025052800131</v>
      </c>
      <c r="E4661" s="113" t="str">
        <f>VLOOKUP(F4661,辅助信息!A:B,2,FALSE)</f>
        <v>螺纹钢</v>
      </c>
      <c r="F4661" s="124" t="s">
        <v>33</v>
      </c>
      <c r="G4661" s="123">
        <v>3</v>
      </c>
      <c r="H4661" s="127">
        <f>IF(SUMIFS('[1]2025年已发货'!$E:$E,'[1]2025年已发货'!$F:$F,C4661,'[1]2025年已发货'!$C:$C,F4661,'[1]2025年已发货'!$G:$G,I4661,'[1]2025年已发货'!$H:$H,J4661)=0,"未发货",SUMIFS('[1]2025年已发货'!$E:$E,'[1]2025年已发货'!$F:$F,C4661,'[1]2025年已发货'!$C:$C,F4661,'[1]2025年已发货'!$G:$G,I4661,'[1]2025年已发货'!$H:$H,J4661))</f>
        <v>3</v>
      </c>
      <c r="I4661" s="113" t="str">
        <f>VLOOKUP(B4661,辅助信息!E:I,3,FALSE)</f>
        <v>（商投建工达州中医药科技园-2工区-2号桥）达州市通川区达州中医药职业学院犀牛大道北段</v>
      </c>
      <c r="J4661" s="113" t="str">
        <f>VLOOKUP(B4661,辅助信息!E:I,4,FALSE)</f>
        <v>李波</v>
      </c>
      <c r="K4661" s="113">
        <f>VLOOKUP(J4661,辅助信息!H:I,2,FALSE)</f>
        <v>18381899787</v>
      </c>
      <c r="L4661" s="115" t="str">
        <f>VLOOKUP(B4661,辅助信息!E:J,6,FALSE)</f>
        <v>控制炉批号！多了现场不收！,优先安排达钢,提前联系到场规格及数量</v>
      </c>
      <c r="M4661" s="84">
        <v>45944</v>
      </c>
      <c r="O4661" s="55">
        <f ca="1" t="shared" si="228"/>
        <v>0</v>
      </c>
      <c r="P4661" s="55">
        <f ca="1" t="shared" si="229"/>
        <v>13</v>
      </c>
      <c r="Q4661" s="22" t="str">
        <f>VLOOKUP(B4661,辅助信息!E:M,9,FALSE)</f>
        <v>ZTWM-CDGS-XS-2024-0134-商投建工达州中医药科技成果示范园项目</v>
      </c>
      <c r="R4661" s="22" t="str">
        <f>_xlfn._xlws.FILTER(辅助信息!D:D,辅助信息!E:E=B4661)</f>
        <v>商投建工达州中医药科技园</v>
      </c>
    </row>
    <row r="4662" hidden="1" spans="2:18">
      <c r="B4662" s="129" t="s">
        <v>68</v>
      </c>
      <c r="C4662" s="63">
        <v>45948</v>
      </c>
      <c r="D4662" s="113" t="str">
        <f>VLOOKUP(B4662,辅助信息!E:K,7,FALSE)</f>
        <v>JWDDCD2025052800131</v>
      </c>
      <c r="E4662" s="113" t="str">
        <f>VLOOKUP(F4662,辅助信息!A:B,2,FALSE)</f>
        <v>螺纹钢</v>
      </c>
      <c r="F4662" s="113" t="s">
        <v>18</v>
      </c>
      <c r="G4662" s="114">
        <v>10</v>
      </c>
      <c r="H4662" s="127">
        <f>IF(SUMIFS('[1]2025年已发货'!$E:$E,'[1]2025年已发货'!$F:$F,C4662,'[1]2025年已发货'!$C:$C,F4662,'[1]2025年已发货'!$G:$G,I4662,'[1]2025年已发货'!$H:$H,J4662)=0,"未发货",SUMIFS('[1]2025年已发货'!$E:$E,'[1]2025年已发货'!$F:$F,C4662,'[1]2025年已发货'!$C:$C,F4662,'[1]2025年已发货'!$G:$G,I4662,'[1]2025年已发货'!$H:$H,J4662))</f>
        <v>10</v>
      </c>
      <c r="I4662" s="113" t="str">
        <f>VLOOKUP(B4662,辅助信息!E:I,3,FALSE)</f>
        <v>（商投建工达州中医药科技园-2工区-景观桥）达州市通川区达州中医药职业学院犀牛大道北段</v>
      </c>
      <c r="J4662" s="113" t="str">
        <f>VLOOKUP(B4662,辅助信息!E:I,4,FALSE)</f>
        <v>李波</v>
      </c>
      <c r="K4662" s="113">
        <f>VLOOKUP(J4662,辅助信息!H:I,2,FALSE)</f>
        <v>18381899787</v>
      </c>
      <c r="L4662" s="115" t="str">
        <f>VLOOKUP(B4662,辅助信息!E:J,6,FALSE)</f>
        <v>控制炉批号！多了现场不收！,优先安排达钢,提前联系到场规格及数量</v>
      </c>
      <c r="O4662" s="55" t="str">
        <f ca="1" t="shared" si="228"/>
        <v/>
      </c>
      <c r="P4662" s="55" t="str">
        <f ca="1" t="shared" si="229"/>
        <v/>
      </c>
      <c r="Q4662" s="22" t="str">
        <f>VLOOKUP(B4662,辅助信息!E:M,9,FALSE)</f>
        <v>ZTWM-CDGS-XS-2024-0134-商投建工达州中医药科技成果示范园项目</v>
      </c>
      <c r="R4662" s="22" t="str">
        <f>_xlfn._xlws.FILTER(辅助信息!D:D,辅助信息!E:E=B4662)</f>
        <v>商投建工达州中医药科技园</v>
      </c>
    </row>
    <row r="4663" hidden="1" spans="2:18">
      <c r="B4663" s="129" t="s">
        <v>203</v>
      </c>
      <c r="C4663" s="63">
        <v>45948</v>
      </c>
      <c r="D4663" s="113" t="str">
        <f>VLOOKUP(B4663,辅助信息!E:K,7,FALSE)</f>
        <v>JWDDCD2025102100479</v>
      </c>
      <c r="E4663" s="113" t="str">
        <f>VLOOKUP(F4663,辅助信息!A:B,2,FALSE)</f>
        <v>螺纹钢</v>
      </c>
      <c r="F4663" s="113" t="s">
        <v>19</v>
      </c>
      <c r="G4663" s="114">
        <v>8</v>
      </c>
      <c r="H4663" s="127">
        <f>IF(SUMIFS('[1]2025年已发货'!$E:$E,'[1]2025年已发货'!$F:$F,C4663,'[1]2025年已发货'!$C:$C,F4663,'[1]2025年已发货'!$G:$G,I4663,'[1]2025年已发货'!$H:$H,J4663)=0,"未发货",SUMIFS('[1]2025年已发货'!$E:$E,'[1]2025年已发货'!$F:$F,C4663,'[1]2025年已发货'!$C:$C,F4663,'[1]2025年已发货'!$G:$G,I4663,'[1]2025年已发货'!$H:$H,J4663))</f>
        <v>11</v>
      </c>
      <c r="I4663" s="113" t="str">
        <f>VLOOKUP(B4663,辅助信息!E:I,3,FALSE)</f>
        <v>(五冶建设空港兴城怡心街道83亩项目)成都市双流区怡心街道高峰社区一组剑和路一段空港兴城怡心街道83亩项目中国五冶项目部</v>
      </c>
      <c r="J4663" s="113" t="str">
        <f>VLOOKUP(B4663,辅助信息!E:I,4,FALSE)</f>
        <v>王刚</v>
      </c>
      <c r="K4663" s="113">
        <f>VLOOKUP(J4663,辅助信息!H:I,2,FALSE)</f>
        <v>15881190525</v>
      </c>
      <c r="L4663" s="115"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55" t="str">
        <f ca="1" t="shared" si="228"/>
        <v/>
      </c>
      <c r="P4663" s="55" t="str">
        <f ca="1" t="shared" si="229"/>
        <v/>
      </c>
      <c r="Q4663" s="22" t="str">
        <f>VLOOKUP(B4663,辅助信息!E:M,9,FALSE)</f>
        <v>ZTWM-CDGS-XS-2025-0073-五冶天府-成都怡心湖片区及龙泉驿医院等项目</v>
      </c>
      <c r="R4663" s="22" t="str">
        <f>_xlfn._xlws.FILTER(辅助信息!D:D,辅助信息!E:E=B4663)</f>
        <v>五冶建设空港兴城怡心街道83亩项目</v>
      </c>
    </row>
    <row r="4664" hidden="1" spans="2:18">
      <c r="B4664" s="129" t="s">
        <v>203</v>
      </c>
      <c r="C4664" s="63">
        <v>45948</v>
      </c>
      <c r="D4664" s="113" t="str">
        <f>VLOOKUP(B4664,辅助信息!E:K,7,FALSE)</f>
        <v>JWDDCD2025102100479</v>
      </c>
      <c r="E4664" s="113" t="str">
        <f>VLOOKUP(F4664,辅助信息!A:B,2,FALSE)</f>
        <v>螺纹钢</v>
      </c>
      <c r="F4664" s="113" t="s">
        <v>32</v>
      </c>
      <c r="G4664" s="114">
        <v>8</v>
      </c>
      <c r="H4664" s="127">
        <f>IF(SUMIFS('[1]2025年已发货'!$E:$E,'[1]2025年已发货'!$F:$F,C4664,'[1]2025年已发货'!$C:$C,F4664,'[1]2025年已发货'!$G:$G,I4664,'[1]2025年已发货'!$H:$H,J4664)=0,"未发货",SUMIFS('[1]2025年已发货'!$E:$E,'[1]2025年已发货'!$F:$F,C4664,'[1]2025年已发货'!$C:$C,F4664,'[1]2025年已发货'!$G:$G,I4664,'[1]2025年已发货'!$H:$H,J4664))</f>
        <v>11</v>
      </c>
      <c r="I4664" s="113" t="str">
        <f>VLOOKUP(B4664,辅助信息!E:I,3,FALSE)</f>
        <v>(五冶建设空港兴城怡心街道83亩项目)成都市双流区怡心街道高峰社区一组剑和路一段空港兴城怡心街道83亩项目中国五冶项目部</v>
      </c>
      <c r="J4664" s="113" t="str">
        <f>VLOOKUP(B4664,辅助信息!E:I,4,FALSE)</f>
        <v>王刚</v>
      </c>
      <c r="K4664" s="113">
        <f>VLOOKUP(J4664,辅助信息!H:I,2,FALSE)</f>
        <v>15881190525</v>
      </c>
      <c r="L4664" s="115"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55" t="str">
        <f ca="1" t="shared" si="228"/>
        <v/>
      </c>
      <c r="P4664" s="55" t="str">
        <f ca="1" t="shared" si="229"/>
        <v/>
      </c>
      <c r="Q4664" s="22" t="str">
        <f>VLOOKUP(B4664,辅助信息!E:M,9,FALSE)</f>
        <v>ZTWM-CDGS-XS-2025-0073-五冶天府-成都怡心湖片区及龙泉驿医院等项目</v>
      </c>
      <c r="R4664" s="22" t="str">
        <f>_xlfn._xlws.FILTER(辅助信息!D:D,辅助信息!E:E=B4664)</f>
        <v>五冶建设空港兴城怡心街道83亩项目</v>
      </c>
    </row>
    <row r="4665" hidden="1" spans="2:18">
      <c r="B4665" s="129" t="s">
        <v>203</v>
      </c>
      <c r="C4665" s="63">
        <v>45948</v>
      </c>
      <c r="D4665" s="113" t="str">
        <f>VLOOKUP(B4665,辅助信息!E:K,7,FALSE)</f>
        <v>JWDDCD2025102100479</v>
      </c>
      <c r="E4665" s="113" t="str">
        <f>VLOOKUP(F4665,辅助信息!A:B,2,FALSE)</f>
        <v>螺纹钢</v>
      </c>
      <c r="F4665" s="113" t="s">
        <v>33</v>
      </c>
      <c r="G4665" s="114">
        <v>10</v>
      </c>
      <c r="H4665" s="127">
        <f>IF(SUMIFS('[1]2025年已发货'!$E:$E,'[1]2025年已发货'!$F:$F,C4665,'[1]2025年已发货'!$C:$C,F4665,'[1]2025年已发货'!$G:$G,I4665,'[1]2025年已发货'!$H:$H,J4665)=0,"未发货",SUMIFS('[1]2025年已发货'!$E:$E,'[1]2025年已发货'!$F:$F,C4665,'[1]2025年已发货'!$C:$C,F4665,'[1]2025年已发货'!$G:$G,I4665,'[1]2025年已发货'!$H:$H,J4665))</f>
        <v>13</v>
      </c>
      <c r="I4665" s="113" t="str">
        <f>VLOOKUP(B4665,辅助信息!E:I,3,FALSE)</f>
        <v>(五冶建设空港兴城怡心街道83亩项目)成都市双流区怡心街道高峰社区一组剑和路一段空港兴城怡心街道83亩项目中国五冶项目部</v>
      </c>
      <c r="J4665" s="113" t="str">
        <f>VLOOKUP(B4665,辅助信息!E:I,4,FALSE)</f>
        <v>王刚</v>
      </c>
      <c r="K4665" s="113">
        <f>VLOOKUP(J4665,辅助信息!H:I,2,FALSE)</f>
        <v>15881190525</v>
      </c>
      <c r="L4665" s="115"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55" t="str">
        <f ca="1" t="shared" si="228"/>
        <v/>
      </c>
      <c r="P4665" s="55" t="str">
        <f ca="1" t="shared" si="229"/>
        <v/>
      </c>
      <c r="Q4665" s="22" t="str">
        <f>VLOOKUP(B4665,辅助信息!E:M,9,FALSE)</f>
        <v>ZTWM-CDGS-XS-2025-0073-五冶天府-成都怡心湖片区及龙泉驿医院等项目</v>
      </c>
      <c r="R4665" s="22" t="str">
        <f>_xlfn._xlws.FILTER(辅助信息!D:D,辅助信息!E:E=B4665)</f>
        <v>五冶建设空港兴城怡心街道83亩项目</v>
      </c>
    </row>
    <row r="4666" hidden="1" spans="2:18">
      <c r="B4666" s="129" t="s">
        <v>240</v>
      </c>
      <c r="C4666" s="63">
        <v>45950</v>
      </c>
      <c r="D4666" s="113" t="str">
        <f>VLOOKUP(B4666,辅助信息!E:K,7,FALSE)</f>
        <v>JWDDCD2025092400204</v>
      </c>
      <c r="E4666" s="113" t="str">
        <f>VLOOKUP(F4666,辅助信息!A:B,2,FALSE)</f>
        <v>高线</v>
      </c>
      <c r="F4666" s="113" t="s">
        <v>53</v>
      </c>
      <c r="G4666" s="114">
        <v>2.5</v>
      </c>
      <c r="H4666" s="127"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13" t="str">
        <f>VLOOKUP(B4666,辅助信息!E:I,3,FALSE)</f>
        <v>(五冶钢构龙泉东洪片区70亩住宅、商业及配套工程项目三标段)成都市龙泉驿外东洪路地铁2号线惠王陵地铁C口</v>
      </c>
      <c r="J4666" s="113" t="str">
        <f>VLOOKUP(B4666,辅助信息!E:I,4,FALSE)</f>
        <v>蒋嗣伟</v>
      </c>
      <c r="K4666" s="113">
        <f>VLOOKUP(J4666,辅助信息!H:I,2,FALSE)</f>
        <v>15014331252</v>
      </c>
      <c r="L4666" s="115">
        <f>VLOOKUP(B4666,辅助信息!E:J,6,FALSE)</f>
        <v>0</v>
      </c>
      <c r="M4666" s="84">
        <v>45948</v>
      </c>
      <c r="O4666" s="55">
        <f ca="1" t="shared" si="228"/>
        <v>0</v>
      </c>
      <c r="P4666" s="55">
        <f ca="1" t="shared" si="229"/>
        <v>9</v>
      </c>
      <c r="Q4666" s="22" t="str">
        <f>VLOOKUP(B4666,辅助信息!E:M,9,FALSE)</f>
        <v>ZTWM-CDGS-XS-2025-0156-五冶钢构-2025年九月第一批次钢筋采购合同(三圣乡项目)-中铁物贸成都公司</v>
      </c>
      <c r="R4666" s="22" t="str">
        <f>_xlfn._xlws.FILTER(辅助信息!D:D,辅助信息!E:E=B4666)</f>
        <v>五冶钢构龙泉东洪片区70亩住宅、商业及配套工程项目三标段</v>
      </c>
    </row>
    <row r="4667" hidden="1" spans="2:18">
      <c r="B4667" s="129" t="s">
        <v>240</v>
      </c>
      <c r="C4667" s="63">
        <v>45950</v>
      </c>
      <c r="D4667" s="113" t="str">
        <f>VLOOKUP(B4667,辅助信息!E:K,7,FALSE)</f>
        <v>JWDDCD2025092400204</v>
      </c>
      <c r="E4667" s="113" t="str">
        <f>VLOOKUP(F4667,辅助信息!A:B,2,FALSE)</f>
        <v>盘螺</v>
      </c>
      <c r="F4667" s="113" t="s">
        <v>41</v>
      </c>
      <c r="G4667" s="114">
        <v>15</v>
      </c>
      <c r="H4667" s="127"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13" t="str">
        <f>VLOOKUP(B4667,辅助信息!E:I,3,FALSE)</f>
        <v>(五冶钢构龙泉东洪片区70亩住宅、商业及配套工程项目三标段)成都市龙泉驿外东洪路地铁2号线惠王陵地铁C口</v>
      </c>
      <c r="J4667" s="113" t="str">
        <f>VLOOKUP(B4667,辅助信息!E:I,4,FALSE)</f>
        <v>蒋嗣伟</v>
      </c>
      <c r="K4667" s="113">
        <f>VLOOKUP(J4667,辅助信息!H:I,2,FALSE)</f>
        <v>15014331252</v>
      </c>
      <c r="L4667" s="115">
        <f>VLOOKUP(B4667,辅助信息!E:J,6,FALSE)</f>
        <v>0</v>
      </c>
      <c r="M4667" s="84">
        <v>45948</v>
      </c>
      <c r="O4667" s="55">
        <f ca="1" t="shared" si="228"/>
        <v>0</v>
      </c>
      <c r="P4667" s="55">
        <f ca="1" t="shared" si="229"/>
        <v>9</v>
      </c>
      <c r="Q4667" s="22" t="str">
        <f>VLOOKUP(B4667,辅助信息!E:M,9,FALSE)</f>
        <v>ZTWM-CDGS-XS-2025-0156-五冶钢构-2025年九月第一批次钢筋采购合同(三圣乡项目)-中铁物贸成都公司</v>
      </c>
      <c r="R4667" s="22" t="str">
        <f>_xlfn._xlws.FILTER(辅助信息!D:D,辅助信息!E:E=B4667)</f>
        <v>五冶钢构龙泉东洪片区70亩住宅、商业及配套工程项目三标段</v>
      </c>
    </row>
    <row r="4668" hidden="1" spans="2:18">
      <c r="B4668" s="129" t="s">
        <v>240</v>
      </c>
      <c r="C4668" s="63">
        <v>45950</v>
      </c>
      <c r="D4668" s="113" t="str">
        <f>VLOOKUP(B4668,辅助信息!E:K,7,FALSE)</f>
        <v>JWDDCD2025092400204</v>
      </c>
      <c r="E4668" s="113" t="str">
        <f>VLOOKUP(F4668,辅助信息!A:B,2,FALSE)</f>
        <v>盘螺</v>
      </c>
      <c r="F4668" s="113" t="s">
        <v>49</v>
      </c>
      <c r="G4668" s="114">
        <v>5</v>
      </c>
      <c r="H4668" s="127"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13" t="str">
        <f>VLOOKUP(B4668,辅助信息!E:I,3,FALSE)</f>
        <v>(五冶钢构龙泉东洪片区70亩住宅、商业及配套工程项目三标段)成都市龙泉驿外东洪路地铁2号线惠王陵地铁C口</v>
      </c>
      <c r="J4668" s="113" t="str">
        <f>VLOOKUP(B4668,辅助信息!E:I,4,FALSE)</f>
        <v>蒋嗣伟</v>
      </c>
      <c r="K4668" s="113">
        <f>VLOOKUP(J4668,辅助信息!H:I,2,FALSE)</f>
        <v>15014331252</v>
      </c>
      <c r="L4668" s="115">
        <f>VLOOKUP(B4668,辅助信息!E:J,6,FALSE)</f>
        <v>0</v>
      </c>
      <c r="M4668" s="84">
        <v>45948</v>
      </c>
      <c r="O4668" s="55">
        <f ca="1" t="shared" si="228"/>
        <v>0</v>
      </c>
      <c r="P4668" s="55">
        <f ca="1" t="shared" si="229"/>
        <v>9</v>
      </c>
      <c r="Q4668" s="22" t="str">
        <f>VLOOKUP(B4668,辅助信息!E:M,9,FALSE)</f>
        <v>ZTWM-CDGS-XS-2025-0156-五冶钢构-2025年九月第一批次钢筋采购合同(三圣乡项目)-中铁物贸成都公司</v>
      </c>
      <c r="R4668" s="22" t="str">
        <f>_xlfn._xlws.FILTER(辅助信息!D:D,辅助信息!E:E=B4668)</f>
        <v>五冶钢构龙泉东洪片区70亩住宅、商业及配套工程项目三标段</v>
      </c>
    </row>
    <row r="4669" hidden="1" spans="2:18">
      <c r="B4669" s="129" t="s">
        <v>240</v>
      </c>
      <c r="C4669" s="63">
        <v>45950</v>
      </c>
      <c r="D4669" s="113" t="str">
        <f>VLOOKUP(B4669,辅助信息!E:K,7,FALSE)</f>
        <v>JWDDCD2025092400204</v>
      </c>
      <c r="E4669" s="113" t="str">
        <f>VLOOKUP(F4669,辅助信息!A:B,2,FALSE)</f>
        <v>盘螺</v>
      </c>
      <c r="F4669" s="113" t="s">
        <v>40</v>
      </c>
      <c r="G4669" s="114">
        <v>10</v>
      </c>
      <c r="H4669" s="127"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13" t="str">
        <f>VLOOKUP(B4669,辅助信息!E:I,3,FALSE)</f>
        <v>(五冶钢构龙泉东洪片区70亩住宅、商业及配套工程项目三标段)成都市龙泉驿外东洪路地铁2号线惠王陵地铁C口</v>
      </c>
      <c r="J4669" s="113" t="str">
        <f>VLOOKUP(B4669,辅助信息!E:I,4,FALSE)</f>
        <v>蒋嗣伟</v>
      </c>
      <c r="K4669" s="113">
        <f>VLOOKUP(J4669,辅助信息!H:I,2,FALSE)</f>
        <v>15014331252</v>
      </c>
      <c r="L4669" s="115">
        <f>VLOOKUP(B4669,辅助信息!E:J,6,FALSE)</f>
        <v>0</v>
      </c>
      <c r="M4669" s="84">
        <v>45948</v>
      </c>
      <c r="O4669" s="55">
        <f ca="1" t="shared" si="228"/>
        <v>0</v>
      </c>
      <c r="P4669" s="55">
        <f ca="1" t="shared" si="229"/>
        <v>9</v>
      </c>
      <c r="Q4669" s="22" t="str">
        <f>VLOOKUP(B4669,辅助信息!E:M,9,FALSE)</f>
        <v>ZTWM-CDGS-XS-2025-0156-五冶钢构-2025年九月第一批次钢筋采购合同(三圣乡项目)-中铁物贸成都公司</v>
      </c>
      <c r="R4669" s="22" t="str">
        <f>_xlfn._xlws.FILTER(辅助信息!D:D,辅助信息!E:E=B4669)</f>
        <v>五冶钢构龙泉东洪片区70亩住宅、商业及配套工程项目三标段</v>
      </c>
    </row>
    <row r="4670" hidden="1" spans="2:18">
      <c r="B4670" s="129" t="s">
        <v>229</v>
      </c>
      <c r="C4670" s="63">
        <v>45950</v>
      </c>
      <c r="D4670" s="113" t="str">
        <f>VLOOKUP(B4670,辅助信息!E:K,7,FALSE)</f>
        <v>JWDDCD2025092400212</v>
      </c>
      <c r="E4670" s="113" t="str">
        <f>VLOOKUP(F4670,辅助信息!A:B,2,FALSE)</f>
        <v>盘螺</v>
      </c>
      <c r="F4670" s="113" t="s">
        <v>41</v>
      </c>
      <c r="G4670" s="114">
        <v>62</v>
      </c>
      <c r="H4670" s="127">
        <f>IF(SUMIFS('[1]2025年已发货'!$E:$E,'[1]2025年已发货'!$F:$F,C4670,'[1]2025年已发货'!$C:$C,F4670,'[1]2025年已发货'!$G:$G,I4670,'[1]2025年已发货'!$H:$H,J4670)=0,"未发货",SUMIFS('[1]2025年已发货'!$E:$E,'[1]2025年已发货'!$F:$F,C4670,'[1]2025年已发货'!$C:$C,F4670,'[1]2025年已发货'!$G:$G,I4670,'[1]2025年已发货'!$H:$H,J4670))</f>
        <v>28</v>
      </c>
      <c r="I4670" s="113" t="str">
        <f>VLOOKUP(B4670,辅助信息!E:I,3,FALSE)</f>
        <v>(五冶钢构龙泉东洪片区85亩住宅、商业及配套工程项目三标段)成都市龙泉驿外东洪路地铁2号线惠王陵地铁C口</v>
      </c>
      <c r="J4670" s="113" t="str">
        <f>VLOOKUP(B4670,辅助信息!E:I,4,FALSE)</f>
        <v>王军宝</v>
      </c>
      <c r="K4670" s="113">
        <f>VLOOKUP(J4670,辅助信息!H:I,2,FALSE)</f>
        <v>13889142392</v>
      </c>
      <c r="L4670" s="115">
        <f>VLOOKUP(B4670,辅助信息!E:J,6,FALSE)</f>
        <v>0</v>
      </c>
      <c r="M4670" s="84">
        <v>45948</v>
      </c>
      <c r="O4670" s="55">
        <f ca="1" t="shared" si="228"/>
        <v>0</v>
      </c>
      <c r="P4670" s="55">
        <f ca="1" t="shared" si="229"/>
        <v>9</v>
      </c>
      <c r="Q4670" s="22" t="str">
        <f>VLOOKUP(B4670,辅助信息!E:M,9,FALSE)</f>
        <v>ZTWM-CDGS-XS-2025-0156-五冶钢构-2025年九月第一批次钢筋采购合同(三圣乡项目)-中铁物贸成都公司</v>
      </c>
      <c r="R4670" s="22" t="str">
        <f>_xlfn._xlws.FILTER(辅助信息!D:D,辅助信息!E:E=B4670)</f>
        <v>五冶钢构龙泉东洪片区85亩住宅、商业及配套工程项目三标段</v>
      </c>
    </row>
    <row r="4671" hidden="1" spans="2:18">
      <c r="B4671" s="129" t="s">
        <v>229</v>
      </c>
      <c r="C4671" s="63">
        <v>45950</v>
      </c>
      <c r="D4671" s="113" t="str">
        <f>VLOOKUP(B4671,辅助信息!E:K,7,FALSE)</f>
        <v>JWDDCD2025092400212</v>
      </c>
      <c r="E4671" s="113" t="str">
        <f>VLOOKUP(F4671,辅助信息!A:B,2,FALSE)</f>
        <v>盘螺</v>
      </c>
      <c r="F4671" s="113" t="s">
        <v>49</v>
      </c>
      <c r="G4671" s="114">
        <v>6</v>
      </c>
      <c r="H4671" s="127">
        <f>IF(SUMIFS('[1]2025年已发货'!$E:$E,'[1]2025年已发货'!$F:$F,C4671,'[1]2025年已发货'!$C:$C,F4671,'[1]2025年已发货'!$G:$G,I4671,'[1]2025年已发货'!$H:$H,J4671)=0,"未发货",SUMIFS('[1]2025年已发货'!$E:$E,'[1]2025年已发货'!$F:$F,C4671,'[1]2025年已发货'!$C:$C,F4671,'[1]2025年已发货'!$G:$G,I4671,'[1]2025年已发货'!$H:$H,J4671))</f>
        <v>6</v>
      </c>
      <c r="I4671" s="113" t="str">
        <f>VLOOKUP(B4671,辅助信息!E:I,3,FALSE)</f>
        <v>(五冶钢构龙泉东洪片区85亩住宅、商业及配套工程项目三标段)成都市龙泉驿外东洪路地铁2号线惠王陵地铁C口</v>
      </c>
      <c r="J4671" s="113" t="str">
        <f>VLOOKUP(B4671,辅助信息!E:I,4,FALSE)</f>
        <v>王军宝</v>
      </c>
      <c r="K4671" s="113">
        <f>VLOOKUP(J4671,辅助信息!H:I,2,FALSE)</f>
        <v>13889142392</v>
      </c>
      <c r="L4671" s="115">
        <f>VLOOKUP(B4671,辅助信息!E:J,6,FALSE)</f>
        <v>0</v>
      </c>
      <c r="M4671" s="84">
        <v>45948</v>
      </c>
      <c r="O4671" s="55">
        <f ca="1" t="shared" si="228"/>
        <v>0</v>
      </c>
      <c r="P4671" s="55">
        <f ca="1" t="shared" si="229"/>
        <v>9</v>
      </c>
      <c r="Q4671" s="22" t="str">
        <f>VLOOKUP(B4671,辅助信息!E:M,9,FALSE)</f>
        <v>ZTWM-CDGS-XS-2025-0156-五冶钢构-2025年九月第一批次钢筋采购合同(三圣乡项目)-中铁物贸成都公司</v>
      </c>
      <c r="R4671" s="22" t="str">
        <f>_xlfn._xlws.FILTER(辅助信息!D:D,辅助信息!E:E=B4671)</f>
        <v>五冶钢构龙泉东洪片区85亩住宅、商业及配套工程项目三标段</v>
      </c>
    </row>
    <row r="4672" hidden="1" spans="2:18">
      <c r="B4672" s="129" t="s">
        <v>229</v>
      </c>
      <c r="C4672" s="63">
        <v>45950</v>
      </c>
      <c r="D4672" s="113" t="str">
        <f>VLOOKUP(B4672,辅助信息!E:K,7,FALSE)</f>
        <v>JWDDCD2025092400212</v>
      </c>
      <c r="E4672" s="113" t="str">
        <f>VLOOKUP(F4672,辅助信息!A:B,2,FALSE)</f>
        <v>盘螺</v>
      </c>
      <c r="F4672" s="113" t="s">
        <v>40</v>
      </c>
      <c r="G4672" s="114">
        <v>109</v>
      </c>
      <c r="H4672" s="127">
        <f>IF(SUMIFS('[1]2025年已发货'!$E:$E,'[1]2025年已发货'!$F:$F,C4672,'[1]2025年已发货'!$C:$C,F4672,'[1]2025年已发货'!$G:$G,I4672,'[1]2025年已发货'!$H:$H,J4672)=0,"未发货",SUMIFS('[1]2025年已发货'!$E:$E,'[1]2025年已发货'!$F:$F,C4672,'[1]2025年已发货'!$C:$C,F4672,'[1]2025年已发货'!$G:$G,I4672,'[1]2025年已发货'!$H:$H,J4672))</f>
        <v>34</v>
      </c>
      <c r="I4672" s="113" t="str">
        <f>VLOOKUP(B4672,辅助信息!E:I,3,FALSE)</f>
        <v>(五冶钢构龙泉东洪片区85亩住宅、商业及配套工程项目三标段)成都市龙泉驿外东洪路地铁2号线惠王陵地铁C口</v>
      </c>
      <c r="J4672" s="113" t="str">
        <f>VLOOKUP(B4672,辅助信息!E:I,4,FALSE)</f>
        <v>王军宝</v>
      </c>
      <c r="K4672" s="113">
        <f>VLOOKUP(J4672,辅助信息!H:I,2,FALSE)</f>
        <v>13889142392</v>
      </c>
      <c r="L4672" s="115">
        <f>VLOOKUP(B4672,辅助信息!E:J,6,FALSE)</f>
        <v>0</v>
      </c>
      <c r="M4672" s="84">
        <v>45948</v>
      </c>
      <c r="O4672" s="55">
        <f ca="1" t="shared" si="228"/>
        <v>0</v>
      </c>
      <c r="P4672" s="55">
        <f ca="1" t="shared" si="229"/>
        <v>9</v>
      </c>
      <c r="Q4672" s="22" t="str">
        <f>VLOOKUP(B4672,辅助信息!E:M,9,FALSE)</f>
        <v>ZTWM-CDGS-XS-2025-0156-五冶钢构-2025年九月第一批次钢筋采购合同(三圣乡项目)-中铁物贸成都公司</v>
      </c>
      <c r="R4672" s="22" t="str">
        <f>_xlfn._xlws.FILTER(辅助信息!D:D,辅助信息!E:E=B4672)</f>
        <v>五冶钢构龙泉东洪片区85亩住宅、商业及配套工程项目三标段</v>
      </c>
    </row>
    <row r="4673" hidden="1" spans="2:18">
      <c r="B4673" s="129" t="s">
        <v>225</v>
      </c>
      <c r="C4673" s="63">
        <v>45950</v>
      </c>
      <c r="D4673" s="113" t="str">
        <f>VLOOKUP(B4673,辅助信息!E:K,7,FALSE)</f>
        <v>JWDDCD2025092400210</v>
      </c>
      <c r="E4673" s="113" t="str">
        <f>VLOOKUP(F4673,辅助信息!A:B,2,FALSE)</f>
        <v>盘螺</v>
      </c>
      <c r="F4673" s="113" t="s">
        <v>26</v>
      </c>
      <c r="G4673" s="114">
        <v>14</v>
      </c>
      <c r="H4673" s="127">
        <f>IF(SUMIFS('[1]2025年已发货'!$E:$E,'[1]2025年已发货'!$F:$F,C4673,'[1]2025年已发货'!$C:$C,F4673,'[1]2025年已发货'!$G:$G,I4673,'[1]2025年已发货'!$H:$H,J4673)=0,"未发货",SUMIFS('[1]2025年已发货'!$E:$E,'[1]2025年已发货'!$F:$F,C4673,'[1]2025年已发货'!$C:$C,F4673,'[1]2025年已发货'!$G:$G,I4673,'[1]2025年已发货'!$H:$H,J4673))</f>
        <v>14</v>
      </c>
      <c r="I4673" s="113" t="str">
        <f>VLOOKUP(B4673,辅助信息!E:I,3,FALSE)</f>
        <v>(五冶钢构龙泉东洪片区85亩住宅、商业及配套工程项目一标段)成都市龙泉驿外东洪路地铁2号线惠王陵地铁C口</v>
      </c>
      <c r="J4673" s="113" t="str">
        <f>VLOOKUP(B4673,辅助信息!E:I,4,FALSE)</f>
        <v>岳工</v>
      </c>
      <c r="K4673" s="113">
        <f>VLOOKUP(J4673,辅助信息!H:I,2,FALSE)</f>
        <v>18599951655</v>
      </c>
      <c r="L4673" s="115">
        <f>VLOOKUP(B4673,辅助信息!E:J,6,FALSE)</f>
        <v>0</v>
      </c>
      <c r="M4673" s="84">
        <v>45948</v>
      </c>
      <c r="O4673" s="55">
        <f ca="1" t="shared" si="228"/>
        <v>0</v>
      </c>
      <c r="P4673" s="55">
        <f ca="1" t="shared" si="229"/>
        <v>9</v>
      </c>
      <c r="Q4673" s="22" t="str">
        <f>VLOOKUP(B4673,辅助信息!E:M,9,FALSE)</f>
        <v>ZTWM-CDGS-XS-2025-0156-五冶钢构-2025年九月第一批次钢筋采购合同(三圣乡项目)-中铁物贸成都公司</v>
      </c>
      <c r="R4673" s="22" t="str">
        <f>_xlfn._xlws.FILTER(辅助信息!D:D,辅助信息!E:E=B4673)</f>
        <v>五冶钢构龙泉东洪片区85亩住宅、商业及配套工程项目一标段</v>
      </c>
    </row>
    <row r="4674" hidden="1" spans="1:18">
      <c r="A4674" s="121" t="s">
        <v>100</v>
      </c>
      <c r="B4674" s="129" t="s">
        <v>177</v>
      </c>
      <c r="C4674" s="63">
        <v>45947</v>
      </c>
      <c r="D4674" s="113" t="str">
        <f>VLOOKUP(B4674,辅助信息!E:K,7,FALSE)</f>
        <v>JWDDCD2025062200016</v>
      </c>
      <c r="E4674" s="113" t="str">
        <f>VLOOKUP(F4674,辅助信息!A:B,2,FALSE)</f>
        <v>高线</v>
      </c>
      <c r="F4674" s="113" t="s">
        <v>57</v>
      </c>
      <c r="G4674" s="114">
        <v>2</v>
      </c>
      <c r="H4674" s="127">
        <f>IF(SUMIFS('[1]2025年已发货'!$E:$E,'[1]2025年已发货'!$F:$F,C4674,'[1]2025年已发货'!$C:$C,F4674,'[1]2025年已发货'!$G:$G,I4674,'[1]2025年已发货'!$H:$H,J4674)=0,"未发货",SUMIFS('[1]2025年已发货'!$E:$E,'[1]2025年已发货'!$F:$F,C4674,'[1]2025年已发货'!$C:$C,F4674,'[1]2025年已发货'!$G:$G,I4674,'[1]2025年已发货'!$H:$H,J4674))</f>
        <v>2</v>
      </c>
      <c r="I4674" s="113" t="str">
        <f>VLOOKUP(B4674,辅助信息!E:I,3,FALSE)</f>
        <v>(武汉电气化局成达万高铁强电项目-南充营山)四川省南充市营山县保真路景阳名城南50米(保真路东)</v>
      </c>
      <c r="J4674" s="113" t="str">
        <f>VLOOKUP(B4674,辅助信息!E:I,4,FALSE)</f>
        <v>周开亮</v>
      </c>
      <c r="K4674" s="113">
        <f>VLOOKUP(J4674,辅助信息!H:I,2,FALSE)</f>
        <v>18381485052</v>
      </c>
      <c r="L4674" s="115" t="str">
        <f>VLOOKUP(B4674,辅助信息!E:J,6,FALSE)</f>
        <v>锈货不收！！下雨天钢筋没盖篷布不收！！，装货前联系收货人核实到场规格,没提前告知进场规格现场不给予接收</v>
      </c>
      <c r="O4674" s="55" t="str">
        <f ca="1" t="shared" si="228"/>
        <v/>
      </c>
      <c r="P4674" s="55" t="str">
        <f ca="1" t="shared" si="229"/>
        <v/>
      </c>
      <c r="Q4674" s="22" t="str">
        <f>VLOOKUP(B4674,辅助信息!E:M,9,FALSE)</f>
        <v>ZTWM-CDGS-XS-2025-0033-中铁武汉电气化局集团有限公司成达万高速铁路强电工程项目</v>
      </c>
      <c r="R4674" s="22" t="str">
        <f>_xlfn._xlws.FILTER(辅助信息!D:D,辅助信息!E:E=B4674)</f>
        <v>武汉电气化局成达万高铁强电项目</v>
      </c>
    </row>
    <row r="4675" hidden="1" spans="1:18">
      <c r="A4675" s="121"/>
      <c r="B4675" s="129" t="s">
        <v>177</v>
      </c>
      <c r="C4675" s="63">
        <v>45947</v>
      </c>
      <c r="D4675" s="113" t="str">
        <f>VLOOKUP(B4675,辅助信息!E:K,7,FALSE)</f>
        <v>JWDDCD2025062200016</v>
      </c>
      <c r="E4675" s="113" t="str">
        <f>VLOOKUP(F4675,辅助信息!A:B,2,FALSE)</f>
        <v>螺纹钢</v>
      </c>
      <c r="F4675" s="113" t="s">
        <v>19</v>
      </c>
      <c r="G4675" s="114">
        <v>6</v>
      </c>
      <c r="H4675" s="127">
        <f>IF(SUMIFS('[1]2025年已发货'!$E:$E,'[1]2025年已发货'!$F:$F,C4675,'[1]2025年已发货'!$C:$C,F4675,'[1]2025年已发货'!$G:$G,I4675,'[1]2025年已发货'!$H:$H,J4675)=0,"未发货",SUMIFS('[1]2025年已发货'!$E:$E,'[1]2025年已发货'!$F:$F,C4675,'[1]2025年已发货'!$C:$C,F4675,'[1]2025年已发货'!$G:$G,I4675,'[1]2025年已发货'!$H:$H,J4675))</f>
        <v>6</v>
      </c>
      <c r="I4675" s="113" t="str">
        <f>VLOOKUP(B4675,辅助信息!E:I,3,FALSE)</f>
        <v>(武汉电气化局成达万高铁强电项目-南充营山)四川省南充市营山县保真路景阳名城南50米(保真路东)</v>
      </c>
      <c r="J4675" s="113" t="str">
        <f>VLOOKUP(B4675,辅助信息!E:I,4,FALSE)</f>
        <v>周开亮</v>
      </c>
      <c r="K4675" s="113">
        <f>VLOOKUP(J4675,辅助信息!H:I,2,FALSE)</f>
        <v>18381485052</v>
      </c>
      <c r="L4675" s="115" t="str">
        <f>VLOOKUP(B4675,辅助信息!E:J,6,FALSE)</f>
        <v>锈货不收！！下雨天钢筋没盖篷布不收！！，装货前联系收货人核实到场规格,没提前告知进场规格现场不给予接收</v>
      </c>
      <c r="O4675" s="55" t="str">
        <f ca="1" t="shared" si="228"/>
        <v/>
      </c>
      <c r="P4675" s="55" t="str">
        <f ca="1" t="shared" si="229"/>
        <v/>
      </c>
      <c r="Q4675" s="22" t="str">
        <f>VLOOKUP(B4675,辅助信息!E:M,9,FALSE)</f>
        <v>ZTWM-CDGS-XS-2025-0033-中铁武汉电气化局集团有限公司成达万高速铁路强电工程项目</v>
      </c>
      <c r="R4675" s="22" t="str">
        <f>_xlfn._xlws.FILTER(辅助信息!D:D,辅助信息!E:E=B4675)</f>
        <v>武汉电气化局成达万高铁强电项目</v>
      </c>
    </row>
    <row r="4676" hidden="1" spans="1:18">
      <c r="A4676" s="121"/>
      <c r="B4676" s="129" t="s">
        <v>177</v>
      </c>
      <c r="C4676" s="63">
        <v>45947</v>
      </c>
      <c r="D4676" s="113" t="str">
        <f>VLOOKUP(B4676,辅助信息!E:K,7,FALSE)</f>
        <v>JWDDCD2025062200016</v>
      </c>
      <c r="E4676" s="113" t="str">
        <f>VLOOKUP(F4676,辅助信息!A:B,2,FALSE)</f>
        <v>螺纹钢</v>
      </c>
      <c r="F4676" s="113" t="s">
        <v>33</v>
      </c>
      <c r="G4676" s="114">
        <v>16</v>
      </c>
      <c r="H4676" s="127">
        <f>IF(SUMIFS('[1]2025年已发货'!$E:$E,'[1]2025年已发货'!$F:$F,C4676,'[1]2025年已发货'!$C:$C,F4676,'[1]2025年已发货'!$G:$G,I4676,'[1]2025年已发货'!$H:$H,J4676)=0,"未发货",SUMIFS('[1]2025年已发货'!$E:$E,'[1]2025年已发货'!$F:$F,C4676,'[1]2025年已发货'!$C:$C,F4676,'[1]2025年已发货'!$G:$G,I4676,'[1]2025年已发货'!$H:$H,J4676))</f>
        <v>16</v>
      </c>
      <c r="I4676" s="113" t="str">
        <f>VLOOKUP(B4676,辅助信息!E:I,3,FALSE)</f>
        <v>(武汉电气化局成达万高铁强电项目-南充营山)四川省南充市营山县保真路景阳名城南50米(保真路东)</v>
      </c>
      <c r="J4676" s="113" t="str">
        <f>VLOOKUP(B4676,辅助信息!E:I,4,FALSE)</f>
        <v>周开亮</v>
      </c>
      <c r="K4676" s="113">
        <f>VLOOKUP(J4676,辅助信息!H:I,2,FALSE)</f>
        <v>18381485052</v>
      </c>
      <c r="L4676" s="115" t="str">
        <f>VLOOKUP(B4676,辅助信息!E:J,6,FALSE)</f>
        <v>锈货不收！！下雨天钢筋没盖篷布不收！！，装货前联系收货人核实到场规格,没提前告知进场规格现场不给予接收</v>
      </c>
      <c r="O4676" s="55" t="str">
        <f ca="1" t="shared" si="228"/>
        <v/>
      </c>
      <c r="P4676" s="55" t="str">
        <f ca="1" t="shared" si="229"/>
        <v/>
      </c>
      <c r="Q4676" s="22" t="str">
        <f>VLOOKUP(B4676,辅助信息!E:M,9,FALSE)</f>
        <v>ZTWM-CDGS-XS-2025-0033-中铁武汉电气化局集团有限公司成达万高速铁路强电工程项目</v>
      </c>
      <c r="R4676" s="22" t="str">
        <f>_xlfn._xlws.FILTER(辅助信息!D:D,辅助信息!E:E=B4676)</f>
        <v>武汉电气化局成达万高铁强电项目</v>
      </c>
    </row>
    <row r="4677" hidden="1" spans="1:18">
      <c r="A4677" s="121"/>
      <c r="B4677" s="129" t="s">
        <v>177</v>
      </c>
      <c r="C4677" s="63">
        <v>45947</v>
      </c>
      <c r="D4677" s="113" t="str">
        <f>VLOOKUP(B4677,辅助信息!E:K,7,FALSE)</f>
        <v>JWDDCD2025062200016</v>
      </c>
      <c r="E4677" s="113" t="str">
        <f>VLOOKUP(F4677,辅助信息!A:B,2,FALSE)</f>
        <v>螺纹钢</v>
      </c>
      <c r="F4677" s="113" t="s">
        <v>18</v>
      </c>
      <c r="G4677" s="114">
        <v>12</v>
      </c>
      <c r="H4677" s="127">
        <f>IF(SUMIFS('[1]2025年已发货'!$E:$E,'[1]2025年已发货'!$F:$F,C4677,'[1]2025年已发货'!$C:$C,F4677,'[1]2025年已发货'!$G:$G,I4677,'[1]2025年已发货'!$H:$H,J4677)=0,"未发货",SUMIFS('[1]2025年已发货'!$E:$E,'[1]2025年已发货'!$F:$F,C4677,'[1]2025年已发货'!$C:$C,F4677,'[1]2025年已发货'!$G:$G,I4677,'[1]2025年已发货'!$H:$H,J4677))</f>
        <v>12</v>
      </c>
      <c r="I4677" s="113" t="str">
        <f>VLOOKUP(B4677,辅助信息!E:I,3,FALSE)</f>
        <v>(武汉电气化局成达万高铁强电项目-南充营山)四川省南充市营山县保真路景阳名城南50米(保真路东)</v>
      </c>
      <c r="J4677" s="113" t="str">
        <f>VLOOKUP(B4677,辅助信息!E:I,4,FALSE)</f>
        <v>周开亮</v>
      </c>
      <c r="K4677" s="113">
        <f>VLOOKUP(J4677,辅助信息!H:I,2,FALSE)</f>
        <v>18381485052</v>
      </c>
      <c r="L4677" s="115" t="str">
        <f>VLOOKUP(B4677,辅助信息!E:J,6,FALSE)</f>
        <v>锈货不收！！下雨天钢筋没盖篷布不收！！，装货前联系收货人核实到场规格,没提前告知进场规格现场不给予接收</v>
      </c>
      <c r="O4677" s="55" t="str">
        <f ca="1" t="shared" si="228"/>
        <v/>
      </c>
      <c r="P4677" s="55" t="str">
        <f ca="1" t="shared" si="229"/>
        <v/>
      </c>
      <c r="Q4677" s="22" t="str">
        <f>VLOOKUP(B4677,辅助信息!E:M,9,FALSE)</f>
        <v>ZTWM-CDGS-XS-2025-0033-中铁武汉电气化局集团有限公司成达万高速铁路强电工程项目</v>
      </c>
      <c r="R4677" s="22" t="str">
        <f>_xlfn._xlws.FILTER(辅助信息!D:D,辅助信息!E:E=B4677)</f>
        <v>武汉电气化局成达万高铁强电项目</v>
      </c>
    </row>
    <row r="4678" hidden="1" spans="1:18">
      <c r="A4678" s="121"/>
      <c r="B4678" s="129" t="s">
        <v>177</v>
      </c>
      <c r="C4678" s="63">
        <v>45947</v>
      </c>
      <c r="D4678" s="113" t="str">
        <f>VLOOKUP(B4678,辅助信息!E:K,7,FALSE)</f>
        <v>JWDDCD2025062200016</v>
      </c>
      <c r="E4678" s="113" t="str">
        <f>VLOOKUP(F4678,辅助信息!A:B,2,FALSE)</f>
        <v>盘螺</v>
      </c>
      <c r="F4678" s="113" t="s">
        <v>41</v>
      </c>
      <c r="G4678" s="114">
        <v>10</v>
      </c>
      <c r="H4678" s="127">
        <f>IF(SUMIFS('[1]2025年已发货'!$E:$E,'[1]2025年已发货'!$F:$F,C4678,'[1]2025年已发货'!$C:$C,F4678,'[1]2025年已发货'!$G:$G,I4678,'[1]2025年已发货'!$H:$H,J4678)=0,"未发货",SUMIFS('[1]2025年已发货'!$E:$E,'[1]2025年已发货'!$F:$F,C4678,'[1]2025年已发货'!$C:$C,F4678,'[1]2025年已发货'!$G:$G,I4678,'[1]2025年已发货'!$H:$H,J4678))</f>
        <v>10</v>
      </c>
      <c r="I4678" s="113" t="str">
        <f>VLOOKUP(B4678,辅助信息!E:I,3,FALSE)</f>
        <v>(武汉电气化局成达万高铁强电项目-南充营山)四川省南充市营山县保真路景阳名城南50米(保真路东)</v>
      </c>
      <c r="J4678" s="113" t="str">
        <f>VLOOKUP(B4678,辅助信息!E:I,4,FALSE)</f>
        <v>周开亮</v>
      </c>
      <c r="K4678" s="113">
        <f>VLOOKUP(J4678,辅助信息!H:I,2,FALSE)</f>
        <v>18381485052</v>
      </c>
      <c r="L4678" s="115" t="str">
        <f>VLOOKUP(B4678,辅助信息!E:J,6,FALSE)</f>
        <v>锈货不收！！下雨天钢筋没盖篷布不收！！，装货前联系收货人核实到场规格,没提前告知进场规格现场不给予接收</v>
      </c>
      <c r="O4678" s="55" t="str">
        <f ca="1" t="shared" si="228"/>
        <v/>
      </c>
      <c r="P4678" s="55" t="str">
        <f ca="1" t="shared" si="229"/>
        <v/>
      </c>
      <c r="Q4678" s="22" t="str">
        <f>VLOOKUP(B4678,辅助信息!E:M,9,FALSE)</f>
        <v>ZTWM-CDGS-XS-2025-0033-中铁武汉电气化局集团有限公司成达万高速铁路强电工程项目</v>
      </c>
      <c r="R4678" s="22" t="str">
        <f>_xlfn._xlws.FILTER(辅助信息!D:D,辅助信息!E:E=B4678)</f>
        <v>武汉电气化局成达万高铁强电项目</v>
      </c>
    </row>
    <row r="4679" hidden="1" spans="1:18">
      <c r="A4679" s="121"/>
      <c r="B4679" s="129" t="s">
        <v>177</v>
      </c>
      <c r="C4679" s="63">
        <v>45947</v>
      </c>
      <c r="D4679" s="113" t="str">
        <f>VLOOKUP(B4679,辅助信息!E:K,7,FALSE)</f>
        <v>JWDDCD2025062200016</v>
      </c>
      <c r="E4679" s="113" t="str">
        <f>VLOOKUP(F4679,辅助信息!A:B,2,FALSE)</f>
        <v>螺纹钢</v>
      </c>
      <c r="F4679" s="113" t="s">
        <v>130</v>
      </c>
      <c r="G4679" s="114">
        <v>26</v>
      </c>
      <c r="H4679" s="127">
        <f>IF(SUMIFS('[1]2025年已发货'!$E:$E,'[1]2025年已发货'!$F:$F,C4679,'[1]2025年已发货'!$C:$C,F4679,'[1]2025年已发货'!$G:$G,I4679,'[1]2025年已发货'!$H:$H,J4679)=0,"未发货",SUMIFS('[1]2025年已发货'!$E:$E,'[1]2025年已发货'!$F:$F,C4679,'[1]2025年已发货'!$C:$C,F4679,'[1]2025年已发货'!$G:$G,I4679,'[1]2025年已发货'!$H:$H,J4679))</f>
        <v>26</v>
      </c>
      <c r="I4679" s="113" t="str">
        <f>VLOOKUP(B4679,辅助信息!E:I,3,FALSE)</f>
        <v>(武汉电气化局成达万高铁强电项目-南充营山)四川省南充市营山县保真路景阳名城南50米(保真路东)</v>
      </c>
      <c r="J4679" s="113" t="str">
        <f>VLOOKUP(B4679,辅助信息!E:I,4,FALSE)</f>
        <v>周开亮</v>
      </c>
      <c r="K4679" s="113">
        <f>VLOOKUP(J4679,辅助信息!H:I,2,FALSE)</f>
        <v>18381485052</v>
      </c>
      <c r="L4679" s="115" t="str">
        <f>VLOOKUP(B4679,辅助信息!E:J,6,FALSE)</f>
        <v>锈货不收！！下雨天钢筋没盖篷布不收！！，装货前联系收货人核实到场规格,没提前告知进场规格现场不给予接收</v>
      </c>
      <c r="M4679" s="84">
        <v>45941</v>
      </c>
      <c r="O4679" s="55">
        <f ca="1" t="shared" si="228"/>
        <v>0</v>
      </c>
      <c r="P4679" s="55">
        <f ca="1" t="shared" si="229"/>
        <v>16</v>
      </c>
      <c r="Q4679" s="22" t="str">
        <f>VLOOKUP(B4679,辅助信息!E:M,9,FALSE)</f>
        <v>ZTWM-CDGS-XS-2025-0033-中铁武汉电气化局集团有限公司成达万高速铁路强电工程项目</v>
      </c>
      <c r="R4679" s="22" t="str">
        <f>_xlfn._xlws.FILTER(辅助信息!D:D,辅助信息!E:E=B4679)</f>
        <v>武汉电气化局成达万高铁强电项目</v>
      </c>
    </row>
    <row r="4680" hidden="1" spans="2:18">
      <c r="B4680" s="129" t="s">
        <v>163</v>
      </c>
      <c r="C4680" s="136">
        <v>45947</v>
      </c>
      <c r="D4680" s="129" t="str">
        <f>VLOOKUP(B4680,辅助信息!E:K,7,FALSE)</f>
        <v>JWDDCD2025052800131</v>
      </c>
      <c r="E4680" s="129" t="str">
        <f>VLOOKUP(F4680,辅助信息!A:B,2,FALSE)</f>
        <v>螺纹钢</v>
      </c>
      <c r="F4680" s="129" t="s">
        <v>58</v>
      </c>
      <c r="G4680" s="127">
        <v>15</v>
      </c>
      <c r="H4680" s="127">
        <f>IF(SUMIFS('[1]2025年已发货'!$E:$E,'[1]2025年已发货'!$F:$F,C4680,'[1]2025年已发货'!$C:$C,F4680,'[1]2025年已发货'!$G:$G,I4680,'[1]2025年已发货'!$H:$H,J4680)=0,"未发货",SUMIFS('[1]2025年已发货'!$E:$E,'[1]2025年已发货'!$F:$F,C4680,'[1]2025年已发货'!$C:$C,F4680,'[1]2025年已发货'!$G:$G,I4680,'[1]2025年已发货'!$H:$H,J4680))</f>
        <v>15</v>
      </c>
      <c r="I4680" s="113" t="str">
        <f>VLOOKUP(B4680,辅助信息!E:I,3,FALSE)</f>
        <v>（商投建工达州中医药科技园-4工区-9号楼）达州市通川区达州中医药职业学院犀牛大道北段</v>
      </c>
      <c r="J4680" s="113" t="str">
        <f>VLOOKUP(B4680,辅助信息!E:I,4,FALSE)</f>
        <v>张扬</v>
      </c>
      <c r="K4680" s="113">
        <f>VLOOKUP(J4680,辅助信息!H:I,2,FALSE)</f>
        <v>18381904567</v>
      </c>
      <c r="L4680" s="115" t="str">
        <f>VLOOKUP(B4680,辅助信息!E:J,6,FALSE)</f>
        <v>控制炉批号！多了现场不收！,优先安排达钢,提前联系到场规格及数量</v>
      </c>
      <c r="O4680" s="55" t="str">
        <f ca="1" t="shared" si="228"/>
        <v/>
      </c>
      <c r="P4680" s="55" t="str">
        <f ca="1" t="shared" si="229"/>
        <v/>
      </c>
      <c r="Q4680" s="22" t="str">
        <f>VLOOKUP(B4680,辅助信息!E:M,9,FALSE)</f>
        <v>ZTWM-CDGS-XS-2024-0134-商投建工达州中医药科技成果示范园项目</v>
      </c>
      <c r="R4680" s="22" t="str">
        <f>_xlfn._xlws.FILTER(辅助信息!D:D,辅助信息!E:E=B4680)</f>
        <v>商投建工达州中医药科技园</v>
      </c>
    </row>
    <row r="4681" hidden="1" spans="2:18">
      <c r="B4681" s="129" t="s">
        <v>163</v>
      </c>
      <c r="C4681" s="136">
        <v>45947</v>
      </c>
      <c r="D4681" s="129" t="str">
        <f>VLOOKUP(B4681,辅助信息!E:K,7,FALSE)</f>
        <v>JWDDCD2025052800131</v>
      </c>
      <c r="E4681" s="129" t="str">
        <f>VLOOKUP(F4681,辅助信息!A:B,2,FALSE)</f>
        <v>螺纹钢</v>
      </c>
      <c r="F4681" s="129" t="s">
        <v>46</v>
      </c>
      <c r="G4681" s="127">
        <v>12</v>
      </c>
      <c r="H4681" s="127">
        <f>IF(SUMIFS('[1]2025年已发货'!$E:$E,'[1]2025年已发货'!$F:$F,C4681,'[1]2025年已发货'!$C:$C,F4681,'[1]2025年已发货'!$G:$G,I4681,'[1]2025年已发货'!$H:$H,J4681)=0,"未发货",SUMIFS('[1]2025年已发货'!$E:$E,'[1]2025年已发货'!$F:$F,C4681,'[1]2025年已发货'!$C:$C,F4681,'[1]2025年已发货'!$G:$G,I4681,'[1]2025年已发货'!$H:$H,J4681))</f>
        <v>12</v>
      </c>
      <c r="I4681" s="113" t="str">
        <f>VLOOKUP(B4681,辅助信息!E:I,3,FALSE)</f>
        <v>（商投建工达州中医药科技园-4工区-9号楼）达州市通川区达州中医药职业学院犀牛大道北段</v>
      </c>
      <c r="J4681" s="113" t="str">
        <f>VLOOKUP(B4681,辅助信息!E:I,4,FALSE)</f>
        <v>张扬</v>
      </c>
      <c r="K4681" s="113">
        <f>VLOOKUP(J4681,辅助信息!H:I,2,FALSE)</f>
        <v>18381904567</v>
      </c>
      <c r="L4681" s="115" t="str">
        <f>VLOOKUP(B4681,辅助信息!E:J,6,FALSE)</f>
        <v>控制炉批号！多了现场不收！,优先安排达钢,提前联系到场规格及数量</v>
      </c>
      <c r="O4681" s="55" t="str">
        <f ca="1" t="shared" si="228"/>
        <v/>
      </c>
      <c r="P4681" s="55" t="str">
        <f ca="1" t="shared" si="229"/>
        <v/>
      </c>
      <c r="Q4681" s="22" t="str">
        <f>VLOOKUP(B4681,辅助信息!E:M,9,FALSE)</f>
        <v>ZTWM-CDGS-XS-2024-0134-商投建工达州中医药科技成果示范园项目</v>
      </c>
      <c r="R4681" s="22" t="str">
        <f>_xlfn._xlws.FILTER(辅助信息!D:D,辅助信息!E:E=B4681)</f>
        <v>商投建工达州中医药科技园</v>
      </c>
    </row>
    <row r="4682" hidden="1" spans="2:18">
      <c r="B4682" s="129" t="s">
        <v>163</v>
      </c>
      <c r="C4682" s="136">
        <v>45947</v>
      </c>
      <c r="D4682" s="129" t="str">
        <f>VLOOKUP(B4682,辅助信息!E:K,7,FALSE)</f>
        <v>JWDDCD2025052800131</v>
      </c>
      <c r="E4682" s="129" t="str">
        <f>VLOOKUP(F4682,辅助信息!A:B,2,FALSE)</f>
        <v>螺纹钢</v>
      </c>
      <c r="F4682" s="129" t="s">
        <v>22</v>
      </c>
      <c r="G4682" s="127">
        <v>9</v>
      </c>
      <c r="H4682" s="127">
        <f>IF(SUMIFS('[1]2025年已发货'!$E:$E,'[1]2025年已发货'!$F:$F,C4682,'[1]2025年已发货'!$C:$C,F4682,'[1]2025年已发货'!$G:$G,I4682,'[1]2025年已发货'!$H:$H,J4682)=0,"未发货",SUMIFS('[1]2025年已发货'!$E:$E,'[1]2025年已发货'!$F:$F,C4682,'[1]2025年已发货'!$C:$C,F4682,'[1]2025年已发货'!$G:$G,I4682,'[1]2025年已发货'!$H:$H,J4682))</f>
        <v>9</v>
      </c>
      <c r="I4682" s="113" t="str">
        <f>VLOOKUP(B4682,辅助信息!E:I,3,FALSE)</f>
        <v>（商投建工达州中医药科技园-4工区-9号楼）达州市通川区达州中医药职业学院犀牛大道北段</v>
      </c>
      <c r="J4682" s="113" t="str">
        <f>VLOOKUP(B4682,辅助信息!E:I,4,FALSE)</f>
        <v>张扬</v>
      </c>
      <c r="K4682" s="113">
        <f>VLOOKUP(J4682,辅助信息!H:I,2,FALSE)</f>
        <v>18381904567</v>
      </c>
      <c r="L4682" s="115" t="str">
        <f>VLOOKUP(B4682,辅助信息!E:J,6,FALSE)</f>
        <v>控制炉批号！多了现场不收！,优先安排达钢,提前联系到场规格及数量</v>
      </c>
      <c r="O4682" s="55" t="str">
        <f ca="1" t="shared" si="228"/>
        <v/>
      </c>
      <c r="P4682" s="55" t="str">
        <f ca="1" t="shared" si="229"/>
        <v/>
      </c>
      <c r="Q4682" s="22" t="str">
        <f>VLOOKUP(B4682,辅助信息!E:M,9,FALSE)</f>
        <v>ZTWM-CDGS-XS-2024-0134-商投建工达州中医药科技成果示范园项目</v>
      </c>
      <c r="R4682" s="22" t="str">
        <f>_xlfn._xlws.FILTER(辅助信息!D:D,辅助信息!E:E=B4682)</f>
        <v>商投建工达州中医药科技园</v>
      </c>
    </row>
    <row r="4683" hidden="1" spans="2:18">
      <c r="B4683" s="129" t="s">
        <v>163</v>
      </c>
      <c r="C4683" s="136">
        <v>45947</v>
      </c>
      <c r="D4683" s="129" t="str">
        <f>VLOOKUP(B4683,辅助信息!E:K,7,FALSE)</f>
        <v>JWDDCD2025052800131</v>
      </c>
      <c r="E4683" s="129" t="str">
        <f>VLOOKUP(F4683,辅助信息!A:B,2,FALSE)</f>
        <v>螺纹钢</v>
      </c>
      <c r="F4683" s="129" t="s">
        <v>32</v>
      </c>
      <c r="G4683" s="127">
        <v>3</v>
      </c>
      <c r="H4683" s="127">
        <f>IF(SUMIFS('[1]2025年已发货'!$E:$E,'[1]2025年已发货'!$F:$F,C4683,'[1]2025年已发货'!$C:$C,F4683,'[1]2025年已发货'!$G:$G,I4683,'[1]2025年已发货'!$H:$H,J4683)=0,"未发货",SUMIFS('[1]2025年已发货'!$E:$E,'[1]2025年已发货'!$F:$F,C4683,'[1]2025年已发货'!$C:$C,F4683,'[1]2025年已发货'!$G:$G,I4683,'[1]2025年已发货'!$H:$H,J4683))</f>
        <v>3</v>
      </c>
      <c r="I4683" s="113" t="str">
        <f>VLOOKUP(B4683,辅助信息!E:I,3,FALSE)</f>
        <v>（商投建工达州中医药科技园-4工区-9号楼）达州市通川区达州中医药职业学院犀牛大道北段</v>
      </c>
      <c r="J4683" s="113" t="str">
        <f>VLOOKUP(B4683,辅助信息!E:I,4,FALSE)</f>
        <v>张扬</v>
      </c>
      <c r="K4683" s="113">
        <f>VLOOKUP(J4683,辅助信息!H:I,2,FALSE)</f>
        <v>18381904567</v>
      </c>
      <c r="L4683" s="115" t="str">
        <f>VLOOKUP(B4683,辅助信息!E:J,6,FALSE)</f>
        <v>控制炉批号！多了现场不收！,优先安排达钢,提前联系到场规格及数量</v>
      </c>
      <c r="O4683" s="55" t="str">
        <f ca="1" t="shared" si="228"/>
        <v/>
      </c>
      <c r="P4683" s="55" t="str">
        <f ca="1" t="shared" si="229"/>
        <v/>
      </c>
      <c r="Q4683" s="22" t="str">
        <f>VLOOKUP(B4683,辅助信息!E:M,9,FALSE)</f>
        <v>ZTWM-CDGS-XS-2024-0134-商投建工达州中医药科技成果示范园项目</v>
      </c>
      <c r="R4683" s="22" t="str">
        <f>_xlfn._xlws.FILTER(辅助信息!D:D,辅助信息!E:E=B4683)</f>
        <v>商投建工达州中医药科技园</v>
      </c>
    </row>
    <row r="4684" hidden="1" spans="2:18">
      <c r="B4684" s="129" t="s">
        <v>163</v>
      </c>
      <c r="C4684" s="136">
        <v>45947</v>
      </c>
      <c r="D4684" s="129" t="str">
        <f>VLOOKUP(B4684,辅助信息!E:K,7,FALSE)</f>
        <v>JWDDCD2025052800131</v>
      </c>
      <c r="E4684" s="129" t="str">
        <f>VLOOKUP(F4684,辅助信息!A:B,2,FALSE)</f>
        <v>螺纹钢</v>
      </c>
      <c r="F4684" s="129" t="s">
        <v>30</v>
      </c>
      <c r="G4684" s="127">
        <v>9</v>
      </c>
      <c r="H4684" s="127">
        <f>IF(SUMIFS('[1]2025年已发货'!$E:$E,'[1]2025年已发货'!$F:$F,C4684,'[1]2025年已发货'!$C:$C,F4684,'[1]2025年已发货'!$G:$G,I4684,'[1]2025年已发货'!$H:$H,J4684)=0,"未发货",SUMIFS('[1]2025年已发货'!$E:$E,'[1]2025年已发货'!$F:$F,C4684,'[1]2025年已发货'!$C:$C,F4684,'[1]2025年已发货'!$G:$G,I4684,'[1]2025年已发货'!$H:$H,J4684))</f>
        <v>9</v>
      </c>
      <c r="I4684" s="113" t="str">
        <f>VLOOKUP(B4684,辅助信息!E:I,3,FALSE)</f>
        <v>（商投建工达州中医药科技园-4工区-9号楼）达州市通川区达州中医药职业学院犀牛大道北段</v>
      </c>
      <c r="J4684" s="113" t="str">
        <f>VLOOKUP(B4684,辅助信息!E:I,4,FALSE)</f>
        <v>张扬</v>
      </c>
      <c r="K4684" s="113">
        <f>VLOOKUP(J4684,辅助信息!H:I,2,FALSE)</f>
        <v>18381904567</v>
      </c>
      <c r="L4684" s="115" t="str">
        <f>VLOOKUP(B4684,辅助信息!E:J,6,FALSE)</f>
        <v>控制炉批号！多了现场不收！,优先安排达钢,提前联系到场规格及数量</v>
      </c>
      <c r="O4684" s="55" t="str">
        <f ca="1" t="shared" si="228"/>
        <v/>
      </c>
      <c r="P4684" s="55" t="str">
        <f ca="1" t="shared" si="229"/>
        <v/>
      </c>
      <c r="Q4684" s="22" t="str">
        <f>VLOOKUP(B4684,辅助信息!E:M,9,FALSE)</f>
        <v>ZTWM-CDGS-XS-2024-0134-商投建工达州中医药科技成果示范园项目</v>
      </c>
      <c r="R4684" s="22" t="str">
        <f>_xlfn._xlws.FILTER(辅助信息!D:D,辅助信息!E:E=B4684)</f>
        <v>商投建工达州中医药科技园</v>
      </c>
    </row>
    <row r="4685" hidden="1" spans="2:18">
      <c r="B4685" s="129" t="s">
        <v>163</v>
      </c>
      <c r="C4685" s="136">
        <v>45947</v>
      </c>
      <c r="D4685" s="129" t="str">
        <f>VLOOKUP(B4685,辅助信息!E:K,7,FALSE)</f>
        <v>JWDDCD2025052800131</v>
      </c>
      <c r="E4685" s="129" t="str">
        <f>VLOOKUP(F4685,辅助信息!A:B,2,FALSE)</f>
        <v>螺纹钢</v>
      </c>
      <c r="F4685" s="129" t="s">
        <v>33</v>
      </c>
      <c r="G4685" s="127">
        <v>6</v>
      </c>
      <c r="H4685" s="127">
        <f>IF(SUMIFS('[1]2025年已发货'!$E:$E,'[1]2025年已发货'!$F:$F,C4685,'[1]2025年已发货'!$C:$C,F4685,'[1]2025年已发货'!$G:$G,I4685,'[1]2025年已发货'!$H:$H,J4685)=0,"未发货",SUMIFS('[1]2025年已发货'!$E:$E,'[1]2025年已发货'!$F:$F,C4685,'[1]2025年已发货'!$C:$C,F4685,'[1]2025年已发货'!$G:$G,I4685,'[1]2025年已发货'!$H:$H,J4685))</f>
        <v>6</v>
      </c>
      <c r="I4685" s="113" t="str">
        <f>VLOOKUP(B4685,辅助信息!E:I,3,FALSE)</f>
        <v>（商投建工达州中医药科技园-4工区-9号楼）达州市通川区达州中医药职业学院犀牛大道北段</v>
      </c>
      <c r="J4685" s="113" t="str">
        <f>VLOOKUP(B4685,辅助信息!E:I,4,FALSE)</f>
        <v>张扬</v>
      </c>
      <c r="K4685" s="113">
        <f>VLOOKUP(J4685,辅助信息!H:I,2,FALSE)</f>
        <v>18381904567</v>
      </c>
      <c r="L4685" s="115" t="str">
        <f>VLOOKUP(B4685,辅助信息!E:J,6,FALSE)</f>
        <v>控制炉批号！多了现场不收！,优先安排达钢,提前联系到场规格及数量</v>
      </c>
      <c r="O4685" s="55" t="str">
        <f ca="1" t="shared" si="228"/>
        <v/>
      </c>
      <c r="P4685" s="55" t="str">
        <f ca="1" t="shared" si="229"/>
        <v/>
      </c>
      <c r="Q4685" s="22" t="str">
        <f>VLOOKUP(B4685,辅助信息!E:M,9,FALSE)</f>
        <v>ZTWM-CDGS-XS-2024-0134-商投建工达州中医药科技成果示范园项目</v>
      </c>
      <c r="R4685" s="22" t="str">
        <f>_xlfn._xlws.FILTER(辅助信息!D:D,辅助信息!E:E=B4685)</f>
        <v>商投建工达州中医药科技园</v>
      </c>
    </row>
    <row r="4686" hidden="1" spans="2:18">
      <c r="B4686" s="129" t="s">
        <v>163</v>
      </c>
      <c r="C4686" s="136">
        <v>45947</v>
      </c>
      <c r="D4686" s="129" t="str">
        <f>VLOOKUP(B4686,辅助信息!E:K,7,FALSE)</f>
        <v>JWDDCD2025052800131</v>
      </c>
      <c r="E4686" s="129" t="str">
        <f>VLOOKUP(F4686,辅助信息!A:B,2,FALSE)</f>
        <v>螺纹钢</v>
      </c>
      <c r="F4686" s="129" t="s">
        <v>28</v>
      </c>
      <c r="G4686" s="127">
        <v>9</v>
      </c>
      <c r="H4686" s="127">
        <f>IF(SUMIFS('[1]2025年已发货'!$E:$E,'[1]2025年已发货'!$F:$F,C4686,'[1]2025年已发货'!$C:$C,F4686,'[1]2025年已发货'!$G:$G,I4686,'[1]2025年已发货'!$H:$H,J4686)=0,"未发货",SUMIFS('[1]2025年已发货'!$E:$E,'[1]2025年已发货'!$F:$F,C4686,'[1]2025年已发货'!$C:$C,F4686,'[1]2025年已发货'!$G:$G,I4686,'[1]2025年已发货'!$H:$H,J4686))</f>
        <v>9</v>
      </c>
      <c r="I4686" s="113" t="str">
        <f>VLOOKUP(B4686,辅助信息!E:I,3,FALSE)</f>
        <v>（商投建工达州中医药科技园-4工区-9号楼）达州市通川区达州中医药职业学院犀牛大道北段</v>
      </c>
      <c r="J4686" s="113" t="str">
        <f>VLOOKUP(B4686,辅助信息!E:I,4,FALSE)</f>
        <v>张扬</v>
      </c>
      <c r="K4686" s="113">
        <f>VLOOKUP(J4686,辅助信息!H:I,2,FALSE)</f>
        <v>18381904567</v>
      </c>
      <c r="L4686" s="115" t="str">
        <f>VLOOKUP(B4686,辅助信息!E:J,6,FALSE)</f>
        <v>控制炉批号！多了现场不收！,优先安排达钢,提前联系到场规格及数量</v>
      </c>
      <c r="O4686" s="55" t="str">
        <f ca="1" t="shared" si="228"/>
        <v/>
      </c>
      <c r="P4686" s="55" t="str">
        <f ca="1" t="shared" si="229"/>
        <v/>
      </c>
      <c r="Q4686" s="22" t="str">
        <f>VLOOKUP(B4686,辅助信息!E:M,9,FALSE)</f>
        <v>ZTWM-CDGS-XS-2024-0134-商投建工达州中医药科技成果示范园项目</v>
      </c>
      <c r="R4686" s="22" t="str">
        <f>_xlfn._xlws.FILTER(辅助信息!D:D,辅助信息!E:E=B4686)</f>
        <v>商投建工达州中医药科技园</v>
      </c>
    </row>
    <row r="4687" hidden="1" spans="2:18">
      <c r="B4687" s="129" t="s">
        <v>163</v>
      </c>
      <c r="C4687" s="136">
        <v>45947</v>
      </c>
      <c r="D4687" s="129" t="str">
        <f>VLOOKUP(B4687,辅助信息!E:K,7,FALSE)</f>
        <v>JWDDCD2025052800131</v>
      </c>
      <c r="E4687" s="129" t="str">
        <f>VLOOKUP(F4687,辅助信息!A:B,2,FALSE)</f>
        <v>螺纹钢</v>
      </c>
      <c r="F4687" s="129" t="s">
        <v>18</v>
      </c>
      <c r="G4687" s="127">
        <v>9</v>
      </c>
      <c r="H4687" s="127">
        <f>IF(SUMIFS('[1]2025年已发货'!$E:$E,'[1]2025年已发货'!$F:$F,C4687,'[1]2025年已发货'!$C:$C,F4687,'[1]2025年已发货'!$G:$G,I4687,'[1]2025年已发货'!$H:$H,J4687)=0,"未发货",SUMIFS('[1]2025年已发货'!$E:$E,'[1]2025年已发货'!$F:$F,C4687,'[1]2025年已发货'!$C:$C,F4687,'[1]2025年已发货'!$G:$G,I4687,'[1]2025年已发货'!$H:$H,J4687))</f>
        <v>9</v>
      </c>
      <c r="I4687" s="113" t="str">
        <f>VLOOKUP(B4687,辅助信息!E:I,3,FALSE)</f>
        <v>（商投建工达州中医药科技园-4工区-9号楼）达州市通川区达州中医药职业学院犀牛大道北段</v>
      </c>
      <c r="J4687" s="113" t="str">
        <f>VLOOKUP(B4687,辅助信息!E:I,4,FALSE)</f>
        <v>张扬</v>
      </c>
      <c r="K4687" s="113">
        <f>VLOOKUP(J4687,辅助信息!H:I,2,FALSE)</f>
        <v>18381904567</v>
      </c>
      <c r="L4687" s="115" t="str">
        <f>VLOOKUP(B4687,辅助信息!E:J,6,FALSE)</f>
        <v>控制炉批号！多了现场不收！,优先安排达钢,提前联系到场规格及数量</v>
      </c>
      <c r="O4687" s="55" t="str">
        <f ca="1" t="shared" si="228"/>
        <v/>
      </c>
      <c r="P4687" s="55" t="str">
        <f ca="1" t="shared" si="229"/>
        <v/>
      </c>
      <c r="Q4687" s="22" t="str">
        <f>VLOOKUP(B4687,辅助信息!E:M,9,FALSE)</f>
        <v>ZTWM-CDGS-XS-2024-0134-商投建工达州中医药科技成果示范园项目</v>
      </c>
      <c r="R4687" s="22" t="str">
        <f>_xlfn._xlws.FILTER(辅助信息!D:D,辅助信息!E:E=B4687)</f>
        <v>商投建工达州中医药科技园</v>
      </c>
    </row>
    <row r="4688" hidden="1" spans="2:18">
      <c r="B4688" s="129" t="s">
        <v>228</v>
      </c>
      <c r="C4688" s="63">
        <v>45950</v>
      </c>
      <c r="D4688" s="113" t="str">
        <f>VLOOKUP(B4688,辅助信息!E:K,7,FALSE)</f>
        <v>JWDDCD2025092400190</v>
      </c>
      <c r="E4688" s="113" t="str">
        <f>VLOOKUP(F4688,辅助信息!A:B,2,FALSE)</f>
        <v>盘螺</v>
      </c>
      <c r="F4688" s="113" t="s">
        <v>41</v>
      </c>
      <c r="G4688" s="114">
        <v>50</v>
      </c>
      <c r="H4688" s="127">
        <f>IF(SUMIFS('[1]2025年已发货'!$E:$E,'[1]2025年已发货'!$F:$F,C4688,'[1]2025年已发货'!$C:$C,F4688,'[1]2025年已发货'!$G:$G,I4688,'[1]2025年已发货'!$H:$H,J4688)=0,"未发货",SUMIFS('[1]2025年已发货'!$E:$E,'[1]2025年已发货'!$F:$F,C4688,'[1]2025年已发货'!$C:$C,F4688,'[1]2025年已发货'!$G:$G,I4688,'[1]2025年已发货'!$H:$H,J4688))</f>
        <v>34</v>
      </c>
      <c r="I4688" s="113" t="str">
        <f>VLOOKUP(B4688,辅助信息!E:I,3,FALSE)</f>
        <v>(五冶钢构龙泉东洪片区70亩住宅、商业及配套工程项目二标段)成都市龙泉驿外东洪路地铁2号线惠王陵地铁C口</v>
      </c>
      <c r="J4688" s="113" t="str">
        <f>VLOOKUP(B4688,辅助信息!E:I,4,FALSE)</f>
        <v>蒋嗣伟</v>
      </c>
      <c r="K4688" s="113">
        <f>VLOOKUP(J4688,辅助信息!H:I,2,FALSE)</f>
        <v>15014331252</v>
      </c>
      <c r="L4688" s="115">
        <f>VLOOKUP(B4688,辅助信息!E:J,6,FALSE)</f>
        <v>0</v>
      </c>
      <c r="M4688" s="84">
        <v>45948</v>
      </c>
      <c r="O4688" s="55">
        <f ca="1" t="shared" si="228"/>
        <v>0</v>
      </c>
      <c r="P4688" s="55">
        <f ca="1" t="shared" si="229"/>
        <v>9</v>
      </c>
      <c r="Q4688" s="22" t="str">
        <f>VLOOKUP(B4688,辅助信息!E:M,9,FALSE)</f>
        <v>ZTWM-CDGS-XS-2025-0156-五冶钢构-2025年九月第一批次钢筋采购合同(三圣乡项目)-中铁物贸成都公司</v>
      </c>
      <c r="R4688" s="22" t="str">
        <f>_xlfn._xlws.FILTER(辅助信息!D:D,辅助信息!E:E=B4688)</f>
        <v>五冶钢构龙泉东洪片区70亩住宅、商业及配套工程项目二标段</v>
      </c>
    </row>
    <row r="4689" hidden="1" spans="1:18">
      <c r="A4689" s="121" t="s">
        <v>100</v>
      </c>
      <c r="B4689" s="129" t="s">
        <v>188</v>
      </c>
      <c r="C4689" s="63">
        <v>45947</v>
      </c>
      <c r="D4689" s="113" t="str">
        <f>VLOOKUP(B4689,辅助信息!E:K,7,FALSE)</f>
        <v>JWDDCD2025062200016</v>
      </c>
      <c r="E4689" s="113" t="str">
        <f>VLOOKUP(F4689,辅助信息!A:B,2,FALSE)</f>
        <v>盘螺</v>
      </c>
      <c r="F4689" s="113" t="s">
        <v>40</v>
      </c>
      <c r="G4689" s="114">
        <v>12.5</v>
      </c>
      <c r="H4689" s="127">
        <f>IF(SUMIFS('[1]2025年已发货'!$E:$E,'[1]2025年已发货'!$F:$F,C4689,'[1]2025年已发货'!$C:$C,F4689,'[1]2025年已发货'!$G:$G,I4689,'[1]2025年已发货'!$H:$H,J4689)=0,"未发货",SUMIFS('[1]2025年已发货'!$E:$E,'[1]2025年已发货'!$F:$F,C4689,'[1]2025年已发货'!$C:$C,F4689,'[1]2025年已发货'!$G:$G,I4689,'[1]2025年已发货'!$H:$H,J4689))</f>
        <v>12.5</v>
      </c>
      <c r="I4689" s="113" t="str">
        <f>VLOOKUP(B4689,辅助信息!E:I,3,FALSE)</f>
        <v>(武汉电气化局成达万高铁强电项目-达州主城区)四川省达州市达川区斌郎街道四川省达州市达川区洞洞湾256米</v>
      </c>
      <c r="J4689" s="113" t="str">
        <f>VLOOKUP(B4689,辅助信息!E:I,4,FALSE)</f>
        <v>余凡</v>
      </c>
      <c r="K4689" s="113">
        <f>VLOOKUP(J4689,辅助信息!H:I,2,FALSE)</f>
        <v>18228076992</v>
      </c>
      <c r="L4689" s="115" t="str">
        <f>VLOOKUP(B4689,辅助信息!E:J,6,FALSE)</f>
        <v>锈货不收！！下雨天钢筋没盖篷布不收！！，装货前联系收货人核实到场规格,没提前告知进场规格现场不给予接收</v>
      </c>
      <c r="O4689" s="55" t="str">
        <f ca="1" t="shared" si="228"/>
        <v/>
      </c>
      <c r="P4689" s="55" t="str">
        <f ca="1" t="shared" si="229"/>
        <v/>
      </c>
      <c r="Q4689" s="22" t="str">
        <f>VLOOKUP(B4689,辅助信息!E:M,9,FALSE)</f>
        <v>ZTWM-CDGS-XS-2025-0033-中铁武汉电气化局集团有限公司成达万高速铁路强电工程项目</v>
      </c>
      <c r="R4689" s="22" t="str">
        <f>_xlfn._xlws.FILTER(辅助信息!D:D,辅助信息!E:E=B4689)</f>
        <v>武汉电气化局成达万高铁强电项目</v>
      </c>
    </row>
    <row r="4690" hidden="1" spans="1:18">
      <c r="A4690" s="121"/>
      <c r="B4690" s="129" t="s">
        <v>188</v>
      </c>
      <c r="C4690" s="63">
        <v>45947</v>
      </c>
      <c r="D4690" s="113" t="str">
        <f>VLOOKUP(B4690,辅助信息!E:K,7,FALSE)</f>
        <v>JWDDCD2025062200016</v>
      </c>
      <c r="E4690" s="113" t="str">
        <f>VLOOKUP(F4690,辅助信息!A:B,2,FALSE)</f>
        <v>盘螺</v>
      </c>
      <c r="F4690" s="113" t="s">
        <v>41</v>
      </c>
      <c r="G4690" s="114">
        <v>12.5</v>
      </c>
      <c r="H4690" s="127">
        <f>IF(SUMIFS('[1]2025年已发货'!$E:$E,'[1]2025年已发货'!$F:$F,C4690,'[1]2025年已发货'!$C:$C,F4690,'[1]2025年已发货'!$G:$G,I4690,'[1]2025年已发货'!$H:$H,J4690)=0,"未发货",SUMIFS('[1]2025年已发货'!$E:$E,'[1]2025年已发货'!$F:$F,C4690,'[1]2025年已发货'!$C:$C,F4690,'[1]2025年已发货'!$G:$G,I4690,'[1]2025年已发货'!$H:$H,J4690))</f>
        <v>12.5</v>
      </c>
      <c r="I4690" s="113" t="str">
        <f>VLOOKUP(B4690,辅助信息!E:I,3,FALSE)</f>
        <v>(武汉电气化局成达万高铁强电项目-达州主城区)四川省达州市达川区斌郎街道四川省达州市达川区洞洞湾256米</v>
      </c>
      <c r="J4690" s="113" t="str">
        <f>VLOOKUP(B4690,辅助信息!E:I,4,FALSE)</f>
        <v>余凡</v>
      </c>
      <c r="K4690" s="113">
        <f>VLOOKUP(J4690,辅助信息!H:I,2,FALSE)</f>
        <v>18228076992</v>
      </c>
      <c r="L4690" s="115" t="str">
        <f>VLOOKUP(B4690,辅助信息!E:J,6,FALSE)</f>
        <v>锈货不收！！下雨天钢筋没盖篷布不收！！，装货前联系收货人核实到场规格,没提前告知进场规格现场不给予接收</v>
      </c>
      <c r="O4690" s="55" t="str">
        <f ca="1" t="shared" si="228"/>
        <v/>
      </c>
      <c r="P4690" s="55" t="str">
        <f ca="1" t="shared" si="229"/>
        <v/>
      </c>
      <c r="Q4690" s="22" t="str">
        <f>VLOOKUP(B4690,辅助信息!E:M,9,FALSE)</f>
        <v>ZTWM-CDGS-XS-2025-0033-中铁武汉电气化局集团有限公司成达万高速铁路强电工程项目</v>
      </c>
      <c r="R4690" s="22" t="str">
        <f>_xlfn._xlws.FILTER(辅助信息!D:D,辅助信息!E:E=B4690)</f>
        <v>武汉电气化局成达万高铁强电项目</v>
      </c>
    </row>
    <row r="4691" hidden="1" spans="1:18">
      <c r="A4691" s="121"/>
      <c r="B4691" s="129" t="s">
        <v>188</v>
      </c>
      <c r="C4691" s="63">
        <v>45947</v>
      </c>
      <c r="D4691" s="113" t="str">
        <f>VLOOKUP(B4691,辅助信息!E:K,7,FALSE)</f>
        <v>JWDDCD2025062200016</v>
      </c>
      <c r="E4691" s="113" t="str">
        <f>VLOOKUP(F4691,辅助信息!A:B,2,FALSE)</f>
        <v>螺纹钢</v>
      </c>
      <c r="F4691" s="113" t="s">
        <v>18</v>
      </c>
      <c r="G4691" s="114">
        <v>10</v>
      </c>
      <c r="H4691" s="127">
        <f>IF(SUMIFS('[1]2025年已发货'!$E:$E,'[1]2025年已发货'!$F:$F,C4691,'[1]2025年已发货'!$C:$C,F4691,'[1]2025年已发货'!$G:$G,I4691,'[1]2025年已发货'!$H:$H,J4691)=0,"未发货",SUMIFS('[1]2025年已发货'!$E:$E,'[1]2025年已发货'!$F:$F,C4691,'[1]2025年已发货'!$C:$C,F4691,'[1]2025年已发货'!$G:$G,I4691,'[1]2025年已发货'!$H:$H,J4691))</f>
        <v>10</v>
      </c>
      <c r="I4691" s="113" t="str">
        <f>VLOOKUP(B4691,辅助信息!E:I,3,FALSE)</f>
        <v>(武汉电气化局成达万高铁强电项目-达州主城区)四川省达州市达川区斌郎街道四川省达州市达川区洞洞湾256米</v>
      </c>
      <c r="J4691" s="113" t="str">
        <f>VLOOKUP(B4691,辅助信息!E:I,4,FALSE)</f>
        <v>余凡</v>
      </c>
      <c r="K4691" s="113">
        <f>VLOOKUP(J4691,辅助信息!H:I,2,FALSE)</f>
        <v>18228076992</v>
      </c>
      <c r="L4691" s="115" t="str">
        <f>VLOOKUP(B4691,辅助信息!E:J,6,FALSE)</f>
        <v>锈货不收！！下雨天钢筋没盖篷布不收！！，装货前联系收货人核实到场规格,没提前告知进场规格现场不给予接收</v>
      </c>
      <c r="O4691" s="55" t="str">
        <f ca="1" t="shared" si="228"/>
        <v/>
      </c>
      <c r="P4691" s="55" t="str">
        <f ca="1" t="shared" si="229"/>
        <v/>
      </c>
      <c r="Q4691" s="22" t="str">
        <f>VLOOKUP(B4691,辅助信息!E:M,9,FALSE)</f>
        <v>ZTWM-CDGS-XS-2025-0033-中铁武汉电气化局集团有限公司成达万高速铁路强电工程项目</v>
      </c>
      <c r="R4691" s="22" t="str">
        <f>_xlfn._xlws.FILTER(辅助信息!D:D,辅助信息!E:E=B4691)</f>
        <v>武汉电气化局成达万高铁强电项目</v>
      </c>
    </row>
    <row r="4692" hidden="1" spans="2:18">
      <c r="B4692" s="128" t="s">
        <v>167</v>
      </c>
      <c r="C4692" s="63">
        <v>45947</v>
      </c>
      <c r="D4692" s="33" t="str">
        <f>VLOOKUP(B4692,辅助信息!E:K,7,FALSE)</f>
        <v>JWDDCD2025102100473</v>
      </c>
      <c r="E4692" s="33" t="str">
        <f>VLOOKUP(F4692,辅助信息!A:B,2,FALSE)</f>
        <v>盘螺</v>
      </c>
      <c r="F4692" s="33" t="s">
        <v>40</v>
      </c>
      <c r="G4692" s="29">
        <v>8</v>
      </c>
      <c r="H4692" s="127">
        <f>IF(SUMIFS('[1]2025年已发货'!$E:$E,'[1]2025年已发货'!$F:$F,C4692,'[1]2025年已发货'!$C:$C,F4692,'[1]2025年已发货'!$G:$G,I4692,'[1]2025年已发货'!$H:$H,J4692)=0,"未发货",SUMIFS('[1]2025年已发货'!$E:$E,'[1]2025年已发货'!$F:$F,C4692,'[1]2025年已发货'!$C:$C,F4692,'[1]2025年已发货'!$G:$G,I4692,'[1]2025年已发货'!$H:$H,J4692))</f>
        <v>8</v>
      </c>
      <c r="I4692" s="33" t="str">
        <f>VLOOKUP(B4692,辅助信息!E:I,3,FALSE)</f>
        <v>(五冶建设扩建艺体中学二期工程)四川省成都市双流区光荣路成都艺体中学南200米</v>
      </c>
      <c r="J4692" s="33" t="str">
        <f>VLOOKUP(B4692,辅助信息!E:I,4,FALSE)</f>
        <v>谢序强</v>
      </c>
      <c r="K4692" s="33">
        <f>VLOOKUP(J4692,辅助信息!H:I,2,FALSE)</f>
        <v>13458588232</v>
      </c>
      <c r="L4692" s="102"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55" t="str">
        <f ca="1" t="shared" si="228"/>
        <v/>
      </c>
      <c r="P4692" s="55" t="str">
        <f ca="1" t="shared" si="229"/>
        <v/>
      </c>
      <c r="Q4692" s="22" t="str">
        <f>VLOOKUP(B4692,辅助信息!E:M,9,FALSE)</f>
        <v>ZTWM-CDGS-XS-2025-0073-五冶天府-成都怡心湖片区及龙泉驿医院等项目</v>
      </c>
      <c r="R4692" s="22" t="str">
        <f>_xlfn._xlws.FILTER(辅助信息!D:D,辅助信息!E:E=B4692)</f>
        <v>五冶建设扩建艺体中学二期工程</v>
      </c>
    </row>
    <row r="4693" hidden="1" spans="2:18">
      <c r="B4693" s="128" t="s">
        <v>167</v>
      </c>
      <c r="C4693" s="63">
        <v>45947</v>
      </c>
      <c r="D4693" s="33" t="str">
        <f>VLOOKUP(B4693,辅助信息!E:K,7,FALSE)</f>
        <v>JWDDCD2025102100473</v>
      </c>
      <c r="E4693" s="33" t="str">
        <f>VLOOKUP(F4693,辅助信息!A:B,2,FALSE)</f>
        <v>盘螺</v>
      </c>
      <c r="F4693" s="33" t="s">
        <v>41</v>
      </c>
      <c r="G4693" s="29">
        <v>8</v>
      </c>
      <c r="H4693" s="127">
        <f>IF(SUMIFS('[1]2025年已发货'!$E:$E,'[1]2025年已发货'!$F:$F,C4693,'[1]2025年已发货'!$C:$C,F4693,'[1]2025年已发货'!$G:$G,I4693,'[1]2025年已发货'!$H:$H,J4693)=0,"未发货",SUMIFS('[1]2025年已发货'!$E:$E,'[1]2025年已发货'!$F:$F,C4693,'[1]2025年已发货'!$C:$C,F4693,'[1]2025年已发货'!$G:$G,I4693,'[1]2025年已发货'!$H:$H,J4693))</f>
        <v>8</v>
      </c>
      <c r="I4693" s="33" t="str">
        <f>VLOOKUP(B4693,辅助信息!E:I,3,FALSE)</f>
        <v>(五冶建设扩建艺体中学二期工程)四川省成都市双流区光荣路成都艺体中学南200米</v>
      </c>
      <c r="J4693" s="33" t="str">
        <f>VLOOKUP(B4693,辅助信息!E:I,4,FALSE)</f>
        <v>谢序强</v>
      </c>
      <c r="K4693" s="33">
        <f>VLOOKUP(J4693,辅助信息!H:I,2,FALSE)</f>
        <v>13458588232</v>
      </c>
      <c r="L4693" s="102"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55" t="str">
        <f ca="1" t="shared" si="228"/>
        <v/>
      </c>
      <c r="P4693" s="55" t="str">
        <f ca="1" t="shared" si="229"/>
        <v/>
      </c>
      <c r="Q4693" s="22" t="str">
        <f>VLOOKUP(B4693,辅助信息!E:M,9,FALSE)</f>
        <v>ZTWM-CDGS-XS-2025-0073-五冶天府-成都怡心湖片区及龙泉驿医院等项目</v>
      </c>
      <c r="R4693" s="22" t="str">
        <f>_xlfn._xlws.FILTER(辅助信息!D:D,辅助信息!E:E=B4693)</f>
        <v>五冶建设扩建艺体中学二期工程</v>
      </c>
    </row>
    <row r="4694" hidden="1" spans="2:18">
      <c r="B4694" s="128" t="s">
        <v>167</v>
      </c>
      <c r="C4694" s="63">
        <v>45947</v>
      </c>
      <c r="D4694" s="33" t="str">
        <f>VLOOKUP(B4694,辅助信息!E:K,7,FALSE)</f>
        <v>JWDDCD2025102100473</v>
      </c>
      <c r="E4694" s="33" t="str">
        <f>VLOOKUP(F4694,辅助信息!A:B,2,FALSE)</f>
        <v>螺纹钢</v>
      </c>
      <c r="F4694" s="33" t="s">
        <v>32</v>
      </c>
      <c r="G4694" s="29">
        <v>35</v>
      </c>
      <c r="H4694" s="127">
        <f>IF(SUMIFS('[1]2025年已发货'!$E:$E,'[1]2025年已发货'!$F:$F,C4694,'[1]2025年已发货'!$C:$C,F4694,'[1]2025年已发货'!$G:$G,I4694,'[1]2025年已发货'!$H:$H,J4694)=0,"未发货",SUMIFS('[1]2025年已发货'!$E:$E,'[1]2025年已发货'!$F:$F,C4694,'[1]2025年已发货'!$C:$C,F4694,'[1]2025年已发货'!$G:$G,I4694,'[1]2025年已发货'!$H:$H,J4694))</f>
        <v>35</v>
      </c>
      <c r="I4694" s="33" t="str">
        <f>VLOOKUP(B4694,辅助信息!E:I,3,FALSE)</f>
        <v>(五冶建设扩建艺体中学二期工程)四川省成都市双流区光荣路成都艺体中学南200米</v>
      </c>
      <c r="J4694" s="33" t="str">
        <f>VLOOKUP(B4694,辅助信息!E:I,4,FALSE)</f>
        <v>谢序强</v>
      </c>
      <c r="K4694" s="33">
        <f>VLOOKUP(J4694,辅助信息!H:I,2,FALSE)</f>
        <v>13458588232</v>
      </c>
      <c r="L4694" s="102"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55" t="str">
        <f ca="1" t="shared" si="228"/>
        <v/>
      </c>
      <c r="P4694" s="55" t="str">
        <f ca="1" t="shared" si="229"/>
        <v/>
      </c>
      <c r="Q4694" s="22" t="str">
        <f>VLOOKUP(B4694,辅助信息!E:M,9,FALSE)</f>
        <v>ZTWM-CDGS-XS-2025-0073-五冶天府-成都怡心湖片区及龙泉驿医院等项目</v>
      </c>
      <c r="R4694" s="22" t="str">
        <f>_xlfn._xlws.FILTER(辅助信息!D:D,辅助信息!E:E=B4694)</f>
        <v>五冶建设扩建艺体中学二期工程</v>
      </c>
    </row>
    <row r="4695" hidden="1" spans="2:18">
      <c r="B4695" s="128" t="s">
        <v>167</v>
      </c>
      <c r="C4695" s="63">
        <v>45947</v>
      </c>
      <c r="D4695" s="33" t="str">
        <f>VLOOKUP(B4695,辅助信息!E:K,7,FALSE)</f>
        <v>JWDDCD2025102100473</v>
      </c>
      <c r="E4695" s="33" t="str">
        <f>VLOOKUP(F4695,辅助信息!A:B,2,FALSE)</f>
        <v>螺纹钢</v>
      </c>
      <c r="F4695" s="33" t="s">
        <v>82</v>
      </c>
      <c r="G4695" s="29">
        <v>6</v>
      </c>
      <c r="H4695" s="127">
        <f>IF(SUMIFS('[1]2025年已发货'!$E:$E,'[1]2025年已发货'!$F:$F,C4695,'[1]2025年已发货'!$C:$C,F4695,'[1]2025年已发货'!$G:$G,I4695,'[1]2025年已发货'!$H:$H,J4695)=0,"未发货",SUMIFS('[1]2025年已发货'!$E:$E,'[1]2025年已发货'!$F:$F,C4695,'[1]2025年已发货'!$C:$C,F4695,'[1]2025年已发货'!$G:$G,I4695,'[1]2025年已发货'!$H:$H,J4695))</f>
        <v>6</v>
      </c>
      <c r="I4695" s="33" t="str">
        <f>VLOOKUP(B4695,辅助信息!E:I,3,FALSE)</f>
        <v>(五冶建设扩建艺体中学二期工程)四川省成都市双流区光荣路成都艺体中学南200米</v>
      </c>
      <c r="J4695" s="33" t="str">
        <f>VLOOKUP(B4695,辅助信息!E:I,4,FALSE)</f>
        <v>谢序强</v>
      </c>
      <c r="K4695" s="33">
        <f>VLOOKUP(J4695,辅助信息!H:I,2,FALSE)</f>
        <v>13458588232</v>
      </c>
      <c r="L4695" s="102"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55" t="str">
        <f ca="1" t="shared" si="228"/>
        <v/>
      </c>
      <c r="P4695" s="55" t="str">
        <f ca="1" t="shared" si="229"/>
        <v/>
      </c>
      <c r="Q4695" s="22" t="str">
        <f>VLOOKUP(B4695,辅助信息!E:M,9,FALSE)</f>
        <v>ZTWM-CDGS-XS-2025-0073-五冶天府-成都怡心湖片区及龙泉驿医院等项目</v>
      </c>
      <c r="R4695" s="22" t="str">
        <f>_xlfn._xlws.FILTER(辅助信息!D:D,辅助信息!E:E=B4695)</f>
        <v>五冶建设扩建艺体中学二期工程</v>
      </c>
    </row>
    <row r="4696" hidden="1" spans="2:18">
      <c r="B4696" s="128" t="s">
        <v>167</v>
      </c>
      <c r="C4696" s="63">
        <v>45947</v>
      </c>
      <c r="D4696" s="33" t="str">
        <f>VLOOKUP(B4696,辅助信息!E:K,7,FALSE)</f>
        <v>JWDDCD2025102100473</v>
      </c>
      <c r="E4696" s="33" t="str">
        <f>VLOOKUP(F4696,辅助信息!A:B,2,FALSE)</f>
        <v>螺纹钢</v>
      </c>
      <c r="F4696" s="33" t="s">
        <v>22</v>
      </c>
      <c r="G4696" s="29">
        <v>14</v>
      </c>
      <c r="H4696" s="127">
        <f>IF(SUMIFS('[1]2025年已发货'!$E:$E,'[1]2025年已发货'!$F:$F,C4696,'[1]2025年已发货'!$C:$C,F4696,'[1]2025年已发货'!$G:$G,I4696,'[1]2025年已发货'!$H:$H,J4696)=0,"未发货",SUMIFS('[1]2025年已发货'!$E:$E,'[1]2025年已发货'!$F:$F,C4696,'[1]2025年已发货'!$C:$C,F4696,'[1]2025年已发货'!$G:$G,I4696,'[1]2025年已发货'!$H:$H,J4696))</f>
        <v>14</v>
      </c>
      <c r="I4696" s="33" t="str">
        <f>VLOOKUP(B4696,辅助信息!E:I,3,FALSE)</f>
        <v>(五冶建设扩建艺体中学二期工程)四川省成都市双流区光荣路成都艺体中学南200米</v>
      </c>
      <c r="J4696" s="33" t="str">
        <f>VLOOKUP(B4696,辅助信息!E:I,4,FALSE)</f>
        <v>谢序强</v>
      </c>
      <c r="K4696" s="33">
        <f>VLOOKUP(J4696,辅助信息!H:I,2,FALSE)</f>
        <v>13458588232</v>
      </c>
      <c r="L4696" s="102"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55" t="str">
        <f ca="1" t="shared" si="228"/>
        <v/>
      </c>
      <c r="P4696" s="55" t="str">
        <f ca="1" t="shared" si="229"/>
        <v/>
      </c>
      <c r="Q4696" s="22" t="str">
        <f>VLOOKUP(B4696,辅助信息!E:M,9,FALSE)</f>
        <v>ZTWM-CDGS-XS-2025-0073-五冶天府-成都怡心湖片区及龙泉驿医院等项目</v>
      </c>
      <c r="R4696" s="22" t="str">
        <f>_xlfn._xlws.FILTER(辅助信息!D:D,辅助信息!E:E=B4696)</f>
        <v>五冶建设扩建艺体中学二期工程</v>
      </c>
    </row>
    <row r="4697" hidden="1" spans="2:18">
      <c r="B4697" s="128" t="s">
        <v>224</v>
      </c>
      <c r="C4697" s="63">
        <v>45950</v>
      </c>
      <c r="D4697" s="33" t="str">
        <f>VLOOKUP(B4697,辅助信息!E:K,7,FALSE)</f>
        <v>JWDDCD2025092400188</v>
      </c>
      <c r="E4697" s="33" t="str">
        <f>VLOOKUP(F4697,辅助信息!A:B,2,FALSE)</f>
        <v>螺纹钢</v>
      </c>
      <c r="F4697" s="33" t="s">
        <v>82</v>
      </c>
      <c r="G4697" s="29">
        <v>5</v>
      </c>
      <c r="H4697" s="127">
        <f>IF(SUMIFS('[1]2025年已发货'!$E:$E,'[1]2025年已发货'!$F:$F,C4697,'[1]2025年已发货'!$C:$C,F4697,'[1]2025年已发货'!$G:$G,I4697,'[1]2025年已发货'!$H:$H,J4697)=0,"未发货",SUMIFS('[1]2025年已发货'!$E:$E,'[1]2025年已发货'!$F:$F,C4697,'[1]2025年已发货'!$C:$C,F4697,'[1]2025年已发货'!$G:$G,I4697,'[1]2025年已发货'!$H:$H,J4697))</f>
        <v>5</v>
      </c>
      <c r="I4697" s="33" t="str">
        <f>VLOOKUP(B4697,辅助信息!E:I,3,FALSE)</f>
        <v>(五冶钢构龙泉东洪片区70亩住宅、商业及配套工程项目一标段)成都市龙泉驿外东洪路地铁2号线惠王陵地铁C口</v>
      </c>
      <c r="J4697" s="33" t="str">
        <f>VLOOKUP(B4697,辅助信息!E:I,4,FALSE)</f>
        <v>邹爱国</v>
      </c>
      <c r="K4697" s="33">
        <f>VLOOKUP(J4697,辅助信息!H:I,2,FALSE)</f>
        <v>13540231225</v>
      </c>
      <c r="L4697" s="102">
        <f>VLOOKUP(B4697,辅助信息!E:J,6,FALSE)</f>
        <v>0</v>
      </c>
      <c r="M4697" s="84">
        <v>45948</v>
      </c>
      <c r="O4697" s="55">
        <f ca="1" t="shared" si="228"/>
        <v>0</v>
      </c>
      <c r="P4697" s="55">
        <f ca="1" t="shared" si="229"/>
        <v>9</v>
      </c>
      <c r="Q4697" s="22" t="str">
        <f>VLOOKUP(B4697,辅助信息!E:M,9,FALSE)</f>
        <v>ZTWM-CDGS-XS-2025-0156-五冶钢构-2025年九月第一批次钢筋采购合同(三圣乡项目)-中铁物贸成都公司</v>
      </c>
      <c r="R4697" s="22" t="str">
        <f>_xlfn._xlws.FILTER(辅助信息!D:D,辅助信息!E:E=B4697)</f>
        <v>五冶钢构龙泉东洪片区70亩住宅、商业及配套工程项目一标段</v>
      </c>
    </row>
    <row r="4698" hidden="1" spans="2:18">
      <c r="B4698" s="128" t="s">
        <v>224</v>
      </c>
      <c r="C4698" s="63">
        <v>45950</v>
      </c>
      <c r="D4698" s="33" t="str">
        <f>VLOOKUP(B4698,辅助信息!E:K,7,FALSE)</f>
        <v>JWDDCD2025092400188</v>
      </c>
      <c r="E4698" s="33" t="str">
        <f>VLOOKUP(F4698,辅助信息!A:B,2,FALSE)</f>
        <v>螺纹钢</v>
      </c>
      <c r="F4698" s="33" t="s">
        <v>45</v>
      </c>
      <c r="G4698" s="29">
        <v>5</v>
      </c>
      <c r="H4698" s="127">
        <f>IF(SUMIFS('[1]2025年已发货'!$E:$E,'[1]2025年已发货'!$F:$F,C4698,'[1]2025年已发货'!$C:$C,F4698,'[1]2025年已发货'!$G:$G,I4698,'[1]2025年已发货'!$H:$H,J4698)=0,"未发货",SUMIFS('[1]2025年已发货'!$E:$E,'[1]2025年已发货'!$F:$F,C4698,'[1]2025年已发货'!$C:$C,F4698,'[1]2025年已发货'!$G:$G,I4698,'[1]2025年已发货'!$H:$H,J4698))</f>
        <v>5</v>
      </c>
      <c r="I4698" s="33" t="str">
        <f>VLOOKUP(B4698,辅助信息!E:I,3,FALSE)</f>
        <v>(五冶钢构龙泉东洪片区70亩住宅、商业及配套工程项目一标段)成都市龙泉驿外东洪路地铁2号线惠王陵地铁C口</v>
      </c>
      <c r="J4698" s="33" t="str">
        <f>VLOOKUP(B4698,辅助信息!E:I,4,FALSE)</f>
        <v>邹爱国</v>
      </c>
      <c r="K4698" s="33">
        <f>VLOOKUP(J4698,辅助信息!H:I,2,FALSE)</f>
        <v>13540231225</v>
      </c>
      <c r="L4698" s="102">
        <f>VLOOKUP(B4698,辅助信息!E:J,6,FALSE)</f>
        <v>0</v>
      </c>
      <c r="M4698" s="84">
        <v>45948</v>
      </c>
      <c r="O4698" s="55">
        <f ca="1" t="shared" si="228"/>
        <v>0</v>
      </c>
      <c r="P4698" s="55">
        <f ca="1" t="shared" si="229"/>
        <v>9</v>
      </c>
      <c r="Q4698" s="22" t="str">
        <f>VLOOKUP(B4698,辅助信息!E:M,9,FALSE)</f>
        <v>ZTWM-CDGS-XS-2025-0156-五冶钢构-2025年九月第一批次钢筋采购合同(三圣乡项目)-中铁物贸成都公司</v>
      </c>
      <c r="R4698" s="22" t="str">
        <f>_xlfn._xlws.FILTER(辅助信息!D:D,辅助信息!E:E=B4698)</f>
        <v>五冶钢构龙泉东洪片区70亩住宅、商业及配套工程项目一标段</v>
      </c>
    </row>
    <row r="4699" hidden="1" spans="2:18">
      <c r="B4699" s="128" t="s">
        <v>224</v>
      </c>
      <c r="C4699" s="63">
        <v>45950</v>
      </c>
      <c r="D4699" s="33" t="str">
        <f>VLOOKUP(B4699,辅助信息!E:K,7,FALSE)</f>
        <v>JWDDCD2025092400188</v>
      </c>
      <c r="E4699" s="33" t="str">
        <f>VLOOKUP(F4699,辅助信息!A:B,2,FALSE)</f>
        <v>螺纹钢</v>
      </c>
      <c r="F4699" s="33" t="s">
        <v>21</v>
      </c>
      <c r="G4699" s="29">
        <v>5</v>
      </c>
      <c r="H4699" s="127">
        <f>IF(SUMIFS('[1]2025年已发货'!$E:$E,'[1]2025年已发货'!$F:$F,C4699,'[1]2025年已发货'!$C:$C,F4699,'[1]2025年已发货'!$G:$G,I4699,'[1]2025年已发货'!$H:$H,J4699)=0,"未发货",SUMIFS('[1]2025年已发货'!$E:$E,'[1]2025年已发货'!$F:$F,C4699,'[1]2025年已发货'!$C:$C,F4699,'[1]2025年已发货'!$G:$G,I4699,'[1]2025年已发货'!$H:$H,J4699))</f>
        <v>3</v>
      </c>
      <c r="I4699" s="33" t="str">
        <f>VLOOKUP(B4699,辅助信息!E:I,3,FALSE)</f>
        <v>(五冶钢构龙泉东洪片区70亩住宅、商业及配套工程项目一标段)成都市龙泉驿外东洪路地铁2号线惠王陵地铁C口</v>
      </c>
      <c r="J4699" s="33" t="str">
        <f>VLOOKUP(B4699,辅助信息!E:I,4,FALSE)</f>
        <v>邹爱国</v>
      </c>
      <c r="K4699" s="33">
        <f>VLOOKUP(J4699,辅助信息!H:I,2,FALSE)</f>
        <v>13540231225</v>
      </c>
      <c r="L4699" s="102">
        <f>VLOOKUP(B4699,辅助信息!E:J,6,FALSE)</f>
        <v>0</v>
      </c>
      <c r="M4699" s="84">
        <v>45948</v>
      </c>
      <c r="O4699" s="55">
        <f ca="1" t="shared" si="228"/>
        <v>0</v>
      </c>
      <c r="P4699" s="55">
        <f ca="1" t="shared" si="229"/>
        <v>9</v>
      </c>
      <c r="Q4699" s="22" t="str">
        <f>VLOOKUP(B4699,辅助信息!E:M,9,FALSE)</f>
        <v>ZTWM-CDGS-XS-2025-0156-五冶钢构-2025年九月第一批次钢筋采购合同(三圣乡项目)-中铁物贸成都公司</v>
      </c>
      <c r="R4699" s="22" t="str">
        <f>_xlfn._xlws.FILTER(辅助信息!D:D,辅助信息!E:E=B4699)</f>
        <v>五冶钢构龙泉东洪片区70亩住宅、商业及配套工程项目一标段</v>
      </c>
    </row>
    <row r="4700" hidden="1" spans="2:18">
      <c r="B4700" s="128" t="s">
        <v>224</v>
      </c>
      <c r="C4700" s="63">
        <v>45950</v>
      </c>
      <c r="D4700" s="33" t="str">
        <f>VLOOKUP(B4700,辅助信息!E:K,7,FALSE)</f>
        <v>JWDDCD2025092400188</v>
      </c>
      <c r="E4700" s="33" t="str">
        <f>VLOOKUP(F4700,辅助信息!A:B,2,FALSE)</f>
        <v>螺纹钢</v>
      </c>
      <c r="F4700" s="33" t="s">
        <v>58</v>
      </c>
      <c r="G4700" s="29">
        <v>5</v>
      </c>
      <c r="H4700" s="127">
        <f>IF(SUMIFS('[1]2025年已发货'!$E:$E,'[1]2025年已发货'!$F:$F,C4700,'[1]2025年已发货'!$C:$C,F4700,'[1]2025年已发货'!$G:$G,I4700,'[1]2025年已发货'!$H:$H,J4700)=0,"未发货",SUMIFS('[1]2025年已发货'!$E:$E,'[1]2025年已发货'!$F:$F,C4700,'[1]2025年已发货'!$C:$C,F4700,'[1]2025年已发货'!$G:$G,I4700,'[1]2025年已发货'!$H:$H,J4700))</f>
        <v>5</v>
      </c>
      <c r="I4700" s="33" t="str">
        <f>VLOOKUP(B4700,辅助信息!E:I,3,FALSE)</f>
        <v>(五冶钢构龙泉东洪片区70亩住宅、商业及配套工程项目一标段)成都市龙泉驿外东洪路地铁2号线惠王陵地铁C口</v>
      </c>
      <c r="J4700" s="33" t="str">
        <f>VLOOKUP(B4700,辅助信息!E:I,4,FALSE)</f>
        <v>邹爱国</v>
      </c>
      <c r="K4700" s="33">
        <f>VLOOKUP(J4700,辅助信息!H:I,2,FALSE)</f>
        <v>13540231225</v>
      </c>
      <c r="L4700" s="102">
        <f>VLOOKUP(B4700,辅助信息!E:J,6,FALSE)</f>
        <v>0</v>
      </c>
      <c r="M4700" s="84">
        <v>45948</v>
      </c>
      <c r="O4700" s="55">
        <f ca="1" t="shared" si="228"/>
        <v>0</v>
      </c>
      <c r="P4700" s="55">
        <f ca="1" t="shared" si="229"/>
        <v>9</v>
      </c>
      <c r="Q4700" s="22" t="str">
        <f>VLOOKUP(B4700,辅助信息!E:M,9,FALSE)</f>
        <v>ZTWM-CDGS-XS-2025-0156-五冶钢构-2025年九月第一批次钢筋采购合同(三圣乡项目)-中铁物贸成都公司</v>
      </c>
      <c r="R4700" s="22" t="str">
        <f>_xlfn._xlws.FILTER(辅助信息!D:D,辅助信息!E:E=B4700)</f>
        <v>五冶钢构龙泉东洪片区70亩住宅、商业及配套工程项目一标段</v>
      </c>
    </row>
    <row r="4701" hidden="1" spans="2:18">
      <c r="B4701" s="128" t="s">
        <v>224</v>
      </c>
      <c r="C4701" s="63">
        <v>45950</v>
      </c>
      <c r="D4701" s="33" t="str">
        <f>VLOOKUP(B4701,辅助信息!E:K,7,FALSE)</f>
        <v>JWDDCD2025092400188</v>
      </c>
      <c r="E4701" s="33" t="str">
        <f>VLOOKUP(F4701,辅助信息!A:B,2,FALSE)</f>
        <v>螺纹钢</v>
      </c>
      <c r="F4701" s="33" t="s">
        <v>46</v>
      </c>
      <c r="G4701" s="29">
        <v>10</v>
      </c>
      <c r="H4701" s="127">
        <f>IF(SUMIFS('[1]2025年已发货'!$E:$E,'[1]2025年已发货'!$F:$F,C4701,'[1]2025年已发货'!$C:$C,F4701,'[1]2025年已发货'!$G:$G,I4701,'[1]2025年已发货'!$H:$H,J4701)=0,"未发货",SUMIFS('[1]2025年已发货'!$E:$E,'[1]2025年已发货'!$F:$F,C4701,'[1]2025年已发货'!$C:$C,F4701,'[1]2025年已发货'!$G:$G,I4701,'[1]2025年已发货'!$H:$H,J4701))</f>
        <v>12</v>
      </c>
      <c r="I4701" s="33" t="str">
        <f>VLOOKUP(B4701,辅助信息!E:I,3,FALSE)</f>
        <v>(五冶钢构龙泉东洪片区70亩住宅、商业及配套工程项目一标段)成都市龙泉驿外东洪路地铁2号线惠王陵地铁C口</v>
      </c>
      <c r="J4701" s="33" t="str">
        <f>VLOOKUP(B4701,辅助信息!E:I,4,FALSE)</f>
        <v>邹爱国</v>
      </c>
      <c r="K4701" s="33">
        <f>VLOOKUP(J4701,辅助信息!H:I,2,FALSE)</f>
        <v>13540231225</v>
      </c>
      <c r="L4701" s="102">
        <f>VLOOKUP(B4701,辅助信息!E:J,6,FALSE)</f>
        <v>0</v>
      </c>
      <c r="M4701" s="84">
        <v>45948</v>
      </c>
      <c r="O4701" s="55">
        <f ca="1" t="shared" si="228"/>
        <v>0</v>
      </c>
      <c r="P4701" s="55">
        <f ca="1" t="shared" si="229"/>
        <v>9</v>
      </c>
      <c r="Q4701" s="22" t="str">
        <f>VLOOKUP(B4701,辅助信息!E:M,9,FALSE)</f>
        <v>ZTWM-CDGS-XS-2025-0156-五冶钢构-2025年九月第一批次钢筋采购合同(三圣乡项目)-中铁物贸成都公司</v>
      </c>
      <c r="R4701" s="22" t="str">
        <f>_xlfn._xlws.FILTER(辅助信息!D:D,辅助信息!E:E=B4701)</f>
        <v>五冶钢构龙泉东洪片区70亩住宅、商业及配套工程项目一标段</v>
      </c>
    </row>
    <row r="4702" hidden="1" spans="2:18">
      <c r="B4702" s="128" t="s">
        <v>224</v>
      </c>
      <c r="C4702" s="63">
        <v>45950</v>
      </c>
      <c r="D4702" s="33" t="str">
        <f>VLOOKUP(B4702,辅助信息!E:K,7,FALSE)</f>
        <v>JWDDCD2025092400188</v>
      </c>
      <c r="E4702" s="33" t="str">
        <f>VLOOKUP(F4702,辅助信息!A:B,2,FALSE)</f>
        <v>螺纹钢</v>
      </c>
      <c r="F4702" s="33" t="s">
        <v>22</v>
      </c>
      <c r="G4702" s="29">
        <v>5</v>
      </c>
      <c r="H4702" s="127">
        <f>IF(SUMIFS('[1]2025年已发货'!$E:$E,'[1]2025年已发货'!$F:$F,C4702,'[1]2025年已发货'!$C:$C,F4702,'[1]2025年已发货'!$G:$G,I4702,'[1]2025年已发货'!$H:$H,J4702)=0,"未发货",SUMIFS('[1]2025年已发货'!$E:$E,'[1]2025年已发货'!$F:$F,C4702,'[1]2025年已发货'!$C:$C,F4702,'[1]2025年已发货'!$G:$G,I4702,'[1]2025年已发货'!$H:$H,J4702))</f>
        <v>5</v>
      </c>
      <c r="I4702" s="33" t="str">
        <f>VLOOKUP(B4702,辅助信息!E:I,3,FALSE)</f>
        <v>(五冶钢构龙泉东洪片区70亩住宅、商业及配套工程项目一标段)成都市龙泉驿外东洪路地铁2号线惠王陵地铁C口</v>
      </c>
      <c r="J4702" s="33" t="str">
        <f>VLOOKUP(B4702,辅助信息!E:I,4,FALSE)</f>
        <v>邹爱国</v>
      </c>
      <c r="K4702" s="33">
        <f>VLOOKUP(J4702,辅助信息!H:I,2,FALSE)</f>
        <v>13540231225</v>
      </c>
      <c r="L4702" s="102">
        <f>VLOOKUP(B4702,辅助信息!E:J,6,FALSE)</f>
        <v>0</v>
      </c>
      <c r="M4702" s="84">
        <v>45948</v>
      </c>
      <c r="O4702" s="55">
        <f ca="1" t="shared" si="228"/>
        <v>0</v>
      </c>
      <c r="P4702" s="55">
        <f ca="1" t="shared" si="229"/>
        <v>9</v>
      </c>
      <c r="Q4702" s="22" t="str">
        <f>VLOOKUP(B4702,辅助信息!E:M,9,FALSE)</f>
        <v>ZTWM-CDGS-XS-2025-0156-五冶钢构-2025年九月第一批次钢筋采购合同(三圣乡项目)-中铁物贸成都公司</v>
      </c>
      <c r="R4702" s="22" t="str">
        <f>_xlfn._xlws.FILTER(辅助信息!D:D,辅助信息!E:E=B4702)</f>
        <v>五冶钢构龙泉东洪片区70亩住宅、商业及配套工程项目一标段</v>
      </c>
    </row>
    <row r="4703" hidden="1" spans="2:18">
      <c r="B4703" s="128" t="s">
        <v>203</v>
      </c>
      <c r="C4703" s="63">
        <v>45948</v>
      </c>
      <c r="D4703" s="33" t="str">
        <f>VLOOKUP(B4703,辅助信息!E:K,7,FALSE)</f>
        <v>JWDDCD2025102100479</v>
      </c>
      <c r="E4703" s="33" t="str">
        <f>VLOOKUP(F4703,辅助信息!A:B,2,FALSE)</f>
        <v>螺纹钢</v>
      </c>
      <c r="F4703" s="33" t="s">
        <v>32</v>
      </c>
      <c r="G4703" s="29">
        <v>10</v>
      </c>
      <c r="H4703" s="127">
        <f>IF(SUMIFS('[1]2025年已发货'!$E:$E,'[1]2025年已发货'!$F:$F,C4703,'[1]2025年已发货'!$C:$C,F4703,'[1]2025年已发货'!$G:$G,I4703,'[1]2025年已发货'!$H:$H,J4703)=0,"未发货",SUMIFS('[1]2025年已发货'!$E:$E,'[1]2025年已发货'!$F:$F,C4703,'[1]2025年已发货'!$C:$C,F4703,'[1]2025年已发货'!$G:$G,I4703,'[1]2025年已发货'!$H:$H,J4703))</f>
        <v>11</v>
      </c>
      <c r="I4703" s="33" t="str">
        <f>VLOOKUP(B4703,辅助信息!E:I,3,FALSE)</f>
        <v>(五冶建设空港兴城怡心街道83亩项目)成都市双流区怡心街道高峰社区一组剑和路一段空港兴城怡心街道83亩项目中国五冶项目部</v>
      </c>
      <c r="J4703" s="33" t="str">
        <f>VLOOKUP(B4703,辅助信息!E:I,4,FALSE)</f>
        <v>王刚</v>
      </c>
      <c r="K4703" s="33">
        <f>VLOOKUP(J4703,辅助信息!H:I,2,FALSE)</f>
        <v>15881190525</v>
      </c>
      <c r="L4703" s="102"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55" t="str">
        <f ca="1" t="shared" si="228"/>
        <v/>
      </c>
      <c r="P4703" s="55" t="str">
        <f ca="1" t="shared" si="229"/>
        <v/>
      </c>
      <c r="Q4703" s="22" t="str">
        <f>VLOOKUP(B4703,辅助信息!E:M,9,FALSE)</f>
        <v>ZTWM-CDGS-XS-2025-0073-五冶天府-成都怡心湖片区及龙泉驿医院等项目</v>
      </c>
      <c r="R4703" s="22" t="str">
        <f>_xlfn._xlws.FILTER(辅助信息!D:D,辅助信息!E:E=B4703)</f>
        <v>五冶建设空港兴城怡心街道83亩项目</v>
      </c>
    </row>
    <row r="4704" hidden="1" spans="2:18">
      <c r="B4704" s="128" t="s">
        <v>203</v>
      </c>
      <c r="C4704" s="63">
        <v>45948</v>
      </c>
      <c r="D4704" s="33" t="str">
        <f>VLOOKUP(B4704,辅助信息!E:K,7,FALSE)</f>
        <v>JWDDCD2025102100479</v>
      </c>
      <c r="E4704" s="33" t="str">
        <f>VLOOKUP(F4704,辅助信息!A:B,2,FALSE)</f>
        <v>螺纹钢</v>
      </c>
      <c r="F4704" s="33" t="s">
        <v>33</v>
      </c>
      <c r="G4704" s="29">
        <v>10</v>
      </c>
      <c r="H4704" s="127">
        <f>IF(SUMIFS('[1]2025年已发货'!$E:$E,'[1]2025年已发货'!$F:$F,C4704,'[1]2025年已发货'!$C:$C,F4704,'[1]2025年已发货'!$G:$G,I4704,'[1]2025年已发货'!$H:$H,J4704)=0,"未发货",SUMIFS('[1]2025年已发货'!$E:$E,'[1]2025年已发货'!$F:$F,C4704,'[1]2025年已发货'!$C:$C,F4704,'[1]2025年已发货'!$G:$G,I4704,'[1]2025年已发货'!$H:$H,J4704))</f>
        <v>13</v>
      </c>
      <c r="I4704" s="33" t="str">
        <f>VLOOKUP(B4704,辅助信息!E:I,3,FALSE)</f>
        <v>(五冶建设空港兴城怡心街道83亩项目)成都市双流区怡心街道高峰社区一组剑和路一段空港兴城怡心街道83亩项目中国五冶项目部</v>
      </c>
      <c r="J4704" s="33" t="str">
        <f>VLOOKUP(B4704,辅助信息!E:I,4,FALSE)</f>
        <v>王刚</v>
      </c>
      <c r="K4704" s="33">
        <f>VLOOKUP(J4704,辅助信息!H:I,2,FALSE)</f>
        <v>15881190525</v>
      </c>
      <c r="L4704" s="102"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55" t="str">
        <f ca="1" t="shared" ref="O4704:O4767" si="230">IF(OR(M4704="",N4704&lt;&gt;""),"",MAX(M4704-TODAY(),0))</f>
        <v/>
      </c>
      <c r="P4704" s="55" t="str">
        <f ca="1" t="shared" ref="P4704:P4767" si="231">IF(M4704="","",IF(N4704&lt;&gt;"",MAX(N4704-M4704,0),IF(TODAY()&gt;M4704,TODAY()-M4704,0)))</f>
        <v/>
      </c>
      <c r="Q4704" s="22" t="str">
        <f>VLOOKUP(B4704,辅助信息!E:M,9,FALSE)</f>
        <v>ZTWM-CDGS-XS-2025-0073-五冶天府-成都怡心湖片区及龙泉驿医院等项目</v>
      </c>
      <c r="R4704" s="22" t="str">
        <f>_xlfn._xlws.FILTER(辅助信息!D:D,辅助信息!E:E=B4704)</f>
        <v>五冶建设空港兴城怡心街道83亩项目</v>
      </c>
    </row>
    <row r="4705" hidden="1" spans="2:18">
      <c r="B4705" s="128" t="s">
        <v>112</v>
      </c>
      <c r="C4705" s="63">
        <v>45950</v>
      </c>
      <c r="D4705" s="33" t="str">
        <f>VLOOKUP(B4705,辅助信息!E:K,7,FALSE)</f>
        <v>JWDDCD2025052800131</v>
      </c>
      <c r="E4705" s="33" t="str">
        <f>VLOOKUP(F4705,辅助信息!A:B,2,FALSE)</f>
        <v>盘螺</v>
      </c>
      <c r="F4705" s="33" t="s">
        <v>49</v>
      </c>
      <c r="G4705" s="29">
        <v>9</v>
      </c>
      <c r="H4705" s="127"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33" t="str">
        <f>VLOOKUP(B4705,辅助信息!E:I,3,FALSE)</f>
        <v>（商投建工达州中医药科技园-4工区-10号楼）达州市通川区达州中医药职业学院犀牛大道北段</v>
      </c>
      <c r="J4705" s="33" t="str">
        <f>VLOOKUP(B4705,辅助信息!E:I,4,FALSE)</f>
        <v>张扬</v>
      </c>
      <c r="K4705" s="33">
        <f>VLOOKUP(J4705,辅助信息!H:I,2,FALSE)</f>
        <v>18381904567</v>
      </c>
      <c r="L4705" s="102" t="str">
        <f>VLOOKUP(B4705,辅助信息!E:J,6,FALSE)</f>
        <v>控制炉批号！多了现场不收！,优先安排达钢,提前联系到场规格及数量</v>
      </c>
      <c r="M4705" s="84">
        <v>45948</v>
      </c>
      <c r="O4705" s="55">
        <f ca="1" t="shared" si="230"/>
        <v>0</v>
      </c>
      <c r="P4705" s="55">
        <f ca="1" t="shared" si="231"/>
        <v>9</v>
      </c>
      <c r="Q4705" s="22" t="str">
        <f>VLOOKUP(B4705,辅助信息!E:M,9,FALSE)</f>
        <v>ZTWM-CDGS-XS-2024-0134-商投建工达州中医药科技成果示范园项目</v>
      </c>
      <c r="R4705" s="22" t="str">
        <f>_xlfn._xlws.FILTER(辅助信息!D:D,辅助信息!E:E=B4705)</f>
        <v>商投建工达州中医药科技园</v>
      </c>
    </row>
    <row r="4706" hidden="1" spans="2:18">
      <c r="B4706" s="128" t="s">
        <v>112</v>
      </c>
      <c r="C4706" s="63">
        <v>45950</v>
      </c>
      <c r="D4706" s="33" t="str">
        <f>VLOOKUP(B4706,辅助信息!E:K,7,FALSE)</f>
        <v>JWDDCD2025052800131</v>
      </c>
      <c r="E4706" s="33" t="str">
        <f>VLOOKUP(F4706,辅助信息!A:B,2,FALSE)</f>
        <v>盘螺</v>
      </c>
      <c r="F4706" s="33" t="s">
        <v>40</v>
      </c>
      <c r="G4706" s="29">
        <v>24</v>
      </c>
      <c r="H4706" s="127">
        <f>IF(SUMIFS('[1]2025年已发货'!$E:$E,'[1]2025年已发货'!$F:$F,C4706,'[1]2025年已发货'!$C:$C,F4706,'[1]2025年已发货'!$G:$G,I4706,'[1]2025年已发货'!$H:$H,J4706)=0,"未发货",SUMIFS('[1]2025年已发货'!$E:$E,'[1]2025年已发货'!$F:$F,C4706,'[1]2025年已发货'!$C:$C,F4706,'[1]2025年已发货'!$G:$G,I4706,'[1]2025年已发货'!$H:$H,J4706))</f>
        <v>24</v>
      </c>
      <c r="I4706" s="33" t="str">
        <f>VLOOKUP(B4706,辅助信息!E:I,3,FALSE)</f>
        <v>（商投建工达州中医药科技园-4工区-10号楼）达州市通川区达州中医药职业学院犀牛大道北段</v>
      </c>
      <c r="J4706" s="33" t="str">
        <f>VLOOKUP(B4706,辅助信息!E:I,4,FALSE)</f>
        <v>张扬</v>
      </c>
      <c r="K4706" s="33">
        <f>VLOOKUP(J4706,辅助信息!H:I,2,FALSE)</f>
        <v>18381904567</v>
      </c>
      <c r="L4706" s="102" t="str">
        <f>VLOOKUP(B4706,辅助信息!E:J,6,FALSE)</f>
        <v>控制炉批号！多了现场不收！,优先安排达钢,提前联系到场规格及数量</v>
      </c>
      <c r="M4706" s="84">
        <v>45948</v>
      </c>
      <c r="O4706" s="55">
        <f ca="1" t="shared" si="230"/>
        <v>0</v>
      </c>
      <c r="P4706" s="55">
        <f ca="1" t="shared" si="231"/>
        <v>9</v>
      </c>
      <c r="Q4706" s="22" t="str">
        <f>VLOOKUP(B4706,辅助信息!E:M,9,FALSE)</f>
        <v>ZTWM-CDGS-XS-2024-0134-商投建工达州中医药科技成果示范园项目</v>
      </c>
      <c r="R4706" s="22" t="str">
        <f>_xlfn._xlws.FILTER(辅助信息!D:D,辅助信息!E:E=B4706)</f>
        <v>商投建工达州中医药科技园</v>
      </c>
    </row>
    <row r="4707" hidden="1" spans="2:18">
      <c r="B4707" s="128" t="s">
        <v>112</v>
      </c>
      <c r="C4707" s="63">
        <v>45950</v>
      </c>
      <c r="D4707" s="33" t="str">
        <f>VLOOKUP(B4707,辅助信息!E:K,7,FALSE)</f>
        <v>JWDDCD2025052800131</v>
      </c>
      <c r="E4707" s="33" t="str">
        <f>VLOOKUP(F4707,辅助信息!A:B,2,FALSE)</f>
        <v>盘螺</v>
      </c>
      <c r="F4707" s="33" t="s">
        <v>41</v>
      </c>
      <c r="G4707" s="29">
        <v>16</v>
      </c>
      <c r="H4707" s="127">
        <f>IF(SUMIFS('[1]2025年已发货'!$E:$E,'[1]2025年已发货'!$F:$F,C4707,'[1]2025年已发货'!$C:$C,F4707,'[1]2025年已发货'!$G:$G,I4707,'[1]2025年已发货'!$H:$H,J4707)=0,"未发货",SUMIFS('[1]2025年已发货'!$E:$E,'[1]2025年已发货'!$F:$F,C4707,'[1]2025年已发货'!$C:$C,F4707,'[1]2025年已发货'!$G:$G,I4707,'[1]2025年已发货'!$H:$H,J4707))</f>
        <v>16</v>
      </c>
      <c r="I4707" s="33" t="str">
        <f>VLOOKUP(B4707,辅助信息!E:I,3,FALSE)</f>
        <v>（商投建工达州中医药科技园-4工区-10号楼）达州市通川区达州中医药职业学院犀牛大道北段</v>
      </c>
      <c r="J4707" s="33" t="str">
        <f>VLOOKUP(B4707,辅助信息!E:I,4,FALSE)</f>
        <v>张扬</v>
      </c>
      <c r="K4707" s="33">
        <f>VLOOKUP(J4707,辅助信息!H:I,2,FALSE)</f>
        <v>18381904567</v>
      </c>
      <c r="L4707" s="102" t="str">
        <f>VLOOKUP(B4707,辅助信息!E:J,6,FALSE)</f>
        <v>控制炉批号！多了现场不收！,优先安排达钢,提前联系到场规格及数量</v>
      </c>
      <c r="M4707" s="84">
        <v>45948</v>
      </c>
      <c r="O4707" s="55">
        <f ca="1" t="shared" si="230"/>
        <v>0</v>
      </c>
      <c r="P4707" s="55">
        <f ca="1" t="shared" si="231"/>
        <v>9</v>
      </c>
      <c r="Q4707" s="22" t="str">
        <f>VLOOKUP(B4707,辅助信息!E:M,9,FALSE)</f>
        <v>ZTWM-CDGS-XS-2024-0134-商投建工达州中医药科技成果示范园项目</v>
      </c>
      <c r="R4707" s="22" t="str">
        <f>_xlfn._xlws.FILTER(辅助信息!D:D,辅助信息!E:E=B4707)</f>
        <v>商投建工达州中医药科技园</v>
      </c>
    </row>
    <row r="4708" hidden="1" spans="2:18">
      <c r="B4708" s="128" t="s">
        <v>112</v>
      </c>
      <c r="C4708" s="63">
        <v>45950</v>
      </c>
      <c r="D4708" s="33" t="str">
        <f>VLOOKUP(B4708,辅助信息!E:K,7,FALSE)</f>
        <v>JWDDCD2025052800131</v>
      </c>
      <c r="E4708" s="33" t="str">
        <f>VLOOKUP(F4708,辅助信息!A:B,2,FALSE)</f>
        <v>螺纹钢</v>
      </c>
      <c r="F4708" s="33" t="s">
        <v>45</v>
      </c>
      <c r="G4708" s="29">
        <v>9</v>
      </c>
      <c r="H4708" s="127">
        <f>IF(SUMIFS('[1]2025年已发货'!$E:$E,'[1]2025年已发货'!$F:$F,C4708,'[1]2025年已发货'!$C:$C,F4708,'[1]2025年已发货'!$G:$G,I4708,'[1]2025年已发货'!$H:$H,J4708)=0,"未发货",SUMIFS('[1]2025年已发货'!$E:$E,'[1]2025年已发货'!$F:$F,C4708,'[1]2025年已发货'!$C:$C,F4708,'[1]2025年已发货'!$G:$G,I4708,'[1]2025年已发货'!$H:$H,J4708))</f>
        <v>9</v>
      </c>
      <c r="I4708" s="33" t="str">
        <f>VLOOKUP(B4708,辅助信息!E:I,3,FALSE)</f>
        <v>（商投建工达州中医药科技园-4工区-10号楼）达州市通川区达州中医药职业学院犀牛大道北段</v>
      </c>
      <c r="J4708" s="33" t="str">
        <f>VLOOKUP(B4708,辅助信息!E:I,4,FALSE)</f>
        <v>张扬</v>
      </c>
      <c r="K4708" s="33">
        <f>VLOOKUP(J4708,辅助信息!H:I,2,FALSE)</f>
        <v>18381904567</v>
      </c>
      <c r="L4708" s="102" t="str">
        <f>VLOOKUP(B4708,辅助信息!E:J,6,FALSE)</f>
        <v>控制炉批号！多了现场不收！,优先安排达钢,提前联系到场规格及数量</v>
      </c>
      <c r="M4708" s="84">
        <v>45948</v>
      </c>
      <c r="O4708" s="55">
        <f ca="1" t="shared" si="230"/>
        <v>0</v>
      </c>
      <c r="P4708" s="55">
        <f ca="1" t="shared" si="231"/>
        <v>9</v>
      </c>
      <c r="Q4708" s="22" t="str">
        <f>VLOOKUP(B4708,辅助信息!E:M,9,FALSE)</f>
        <v>ZTWM-CDGS-XS-2024-0134-商投建工达州中医药科技成果示范园项目</v>
      </c>
      <c r="R4708" s="22" t="str">
        <f>_xlfn._xlws.FILTER(辅助信息!D:D,辅助信息!E:E=B4708)</f>
        <v>商投建工达州中医药科技园</v>
      </c>
    </row>
    <row r="4709" hidden="1" spans="2:18">
      <c r="B4709" s="128" t="s">
        <v>112</v>
      </c>
      <c r="C4709" s="63">
        <v>45950</v>
      </c>
      <c r="D4709" s="33" t="str">
        <f>VLOOKUP(B4709,辅助信息!E:K,7,FALSE)</f>
        <v>JWDDCD2025052800131</v>
      </c>
      <c r="E4709" s="33" t="str">
        <f>VLOOKUP(F4709,辅助信息!A:B,2,FALSE)</f>
        <v>螺纹钢</v>
      </c>
      <c r="F4709" s="33" t="s">
        <v>21</v>
      </c>
      <c r="G4709" s="29">
        <v>9</v>
      </c>
      <c r="H4709" s="127"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33" t="str">
        <f>VLOOKUP(B4709,辅助信息!E:I,3,FALSE)</f>
        <v>（商投建工达州中医药科技园-4工区-10号楼）达州市通川区达州中医药职业学院犀牛大道北段</v>
      </c>
      <c r="J4709" s="33" t="str">
        <f>VLOOKUP(B4709,辅助信息!E:I,4,FALSE)</f>
        <v>张扬</v>
      </c>
      <c r="K4709" s="33">
        <f>VLOOKUP(J4709,辅助信息!H:I,2,FALSE)</f>
        <v>18381904567</v>
      </c>
      <c r="L4709" s="102" t="str">
        <f>VLOOKUP(B4709,辅助信息!E:J,6,FALSE)</f>
        <v>控制炉批号！多了现场不收！,优先安排达钢,提前联系到场规格及数量</v>
      </c>
      <c r="M4709" s="84">
        <v>45948</v>
      </c>
      <c r="O4709" s="55">
        <f ca="1" t="shared" si="230"/>
        <v>0</v>
      </c>
      <c r="P4709" s="55">
        <f ca="1" t="shared" si="231"/>
        <v>9</v>
      </c>
      <c r="Q4709" s="22" t="str">
        <f>VLOOKUP(B4709,辅助信息!E:M,9,FALSE)</f>
        <v>ZTWM-CDGS-XS-2024-0134-商投建工达州中医药科技成果示范园项目</v>
      </c>
      <c r="R4709" s="22" t="str">
        <f>_xlfn._xlws.FILTER(辅助信息!D:D,辅助信息!E:E=B4709)</f>
        <v>商投建工达州中医药科技园</v>
      </c>
    </row>
    <row r="4710" hidden="1" spans="2:18">
      <c r="B4710" s="128" t="s">
        <v>112</v>
      </c>
      <c r="C4710" s="63">
        <v>45950</v>
      </c>
      <c r="D4710" s="33" t="str">
        <f>VLOOKUP(B4710,辅助信息!E:K,7,FALSE)</f>
        <v>JWDDCD2025052800131</v>
      </c>
      <c r="E4710" s="33" t="str">
        <f>VLOOKUP(F4710,辅助信息!A:B,2,FALSE)</f>
        <v>螺纹钢</v>
      </c>
      <c r="F4710" s="33" t="s">
        <v>58</v>
      </c>
      <c r="G4710" s="29">
        <v>9</v>
      </c>
      <c r="H4710" s="127"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33" t="str">
        <f>VLOOKUP(B4710,辅助信息!E:I,3,FALSE)</f>
        <v>（商投建工达州中医药科技园-4工区-10号楼）达州市通川区达州中医药职业学院犀牛大道北段</v>
      </c>
      <c r="J4710" s="33" t="str">
        <f>VLOOKUP(B4710,辅助信息!E:I,4,FALSE)</f>
        <v>张扬</v>
      </c>
      <c r="K4710" s="33">
        <f>VLOOKUP(J4710,辅助信息!H:I,2,FALSE)</f>
        <v>18381904567</v>
      </c>
      <c r="L4710" s="102" t="str">
        <f>VLOOKUP(B4710,辅助信息!E:J,6,FALSE)</f>
        <v>控制炉批号！多了现场不收！,优先安排达钢,提前联系到场规格及数量</v>
      </c>
      <c r="M4710" s="84">
        <v>45948</v>
      </c>
      <c r="O4710" s="55">
        <f ca="1" t="shared" si="230"/>
        <v>0</v>
      </c>
      <c r="P4710" s="55">
        <f ca="1" t="shared" si="231"/>
        <v>9</v>
      </c>
      <c r="Q4710" s="22" t="str">
        <f>VLOOKUP(B4710,辅助信息!E:M,9,FALSE)</f>
        <v>ZTWM-CDGS-XS-2024-0134-商投建工达州中医药科技成果示范园项目</v>
      </c>
      <c r="R4710" s="22" t="str">
        <f>_xlfn._xlws.FILTER(辅助信息!D:D,辅助信息!E:E=B4710)</f>
        <v>商投建工达州中医药科技园</v>
      </c>
    </row>
    <row r="4711" hidden="1" spans="2:18">
      <c r="B4711" s="128" t="s">
        <v>112</v>
      </c>
      <c r="C4711" s="63">
        <v>45950</v>
      </c>
      <c r="D4711" s="33" t="str">
        <f>VLOOKUP(B4711,辅助信息!E:K,7,FALSE)</f>
        <v>JWDDCD2025052800131</v>
      </c>
      <c r="E4711" s="33" t="str">
        <f>VLOOKUP(F4711,辅助信息!A:B,2,FALSE)</f>
        <v>螺纹钢</v>
      </c>
      <c r="F4711" s="33" t="s">
        <v>46</v>
      </c>
      <c r="G4711" s="29">
        <v>6</v>
      </c>
      <c r="H4711" s="127">
        <f>IF(SUMIFS('[1]2025年已发货'!$E:$E,'[1]2025年已发货'!$F:$F,C4711,'[1]2025年已发货'!$C:$C,F4711,'[1]2025年已发货'!$G:$G,I4711,'[1]2025年已发货'!$H:$H,J4711)=0,"未发货",SUMIFS('[1]2025年已发货'!$E:$E,'[1]2025年已发货'!$F:$F,C4711,'[1]2025年已发货'!$C:$C,F4711,'[1]2025年已发货'!$G:$G,I4711,'[1]2025年已发货'!$H:$H,J4711))</f>
        <v>5</v>
      </c>
      <c r="I4711" s="33" t="str">
        <f>VLOOKUP(B4711,辅助信息!E:I,3,FALSE)</f>
        <v>（商投建工达州中医药科技园-4工区-10号楼）达州市通川区达州中医药职业学院犀牛大道北段</v>
      </c>
      <c r="J4711" s="33" t="str">
        <f>VLOOKUP(B4711,辅助信息!E:I,4,FALSE)</f>
        <v>张扬</v>
      </c>
      <c r="K4711" s="33">
        <f>VLOOKUP(J4711,辅助信息!H:I,2,FALSE)</f>
        <v>18381904567</v>
      </c>
      <c r="L4711" s="102" t="str">
        <f>VLOOKUP(B4711,辅助信息!E:J,6,FALSE)</f>
        <v>控制炉批号！多了现场不收！,优先安排达钢,提前联系到场规格及数量</v>
      </c>
      <c r="M4711" s="84">
        <v>45948</v>
      </c>
      <c r="O4711" s="55">
        <f ca="1" t="shared" si="230"/>
        <v>0</v>
      </c>
      <c r="P4711" s="55">
        <f ca="1" t="shared" si="231"/>
        <v>9</v>
      </c>
      <c r="Q4711" s="22" t="str">
        <f>VLOOKUP(B4711,辅助信息!E:M,9,FALSE)</f>
        <v>ZTWM-CDGS-XS-2024-0134-商投建工达州中医药科技成果示范园项目</v>
      </c>
      <c r="R4711" s="22" t="str">
        <f>_xlfn._xlws.FILTER(辅助信息!D:D,辅助信息!E:E=B4711)</f>
        <v>商投建工达州中医药科技园</v>
      </c>
    </row>
    <row r="4712" hidden="1" spans="2:18">
      <c r="B4712" s="128" t="s">
        <v>112</v>
      </c>
      <c r="C4712" s="63">
        <v>45950</v>
      </c>
      <c r="D4712" s="33" t="str">
        <f>VLOOKUP(B4712,辅助信息!E:K,7,FALSE)</f>
        <v>JWDDCD2025052800131</v>
      </c>
      <c r="E4712" s="33" t="str">
        <f>VLOOKUP(F4712,辅助信息!A:B,2,FALSE)</f>
        <v>螺纹钢</v>
      </c>
      <c r="F4712" s="33" t="s">
        <v>22</v>
      </c>
      <c r="G4712" s="29">
        <v>9</v>
      </c>
      <c r="H4712" s="127"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33" t="str">
        <f>VLOOKUP(B4712,辅助信息!E:I,3,FALSE)</f>
        <v>（商投建工达州中医药科技园-4工区-10号楼）达州市通川区达州中医药职业学院犀牛大道北段</v>
      </c>
      <c r="J4712" s="33" t="str">
        <f>VLOOKUP(B4712,辅助信息!E:I,4,FALSE)</f>
        <v>张扬</v>
      </c>
      <c r="K4712" s="33">
        <f>VLOOKUP(J4712,辅助信息!H:I,2,FALSE)</f>
        <v>18381904567</v>
      </c>
      <c r="L4712" s="102" t="str">
        <f>VLOOKUP(B4712,辅助信息!E:J,6,FALSE)</f>
        <v>控制炉批号！多了现场不收！,优先安排达钢,提前联系到场规格及数量</v>
      </c>
      <c r="M4712" s="84">
        <v>45948</v>
      </c>
      <c r="O4712" s="55">
        <f ca="1" t="shared" si="230"/>
        <v>0</v>
      </c>
      <c r="P4712" s="55">
        <f ca="1" t="shared" si="231"/>
        <v>9</v>
      </c>
      <c r="Q4712" s="22" t="str">
        <f>VLOOKUP(B4712,辅助信息!E:M,9,FALSE)</f>
        <v>ZTWM-CDGS-XS-2024-0134-商投建工达州中医药科技成果示范园项目</v>
      </c>
      <c r="R4712" s="22" t="str">
        <f>_xlfn._xlws.FILTER(辅助信息!D:D,辅助信息!E:E=B4712)</f>
        <v>商投建工达州中医药科技园</v>
      </c>
    </row>
    <row r="4713" hidden="1" spans="2:18">
      <c r="B4713" s="128" t="s">
        <v>47</v>
      </c>
      <c r="C4713" s="63">
        <v>45950</v>
      </c>
      <c r="D4713" s="33" t="str">
        <f>VLOOKUP(B4713,辅助信息!E:K,7,FALSE)</f>
        <v>JWDDCD2025052800131</v>
      </c>
      <c r="E4713" s="33" t="str">
        <f>VLOOKUP(F4713,辅助信息!A:B,2,FALSE)</f>
        <v>高线</v>
      </c>
      <c r="F4713" s="33" t="s">
        <v>57</v>
      </c>
      <c r="G4713" s="29">
        <v>9</v>
      </c>
      <c r="H4713" s="127"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33" t="str">
        <f>VLOOKUP(B4713,辅助信息!E:I,3,FALSE)</f>
        <v>（商投建工达州中医药科技园-1工区）达州市通川区达州中医药职业学院犀牛大道北段</v>
      </c>
      <c r="J4713" s="33" t="str">
        <f>VLOOKUP(B4713,辅助信息!E:I,4,FALSE)</f>
        <v>程黄刚</v>
      </c>
      <c r="K4713" s="33">
        <f>VLOOKUP(J4713,辅助信息!H:I,2,FALSE)</f>
        <v>15108211617</v>
      </c>
      <c r="L4713" s="102" t="str">
        <f>VLOOKUP(B4713,辅助信息!E:J,6,FALSE)</f>
        <v>控制炉批号！多了现场不收！,优先安排达钢,提前联系到场规格及数量</v>
      </c>
      <c r="M4713" s="84">
        <v>45948</v>
      </c>
      <c r="O4713" s="55">
        <f ca="1" t="shared" si="230"/>
        <v>0</v>
      </c>
      <c r="P4713" s="55">
        <f ca="1" t="shared" si="231"/>
        <v>9</v>
      </c>
      <c r="Q4713" s="22" t="str">
        <f>VLOOKUP(B4713,辅助信息!E:M,9,FALSE)</f>
        <v>ZTWM-CDGS-XS-2024-0134-商投建工达州中医药科技成果示范园项目</v>
      </c>
      <c r="R4713" s="22" t="str">
        <f>_xlfn._xlws.FILTER(辅助信息!D:D,辅助信息!E:E=B4713)</f>
        <v>商投建工达州中医药科技园</v>
      </c>
    </row>
    <row r="4714" hidden="1" spans="2:18">
      <c r="B4714" s="128" t="s">
        <v>47</v>
      </c>
      <c r="C4714" s="63">
        <v>45950</v>
      </c>
      <c r="D4714" s="33" t="str">
        <f>VLOOKUP(B4714,辅助信息!E:K,7,FALSE)</f>
        <v>JWDDCD2025052800131</v>
      </c>
      <c r="E4714" s="33" t="str">
        <f>VLOOKUP(F4714,辅助信息!A:B,2,FALSE)</f>
        <v>盘螺</v>
      </c>
      <c r="F4714" s="33" t="s">
        <v>40</v>
      </c>
      <c r="G4714" s="29">
        <v>15</v>
      </c>
      <c r="H4714" s="127">
        <f>IF(SUMIFS('[1]2025年已发货'!$E:$E,'[1]2025年已发货'!$F:$F,C4714,'[1]2025年已发货'!$C:$C,F4714,'[1]2025年已发货'!$G:$G,I4714,'[1]2025年已发货'!$H:$H,J4714)=0,"未发货",SUMIFS('[1]2025年已发货'!$E:$E,'[1]2025年已发货'!$F:$F,C4714,'[1]2025年已发货'!$C:$C,F4714,'[1]2025年已发货'!$G:$G,I4714,'[1]2025年已发货'!$H:$H,J4714))</f>
        <v>15</v>
      </c>
      <c r="I4714" s="33" t="str">
        <f>VLOOKUP(B4714,辅助信息!E:I,3,FALSE)</f>
        <v>（商投建工达州中医药科技园-1工区）达州市通川区达州中医药职业学院犀牛大道北段</v>
      </c>
      <c r="J4714" s="33" t="str">
        <f>VLOOKUP(B4714,辅助信息!E:I,4,FALSE)</f>
        <v>程黄刚</v>
      </c>
      <c r="K4714" s="33">
        <f>VLOOKUP(J4714,辅助信息!H:I,2,FALSE)</f>
        <v>15108211617</v>
      </c>
      <c r="L4714" s="102" t="str">
        <f>VLOOKUP(B4714,辅助信息!E:J,6,FALSE)</f>
        <v>控制炉批号！多了现场不收！,优先安排达钢,提前联系到场规格及数量</v>
      </c>
      <c r="M4714" s="84">
        <v>45948</v>
      </c>
      <c r="O4714" s="55">
        <f ca="1" t="shared" si="230"/>
        <v>0</v>
      </c>
      <c r="P4714" s="55">
        <f ca="1" t="shared" si="231"/>
        <v>9</v>
      </c>
      <c r="Q4714" s="22" t="str">
        <f>VLOOKUP(B4714,辅助信息!E:M,9,FALSE)</f>
        <v>ZTWM-CDGS-XS-2024-0134-商投建工达州中医药科技成果示范园项目</v>
      </c>
      <c r="R4714" s="22" t="str">
        <f>_xlfn._xlws.FILTER(辅助信息!D:D,辅助信息!E:E=B4714)</f>
        <v>商投建工达州中医药科技园</v>
      </c>
    </row>
    <row r="4715" hidden="1" spans="2:18">
      <c r="B4715" s="128" t="s">
        <v>47</v>
      </c>
      <c r="C4715" s="63">
        <v>45950</v>
      </c>
      <c r="D4715" s="33" t="str">
        <f>VLOOKUP(B4715,辅助信息!E:K,7,FALSE)</f>
        <v>JWDDCD2025052800131</v>
      </c>
      <c r="E4715" s="33" t="str">
        <f>VLOOKUP(F4715,辅助信息!A:B,2,FALSE)</f>
        <v>盘螺</v>
      </c>
      <c r="F4715" s="33" t="s">
        <v>41</v>
      </c>
      <c r="G4715" s="29">
        <v>12</v>
      </c>
      <c r="H4715" s="127">
        <f>IF(SUMIFS('[1]2025年已发货'!$E:$E,'[1]2025年已发货'!$F:$F,C4715,'[1]2025年已发货'!$C:$C,F4715,'[1]2025年已发货'!$G:$G,I4715,'[1]2025年已发货'!$H:$H,J4715)=0,"未发货",SUMIFS('[1]2025年已发货'!$E:$E,'[1]2025年已发货'!$F:$F,C4715,'[1]2025年已发货'!$C:$C,F4715,'[1]2025年已发货'!$G:$G,I4715,'[1]2025年已发货'!$H:$H,J4715))</f>
        <v>12</v>
      </c>
      <c r="I4715" s="33" t="str">
        <f>VLOOKUP(B4715,辅助信息!E:I,3,FALSE)</f>
        <v>（商投建工达州中医药科技园-1工区）达州市通川区达州中医药职业学院犀牛大道北段</v>
      </c>
      <c r="J4715" s="33" t="str">
        <f>VLOOKUP(B4715,辅助信息!E:I,4,FALSE)</f>
        <v>程黄刚</v>
      </c>
      <c r="K4715" s="33">
        <f>VLOOKUP(J4715,辅助信息!H:I,2,FALSE)</f>
        <v>15108211617</v>
      </c>
      <c r="L4715" s="102" t="str">
        <f>VLOOKUP(B4715,辅助信息!E:J,6,FALSE)</f>
        <v>控制炉批号！多了现场不收！,优先安排达钢,提前联系到场规格及数量</v>
      </c>
      <c r="M4715" s="84">
        <v>45948</v>
      </c>
      <c r="O4715" s="55">
        <f ca="1" t="shared" si="230"/>
        <v>0</v>
      </c>
      <c r="P4715" s="55">
        <f ca="1" t="shared" si="231"/>
        <v>9</v>
      </c>
      <c r="Q4715" s="22" t="str">
        <f>VLOOKUP(B4715,辅助信息!E:M,9,FALSE)</f>
        <v>ZTWM-CDGS-XS-2024-0134-商投建工达州中医药科技成果示范园项目</v>
      </c>
      <c r="R4715" s="22" t="str">
        <f>_xlfn._xlws.FILTER(辅助信息!D:D,辅助信息!E:E=B4715)</f>
        <v>商投建工达州中医药科技园</v>
      </c>
    </row>
    <row r="4716" hidden="1" spans="2:18">
      <c r="B4716" s="128" t="s">
        <v>47</v>
      </c>
      <c r="C4716" s="63">
        <v>45950</v>
      </c>
      <c r="D4716" s="33" t="str">
        <f>VLOOKUP(B4716,辅助信息!E:K,7,FALSE)</f>
        <v>JWDDCD2025052800131</v>
      </c>
      <c r="E4716" s="33" t="str">
        <f>VLOOKUP(F4716,辅助信息!A:B,2,FALSE)</f>
        <v>螺纹钢</v>
      </c>
      <c r="F4716" s="33" t="s">
        <v>27</v>
      </c>
      <c r="G4716" s="29">
        <v>9</v>
      </c>
      <c r="H4716" s="127">
        <f>IF(SUMIFS('[1]2025年已发货'!$E:$E,'[1]2025年已发货'!$F:$F,C4716,'[1]2025年已发货'!$C:$C,F4716,'[1]2025年已发货'!$G:$G,I4716,'[1]2025年已发货'!$H:$H,J4716)=0,"未发货",SUMIFS('[1]2025年已发货'!$E:$E,'[1]2025年已发货'!$F:$F,C4716,'[1]2025年已发货'!$C:$C,F4716,'[1]2025年已发货'!$G:$G,I4716,'[1]2025年已发货'!$H:$H,J4716))</f>
        <v>9</v>
      </c>
      <c r="I4716" s="33" t="str">
        <f>VLOOKUP(B4716,辅助信息!E:I,3,FALSE)</f>
        <v>（商投建工达州中医药科技园-1工区）达州市通川区达州中医药职业学院犀牛大道北段</v>
      </c>
      <c r="J4716" s="33" t="str">
        <f>VLOOKUP(B4716,辅助信息!E:I,4,FALSE)</f>
        <v>程黄刚</v>
      </c>
      <c r="K4716" s="33">
        <f>VLOOKUP(J4716,辅助信息!H:I,2,FALSE)</f>
        <v>15108211617</v>
      </c>
      <c r="L4716" s="102" t="str">
        <f>VLOOKUP(B4716,辅助信息!E:J,6,FALSE)</f>
        <v>控制炉批号！多了现场不收！,优先安排达钢,提前联系到场规格及数量</v>
      </c>
      <c r="M4716" s="84">
        <v>45948</v>
      </c>
      <c r="O4716" s="55">
        <f ca="1" t="shared" si="230"/>
        <v>0</v>
      </c>
      <c r="P4716" s="55">
        <f ca="1" t="shared" si="231"/>
        <v>9</v>
      </c>
      <c r="Q4716" s="22" t="str">
        <f>VLOOKUP(B4716,辅助信息!E:M,9,FALSE)</f>
        <v>ZTWM-CDGS-XS-2024-0134-商投建工达州中医药科技成果示范园项目</v>
      </c>
      <c r="R4716" s="22" t="str">
        <f>_xlfn._xlws.FILTER(辅助信息!D:D,辅助信息!E:E=B4716)</f>
        <v>商投建工达州中医药科技园</v>
      </c>
    </row>
    <row r="4717" hidden="1" spans="2:18">
      <c r="B4717" s="128" t="s">
        <v>47</v>
      </c>
      <c r="C4717" s="63">
        <v>45950</v>
      </c>
      <c r="D4717" s="33" t="str">
        <f>VLOOKUP(B4717,辅助信息!E:K,7,FALSE)</f>
        <v>JWDDCD2025052800131</v>
      </c>
      <c r="E4717" s="33" t="str">
        <f>VLOOKUP(F4717,辅助信息!A:B,2,FALSE)</f>
        <v>螺纹钢</v>
      </c>
      <c r="F4717" s="33" t="s">
        <v>32</v>
      </c>
      <c r="G4717" s="29">
        <v>9</v>
      </c>
      <c r="H4717" s="127">
        <f>IF(SUMIFS('[1]2025年已发货'!$E:$E,'[1]2025年已发货'!$F:$F,C4717,'[1]2025年已发货'!$C:$C,F4717,'[1]2025年已发货'!$G:$G,I4717,'[1]2025年已发货'!$H:$H,J4717)=0,"未发货",SUMIFS('[1]2025年已发货'!$E:$E,'[1]2025年已发货'!$F:$F,C4717,'[1]2025年已发货'!$C:$C,F4717,'[1]2025年已发货'!$G:$G,I4717,'[1]2025年已发货'!$H:$H,J4717))</f>
        <v>9</v>
      </c>
      <c r="I4717" s="33" t="str">
        <f>VLOOKUP(B4717,辅助信息!E:I,3,FALSE)</f>
        <v>（商投建工达州中医药科技园-1工区）达州市通川区达州中医药职业学院犀牛大道北段</v>
      </c>
      <c r="J4717" s="33" t="str">
        <f>VLOOKUP(B4717,辅助信息!E:I,4,FALSE)</f>
        <v>程黄刚</v>
      </c>
      <c r="K4717" s="33">
        <f>VLOOKUP(J4717,辅助信息!H:I,2,FALSE)</f>
        <v>15108211617</v>
      </c>
      <c r="L4717" s="102" t="str">
        <f>VLOOKUP(B4717,辅助信息!E:J,6,FALSE)</f>
        <v>控制炉批号！多了现场不收！,优先安排达钢,提前联系到场规格及数量</v>
      </c>
      <c r="M4717" s="84">
        <v>45948</v>
      </c>
      <c r="O4717" s="55">
        <f ca="1" t="shared" si="230"/>
        <v>0</v>
      </c>
      <c r="P4717" s="55">
        <f ca="1" t="shared" si="231"/>
        <v>9</v>
      </c>
      <c r="Q4717" s="22" t="str">
        <f>VLOOKUP(B4717,辅助信息!E:M,9,FALSE)</f>
        <v>ZTWM-CDGS-XS-2024-0134-商投建工达州中医药科技成果示范园项目</v>
      </c>
      <c r="R4717" s="22" t="str">
        <f>_xlfn._xlws.FILTER(辅助信息!D:D,辅助信息!E:E=B4717)</f>
        <v>商投建工达州中医药科技园</v>
      </c>
    </row>
    <row r="4718" hidden="1" spans="2:18">
      <c r="B4718" s="128" t="s">
        <v>47</v>
      </c>
      <c r="C4718" s="63">
        <v>45950</v>
      </c>
      <c r="D4718" s="33" t="str">
        <f>VLOOKUP(B4718,辅助信息!E:K,7,FALSE)</f>
        <v>JWDDCD2025052800131</v>
      </c>
      <c r="E4718" s="33" t="str">
        <f>VLOOKUP(F4718,辅助信息!A:B,2,FALSE)</f>
        <v>螺纹钢</v>
      </c>
      <c r="F4718" s="33" t="s">
        <v>33</v>
      </c>
      <c r="G4718" s="29">
        <v>6</v>
      </c>
      <c r="H4718" s="127"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33" t="str">
        <f>VLOOKUP(B4718,辅助信息!E:I,3,FALSE)</f>
        <v>（商投建工达州中医药科技园-1工区）达州市通川区达州中医药职业学院犀牛大道北段</v>
      </c>
      <c r="J4718" s="33" t="str">
        <f>VLOOKUP(B4718,辅助信息!E:I,4,FALSE)</f>
        <v>程黄刚</v>
      </c>
      <c r="K4718" s="33">
        <f>VLOOKUP(J4718,辅助信息!H:I,2,FALSE)</f>
        <v>15108211617</v>
      </c>
      <c r="L4718" s="102" t="str">
        <f>VLOOKUP(B4718,辅助信息!E:J,6,FALSE)</f>
        <v>控制炉批号！多了现场不收！,优先安排达钢,提前联系到场规格及数量</v>
      </c>
      <c r="M4718" s="84">
        <v>45948</v>
      </c>
      <c r="O4718" s="55">
        <f ca="1" t="shared" si="230"/>
        <v>0</v>
      </c>
      <c r="P4718" s="55">
        <f ca="1" t="shared" si="231"/>
        <v>9</v>
      </c>
      <c r="Q4718" s="22" t="str">
        <f>VLOOKUP(B4718,辅助信息!E:M,9,FALSE)</f>
        <v>ZTWM-CDGS-XS-2024-0134-商投建工达州中医药科技成果示范园项目</v>
      </c>
      <c r="R4718" s="22" t="str">
        <f>_xlfn._xlws.FILTER(辅助信息!D:D,辅助信息!E:E=B4718)</f>
        <v>商投建工达州中医药科技园</v>
      </c>
    </row>
    <row r="4719" hidden="1" spans="2:18">
      <c r="B4719" s="128" t="s">
        <v>231</v>
      </c>
      <c r="C4719" s="63">
        <v>45950</v>
      </c>
      <c r="D4719" s="33" t="str">
        <f>VLOOKUP(B4719,辅助信息!E:K,7,FALSE)</f>
        <v>JWDDCD2025102100481</v>
      </c>
      <c r="E4719" s="33" t="str">
        <f>VLOOKUP(F4719,辅助信息!A:B,2,FALSE)</f>
        <v>盘螺</v>
      </c>
      <c r="F4719" s="33" t="s">
        <v>40</v>
      </c>
      <c r="G4719" s="29">
        <v>8</v>
      </c>
      <c r="H4719" s="127">
        <f>IF(SUMIFS('[1]2025年已发货'!$E:$E,'[1]2025年已发货'!$F:$F,C4719,'[1]2025年已发货'!$C:$C,F4719,'[1]2025年已发货'!$G:$G,I4719,'[1]2025年已发货'!$H:$H,J4719)=0,"未发货",SUMIFS('[1]2025年已发货'!$E:$E,'[1]2025年已发货'!$F:$F,C4719,'[1]2025年已发货'!$C:$C,F4719,'[1]2025年已发货'!$G:$G,I4719,'[1]2025年已发货'!$H:$H,J4719))</f>
        <v>8</v>
      </c>
      <c r="I4719" s="33" t="str">
        <f>VLOOKUP(B4719,辅助信息!E:I,3,FALSE)</f>
        <v>(五冶建设成都盐道街中学初中部改扩建工程-一标)四川省成都市锦江区春熙路街道盐道街4号（盐道街中学初中部）</v>
      </c>
      <c r="J4719" s="33" t="str">
        <f>VLOOKUP(B4719,辅助信息!E:I,4,FALSE)</f>
        <v>谢鑫</v>
      </c>
      <c r="K4719" s="33">
        <f>VLOOKUP(J4719,辅助信息!H:I,2,FALSE)</f>
        <v>18228465067</v>
      </c>
      <c r="L4719" s="102" t="str">
        <f>VLOOKUP(B4719,辅助信息!E:J,6,FALSE)</f>
        <v>联系实际收货人（易前刚18228465067）五冶建设送货单,6份材质书,锈货不收，装货前联系收货人核实到场规格,没提前告知进场规格现场不给予接收</v>
      </c>
      <c r="M4719" s="84">
        <v>45948</v>
      </c>
      <c r="O4719" s="55">
        <f ca="1" t="shared" si="230"/>
        <v>0</v>
      </c>
      <c r="P4719" s="55">
        <f ca="1" t="shared" si="231"/>
        <v>9</v>
      </c>
      <c r="Q4719" s="22" t="str">
        <f>VLOOKUP(B4719,辅助信息!E:M,9,FALSE)</f>
        <v>ZTWM-CDGS-XS-2025-0073-五冶天府-成都怡心湖片区及龙泉驿医院等项目</v>
      </c>
      <c r="R4719" s="22" t="str">
        <f>_xlfn._xlws.FILTER(辅助信息!D:D,辅助信息!E:E=B4719)</f>
        <v>五冶建设成都盐道街中学初中部改扩建工程-一标</v>
      </c>
    </row>
    <row r="4720" hidden="1" spans="2:18">
      <c r="B4720" s="128" t="s">
        <v>231</v>
      </c>
      <c r="C4720" s="63">
        <v>45950</v>
      </c>
      <c r="D4720" s="33" t="str">
        <f>VLOOKUP(B4720,辅助信息!E:K,7,FALSE)</f>
        <v>JWDDCD2025102100481</v>
      </c>
      <c r="E4720" s="33" t="str">
        <f>VLOOKUP(F4720,辅助信息!A:B,2,FALSE)</f>
        <v>螺纹钢</v>
      </c>
      <c r="F4720" s="33" t="s">
        <v>18</v>
      </c>
      <c r="G4720" s="29">
        <v>27</v>
      </c>
      <c r="H4720" s="127">
        <f>IF(SUMIFS('[1]2025年已发货'!$E:$E,'[1]2025年已发货'!$F:$F,C4720,'[1]2025年已发货'!$C:$C,F4720,'[1]2025年已发货'!$G:$G,I4720,'[1]2025年已发货'!$H:$H,J4720)=0,"未发货",SUMIFS('[1]2025年已发货'!$E:$E,'[1]2025年已发货'!$F:$F,C4720,'[1]2025年已发货'!$C:$C,F4720,'[1]2025年已发货'!$G:$G,I4720,'[1]2025年已发货'!$H:$H,J4720))</f>
        <v>27</v>
      </c>
      <c r="I4720" s="33" t="str">
        <f>VLOOKUP(B4720,辅助信息!E:I,3,FALSE)</f>
        <v>(五冶建设成都盐道街中学初中部改扩建工程-一标)四川省成都市锦江区春熙路街道盐道街4号（盐道街中学初中部）</v>
      </c>
      <c r="J4720" s="33" t="str">
        <f>VLOOKUP(B4720,辅助信息!E:I,4,FALSE)</f>
        <v>谢鑫</v>
      </c>
      <c r="K4720" s="33">
        <f>VLOOKUP(J4720,辅助信息!H:I,2,FALSE)</f>
        <v>18228465067</v>
      </c>
      <c r="L4720" s="102" t="str">
        <f>VLOOKUP(B4720,辅助信息!E:J,6,FALSE)</f>
        <v>联系实际收货人（易前刚18228465067）五冶建设送货单,6份材质书,锈货不收，装货前联系收货人核实到场规格,没提前告知进场规格现场不给予接收</v>
      </c>
      <c r="M4720" s="84">
        <v>45948</v>
      </c>
      <c r="O4720" s="55">
        <f ca="1" t="shared" si="230"/>
        <v>0</v>
      </c>
      <c r="P4720" s="55">
        <f ca="1" t="shared" si="231"/>
        <v>9</v>
      </c>
      <c r="Q4720" s="22" t="str">
        <f>VLOOKUP(B4720,辅助信息!E:M,9,FALSE)</f>
        <v>ZTWM-CDGS-XS-2025-0073-五冶天府-成都怡心湖片区及龙泉驿医院等项目</v>
      </c>
      <c r="R4720" s="22" t="str">
        <f>_xlfn._xlws.FILTER(辅助信息!D:D,辅助信息!E:E=B4720)</f>
        <v>五冶建设成都盐道街中学初中部改扩建工程-一标</v>
      </c>
    </row>
    <row r="4721" hidden="1" spans="2:18">
      <c r="B4721" s="128" t="s">
        <v>196</v>
      </c>
      <c r="C4721" s="63">
        <v>45949</v>
      </c>
      <c r="D4721" s="33" t="str">
        <f>VLOOKUP(B4721,辅助信息!E:K,7,FALSE)</f>
        <v>JWDDCD2025102100476</v>
      </c>
      <c r="E4721" s="33" t="str">
        <f>VLOOKUP(F4721,辅助信息!A:B,2,FALSE)</f>
        <v>螺纹钢</v>
      </c>
      <c r="F4721" s="33" t="s">
        <v>27</v>
      </c>
      <c r="G4721" s="29">
        <v>25</v>
      </c>
      <c r="H4721" s="127">
        <f>IF(SUMIFS('[1]2025年已发货'!$E:$E,'[1]2025年已发货'!$F:$F,C4721,'[1]2025年已发货'!$C:$C,F4721,'[1]2025年已发货'!$G:$G,I4721,'[1]2025年已发货'!$H:$H,J4721)=0,"未发货",SUMIFS('[1]2025年已发货'!$E:$E,'[1]2025年已发货'!$F:$F,C4721,'[1]2025年已发货'!$C:$C,F4721,'[1]2025年已发货'!$G:$G,I4721,'[1]2025年已发货'!$H:$H,J4721))</f>
        <v>25</v>
      </c>
      <c r="I4721" s="33" t="str">
        <f>VLOOKUP(B4721,辅助信息!E:I,3,FALSE)</f>
        <v>(五冶建设师大附中外语校新建教学楼工程)四川省成都市成华区大观堰2号(四川师范大学附属中学外国语学校)</v>
      </c>
      <c r="J4721" s="33" t="str">
        <f>VLOOKUP(B4721,辅助信息!E:I,4,FALSE)</f>
        <v>蔡浩</v>
      </c>
      <c r="K4721" s="33">
        <f>VLOOKUP(J4721,辅助信息!H:I,2,FALSE)</f>
        <v>13980880820</v>
      </c>
      <c r="L4721" s="102"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55" t="str">
        <f ca="1" t="shared" si="230"/>
        <v/>
      </c>
      <c r="P4721" s="55" t="str">
        <f ca="1" t="shared" si="231"/>
        <v/>
      </c>
      <c r="Q4721" s="22" t="str">
        <f>VLOOKUP(B4721,辅助信息!E:M,9,FALSE)</f>
        <v>ZTWM-CDGS-XS-2025-0073-五冶天府-成都怡心湖片区及龙泉驿医院等项目</v>
      </c>
      <c r="R4721" s="22" t="str">
        <f>_xlfn._xlws.FILTER(辅助信息!D:D,辅助信息!E:E=B4721)</f>
        <v>五冶建设师大附中外语校新建教学楼工程</v>
      </c>
    </row>
    <row r="4722" hidden="1" spans="2:18">
      <c r="B4722" s="128" t="s">
        <v>196</v>
      </c>
      <c r="C4722" s="63">
        <v>45949</v>
      </c>
      <c r="D4722" s="33" t="str">
        <f>VLOOKUP(B4722,辅助信息!E:K,7,FALSE)</f>
        <v>JWDDCD2025102100476</v>
      </c>
      <c r="E4722" s="33" t="str">
        <f>VLOOKUP(F4722,辅助信息!A:B,2,FALSE)</f>
        <v>螺纹钢</v>
      </c>
      <c r="F4722" s="33" t="s">
        <v>22</v>
      </c>
      <c r="G4722" s="29">
        <v>10</v>
      </c>
      <c r="H4722" s="127">
        <f>IF(SUMIFS('[1]2025年已发货'!$E:$E,'[1]2025年已发货'!$F:$F,C4722,'[1]2025年已发货'!$C:$C,F4722,'[1]2025年已发货'!$G:$G,I4722,'[1]2025年已发货'!$H:$H,J4722)=0,"未发货",SUMIFS('[1]2025年已发货'!$E:$E,'[1]2025年已发货'!$F:$F,C4722,'[1]2025年已发货'!$C:$C,F4722,'[1]2025年已发货'!$G:$G,I4722,'[1]2025年已发货'!$H:$H,J4722))</f>
        <v>10</v>
      </c>
      <c r="I4722" s="33" t="str">
        <f>VLOOKUP(B4722,辅助信息!E:I,3,FALSE)</f>
        <v>(五冶建设师大附中外语校新建教学楼工程)四川省成都市成华区大观堰2号(四川师范大学附属中学外国语学校)</v>
      </c>
      <c r="J4722" s="33" t="str">
        <f>VLOOKUP(B4722,辅助信息!E:I,4,FALSE)</f>
        <v>蔡浩</v>
      </c>
      <c r="K4722" s="33">
        <f>VLOOKUP(J4722,辅助信息!H:I,2,FALSE)</f>
        <v>13980880820</v>
      </c>
      <c r="L4722" s="102"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55" t="str">
        <f ca="1" t="shared" si="230"/>
        <v/>
      </c>
      <c r="P4722" s="55" t="str">
        <f ca="1" t="shared" si="231"/>
        <v/>
      </c>
      <c r="Q4722" s="22" t="str">
        <f>VLOOKUP(B4722,辅助信息!E:M,9,FALSE)</f>
        <v>ZTWM-CDGS-XS-2025-0073-五冶天府-成都怡心湖片区及龙泉驿医院等项目</v>
      </c>
      <c r="R4722" s="22" t="str">
        <f>_xlfn._xlws.FILTER(辅助信息!D:D,辅助信息!E:E=B4722)</f>
        <v>五冶建设师大附中外语校新建教学楼工程</v>
      </c>
    </row>
    <row r="4723" hidden="1" spans="2:18">
      <c r="B4723" s="128" t="s">
        <v>163</v>
      </c>
      <c r="C4723" s="63">
        <v>45950</v>
      </c>
      <c r="D4723" s="33" t="str">
        <f>VLOOKUP(B4723,辅助信息!E:K,7,FALSE)</f>
        <v>JWDDCD2025052800131</v>
      </c>
      <c r="E4723" s="33" t="str">
        <f>VLOOKUP(F4723,辅助信息!A:B,2,FALSE)</f>
        <v>盘螺</v>
      </c>
      <c r="F4723" s="33" t="s">
        <v>49</v>
      </c>
      <c r="G4723" s="29">
        <v>18</v>
      </c>
      <c r="H4723" s="127"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33" t="str">
        <f>VLOOKUP(B4723,辅助信息!E:I,3,FALSE)</f>
        <v>（商投建工达州中医药科技园-4工区-9号楼）达州市通川区达州中医药职业学院犀牛大道北段</v>
      </c>
      <c r="J4723" s="33" t="str">
        <f>VLOOKUP(B4723,辅助信息!E:I,4,FALSE)</f>
        <v>张扬</v>
      </c>
      <c r="K4723" s="33">
        <f>VLOOKUP(J4723,辅助信息!H:I,2,FALSE)</f>
        <v>18381904567</v>
      </c>
      <c r="L4723" s="102" t="str">
        <f>VLOOKUP(B4723,辅助信息!E:J,6,FALSE)</f>
        <v>控制炉批号！多了现场不收！,优先安排达钢,提前联系到场规格及数量</v>
      </c>
      <c r="M4723" s="84">
        <v>45949</v>
      </c>
      <c r="O4723" s="55">
        <f ca="1" t="shared" si="230"/>
        <v>0</v>
      </c>
      <c r="P4723" s="55">
        <f ca="1" t="shared" si="231"/>
        <v>8</v>
      </c>
      <c r="Q4723" s="22" t="str">
        <f>VLOOKUP(B4723,辅助信息!E:M,9,FALSE)</f>
        <v>ZTWM-CDGS-XS-2024-0134-商投建工达州中医药科技成果示范园项目</v>
      </c>
      <c r="R4723" s="22" t="str">
        <f>_xlfn._xlws.FILTER(辅助信息!D:D,辅助信息!E:E=B4723)</f>
        <v>商投建工达州中医药科技园</v>
      </c>
    </row>
    <row r="4724" hidden="1" spans="2:18">
      <c r="B4724" s="128" t="s">
        <v>163</v>
      </c>
      <c r="C4724" s="63">
        <v>45950</v>
      </c>
      <c r="D4724" s="33" t="str">
        <f>VLOOKUP(B4724,辅助信息!E:K,7,FALSE)</f>
        <v>JWDDCD2025052800131</v>
      </c>
      <c r="E4724" s="33" t="str">
        <f>VLOOKUP(F4724,辅助信息!A:B,2,FALSE)</f>
        <v>盘螺</v>
      </c>
      <c r="F4724" s="33" t="s">
        <v>40</v>
      </c>
      <c r="G4724" s="29">
        <v>18</v>
      </c>
      <c r="H4724" s="127">
        <f>IF(SUMIFS('[1]2025年已发货'!$E:$E,'[1]2025年已发货'!$F:$F,C4724,'[1]2025年已发货'!$C:$C,F4724,'[1]2025年已发货'!$G:$G,I4724,'[1]2025年已发货'!$H:$H,J4724)=0,"未发货",SUMIFS('[1]2025年已发货'!$E:$E,'[1]2025年已发货'!$F:$F,C4724,'[1]2025年已发货'!$C:$C,F4724,'[1]2025年已发货'!$G:$G,I4724,'[1]2025年已发货'!$H:$H,J4724))</f>
        <v>18</v>
      </c>
      <c r="I4724" s="33" t="str">
        <f>VLOOKUP(B4724,辅助信息!E:I,3,FALSE)</f>
        <v>（商投建工达州中医药科技园-4工区-9号楼）达州市通川区达州中医药职业学院犀牛大道北段</v>
      </c>
      <c r="J4724" s="33" t="str">
        <f>VLOOKUP(B4724,辅助信息!E:I,4,FALSE)</f>
        <v>张扬</v>
      </c>
      <c r="K4724" s="33">
        <f>VLOOKUP(J4724,辅助信息!H:I,2,FALSE)</f>
        <v>18381904567</v>
      </c>
      <c r="L4724" s="102" t="str">
        <f>VLOOKUP(B4724,辅助信息!E:J,6,FALSE)</f>
        <v>控制炉批号！多了现场不收！,优先安排达钢,提前联系到场规格及数量</v>
      </c>
      <c r="M4724" s="84">
        <v>45949</v>
      </c>
      <c r="O4724" s="55">
        <f ca="1" t="shared" si="230"/>
        <v>0</v>
      </c>
      <c r="P4724" s="55">
        <f ca="1" t="shared" si="231"/>
        <v>8</v>
      </c>
      <c r="Q4724" s="22" t="str">
        <f>VLOOKUP(B4724,辅助信息!E:M,9,FALSE)</f>
        <v>ZTWM-CDGS-XS-2024-0134-商投建工达州中医药科技成果示范园项目</v>
      </c>
      <c r="R4724" s="22" t="str">
        <f>_xlfn._xlws.FILTER(辅助信息!D:D,辅助信息!E:E=B4724)</f>
        <v>商投建工达州中医药科技园</v>
      </c>
    </row>
    <row r="4725" hidden="1" spans="2:18">
      <c r="B4725" s="128" t="s">
        <v>163</v>
      </c>
      <c r="C4725" s="63">
        <v>45950</v>
      </c>
      <c r="D4725" s="33" t="str">
        <f>VLOOKUP(B4725,辅助信息!E:K,7,FALSE)</f>
        <v>JWDDCD2025052800131</v>
      </c>
      <c r="E4725" s="33" t="str">
        <f>VLOOKUP(F4725,辅助信息!A:B,2,FALSE)</f>
        <v>盘螺</v>
      </c>
      <c r="F4725" s="33" t="s">
        <v>41</v>
      </c>
      <c r="G4725" s="29">
        <v>18</v>
      </c>
      <c r="H4725" s="127">
        <f>IF(SUMIFS('[1]2025年已发货'!$E:$E,'[1]2025年已发货'!$F:$F,C4725,'[1]2025年已发货'!$C:$C,F4725,'[1]2025年已发货'!$G:$G,I4725,'[1]2025年已发货'!$H:$H,J4725)=0,"未发货",SUMIFS('[1]2025年已发货'!$E:$E,'[1]2025年已发货'!$F:$F,C4725,'[1]2025年已发货'!$C:$C,F4725,'[1]2025年已发货'!$G:$G,I4725,'[1]2025年已发货'!$H:$H,J4725))</f>
        <v>18</v>
      </c>
      <c r="I4725" s="33" t="str">
        <f>VLOOKUP(B4725,辅助信息!E:I,3,FALSE)</f>
        <v>（商投建工达州中医药科技园-4工区-9号楼）达州市通川区达州中医药职业学院犀牛大道北段</v>
      </c>
      <c r="J4725" s="33" t="str">
        <f>VLOOKUP(B4725,辅助信息!E:I,4,FALSE)</f>
        <v>张扬</v>
      </c>
      <c r="K4725" s="33">
        <f>VLOOKUP(J4725,辅助信息!H:I,2,FALSE)</f>
        <v>18381904567</v>
      </c>
      <c r="L4725" s="102" t="str">
        <f>VLOOKUP(B4725,辅助信息!E:J,6,FALSE)</f>
        <v>控制炉批号！多了现场不收！,优先安排达钢,提前联系到场规格及数量</v>
      </c>
      <c r="M4725" s="84">
        <v>45949</v>
      </c>
      <c r="O4725" s="55">
        <f ca="1" t="shared" si="230"/>
        <v>0</v>
      </c>
      <c r="P4725" s="55">
        <f ca="1" t="shared" si="231"/>
        <v>8</v>
      </c>
      <c r="Q4725" s="22" t="str">
        <f>VLOOKUP(B4725,辅助信息!E:M,9,FALSE)</f>
        <v>ZTWM-CDGS-XS-2024-0134-商投建工达州中医药科技成果示范园项目</v>
      </c>
      <c r="R4725" s="22" t="str">
        <f>_xlfn._xlws.FILTER(辅助信息!D:D,辅助信息!E:E=B4725)</f>
        <v>商投建工达州中医药科技园</v>
      </c>
    </row>
    <row r="4726" hidden="1" spans="2:18">
      <c r="B4726" s="51" t="s">
        <v>203</v>
      </c>
      <c r="C4726" s="63">
        <v>45949</v>
      </c>
      <c r="D4726" s="19" t="str">
        <f>VLOOKUP(B4726,辅助信息!E:K,7,FALSE)</f>
        <v>JWDDCD2025102100479</v>
      </c>
      <c r="E4726" s="19" t="str">
        <f>VLOOKUP(F4726,辅助信息!A:B,2,FALSE)</f>
        <v>高线</v>
      </c>
      <c r="F4726" s="19" t="s">
        <v>57</v>
      </c>
      <c r="G4726" s="52">
        <v>2</v>
      </c>
      <c r="H4726" s="127"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19" t="str">
        <f>VLOOKUP(B4726,辅助信息!E:I,3,FALSE)</f>
        <v>(五冶建设空港兴城怡心街道83亩项目)成都市双流区怡心街道高峰社区一组剑和路一段空港兴城怡心街道83亩项目中国五冶项目部</v>
      </c>
      <c r="J4726" s="19" t="str">
        <f>VLOOKUP(B4726,辅助信息!E:I,4,FALSE)</f>
        <v>王刚</v>
      </c>
      <c r="K4726" s="19">
        <f>VLOOKUP(J4726,辅助信息!H:I,2,FALSE)</f>
        <v>15881190525</v>
      </c>
      <c r="L4726" s="54"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55" t="str">
        <f ca="1" t="shared" si="230"/>
        <v/>
      </c>
      <c r="P4726" s="55" t="str">
        <f ca="1" t="shared" si="231"/>
        <v/>
      </c>
      <c r="Q4726" s="22" t="str">
        <f>VLOOKUP(B4726,辅助信息!E:M,9,FALSE)</f>
        <v>ZTWM-CDGS-XS-2025-0073-五冶天府-成都怡心湖片区及龙泉驿医院等项目</v>
      </c>
      <c r="R4726" s="22" t="str">
        <f>_xlfn._xlws.FILTER(辅助信息!D:D,辅助信息!E:E=B4726)</f>
        <v>五冶建设空港兴城怡心街道83亩项目</v>
      </c>
    </row>
    <row r="4727" hidden="1" spans="2:18">
      <c r="B4727" s="51" t="s">
        <v>203</v>
      </c>
      <c r="C4727" s="63">
        <v>45949</v>
      </c>
      <c r="D4727" s="19" t="str">
        <f>VLOOKUP(B4727,辅助信息!E:K,7,FALSE)</f>
        <v>JWDDCD2025102100479</v>
      </c>
      <c r="E4727" s="19" t="str">
        <f>VLOOKUP(F4727,辅助信息!A:B,2,FALSE)</f>
        <v>盘螺</v>
      </c>
      <c r="F4727" s="19" t="s">
        <v>49</v>
      </c>
      <c r="G4727" s="52">
        <v>2</v>
      </c>
      <c r="H4727" s="127"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19" t="str">
        <f>VLOOKUP(B4727,辅助信息!E:I,3,FALSE)</f>
        <v>(五冶建设空港兴城怡心街道83亩项目)成都市双流区怡心街道高峰社区一组剑和路一段空港兴城怡心街道83亩项目中国五冶项目部</v>
      </c>
      <c r="J4727" s="19" t="str">
        <f>VLOOKUP(B4727,辅助信息!E:I,4,FALSE)</f>
        <v>王刚</v>
      </c>
      <c r="K4727" s="19">
        <f>VLOOKUP(J4727,辅助信息!H:I,2,FALSE)</f>
        <v>15881190525</v>
      </c>
      <c r="L4727" s="54"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55" t="str">
        <f ca="1" t="shared" si="230"/>
        <v/>
      </c>
      <c r="P4727" s="55" t="str">
        <f ca="1" t="shared" si="231"/>
        <v/>
      </c>
      <c r="Q4727" s="22" t="str">
        <f>VLOOKUP(B4727,辅助信息!E:M,9,FALSE)</f>
        <v>ZTWM-CDGS-XS-2025-0073-五冶天府-成都怡心湖片区及龙泉驿医院等项目</v>
      </c>
      <c r="R4727" s="22" t="str">
        <f>_xlfn._xlws.FILTER(辅助信息!D:D,辅助信息!E:E=B4727)</f>
        <v>五冶建设空港兴城怡心街道83亩项目</v>
      </c>
    </row>
    <row r="4728" hidden="1" spans="2:18">
      <c r="B4728" s="51" t="s">
        <v>203</v>
      </c>
      <c r="C4728" s="63">
        <v>45949</v>
      </c>
      <c r="D4728" s="19" t="str">
        <f>VLOOKUP(B4728,辅助信息!E:K,7,FALSE)</f>
        <v>JWDDCD2025102100479</v>
      </c>
      <c r="E4728" s="19" t="str">
        <f>VLOOKUP(F4728,辅助信息!A:B,2,FALSE)</f>
        <v>盘螺</v>
      </c>
      <c r="F4728" s="19" t="s">
        <v>40</v>
      </c>
      <c r="G4728" s="52">
        <v>12</v>
      </c>
      <c r="H4728" s="127"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19" t="str">
        <f>VLOOKUP(B4728,辅助信息!E:I,3,FALSE)</f>
        <v>(五冶建设空港兴城怡心街道83亩项目)成都市双流区怡心街道高峰社区一组剑和路一段空港兴城怡心街道83亩项目中国五冶项目部</v>
      </c>
      <c r="J4728" s="19" t="str">
        <f>VLOOKUP(B4728,辅助信息!E:I,4,FALSE)</f>
        <v>王刚</v>
      </c>
      <c r="K4728" s="19">
        <f>VLOOKUP(J4728,辅助信息!H:I,2,FALSE)</f>
        <v>15881190525</v>
      </c>
      <c r="L4728" s="54"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55" t="str">
        <f ca="1" t="shared" si="230"/>
        <v/>
      </c>
      <c r="P4728" s="55" t="str">
        <f ca="1" t="shared" si="231"/>
        <v/>
      </c>
      <c r="Q4728" s="22" t="str">
        <f>VLOOKUP(B4728,辅助信息!E:M,9,FALSE)</f>
        <v>ZTWM-CDGS-XS-2025-0073-五冶天府-成都怡心湖片区及龙泉驿医院等项目</v>
      </c>
      <c r="R4728" s="22" t="str">
        <f>_xlfn._xlws.FILTER(辅助信息!D:D,辅助信息!E:E=B4728)</f>
        <v>五冶建设空港兴城怡心街道83亩项目</v>
      </c>
    </row>
    <row r="4729" hidden="1" spans="2:18">
      <c r="B4729" s="51" t="s">
        <v>203</v>
      </c>
      <c r="C4729" s="63">
        <v>45949</v>
      </c>
      <c r="D4729" s="19" t="str">
        <f>VLOOKUP(B4729,辅助信息!E:K,7,FALSE)</f>
        <v>JWDDCD2025102100479</v>
      </c>
      <c r="E4729" s="19" t="str">
        <f>VLOOKUP(F4729,辅助信息!A:B,2,FALSE)</f>
        <v>盘螺</v>
      </c>
      <c r="F4729" s="19" t="s">
        <v>41</v>
      </c>
      <c r="G4729" s="52">
        <v>8</v>
      </c>
      <c r="H4729" s="127"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19" t="str">
        <f>VLOOKUP(B4729,辅助信息!E:I,3,FALSE)</f>
        <v>(五冶建设空港兴城怡心街道83亩项目)成都市双流区怡心街道高峰社区一组剑和路一段空港兴城怡心街道83亩项目中国五冶项目部</v>
      </c>
      <c r="J4729" s="19" t="str">
        <f>VLOOKUP(B4729,辅助信息!E:I,4,FALSE)</f>
        <v>王刚</v>
      </c>
      <c r="K4729" s="19">
        <f>VLOOKUP(J4729,辅助信息!H:I,2,FALSE)</f>
        <v>15881190525</v>
      </c>
      <c r="L4729" s="54"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55" t="str">
        <f ca="1" t="shared" si="230"/>
        <v/>
      </c>
      <c r="P4729" s="55" t="str">
        <f ca="1" t="shared" si="231"/>
        <v/>
      </c>
      <c r="Q4729" s="22" t="str">
        <f>VLOOKUP(B4729,辅助信息!E:M,9,FALSE)</f>
        <v>ZTWM-CDGS-XS-2025-0073-五冶天府-成都怡心湖片区及龙泉驿医院等项目</v>
      </c>
      <c r="R4729" s="22" t="str">
        <f>_xlfn._xlws.FILTER(辅助信息!D:D,辅助信息!E:E=B4729)</f>
        <v>五冶建设空港兴城怡心街道83亩项目</v>
      </c>
    </row>
    <row r="4730" hidden="1" spans="2:18">
      <c r="B4730" s="51" t="s">
        <v>203</v>
      </c>
      <c r="C4730" s="63">
        <v>45949</v>
      </c>
      <c r="D4730" s="19" t="str">
        <f>VLOOKUP(B4730,辅助信息!E:K,7,FALSE)</f>
        <v>JWDDCD2025102100479</v>
      </c>
      <c r="E4730" s="19" t="str">
        <f>VLOOKUP(F4730,辅助信息!A:B,2,FALSE)</f>
        <v>螺纹钢</v>
      </c>
      <c r="F4730" s="19" t="s">
        <v>27</v>
      </c>
      <c r="G4730" s="52">
        <v>20</v>
      </c>
      <c r="H4730" s="127">
        <v>3</v>
      </c>
      <c r="I4730" s="19" t="str">
        <f>VLOOKUP(B4730,辅助信息!E:I,3,FALSE)</f>
        <v>(五冶建设空港兴城怡心街道83亩项目)成都市双流区怡心街道高峰社区一组剑和路一段空港兴城怡心街道83亩项目中国五冶项目部</v>
      </c>
      <c r="J4730" s="19" t="str">
        <f>VLOOKUP(B4730,辅助信息!E:I,4,FALSE)</f>
        <v>王刚</v>
      </c>
      <c r="K4730" s="19">
        <f>VLOOKUP(J4730,辅助信息!H:I,2,FALSE)</f>
        <v>15881190525</v>
      </c>
      <c r="L4730" s="54"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55" t="str">
        <f ca="1" t="shared" si="230"/>
        <v/>
      </c>
      <c r="P4730" s="55" t="str">
        <f ca="1" t="shared" si="231"/>
        <v/>
      </c>
      <c r="Q4730" s="22" t="str">
        <f>VLOOKUP(B4730,辅助信息!E:M,9,FALSE)</f>
        <v>ZTWM-CDGS-XS-2025-0073-五冶天府-成都怡心湖片区及龙泉驿医院等项目</v>
      </c>
      <c r="R4730" s="22" t="str">
        <f>_xlfn._xlws.FILTER(辅助信息!D:D,辅助信息!E:E=B4730)</f>
        <v>五冶建设空港兴城怡心街道83亩项目</v>
      </c>
    </row>
    <row r="4731" hidden="1" spans="2:18">
      <c r="B4731" s="51" t="s">
        <v>203</v>
      </c>
      <c r="C4731" s="63">
        <v>45949</v>
      </c>
      <c r="D4731" s="19" t="str">
        <f>VLOOKUP(B4731,辅助信息!E:K,7,FALSE)</f>
        <v>JWDDCD2025102100479</v>
      </c>
      <c r="E4731" s="19" t="str">
        <f>VLOOKUP(F4731,辅助信息!A:B,2,FALSE)</f>
        <v>螺纹钢</v>
      </c>
      <c r="F4731" s="19" t="s">
        <v>19</v>
      </c>
      <c r="G4731" s="52">
        <v>30</v>
      </c>
      <c r="H4731" s="127">
        <f>IF(SUMIFS('[1]2025年已发货'!$E:$E,'[1]2025年已发货'!$F:$F,C4731,'[1]2025年已发货'!$C:$C,F4731,'[1]2025年已发货'!$G:$G,I4731,'[1]2025年已发货'!$H:$H,J4731)=0,"未发货",SUMIFS('[1]2025年已发货'!$E:$E,'[1]2025年已发货'!$F:$F,C4731,'[1]2025年已发货'!$C:$C,F4731,'[1]2025年已发货'!$G:$G,I4731,'[1]2025年已发货'!$H:$H,J4731))</f>
        <v>19</v>
      </c>
      <c r="I4731" s="19" t="str">
        <f>VLOOKUP(B4731,辅助信息!E:I,3,FALSE)</f>
        <v>(五冶建设空港兴城怡心街道83亩项目)成都市双流区怡心街道高峰社区一组剑和路一段空港兴城怡心街道83亩项目中国五冶项目部</v>
      </c>
      <c r="J4731" s="19" t="str">
        <f>VLOOKUP(B4731,辅助信息!E:I,4,FALSE)</f>
        <v>王刚</v>
      </c>
      <c r="K4731" s="19">
        <f>VLOOKUP(J4731,辅助信息!H:I,2,FALSE)</f>
        <v>15881190525</v>
      </c>
      <c r="L4731" s="54"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55" t="str">
        <f ca="1" t="shared" si="230"/>
        <v/>
      </c>
      <c r="P4731" s="55" t="str">
        <f ca="1" t="shared" si="231"/>
        <v/>
      </c>
      <c r="Q4731" s="22" t="str">
        <f>VLOOKUP(B4731,辅助信息!E:M,9,FALSE)</f>
        <v>ZTWM-CDGS-XS-2025-0073-五冶天府-成都怡心湖片区及龙泉驿医院等项目</v>
      </c>
      <c r="R4731" s="22" t="str">
        <f>_xlfn._xlws.FILTER(辅助信息!D:D,辅助信息!E:E=B4731)</f>
        <v>五冶建设空港兴城怡心街道83亩项目</v>
      </c>
    </row>
    <row r="4732" hidden="1" spans="2:18">
      <c r="B4732" s="51" t="s">
        <v>203</v>
      </c>
      <c r="C4732" s="63">
        <v>45949</v>
      </c>
      <c r="D4732" s="19" t="str">
        <f>VLOOKUP(B4732,辅助信息!E:K,7,FALSE)</f>
        <v>JWDDCD2025102100479</v>
      </c>
      <c r="E4732" s="19" t="str">
        <f>VLOOKUP(F4732,辅助信息!A:B,2,FALSE)</f>
        <v>螺纹钢</v>
      </c>
      <c r="F4732" s="19" t="s">
        <v>32</v>
      </c>
      <c r="G4732" s="52">
        <v>10</v>
      </c>
      <c r="H4732" s="127"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19" t="str">
        <f>VLOOKUP(B4732,辅助信息!E:I,3,FALSE)</f>
        <v>(五冶建设空港兴城怡心街道83亩项目)成都市双流区怡心街道高峰社区一组剑和路一段空港兴城怡心街道83亩项目中国五冶项目部</v>
      </c>
      <c r="J4732" s="19" t="str">
        <f>VLOOKUP(B4732,辅助信息!E:I,4,FALSE)</f>
        <v>王刚</v>
      </c>
      <c r="K4732" s="19">
        <f>VLOOKUP(J4732,辅助信息!H:I,2,FALSE)</f>
        <v>15881190525</v>
      </c>
      <c r="L4732" s="54"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55" t="str">
        <f ca="1" t="shared" si="230"/>
        <v/>
      </c>
      <c r="P4732" s="55" t="str">
        <f ca="1" t="shared" si="231"/>
        <v/>
      </c>
      <c r="Q4732" s="22" t="str">
        <f>VLOOKUP(B4732,辅助信息!E:M,9,FALSE)</f>
        <v>ZTWM-CDGS-XS-2025-0073-五冶天府-成都怡心湖片区及龙泉驿医院等项目</v>
      </c>
      <c r="R4732" s="22" t="str">
        <f>_xlfn._xlws.FILTER(辅助信息!D:D,辅助信息!E:E=B4732)</f>
        <v>五冶建设空港兴城怡心街道83亩项目</v>
      </c>
    </row>
    <row r="4733" hidden="1" spans="2:18">
      <c r="B4733" s="51" t="s">
        <v>203</v>
      </c>
      <c r="C4733" s="63">
        <v>45949</v>
      </c>
      <c r="D4733" s="19" t="str">
        <f>VLOOKUP(B4733,辅助信息!E:K,7,FALSE)</f>
        <v>JWDDCD2025102100479</v>
      </c>
      <c r="E4733" s="19" t="str">
        <f>VLOOKUP(F4733,辅助信息!A:B,2,FALSE)</f>
        <v>螺纹钢</v>
      </c>
      <c r="F4733" s="19" t="s">
        <v>30</v>
      </c>
      <c r="G4733" s="52">
        <v>8</v>
      </c>
      <c r="H4733" s="127">
        <f>IF(SUMIFS('[1]2025年已发货'!$E:$E,'[1]2025年已发货'!$F:$F,C4733,'[1]2025年已发货'!$C:$C,F4733,'[1]2025年已发货'!$G:$G,I4733,'[1]2025年已发货'!$H:$H,J4733)=0,"未发货",SUMIFS('[1]2025年已发货'!$E:$E,'[1]2025年已发货'!$F:$F,C4733,'[1]2025年已发货'!$C:$C,F4733,'[1]2025年已发货'!$G:$G,I4733,'[1]2025年已发货'!$H:$H,J4733))</f>
        <v>8</v>
      </c>
      <c r="I4733" s="19" t="str">
        <f>VLOOKUP(B4733,辅助信息!E:I,3,FALSE)</f>
        <v>(五冶建设空港兴城怡心街道83亩项目)成都市双流区怡心街道高峰社区一组剑和路一段空港兴城怡心街道83亩项目中国五冶项目部</v>
      </c>
      <c r="J4733" s="19" t="str">
        <f>VLOOKUP(B4733,辅助信息!E:I,4,FALSE)</f>
        <v>王刚</v>
      </c>
      <c r="K4733" s="19">
        <f>VLOOKUP(J4733,辅助信息!H:I,2,FALSE)</f>
        <v>15881190525</v>
      </c>
      <c r="L4733" s="54"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55" t="str">
        <f ca="1" t="shared" si="230"/>
        <v/>
      </c>
      <c r="P4733" s="55" t="str">
        <f ca="1" t="shared" si="231"/>
        <v/>
      </c>
      <c r="Q4733" s="22" t="str">
        <f>VLOOKUP(B4733,辅助信息!E:M,9,FALSE)</f>
        <v>ZTWM-CDGS-XS-2025-0073-五冶天府-成都怡心湖片区及龙泉驿医院等项目</v>
      </c>
      <c r="R4733" s="22" t="str">
        <f>_xlfn._xlws.FILTER(辅助信息!D:D,辅助信息!E:E=B4733)</f>
        <v>五冶建设空港兴城怡心街道83亩项目</v>
      </c>
    </row>
    <row r="4734" hidden="1" spans="2:18">
      <c r="B4734" s="51" t="s">
        <v>203</v>
      </c>
      <c r="C4734" s="63">
        <v>45949</v>
      </c>
      <c r="D4734" s="19" t="str">
        <f>VLOOKUP(B4734,辅助信息!E:K,7,FALSE)</f>
        <v>JWDDCD2025102100479</v>
      </c>
      <c r="E4734" s="19" t="str">
        <f>VLOOKUP(F4734,辅助信息!A:B,2,FALSE)</f>
        <v>螺纹钢</v>
      </c>
      <c r="F4734" s="19" t="s">
        <v>33</v>
      </c>
      <c r="G4734" s="52">
        <v>10</v>
      </c>
      <c r="H4734" s="127"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19" t="str">
        <f>VLOOKUP(B4734,辅助信息!E:I,3,FALSE)</f>
        <v>(五冶建设空港兴城怡心街道83亩项目)成都市双流区怡心街道高峰社区一组剑和路一段空港兴城怡心街道83亩项目中国五冶项目部</v>
      </c>
      <c r="J4734" s="19" t="str">
        <f>VLOOKUP(B4734,辅助信息!E:I,4,FALSE)</f>
        <v>王刚</v>
      </c>
      <c r="K4734" s="19">
        <f>VLOOKUP(J4734,辅助信息!H:I,2,FALSE)</f>
        <v>15881190525</v>
      </c>
      <c r="L4734" s="54"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55" t="str">
        <f ca="1" t="shared" si="230"/>
        <v/>
      </c>
      <c r="P4734" s="55" t="str">
        <f ca="1" t="shared" si="231"/>
        <v/>
      </c>
      <c r="Q4734" s="22" t="str">
        <f>VLOOKUP(B4734,辅助信息!E:M,9,FALSE)</f>
        <v>ZTWM-CDGS-XS-2025-0073-五冶天府-成都怡心湖片区及龙泉驿医院等项目</v>
      </c>
      <c r="R4734" s="22" t="str">
        <f>_xlfn._xlws.FILTER(辅助信息!D:D,辅助信息!E:E=B4734)</f>
        <v>五冶建设空港兴城怡心街道83亩项目</v>
      </c>
    </row>
    <row r="4735" hidden="1" spans="2:18">
      <c r="B4735" s="51" t="s">
        <v>203</v>
      </c>
      <c r="C4735" s="63">
        <v>45949</v>
      </c>
      <c r="D4735" s="19" t="str">
        <f>VLOOKUP(B4735,辅助信息!E:K,7,FALSE)</f>
        <v>JWDDCD2025102100479</v>
      </c>
      <c r="E4735" s="19" t="str">
        <f>VLOOKUP(F4735,辅助信息!A:B,2,FALSE)</f>
        <v>螺纹钢</v>
      </c>
      <c r="F4735" s="19" t="s">
        <v>28</v>
      </c>
      <c r="G4735" s="52">
        <v>3</v>
      </c>
      <c r="H4735" s="127">
        <f>IF(SUMIFS('[1]2025年已发货'!$E:$E,'[1]2025年已发货'!$F:$F,C4735,'[1]2025年已发货'!$C:$C,F4735,'[1]2025年已发货'!$G:$G,I4735,'[1]2025年已发货'!$H:$H,J4735)=0,"未发货",SUMIFS('[1]2025年已发货'!$E:$E,'[1]2025年已发货'!$F:$F,C4735,'[1]2025年已发货'!$C:$C,F4735,'[1]2025年已发货'!$G:$G,I4735,'[1]2025年已发货'!$H:$H,J4735))</f>
        <v>3</v>
      </c>
      <c r="I4735" s="19" t="str">
        <f>VLOOKUP(B4735,辅助信息!E:I,3,FALSE)</f>
        <v>(五冶建设空港兴城怡心街道83亩项目)成都市双流区怡心街道高峰社区一组剑和路一段空港兴城怡心街道83亩项目中国五冶项目部</v>
      </c>
      <c r="J4735" s="19" t="str">
        <f>VLOOKUP(B4735,辅助信息!E:I,4,FALSE)</f>
        <v>王刚</v>
      </c>
      <c r="K4735" s="19">
        <f>VLOOKUP(J4735,辅助信息!H:I,2,FALSE)</f>
        <v>15881190525</v>
      </c>
      <c r="L4735" s="54"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55" t="str">
        <f ca="1" t="shared" si="230"/>
        <v/>
      </c>
      <c r="P4735" s="55" t="str">
        <f ca="1" t="shared" si="231"/>
        <v/>
      </c>
      <c r="Q4735" s="22" t="str">
        <f>VLOOKUP(B4735,辅助信息!E:M,9,FALSE)</f>
        <v>ZTWM-CDGS-XS-2025-0073-五冶天府-成都怡心湖片区及龙泉驿医院等项目</v>
      </c>
      <c r="R4735" s="22" t="str">
        <f>_xlfn._xlws.FILTER(辅助信息!D:D,辅助信息!E:E=B4735)</f>
        <v>五冶建设空港兴城怡心街道83亩项目</v>
      </c>
    </row>
    <row r="4736" hidden="1" spans="2:18">
      <c r="B4736" s="51" t="s">
        <v>203</v>
      </c>
      <c r="C4736" s="77">
        <v>45949</v>
      </c>
      <c r="D4736" s="19" t="str">
        <f>VLOOKUP(B4736,辅助信息!E:K,7,FALSE)</f>
        <v>JWDDCD2025102100479</v>
      </c>
      <c r="E4736" s="19" t="str">
        <f>VLOOKUP(F4736,辅助信息!A:B,2,FALSE)</f>
        <v>螺纹钢</v>
      </c>
      <c r="F4736" s="19" t="s">
        <v>18</v>
      </c>
      <c r="G4736" s="52">
        <v>3</v>
      </c>
      <c r="H4736" s="131">
        <f>IF(SUMIFS('[1]2025年已发货'!$E:$E,'[1]2025年已发货'!$F:$F,C4736,'[1]2025年已发货'!$C:$C,F4736,'[1]2025年已发货'!$G:$G,I4736,'[1]2025年已发货'!$H:$H,J4736)=0,"未发货",SUMIFS('[1]2025年已发货'!$E:$E,'[1]2025年已发货'!$F:$F,C4736,'[1]2025年已发货'!$C:$C,F4736,'[1]2025年已发货'!$G:$G,I4736,'[1]2025年已发货'!$H:$H,J4736))</f>
        <v>3</v>
      </c>
      <c r="I4736" s="19" t="str">
        <f>VLOOKUP(B4736,辅助信息!E:I,3,FALSE)</f>
        <v>(五冶建设空港兴城怡心街道83亩项目)成都市双流区怡心街道高峰社区一组剑和路一段空港兴城怡心街道83亩项目中国五冶项目部</v>
      </c>
      <c r="J4736" s="19" t="str">
        <f>VLOOKUP(B4736,辅助信息!E:I,4,FALSE)</f>
        <v>王刚</v>
      </c>
      <c r="K4736" s="19">
        <f>VLOOKUP(J4736,辅助信息!H:I,2,FALSE)</f>
        <v>15881190525</v>
      </c>
      <c r="L4736" s="54"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55" t="str">
        <f ca="1" t="shared" si="230"/>
        <v/>
      </c>
      <c r="P4736" s="55" t="str">
        <f ca="1" t="shared" si="231"/>
        <v/>
      </c>
      <c r="Q4736" s="22" t="str">
        <f>VLOOKUP(B4736,辅助信息!E:M,9,FALSE)</f>
        <v>ZTWM-CDGS-XS-2025-0073-五冶天府-成都怡心湖片区及龙泉驿医院等项目</v>
      </c>
      <c r="R4736" s="22" t="str">
        <f>_xlfn._xlws.FILTER(辅助信息!D:D,辅助信息!E:E=B4736)</f>
        <v>五冶建设空港兴城怡心街道83亩项目</v>
      </c>
    </row>
    <row r="4737" hidden="1" spans="2:18">
      <c r="B4737" s="128" t="s">
        <v>203</v>
      </c>
      <c r="C4737" s="63">
        <v>45950</v>
      </c>
      <c r="D4737" s="33" t="str">
        <f>VLOOKUP(B4737,辅助信息!E:K,7,FALSE)</f>
        <v>JWDDCD2025102100479</v>
      </c>
      <c r="E4737" s="33" t="str">
        <f>VLOOKUP(F4737,辅助信息!A:B,2,FALSE)</f>
        <v>高线</v>
      </c>
      <c r="F4737" s="33" t="s">
        <v>57</v>
      </c>
      <c r="G4737" s="29">
        <v>2</v>
      </c>
      <c r="H4737" s="127"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33" t="str">
        <f>VLOOKUP(B4737,辅助信息!E:I,3,FALSE)</f>
        <v>(五冶建设空港兴城怡心街道83亩项目)成都市双流区怡心街道高峰社区一组剑和路一段空港兴城怡心街道83亩项目中国五冶项目部</v>
      </c>
      <c r="J4737" s="33" t="str">
        <f>VLOOKUP(B4737,辅助信息!E:I,4,FALSE)</f>
        <v>王刚</v>
      </c>
      <c r="K4737" s="33">
        <f>VLOOKUP(J4737,辅助信息!H:I,2,FALSE)</f>
        <v>15881190525</v>
      </c>
      <c r="L4737" s="102"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84">
        <v>45949</v>
      </c>
      <c r="O4737" s="55">
        <f ca="1" t="shared" si="230"/>
        <v>0</v>
      </c>
      <c r="P4737" s="55">
        <f ca="1" t="shared" si="231"/>
        <v>8</v>
      </c>
      <c r="Q4737" s="22" t="str">
        <f>VLOOKUP(B4737,辅助信息!E:M,9,FALSE)</f>
        <v>ZTWM-CDGS-XS-2025-0073-五冶天府-成都怡心湖片区及龙泉驿医院等项目</v>
      </c>
      <c r="R4737" s="22" t="str">
        <f>_xlfn._xlws.FILTER(辅助信息!D:D,辅助信息!E:E=B4737)</f>
        <v>五冶建设空港兴城怡心街道83亩项目</v>
      </c>
    </row>
    <row r="4738" hidden="1" spans="2:18">
      <c r="B4738" s="128" t="s">
        <v>203</v>
      </c>
      <c r="C4738" s="63">
        <v>45950</v>
      </c>
      <c r="D4738" s="33" t="str">
        <f>VLOOKUP(B4738,辅助信息!E:K,7,FALSE)</f>
        <v>JWDDCD2025102100479</v>
      </c>
      <c r="E4738" s="33" t="str">
        <f>VLOOKUP(F4738,辅助信息!A:B,2,FALSE)</f>
        <v>盘螺</v>
      </c>
      <c r="F4738" s="33" t="s">
        <v>49</v>
      </c>
      <c r="G4738" s="29">
        <v>2</v>
      </c>
      <c r="H4738" s="127"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33" t="str">
        <f>VLOOKUP(B4738,辅助信息!E:I,3,FALSE)</f>
        <v>(五冶建设空港兴城怡心街道83亩项目)成都市双流区怡心街道高峰社区一组剑和路一段空港兴城怡心街道83亩项目中国五冶项目部</v>
      </c>
      <c r="J4738" s="33" t="str">
        <f>VLOOKUP(B4738,辅助信息!E:I,4,FALSE)</f>
        <v>王刚</v>
      </c>
      <c r="K4738" s="33">
        <f>VLOOKUP(J4738,辅助信息!H:I,2,FALSE)</f>
        <v>15881190525</v>
      </c>
      <c r="L4738" s="102"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84">
        <v>45949</v>
      </c>
      <c r="O4738" s="55">
        <f ca="1" t="shared" si="230"/>
        <v>0</v>
      </c>
      <c r="P4738" s="55">
        <f ca="1" t="shared" si="231"/>
        <v>8</v>
      </c>
      <c r="Q4738" s="22" t="str">
        <f>VLOOKUP(B4738,辅助信息!E:M,9,FALSE)</f>
        <v>ZTWM-CDGS-XS-2025-0073-五冶天府-成都怡心湖片区及龙泉驿医院等项目</v>
      </c>
      <c r="R4738" s="22" t="str">
        <f>_xlfn._xlws.FILTER(辅助信息!D:D,辅助信息!E:E=B4738)</f>
        <v>五冶建设空港兴城怡心街道83亩项目</v>
      </c>
    </row>
    <row r="4739" hidden="1" spans="2:18">
      <c r="B4739" s="128" t="s">
        <v>203</v>
      </c>
      <c r="C4739" s="63">
        <v>45950</v>
      </c>
      <c r="D4739" s="33" t="str">
        <f>VLOOKUP(B4739,辅助信息!E:K,7,FALSE)</f>
        <v>JWDDCD2025102100479</v>
      </c>
      <c r="E4739" s="33" t="str">
        <f>VLOOKUP(F4739,辅助信息!A:B,2,FALSE)</f>
        <v>盘螺</v>
      </c>
      <c r="F4739" s="33" t="s">
        <v>40</v>
      </c>
      <c r="G4739" s="29">
        <v>12</v>
      </c>
      <c r="H4739" s="127"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33" t="str">
        <f>VLOOKUP(B4739,辅助信息!E:I,3,FALSE)</f>
        <v>(五冶建设空港兴城怡心街道83亩项目)成都市双流区怡心街道高峰社区一组剑和路一段空港兴城怡心街道83亩项目中国五冶项目部</v>
      </c>
      <c r="J4739" s="33" t="str">
        <f>VLOOKUP(B4739,辅助信息!E:I,4,FALSE)</f>
        <v>王刚</v>
      </c>
      <c r="K4739" s="33">
        <f>VLOOKUP(J4739,辅助信息!H:I,2,FALSE)</f>
        <v>15881190525</v>
      </c>
      <c r="L4739" s="102"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84">
        <v>45949</v>
      </c>
      <c r="O4739" s="55">
        <f ca="1" t="shared" si="230"/>
        <v>0</v>
      </c>
      <c r="P4739" s="55">
        <f ca="1" t="shared" si="231"/>
        <v>8</v>
      </c>
      <c r="Q4739" s="22" t="str">
        <f>VLOOKUP(B4739,辅助信息!E:M,9,FALSE)</f>
        <v>ZTWM-CDGS-XS-2025-0073-五冶天府-成都怡心湖片区及龙泉驿医院等项目</v>
      </c>
      <c r="R4739" s="22" t="str">
        <f>_xlfn._xlws.FILTER(辅助信息!D:D,辅助信息!E:E=B4739)</f>
        <v>五冶建设空港兴城怡心街道83亩项目</v>
      </c>
    </row>
    <row r="4740" hidden="1" spans="2:18">
      <c r="B4740" s="128" t="s">
        <v>203</v>
      </c>
      <c r="C4740" s="63">
        <v>45950</v>
      </c>
      <c r="D4740" s="33" t="str">
        <f>VLOOKUP(B4740,辅助信息!E:K,7,FALSE)</f>
        <v>JWDDCD2025102100479</v>
      </c>
      <c r="E4740" s="33" t="str">
        <f>VLOOKUP(F4740,辅助信息!A:B,2,FALSE)</f>
        <v>盘螺</v>
      </c>
      <c r="F4740" s="33" t="s">
        <v>41</v>
      </c>
      <c r="G4740" s="29">
        <v>8</v>
      </c>
      <c r="H4740" s="127"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33" t="str">
        <f>VLOOKUP(B4740,辅助信息!E:I,3,FALSE)</f>
        <v>(五冶建设空港兴城怡心街道83亩项目)成都市双流区怡心街道高峰社区一组剑和路一段空港兴城怡心街道83亩项目中国五冶项目部</v>
      </c>
      <c r="J4740" s="33" t="str">
        <f>VLOOKUP(B4740,辅助信息!E:I,4,FALSE)</f>
        <v>王刚</v>
      </c>
      <c r="K4740" s="33">
        <f>VLOOKUP(J4740,辅助信息!H:I,2,FALSE)</f>
        <v>15881190525</v>
      </c>
      <c r="L4740" s="102"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84">
        <v>45949</v>
      </c>
      <c r="O4740" s="55">
        <f ca="1" t="shared" si="230"/>
        <v>0</v>
      </c>
      <c r="P4740" s="55">
        <f ca="1" t="shared" si="231"/>
        <v>8</v>
      </c>
      <c r="Q4740" s="22" t="str">
        <f>VLOOKUP(B4740,辅助信息!E:M,9,FALSE)</f>
        <v>ZTWM-CDGS-XS-2025-0073-五冶天府-成都怡心湖片区及龙泉驿医院等项目</v>
      </c>
      <c r="R4740" s="22" t="str">
        <f>_xlfn._xlws.FILTER(辅助信息!D:D,辅助信息!E:E=B4740)</f>
        <v>五冶建设空港兴城怡心街道83亩项目</v>
      </c>
    </row>
    <row r="4741" hidden="1" spans="2:18">
      <c r="B4741" s="128" t="s">
        <v>203</v>
      </c>
      <c r="C4741" s="63">
        <v>45950</v>
      </c>
      <c r="D4741" s="33" t="str">
        <f>VLOOKUP(B4741,辅助信息!E:K,7,FALSE)</f>
        <v>JWDDCD2025102100479</v>
      </c>
      <c r="E4741" s="33" t="str">
        <f>VLOOKUP(F4741,辅助信息!A:B,2,FALSE)</f>
        <v>螺纹钢</v>
      </c>
      <c r="F4741" s="33" t="s">
        <v>27</v>
      </c>
      <c r="G4741" s="29">
        <v>17</v>
      </c>
      <c r="H4741" s="127">
        <f>IF(SUMIFS('[1]2025年已发货'!$E:$E,'[1]2025年已发货'!$F:$F,C4741,'[1]2025年已发货'!$C:$C,F4741,'[1]2025年已发货'!$G:$G,I4741,'[1]2025年已发货'!$H:$H,J4741)=0,"未发货",SUMIFS('[1]2025年已发货'!$E:$E,'[1]2025年已发货'!$F:$F,C4741,'[1]2025年已发货'!$C:$C,F4741,'[1]2025年已发货'!$G:$G,I4741,'[1]2025年已发货'!$H:$H,J4741))</f>
        <v>17</v>
      </c>
      <c r="I4741" s="33" t="str">
        <f>VLOOKUP(B4741,辅助信息!E:I,3,FALSE)</f>
        <v>(五冶建设空港兴城怡心街道83亩项目)成都市双流区怡心街道高峰社区一组剑和路一段空港兴城怡心街道83亩项目中国五冶项目部</v>
      </c>
      <c r="J4741" s="33" t="str">
        <f>VLOOKUP(B4741,辅助信息!E:I,4,FALSE)</f>
        <v>王刚</v>
      </c>
      <c r="K4741" s="33">
        <f>VLOOKUP(J4741,辅助信息!H:I,2,FALSE)</f>
        <v>15881190525</v>
      </c>
      <c r="L4741" s="102"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84">
        <v>45949</v>
      </c>
      <c r="O4741" s="55">
        <f ca="1" t="shared" si="230"/>
        <v>0</v>
      </c>
      <c r="P4741" s="55">
        <f ca="1" t="shared" si="231"/>
        <v>8</v>
      </c>
      <c r="Q4741" s="22" t="str">
        <f>VLOOKUP(B4741,辅助信息!E:M,9,FALSE)</f>
        <v>ZTWM-CDGS-XS-2025-0073-五冶天府-成都怡心湖片区及龙泉驿医院等项目</v>
      </c>
      <c r="R4741" s="22" t="str">
        <f>_xlfn._xlws.FILTER(辅助信息!D:D,辅助信息!E:E=B4741)</f>
        <v>五冶建设空港兴城怡心街道83亩项目</v>
      </c>
    </row>
    <row r="4742" hidden="1" spans="2:18">
      <c r="B4742" s="128" t="s">
        <v>203</v>
      </c>
      <c r="C4742" s="63">
        <v>45950</v>
      </c>
      <c r="D4742" s="33" t="str">
        <f>VLOOKUP(B4742,辅助信息!E:K,7,FALSE)</f>
        <v>JWDDCD2025102100479</v>
      </c>
      <c r="E4742" s="33" t="str">
        <f>VLOOKUP(F4742,辅助信息!A:B,2,FALSE)</f>
        <v>螺纹钢</v>
      </c>
      <c r="F4742" s="33" t="s">
        <v>19</v>
      </c>
      <c r="G4742" s="29">
        <v>11</v>
      </c>
      <c r="H4742" s="127">
        <f>IF(SUMIFS('[1]2025年已发货'!$E:$E,'[1]2025年已发货'!$F:$F,C4742,'[1]2025年已发货'!$C:$C,F4742,'[1]2025年已发货'!$G:$G,I4742,'[1]2025年已发货'!$H:$H,J4742)=0,"未发货",SUMIFS('[1]2025年已发货'!$E:$E,'[1]2025年已发货'!$F:$F,C4742,'[1]2025年已发货'!$C:$C,F4742,'[1]2025年已发货'!$G:$G,I4742,'[1]2025年已发货'!$H:$H,J4742))</f>
        <v>11</v>
      </c>
      <c r="I4742" s="33" t="str">
        <f>VLOOKUP(B4742,辅助信息!E:I,3,FALSE)</f>
        <v>(五冶建设空港兴城怡心街道83亩项目)成都市双流区怡心街道高峰社区一组剑和路一段空港兴城怡心街道83亩项目中国五冶项目部</v>
      </c>
      <c r="J4742" s="33" t="str">
        <f>VLOOKUP(B4742,辅助信息!E:I,4,FALSE)</f>
        <v>王刚</v>
      </c>
      <c r="K4742" s="33">
        <f>VLOOKUP(J4742,辅助信息!H:I,2,FALSE)</f>
        <v>15881190525</v>
      </c>
      <c r="L4742" s="102"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84">
        <v>45949</v>
      </c>
      <c r="O4742" s="55">
        <f ca="1" t="shared" si="230"/>
        <v>0</v>
      </c>
      <c r="P4742" s="55">
        <f ca="1" t="shared" si="231"/>
        <v>8</v>
      </c>
      <c r="Q4742" s="22" t="str">
        <f>VLOOKUP(B4742,辅助信息!E:M,9,FALSE)</f>
        <v>ZTWM-CDGS-XS-2025-0073-五冶天府-成都怡心湖片区及龙泉驿医院等项目</v>
      </c>
      <c r="R4742" s="22" t="str">
        <f>_xlfn._xlws.FILTER(辅助信息!D:D,辅助信息!E:E=B4742)</f>
        <v>五冶建设空港兴城怡心街道83亩项目</v>
      </c>
    </row>
    <row r="4743" hidden="1" spans="2:18">
      <c r="B4743" s="128" t="s">
        <v>203</v>
      </c>
      <c r="C4743" s="63">
        <v>45950</v>
      </c>
      <c r="D4743" s="33" t="str">
        <f>VLOOKUP(B4743,辅助信息!E:K,7,FALSE)</f>
        <v>JWDDCD2025102100479</v>
      </c>
      <c r="E4743" s="33" t="str">
        <f>VLOOKUP(F4743,辅助信息!A:B,2,FALSE)</f>
        <v>螺纹钢</v>
      </c>
      <c r="F4743" s="33" t="s">
        <v>32</v>
      </c>
      <c r="G4743" s="29">
        <v>10</v>
      </c>
      <c r="H4743" s="127">
        <f>IF(SUMIFS('[1]2025年已发货'!$E:$E,'[1]2025年已发货'!$F:$F,C4743,'[1]2025年已发货'!$C:$C,F4743,'[1]2025年已发货'!$G:$G,I4743,'[1]2025年已发货'!$H:$H,J4743)=0,"未发货",SUMIFS('[1]2025年已发货'!$E:$E,'[1]2025年已发货'!$F:$F,C4743,'[1]2025年已发货'!$C:$C,F4743,'[1]2025年已发货'!$G:$G,I4743,'[1]2025年已发货'!$H:$H,J4743))</f>
        <v>6</v>
      </c>
      <c r="I4743" s="33" t="str">
        <f>VLOOKUP(B4743,辅助信息!E:I,3,FALSE)</f>
        <v>(五冶建设空港兴城怡心街道83亩项目)成都市双流区怡心街道高峰社区一组剑和路一段空港兴城怡心街道83亩项目中国五冶项目部</v>
      </c>
      <c r="J4743" s="33" t="str">
        <f>VLOOKUP(B4743,辅助信息!E:I,4,FALSE)</f>
        <v>王刚</v>
      </c>
      <c r="K4743" s="33">
        <f>VLOOKUP(J4743,辅助信息!H:I,2,FALSE)</f>
        <v>15881190525</v>
      </c>
      <c r="L4743" s="102"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84">
        <v>45949</v>
      </c>
      <c r="O4743" s="55">
        <f ca="1" t="shared" si="230"/>
        <v>0</v>
      </c>
      <c r="P4743" s="55">
        <f ca="1" t="shared" si="231"/>
        <v>8</v>
      </c>
      <c r="Q4743" s="22" t="str">
        <f>VLOOKUP(B4743,辅助信息!E:M,9,FALSE)</f>
        <v>ZTWM-CDGS-XS-2025-0073-五冶天府-成都怡心湖片区及龙泉驿医院等项目</v>
      </c>
      <c r="R4743" s="22" t="str">
        <f>_xlfn._xlws.FILTER(辅助信息!D:D,辅助信息!E:E=B4743)</f>
        <v>五冶建设空港兴城怡心街道83亩项目</v>
      </c>
    </row>
    <row r="4744" hidden="1" spans="2:18">
      <c r="B4744" s="128" t="s">
        <v>203</v>
      </c>
      <c r="C4744" s="63">
        <v>45950</v>
      </c>
      <c r="D4744" s="33" t="str">
        <f>VLOOKUP(B4744,辅助信息!E:K,7,FALSE)</f>
        <v>JWDDCD2025102100479</v>
      </c>
      <c r="E4744" s="33" t="str">
        <f>VLOOKUP(F4744,辅助信息!A:B,2,FALSE)</f>
        <v>螺纹钢</v>
      </c>
      <c r="F4744" s="33" t="s">
        <v>33</v>
      </c>
      <c r="G4744" s="29">
        <v>10</v>
      </c>
      <c r="H4744" s="127"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33" t="str">
        <f>VLOOKUP(B4744,辅助信息!E:I,3,FALSE)</f>
        <v>(五冶建设空港兴城怡心街道83亩项目)成都市双流区怡心街道高峰社区一组剑和路一段空港兴城怡心街道83亩项目中国五冶项目部</v>
      </c>
      <c r="J4744" s="33" t="str">
        <f>VLOOKUP(B4744,辅助信息!E:I,4,FALSE)</f>
        <v>王刚</v>
      </c>
      <c r="K4744" s="33">
        <f>VLOOKUP(J4744,辅助信息!H:I,2,FALSE)</f>
        <v>15881190525</v>
      </c>
      <c r="L4744" s="102"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84">
        <v>45949</v>
      </c>
      <c r="O4744" s="55">
        <f ca="1" t="shared" si="230"/>
        <v>0</v>
      </c>
      <c r="P4744" s="55">
        <f ca="1" t="shared" si="231"/>
        <v>8</v>
      </c>
      <c r="Q4744" s="22" t="str">
        <f>VLOOKUP(B4744,辅助信息!E:M,9,FALSE)</f>
        <v>ZTWM-CDGS-XS-2025-0073-五冶天府-成都怡心湖片区及龙泉驿医院等项目</v>
      </c>
      <c r="R4744" s="22" t="str">
        <f>_xlfn._xlws.FILTER(辅助信息!D:D,辅助信息!E:E=B4744)</f>
        <v>五冶建设空港兴城怡心街道83亩项目</v>
      </c>
    </row>
    <row r="4745" hidden="1" spans="2:18">
      <c r="B4745" s="128" t="s">
        <v>176</v>
      </c>
      <c r="C4745" s="63">
        <v>45950</v>
      </c>
      <c r="D4745" s="33" t="str">
        <f>VLOOKUP(B4745,辅助信息!E:K,7,FALSE)</f>
        <v>JWDDCD2025062200016</v>
      </c>
      <c r="E4745" s="33" t="str">
        <f>VLOOKUP(F4745,辅助信息!A:B,2,FALSE)</f>
        <v>螺纹钢</v>
      </c>
      <c r="F4745" s="33" t="s">
        <v>19</v>
      </c>
      <c r="G4745" s="29">
        <v>5</v>
      </c>
      <c r="H4745" s="127"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33" t="str">
        <f>VLOOKUP(B4745,辅助信息!E:I,3,FALSE)</f>
        <v>(武汉电气化局成达万高铁强电项目-渠县)四川省达州市渠县渠北镇雷家湾渠县北站旁</v>
      </c>
      <c r="J4745" s="33" t="str">
        <f>VLOOKUP(B4745,辅助信息!E:I,4,FALSE)</f>
        <v>刘频</v>
      </c>
      <c r="K4745" s="33">
        <f>VLOOKUP(J4745,辅助信息!H:I,2,FALSE)</f>
        <v>18779627939</v>
      </c>
      <c r="L4745" s="102" t="str">
        <f>VLOOKUP(B4745,辅助信息!E:J,6,FALSE)</f>
        <v>锈货不收！！下雨天钢筋没盖篷布不收！！，装货前联系收货人核实到场规格,没提前告知进场规格现场不给予接收</v>
      </c>
      <c r="M4745" s="84">
        <v>45946</v>
      </c>
      <c r="O4745" s="55">
        <f ca="1" t="shared" si="230"/>
        <v>0</v>
      </c>
      <c r="P4745" s="55">
        <f ca="1" t="shared" si="231"/>
        <v>11</v>
      </c>
      <c r="Q4745" s="22" t="str">
        <f>VLOOKUP(B4745,辅助信息!E:M,9,FALSE)</f>
        <v>ZTWM-CDGS-XS-2025-0033-中铁武汉电气化局集团有限公司成达万高速铁路强电工程项目</v>
      </c>
      <c r="R4745" s="22" t="str">
        <f>_xlfn._xlws.FILTER(辅助信息!D:D,辅助信息!E:E=B4745)</f>
        <v>武汉电气化局成达万高铁强电项目</v>
      </c>
    </row>
    <row r="4746" hidden="1" spans="2:18">
      <c r="B4746" s="128" t="s">
        <v>176</v>
      </c>
      <c r="C4746" s="63">
        <v>45950</v>
      </c>
      <c r="D4746" s="33" t="str">
        <f>VLOOKUP(B4746,辅助信息!E:K,7,FALSE)</f>
        <v>JWDDCD2025062200016</v>
      </c>
      <c r="E4746" s="33" t="str">
        <f>VLOOKUP(F4746,辅助信息!A:B,2,FALSE)</f>
        <v>螺纹钢</v>
      </c>
      <c r="F4746" s="33" t="s">
        <v>76</v>
      </c>
      <c r="G4746" s="29">
        <v>5</v>
      </c>
      <c r="H4746" s="127"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33" t="str">
        <f>VLOOKUP(B4746,辅助信息!E:I,3,FALSE)</f>
        <v>(武汉电气化局成达万高铁强电项目-渠县)四川省达州市渠县渠北镇雷家湾渠县北站旁</v>
      </c>
      <c r="J4746" s="33" t="str">
        <f>VLOOKUP(B4746,辅助信息!E:I,4,FALSE)</f>
        <v>刘频</v>
      </c>
      <c r="K4746" s="33">
        <f>VLOOKUP(J4746,辅助信息!H:I,2,FALSE)</f>
        <v>18779627939</v>
      </c>
      <c r="L4746" s="102" t="str">
        <f>VLOOKUP(B4746,辅助信息!E:J,6,FALSE)</f>
        <v>锈货不收！！下雨天钢筋没盖篷布不收！！，装货前联系收货人核实到场规格,没提前告知进场规格现场不给予接收</v>
      </c>
      <c r="M4746" s="84">
        <v>45946</v>
      </c>
      <c r="O4746" s="55">
        <f ca="1" t="shared" si="230"/>
        <v>0</v>
      </c>
      <c r="P4746" s="55">
        <f ca="1" t="shared" si="231"/>
        <v>11</v>
      </c>
      <c r="Q4746" s="22" t="str">
        <f>VLOOKUP(B4746,辅助信息!E:M,9,FALSE)</f>
        <v>ZTWM-CDGS-XS-2025-0033-中铁武汉电气化局集团有限公司成达万高速铁路强电工程项目</v>
      </c>
      <c r="R4746" s="22" t="str">
        <f>_xlfn._xlws.FILTER(辅助信息!D:D,辅助信息!E:E=B4746)</f>
        <v>武汉电气化局成达万高铁强电项目</v>
      </c>
    </row>
    <row r="4747" hidden="1" spans="2:18">
      <c r="B4747" s="128" t="s">
        <v>176</v>
      </c>
      <c r="C4747" s="63">
        <v>45950</v>
      </c>
      <c r="D4747" s="33" t="str">
        <f>VLOOKUP(B4747,辅助信息!E:K,7,FALSE)</f>
        <v>JWDDCD2025062200016</v>
      </c>
      <c r="E4747" s="33" t="str">
        <f>VLOOKUP(F4747,辅助信息!A:B,2,FALSE)</f>
        <v>螺纹钢</v>
      </c>
      <c r="F4747" s="33" t="s">
        <v>130</v>
      </c>
      <c r="G4747" s="29">
        <v>15</v>
      </c>
      <c r="H4747" s="127"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33" t="str">
        <f>VLOOKUP(B4747,辅助信息!E:I,3,FALSE)</f>
        <v>(武汉电气化局成达万高铁强电项目-渠县)四川省达州市渠县渠北镇雷家湾渠县北站旁</v>
      </c>
      <c r="J4747" s="33" t="str">
        <f>VLOOKUP(B4747,辅助信息!E:I,4,FALSE)</f>
        <v>刘频</v>
      </c>
      <c r="K4747" s="33">
        <f>VLOOKUP(J4747,辅助信息!H:I,2,FALSE)</f>
        <v>18779627939</v>
      </c>
      <c r="L4747" s="102" t="str">
        <f>VLOOKUP(B4747,辅助信息!E:J,6,FALSE)</f>
        <v>锈货不收！！下雨天钢筋没盖篷布不收！！，装货前联系收货人核实到场规格,没提前告知进场规格现场不给予接收</v>
      </c>
      <c r="M4747" s="84">
        <v>45946</v>
      </c>
      <c r="O4747" s="55">
        <f ca="1" t="shared" si="230"/>
        <v>0</v>
      </c>
      <c r="P4747" s="55">
        <f ca="1" t="shared" si="231"/>
        <v>11</v>
      </c>
      <c r="Q4747" s="22" t="str">
        <f>VLOOKUP(B4747,辅助信息!E:M,9,FALSE)</f>
        <v>ZTWM-CDGS-XS-2025-0033-中铁武汉电气化局集团有限公司成达万高速铁路强电工程项目</v>
      </c>
      <c r="R4747" s="22" t="str">
        <f>_xlfn._xlws.FILTER(辅助信息!D:D,辅助信息!E:E=B4747)</f>
        <v>武汉电气化局成达万高铁强电项目</v>
      </c>
    </row>
    <row r="4748" hidden="1" spans="2:18">
      <c r="B4748" s="128" t="s">
        <v>176</v>
      </c>
      <c r="C4748" s="63">
        <v>45950</v>
      </c>
      <c r="D4748" s="33" t="str">
        <f>VLOOKUP(B4748,辅助信息!E:K,7,FALSE)</f>
        <v>JWDDCD2025062200016</v>
      </c>
      <c r="E4748" s="33" t="str">
        <f>VLOOKUP(F4748,辅助信息!A:B,2,FALSE)</f>
        <v>螺纹钢</v>
      </c>
      <c r="F4748" s="33" t="s">
        <v>91</v>
      </c>
      <c r="G4748" s="29">
        <v>9</v>
      </c>
      <c r="H4748" s="127"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33" t="str">
        <f>VLOOKUP(B4748,辅助信息!E:I,3,FALSE)</f>
        <v>(武汉电气化局成达万高铁强电项目-渠县)四川省达州市渠县渠北镇雷家湾渠县北站旁</v>
      </c>
      <c r="J4748" s="33" t="str">
        <f>VLOOKUP(B4748,辅助信息!E:I,4,FALSE)</f>
        <v>刘频</v>
      </c>
      <c r="K4748" s="33">
        <f>VLOOKUP(J4748,辅助信息!H:I,2,FALSE)</f>
        <v>18779627939</v>
      </c>
      <c r="L4748" s="102" t="str">
        <f>VLOOKUP(B4748,辅助信息!E:J,6,FALSE)</f>
        <v>锈货不收！！下雨天钢筋没盖篷布不收！！，装货前联系收货人核实到场规格,没提前告知进场规格现场不给予接收</v>
      </c>
      <c r="M4748" s="84">
        <v>45946</v>
      </c>
      <c r="O4748" s="55">
        <f ca="1" t="shared" si="230"/>
        <v>0</v>
      </c>
      <c r="P4748" s="55">
        <f ca="1" t="shared" si="231"/>
        <v>11</v>
      </c>
      <c r="Q4748" s="22" t="str">
        <f>VLOOKUP(B4748,辅助信息!E:M,9,FALSE)</f>
        <v>ZTWM-CDGS-XS-2025-0033-中铁武汉电气化局集团有限公司成达万高速铁路强电工程项目</v>
      </c>
      <c r="R4748" s="22" t="str">
        <f>_xlfn._xlws.FILTER(辅助信息!D:D,辅助信息!E:E=B4748)</f>
        <v>武汉电气化局成达万高铁强电项目</v>
      </c>
    </row>
    <row r="4749" hidden="1" spans="2:18">
      <c r="B4749" s="128" t="s">
        <v>226</v>
      </c>
      <c r="C4749" s="63">
        <v>45950</v>
      </c>
      <c r="D4749" s="33" t="str">
        <f>VLOOKUP(B4749,辅助信息!E:K,7,FALSE)</f>
        <v>JWDDCD2025092400211</v>
      </c>
      <c r="E4749" s="33" t="str">
        <f>VLOOKUP(F4749,辅助信息!A:B,2,FALSE)</f>
        <v>盘螺</v>
      </c>
      <c r="F4749" s="33" t="s">
        <v>40</v>
      </c>
      <c r="G4749" s="29">
        <v>35</v>
      </c>
      <c r="H4749" s="127"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33" t="str">
        <f>VLOOKUP(B4749,辅助信息!E:I,3,FALSE)</f>
        <v>(五冶钢构龙泉东洪片区85亩住宅、商业及配套工程项目二标段)成都市龙泉驿外东洪路地铁2号线惠王陵地铁C口</v>
      </c>
      <c r="J4749" s="33" t="str">
        <f>VLOOKUP(B4749,辅助信息!E:I,4,FALSE)</f>
        <v>李渊</v>
      </c>
      <c r="K4749" s="33">
        <f>VLOOKUP(J4749,辅助信息!H:I,2,FALSE)</f>
        <v>18381013849</v>
      </c>
      <c r="L4749" s="102">
        <f>VLOOKUP(B4749,辅助信息!E:J,6,FALSE)</f>
        <v>0</v>
      </c>
      <c r="M4749" s="84">
        <v>45949</v>
      </c>
      <c r="O4749" s="55">
        <f ca="1" t="shared" si="230"/>
        <v>0</v>
      </c>
      <c r="P4749" s="55">
        <f ca="1" t="shared" si="231"/>
        <v>8</v>
      </c>
      <c r="Q4749" s="22" t="str">
        <f>VLOOKUP(B4749,辅助信息!E:M,9,FALSE)</f>
        <v>ZTWM-CDGS-XS-2025-0156-五冶钢构-2025年九月第一批次钢筋采购合同(三圣乡项目)-中铁物贸成都公司</v>
      </c>
      <c r="R4749" s="22" t="str">
        <f>_xlfn._xlws.FILTER(辅助信息!D:D,辅助信息!E:E=B4749)</f>
        <v>五冶钢构龙泉东洪片区85亩住宅、商业及配套工程项目二标段</v>
      </c>
    </row>
    <row r="4750" hidden="1" spans="2:18">
      <c r="B4750" s="128" t="s">
        <v>226</v>
      </c>
      <c r="C4750" s="63">
        <v>45950</v>
      </c>
      <c r="D4750" s="33" t="str">
        <f>VLOOKUP(B4750,辅助信息!E:K,7,FALSE)</f>
        <v>JWDDCD2025092400211</v>
      </c>
      <c r="E4750" s="33" t="str">
        <f>VLOOKUP(F4750,辅助信息!A:B,2,FALSE)</f>
        <v>螺纹钢</v>
      </c>
      <c r="F4750" s="33" t="s">
        <v>27</v>
      </c>
      <c r="G4750" s="29">
        <v>35</v>
      </c>
      <c r="H4750" s="127"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33" t="str">
        <f>VLOOKUP(B4750,辅助信息!E:I,3,FALSE)</f>
        <v>(五冶钢构龙泉东洪片区85亩住宅、商业及配套工程项目二标段)成都市龙泉驿外东洪路地铁2号线惠王陵地铁C口</v>
      </c>
      <c r="J4750" s="33" t="str">
        <f>VLOOKUP(B4750,辅助信息!E:I,4,FALSE)</f>
        <v>李渊</v>
      </c>
      <c r="K4750" s="33">
        <f>VLOOKUP(J4750,辅助信息!H:I,2,FALSE)</f>
        <v>18381013849</v>
      </c>
      <c r="L4750" s="102">
        <f>VLOOKUP(B4750,辅助信息!E:J,6,FALSE)</f>
        <v>0</v>
      </c>
      <c r="M4750" s="84">
        <v>45949</v>
      </c>
      <c r="O4750" s="55">
        <f ca="1" t="shared" si="230"/>
        <v>0</v>
      </c>
      <c r="P4750" s="55">
        <f ca="1" t="shared" si="231"/>
        <v>8</v>
      </c>
      <c r="Q4750" s="22" t="str">
        <f>VLOOKUP(B4750,辅助信息!E:M,9,FALSE)</f>
        <v>ZTWM-CDGS-XS-2025-0156-五冶钢构-2025年九月第一批次钢筋采购合同(三圣乡项目)-中铁物贸成都公司</v>
      </c>
      <c r="R4750" s="22" t="str">
        <f>_xlfn._xlws.FILTER(辅助信息!D:D,辅助信息!E:E=B4750)</f>
        <v>五冶钢构龙泉东洪片区85亩住宅、商业及配套工程项目二标段</v>
      </c>
    </row>
    <row r="4751" hidden="1" spans="2:18">
      <c r="B4751" s="128" t="s">
        <v>226</v>
      </c>
      <c r="C4751" s="63">
        <v>45950</v>
      </c>
      <c r="D4751" s="33" t="str">
        <f>VLOOKUP(B4751,辅助信息!E:K,7,FALSE)</f>
        <v>JWDDCD2025092400211</v>
      </c>
      <c r="E4751" s="33" t="str">
        <f>VLOOKUP(F4751,辅助信息!A:B,2,FALSE)</f>
        <v>螺纹钢</v>
      </c>
      <c r="F4751" s="33" t="s">
        <v>32</v>
      </c>
      <c r="G4751" s="29">
        <v>20</v>
      </c>
      <c r="H4751" s="127"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33" t="str">
        <f>VLOOKUP(B4751,辅助信息!E:I,3,FALSE)</f>
        <v>(五冶钢构龙泉东洪片区85亩住宅、商业及配套工程项目二标段)成都市龙泉驿外东洪路地铁2号线惠王陵地铁C口</v>
      </c>
      <c r="J4751" s="33" t="str">
        <f>VLOOKUP(B4751,辅助信息!E:I,4,FALSE)</f>
        <v>李渊</v>
      </c>
      <c r="K4751" s="33">
        <f>VLOOKUP(J4751,辅助信息!H:I,2,FALSE)</f>
        <v>18381013849</v>
      </c>
      <c r="L4751" s="102">
        <f>VLOOKUP(B4751,辅助信息!E:J,6,FALSE)</f>
        <v>0</v>
      </c>
      <c r="M4751" s="84">
        <v>45949</v>
      </c>
      <c r="O4751" s="55">
        <f ca="1" t="shared" si="230"/>
        <v>0</v>
      </c>
      <c r="P4751" s="55">
        <f ca="1" t="shared" si="231"/>
        <v>8</v>
      </c>
      <c r="Q4751" s="22" t="str">
        <f>VLOOKUP(B4751,辅助信息!E:M,9,FALSE)</f>
        <v>ZTWM-CDGS-XS-2025-0156-五冶钢构-2025年九月第一批次钢筋采购合同(三圣乡项目)-中铁物贸成都公司</v>
      </c>
      <c r="R4751" s="22" t="str">
        <f>_xlfn._xlws.FILTER(辅助信息!D:D,辅助信息!E:E=B4751)</f>
        <v>五冶钢构龙泉东洪片区85亩住宅、商业及配套工程项目二标段</v>
      </c>
    </row>
    <row r="4752" hidden="1" spans="2:18">
      <c r="B4752" s="128" t="s">
        <v>226</v>
      </c>
      <c r="C4752" s="63">
        <v>45950</v>
      </c>
      <c r="D4752" s="33" t="str">
        <f>VLOOKUP(B4752,辅助信息!E:K,7,FALSE)</f>
        <v>JWDDCD2025092400211</v>
      </c>
      <c r="E4752" s="33" t="str">
        <f>VLOOKUP(F4752,辅助信息!A:B,2,FALSE)</f>
        <v>螺纹钢</v>
      </c>
      <c r="F4752" s="33" t="s">
        <v>30</v>
      </c>
      <c r="G4752" s="29">
        <v>15</v>
      </c>
      <c r="H4752" s="127"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33" t="str">
        <f>VLOOKUP(B4752,辅助信息!E:I,3,FALSE)</f>
        <v>(五冶钢构龙泉东洪片区85亩住宅、商业及配套工程项目二标段)成都市龙泉驿外东洪路地铁2号线惠王陵地铁C口</v>
      </c>
      <c r="J4752" s="33" t="str">
        <f>VLOOKUP(B4752,辅助信息!E:I,4,FALSE)</f>
        <v>李渊</v>
      </c>
      <c r="K4752" s="33">
        <f>VLOOKUP(J4752,辅助信息!H:I,2,FALSE)</f>
        <v>18381013849</v>
      </c>
      <c r="L4752" s="102">
        <f>VLOOKUP(B4752,辅助信息!E:J,6,FALSE)</f>
        <v>0</v>
      </c>
      <c r="M4752" s="84">
        <v>45949</v>
      </c>
      <c r="O4752" s="55">
        <f ca="1" t="shared" si="230"/>
        <v>0</v>
      </c>
      <c r="P4752" s="55">
        <f ca="1" t="shared" si="231"/>
        <v>8</v>
      </c>
      <c r="Q4752" s="22" t="str">
        <f>VLOOKUP(B4752,辅助信息!E:M,9,FALSE)</f>
        <v>ZTWM-CDGS-XS-2025-0156-五冶钢构-2025年九月第一批次钢筋采购合同(三圣乡项目)-中铁物贸成都公司</v>
      </c>
      <c r="R4752" s="22" t="str">
        <f>_xlfn._xlws.FILTER(辅助信息!D:D,辅助信息!E:E=B4752)</f>
        <v>五冶钢构龙泉东洪片区85亩住宅、商业及配套工程项目二标段</v>
      </c>
    </row>
    <row r="4753" hidden="1" spans="2:18">
      <c r="B4753" s="128" t="s">
        <v>225</v>
      </c>
      <c r="C4753" s="63">
        <v>45950</v>
      </c>
      <c r="D4753" s="33" t="str">
        <f>VLOOKUP(B4753,辅助信息!E:K,7,FALSE)</f>
        <v>JWDDCD2025092400210</v>
      </c>
      <c r="E4753" s="33" t="str">
        <f>VLOOKUP(F4753,辅助信息!A:B,2,FALSE)</f>
        <v>盘螺</v>
      </c>
      <c r="F4753" s="33" t="s">
        <v>40</v>
      </c>
      <c r="G4753" s="29">
        <v>35</v>
      </c>
      <c r="H4753" s="127">
        <f>IF(SUMIFS('[1]2025年已发货'!$E:$E,'[1]2025年已发货'!$F:$F,C4757,'[1]2025年已发货'!$C:$C,F4753,'[1]2025年已发货'!$G:$G,I4753,'[1]2025年已发货'!$H:$H,J4753)=0,"未发货",SUMIFS('[1]2025年已发货'!$E:$E,'[1]2025年已发货'!$F:$F,C4757,'[1]2025年已发货'!$C:$C,F4753,'[1]2025年已发货'!$G:$G,I4753,'[1]2025年已发货'!$H:$H,J4753))</f>
        <v>44</v>
      </c>
      <c r="I4753" s="33" t="str">
        <f>VLOOKUP(B4753,辅助信息!E:I,3,FALSE)</f>
        <v>(五冶钢构龙泉东洪片区85亩住宅、商业及配套工程项目一标段)成都市龙泉驿外东洪路地铁2号线惠王陵地铁C口</v>
      </c>
      <c r="J4753" s="33" t="str">
        <f>VLOOKUP(B4753,辅助信息!E:I,4,FALSE)</f>
        <v>岳工</v>
      </c>
      <c r="K4753" s="33">
        <f>VLOOKUP(J4753,辅助信息!H:I,2,FALSE)</f>
        <v>18599951655</v>
      </c>
      <c r="L4753" s="102">
        <f>VLOOKUP(B4753,辅助信息!E:J,6,FALSE)</f>
        <v>0</v>
      </c>
      <c r="M4753" s="84">
        <v>45949</v>
      </c>
      <c r="O4753" s="55">
        <f ca="1" t="shared" si="230"/>
        <v>0</v>
      </c>
      <c r="P4753" s="55">
        <f ca="1" t="shared" si="231"/>
        <v>8</v>
      </c>
      <c r="Q4753" s="22" t="str">
        <f>VLOOKUP(B4753,辅助信息!E:M,9,FALSE)</f>
        <v>ZTWM-CDGS-XS-2025-0156-五冶钢构-2025年九月第一批次钢筋采购合同(三圣乡项目)-中铁物贸成都公司</v>
      </c>
      <c r="R4753" s="22" t="str">
        <f>_xlfn._xlws.FILTER(辅助信息!D:D,辅助信息!E:E=B4753)</f>
        <v>五冶钢构龙泉东洪片区85亩住宅、商业及配套工程项目一标段</v>
      </c>
    </row>
    <row r="4754" hidden="1" spans="2:18">
      <c r="B4754" s="128" t="s">
        <v>215</v>
      </c>
      <c r="C4754" s="63">
        <v>45950</v>
      </c>
      <c r="D4754" s="33" t="str">
        <f>VLOOKUP(B4754,辅助信息!E:K,7,FALSE)</f>
        <v>JWDDCD2025102100486</v>
      </c>
      <c r="E4754" s="33" t="str">
        <f>VLOOKUP(F4754,辅助信息!A:B,2,FALSE)</f>
        <v>盘螺</v>
      </c>
      <c r="F4754" s="33" t="s">
        <v>49</v>
      </c>
      <c r="G4754" s="29">
        <v>2</v>
      </c>
      <c r="H4754" s="127"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33" t="str">
        <f>VLOOKUP(B4754,辅助信息!E:I,3,FALSE)</f>
        <v>(五冶建设龙泉驿一医院配套建设工程)成都市龙泉驿区董朗路69号龙泉驿一医院5号门</v>
      </c>
      <c r="J4754" s="33" t="str">
        <f>VLOOKUP(B4754,辅助信息!E:I,4,FALSE)</f>
        <v>孙敏</v>
      </c>
      <c r="K4754" s="33">
        <f>VLOOKUP(J4754,辅助信息!H:I,2,FALSE)</f>
        <v>13617695006</v>
      </c>
      <c r="L4754" s="102" t="str">
        <f>VLOOKUP(B4754,辅助信息!E:J,6,FALSE)</f>
        <v>联系实际收货人（孙敏13617695006）五冶建设送货单,6份材质书,锈货不收，装货前联系收货人核实到场规格,没提前告知进场规格现场不给予接收</v>
      </c>
      <c r="M4754" s="84">
        <v>45946</v>
      </c>
      <c r="O4754" s="55">
        <f ca="1" t="shared" si="230"/>
        <v>0</v>
      </c>
      <c r="P4754" s="55">
        <f ca="1" t="shared" si="231"/>
        <v>11</v>
      </c>
      <c r="Q4754" s="22" t="str">
        <f>VLOOKUP(B4754,辅助信息!E:M,9,FALSE)</f>
        <v>ZTWM-CDGS-XS-2025-0073-五冶天府-成都怡心湖片区及龙泉驿医院等项目</v>
      </c>
      <c r="R4754" s="22" t="str">
        <f>_xlfn._xlws.FILTER(辅助信息!D:D,辅助信息!E:E=B4754)</f>
        <v>五冶建设龙泉驿一医院配套建设工程</v>
      </c>
    </row>
    <row r="4755" hidden="1" spans="2:18">
      <c r="B4755" s="128" t="s">
        <v>215</v>
      </c>
      <c r="C4755" s="63">
        <v>45950</v>
      </c>
      <c r="D4755" s="33" t="str">
        <f>VLOOKUP(B4755,辅助信息!E:K,7,FALSE)</f>
        <v>JWDDCD2025102100486</v>
      </c>
      <c r="E4755" s="33" t="str">
        <f>VLOOKUP(F4755,辅助信息!A:B,2,FALSE)</f>
        <v>盘螺</v>
      </c>
      <c r="F4755" s="33" t="s">
        <v>40</v>
      </c>
      <c r="G4755" s="29">
        <v>16</v>
      </c>
      <c r="H4755" s="127"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33" t="str">
        <f>VLOOKUP(B4755,辅助信息!E:I,3,FALSE)</f>
        <v>(五冶建设龙泉驿一医院配套建设工程)成都市龙泉驿区董朗路69号龙泉驿一医院5号门</v>
      </c>
      <c r="J4755" s="33" t="str">
        <f>VLOOKUP(B4755,辅助信息!E:I,4,FALSE)</f>
        <v>孙敏</v>
      </c>
      <c r="K4755" s="33">
        <f>VLOOKUP(J4755,辅助信息!H:I,2,FALSE)</f>
        <v>13617695006</v>
      </c>
      <c r="L4755" s="102" t="str">
        <f>VLOOKUP(B4755,辅助信息!E:J,6,FALSE)</f>
        <v>联系实际收货人（孙敏13617695006）五冶建设送货单,6份材质书,锈货不收，装货前联系收货人核实到场规格,没提前告知进场规格现场不给予接收</v>
      </c>
      <c r="M4755" s="84">
        <v>45946</v>
      </c>
      <c r="O4755" s="55">
        <f ca="1" t="shared" si="230"/>
        <v>0</v>
      </c>
      <c r="P4755" s="55">
        <f ca="1" t="shared" si="231"/>
        <v>11</v>
      </c>
      <c r="Q4755" s="22" t="str">
        <f>VLOOKUP(B4755,辅助信息!E:M,9,FALSE)</f>
        <v>ZTWM-CDGS-XS-2025-0073-五冶天府-成都怡心湖片区及龙泉驿医院等项目</v>
      </c>
      <c r="R4755" s="22" t="str">
        <f>_xlfn._xlws.FILTER(辅助信息!D:D,辅助信息!E:E=B4755)</f>
        <v>五冶建设龙泉驿一医院配套建设工程</v>
      </c>
    </row>
    <row r="4756" hidden="1" spans="2:18">
      <c r="B4756" s="128" t="s">
        <v>215</v>
      </c>
      <c r="C4756" s="63">
        <v>45950</v>
      </c>
      <c r="D4756" s="33" t="str">
        <f>VLOOKUP(B4756,辅助信息!E:K,7,FALSE)</f>
        <v>JWDDCD2025102100486</v>
      </c>
      <c r="E4756" s="33" t="str">
        <f>VLOOKUP(F4756,辅助信息!A:B,2,FALSE)</f>
        <v>盘螺</v>
      </c>
      <c r="F4756" s="33" t="s">
        <v>41</v>
      </c>
      <c r="G4756" s="29">
        <v>38</v>
      </c>
      <c r="H4756" s="127">
        <f>IF(SUMIFS('[1]2025年已发货'!$E:$E,'[1]2025年已发货'!$F:$F,C4760,'[1]2025年已发货'!$C:$C,F4756,'[1]2025年已发货'!$G:$G,I4756,'[1]2025年已发货'!$H:$H,J4756)=0,"未发货",SUMIFS('[1]2025年已发货'!$E:$E,'[1]2025年已发货'!$F:$F,C4760,'[1]2025年已发货'!$C:$C,F4756,'[1]2025年已发货'!$G:$G,I4756,'[1]2025年已发货'!$H:$H,J4756))</f>
        <v>12.5</v>
      </c>
      <c r="I4756" s="33" t="str">
        <f>VLOOKUP(B4756,辅助信息!E:I,3,FALSE)</f>
        <v>(五冶建设龙泉驿一医院配套建设工程)成都市龙泉驿区董朗路69号龙泉驿一医院5号门</v>
      </c>
      <c r="J4756" s="33" t="str">
        <f>VLOOKUP(B4756,辅助信息!E:I,4,FALSE)</f>
        <v>孙敏</v>
      </c>
      <c r="K4756" s="33">
        <f>VLOOKUP(J4756,辅助信息!H:I,2,FALSE)</f>
        <v>13617695006</v>
      </c>
      <c r="L4756" s="102" t="str">
        <f>VLOOKUP(B4756,辅助信息!E:J,6,FALSE)</f>
        <v>联系实际收货人（孙敏13617695006）五冶建设送货单,6份材质书,锈货不收，装货前联系收货人核实到场规格,没提前告知进场规格现场不给予接收</v>
      </c>
      <c r="M4756" s="84">
        <v>45946</v>
      </c>
      <c r="O4756" s="55">
        <f ca="1" t="shared" si="230"/>
        <v>0</v>
      </c>
      <c r="P4756" s="55">
        <f ca="1" t="shared" si="231"/>
        <v>11</v>
      </c>
      <c r="Q4756" s="22" t="str">
        <f>VLOOKUP(B4756,辅助信息!E:M,9,FALSE)</f>
        <v>ZTWM-CDGS-XS-2025-0073-五冶天府-成都怡心湖片区及龙泉驿医院等项目</v>
      </c>
      <c r="R4756" s="22" t="str">
        <f>_xlfn._xlws.FILTER(辅助信息!D:D,辅助信息!E:E=B4756)</f>
        <v>五冶建设龙泉驿一医院配套建设工程</v>
      </c>
    </row>
    <row r="4757" hidden="1" spans="2:18">
      <c r="B4757" s="128" t="s">
        <v>215</v>
      </c>
      <c r="C4757" s="63">
        <v>45950</v>
      </c>
      <c r="D4757" s="33" t="str">
        <f>VLOOKUP(B4757,辅助信息!E:K,7,FALSE)</f>
        <v>JWDDCD2025102100486</v>
      </c>
      <c r="E4757" s="33" t="str">
        <f>VLOOKUP(F4757,辅助信息!A:B,2,FALSE)</f>
        <v>盘螺</v>
      </c>
      <c r="F4757" s="33" t="s">
        <v>26</v>
      </c>
      <c r="G4757" s="29">
        <v>30</v>
      </c>
      <c r="H4757" s="127"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33" t="str">
        <f>VLOOKUP(B4757,辅助信息!E:I,3,FALSE)</f>
        <v>(五冶建设龙泉驿一医院配套建设工程)成都市龙泉驿区董朗路69号龙泉驿一医院5号门</v>
      </c>
      <c r="J4757" s="33" t="str">
        <f>VLOOKUP(B4757,辅助信息!E:I,4,FALSE)</f>
        <v>孙敏</v>
      </c>
      <c r="K4757" s="33">
        <f>VLOOKUP(J4757,辅助信息!H:I,2,FALSE)</f>
        <v>13617695006</v>
      </c>
      <c r="L4757" s="102" t="str">
        <f>VLOOKUP(B4757,辅助信息!E:J,6,FALSE)</f>
        <v>联系实际收货人（孙敏13617695006）五冶建设送货单,6份材质书,锈货不收，装货前联系收货人核实到场规格,没提前告知进场规格现场不给予接收</v>
      </c>
      <c r="M4757" s="84">
        <v>45946</v>
      </c>
      <c r="O4757" s="55">
        <f ca="1" t="shared" si="230"/>
        <v>0</v>
      </c>
      <c r="P4757" s="55">
        <f ca="1" t="shared" si="231"/>
        <v>11</v>
      </c>
      <c r="Q4757" s="22" t="str">
        <f>VLOOKUP(B4757,辅助信息!E:M,9,FALSE)</f>
        <v>ZTWM-CDGS-XS-2025-0073-五冶天府-成都怡心湖片区及龙泉驿医院等项目</v>
      </c>
      <c r="R4757" s="22" t="str">
        <f>_xlfn._xlws.FILTER(辅助信息!D:D,辅助信息!E:E=B4757)</f>
        <v>五冶建设龙泉驿一医院配套建设工程</v>
      </c>
    </row>
    <row r="4758" hidden="1" spans="2:18">
      <c r="B4758" s="128" t="s">
        <v>215</v>
      </c>
      <c r="C4758" s="63">
        <v>45950</v>
      </c>
      <c r="D4758" s="33" t="str">
        <f>VLOOKUP(B4758,辅助信息!E:K,7,FALSE)</f>
        <v>JWDDCD2025102100486</v>
      </c>
      <c r="E4758" s="33" t="str">
        <f>VLOOKUP(F4758,辅助信息!A:B,2,FALSE)</f>
        <v>螺纹钢</v>
      </c>
      <c r="F4758" s="33" t="s">
        <v>27</v>
      </c>
      <c r="G4758" s="29">
        <v>12</v>
      </c>
      <c r="H4758" s="127">
        <f>IF(SUMIFS('[1]2025年已发货'!$E:$E,'[1]2025年已发货'!$F:$F,C4762,'[1]2025年已发货'!$C:$C,F4758,'[1]2025年已发货'!$G:$G,I4758,'[1]2025年已发货'!$H:$H,J4758)=0,"未发货",SUMIFS('[1]2025年已发货'!$E:$E,'[1]2025年已发货'!$F:$F,C4762,'[1]2025年已发货'!$C:$C,F4758,'[1]2025年已发货'!$G:$G,I4758,'[1]2025年已发货'!$H:$H,J4758))</f>
        <v>12</v>
      </c>
      <c r="I4758" s="33" t="str">
        <f>VLOOKUP(B4758,辅助信息!E:I,3,FALSE)</f>
        <v>(五冶建设龙泉驿一医院配套建设工程)成都市龙泉驿区董朗路69号龙泉驿一医院5号门</v>
      </c>
      <c r="J4758" s="33" t="str">
        <f>VLOOKUP(B4758,辅助信息!E:I,4,FALSE)</f>
        <v>孙敏</v>
      </c>
      <c r="K4758" s="33">
        <f>VLOOKUP(J4758,辅助信息!H:I,2,FALSE)</f>
        <v>13617695006</v>
      </c>
      <c r="L4758" s="102" t="str">
        <f>VLOOKUP(B4758,辅助信息!E:J,6,FALSE)</f>
        <v>联系实际收货人（孙敏13617695006）五冶建设送货单,6份材质书,锈货不收，装货前联系收货人核实到场规格,没提前告知进场规格现场不给予接收</v>
      </c>
      <c r="M4758" s="84">
        <v>45946</v>
      </c>
      <c r="O4758" s="55">
        <f ca="1" t="shared" si="230"/>
        <v>0</v>
      </c>
      <c r="P4758" s="55">
        <f ca="1" t="shared" si="231"/>
        <v>11</v>
      </c>
      <c r="Q4758" s="22" t="str">
        <f>VLOOKUP(B4758,辅助信息!E:M,9,FALSE)</f>
        <v>ZTWM-CDGS-XS-2025-0073-五冶天府-成都怡心湖片区及龙泉驿医院等项目</v>
      </c>
      <c r="R4758" s="22" t="str">
        <f>_xlfn._xlws.FILTER(辅助信息!D:D,辅助信息!E:E=B4758)</f>
        <v>五冶建设龙泉驿一医院配套建设工程</v>
      </c>
    </row>
    <row r="4759" hidden="1" spans="2:18">
      <c r="B4759" s="128" t="s">
        <v>215</v>
      </c>
      <c r="C4759" s="63">
        <v>45950</v>
      </c>
      <c r="D4759" s="33" t="str">
        <f>VLOOKUP(B4759,辅助信息!E:K,7,FALSE)</f>
        <v>JWDDCD2025102100486</v>
      </c>
      <c r="E4759" s="33" t="str">
        <f>VLOOKUP(F4759,辅助信息!A:B,2,FALSE)</f>
        <v>螺纹钢</v>
      </c>
      <c r="F4759" s="33" t="s">
        <v>52</v>
      </c>
      <c r="G4759" s="29">
        <v>1.5</v>
      </c>
      <c r="H4759" s="127">
        <f>IF(SUMIFS('[1]2025年已发货'!$E:$E,'[1]2025年已发货'!$F:$F,C4763,'[1]2025年已发货'!$C:$C,F4759,'[1]2025年已发货'!$G:$G,I4759,'[1]2025年已发货'!$H:$H,J4759)=0,"未发货",SUMIFS('[1]2025年已发货'!$E:$E,'[1]2025年已发货'!$F:$F,C4763,'[1]2025年已发货'!$C:$C,F4759,'[1]2025年已发货'!$G:$G,I4759,'[1]2025年已发货'!$H:$H,J4759))</f>
        <v>2.85</v>
      </c>
      <c r="I4759" s="33" t="str">
        <f>VLOOKUP(B4759,辅助信息!E:I,3,FALSE)</f>
        <v>(五冶建设龙泉驿一医院配套建设工程)成都市龙泉驿区董朗路69号龙泉驿一医院5号门</v>
      </c>
      <c r="J4759" s="33" t="str">
        <f>VLOOKUP(B4759,辅助信息!E:I,4,FALSE)</f>
        <v>孙敏</v>
      </c>
      <c r="K4759" s="33">
        <f>VLOOKUP(J4759,辅助信息!H:I,2,FALSE)</f>
        <v>13617695006</v>
      </c>
      <c r="L4759" s="102" t="str">
        <f>VLOOKUP(B4759,辅助信息!E:J,6,FALSE)</f>
        <v>联系实际收货人（孙敏13617695006）五冶建设送货单,6份材质书,锈货不收，装货前联系收货人核实到场规格,没提前告知进场规格现场不给予接收</v>
      </c>
      <c r="M4759" s="84">
        <v>45946</v>
      </c>
      <c r="O4759" s="55">
        <f ca="1" t="shared" si="230"/>
        <v>0</v>
      </c>
      <c r="P4759" s="55">
        <f ca="1" t="shared" si="231"/>
        <v>11</v>
      </c>
      <c r="Q4759" s="22" t="str">
        <f>VLOOKUP(B4759,辅助信息!E:M,9,FALSE)</f>
        <v>ZTWM-CDGS-XS-2025-0073-五冶天府-成都怡心湖片区及龙泉驿医院等项目</v>
      </c>
      <c r="R4759" s="22" t="str">
        <f>_xlfn._xlws.FILTER(辅助信息!D:D,辅助信息!E:E=B4759)</f>
        <v>五冶建设龙泉驿一医院配套建设工程</v>
      </c>
    </row>
    <row r="4760" hidden="1" spans="2:18">
      <c r="B4760" s="128" t="s">
        <v>215</v>
      </c>
      <c r="C4760" s="63">
        <v>45950</v>
      </c>
      <c r="D4760" s="33" t="str">
        <f>VLOOKUP(B4760,辅助信息!E:K,7,FALSE)</f>
        <v>JWDDCD2025102100486</v>
      </c>
      <c r="E4760" s="33" t="str">
        <f>VLOOKUP(F4760,辅助信息!A:B,2,FALSE)</f>
        <v>螺纹钢</v>
      </c>
      <c r="F4760" s="33" t="s">
        <v>82</v>
      </c>
      <c r="G4760" s="29">
        <v>3</v>
      </c>
      <c r="H4760" s="127">
        <f>IF(SUMIFS('[1]2025年已发货'!$E:$E,'[1]2025年已发货'!$F:$F,C4764,'[1]2025年已发货'!$C:$C,F4760,'[1]2025年已发货'!$G:$G,I4760,'[1]2025年已发货'!$H:$H,J4760)=0,"未发货",SUMIFS('[1]2025年已发货'!$E:$E,'[1]2025年已发货'!$F:$F,C4764,'[1]2025年已发货'!$C:$C,F4760,'[1]2025年已发货'!$G:$G,I4760,'[1]2025年已发货'!$H:$H,J4760))</f>
        <v>3</v>
      </c>
      <c r="I4760" s="33" t="str">
        <f>VLOOKUP(B4760,辅助信息!E:I,3,FALSE)</f>
        <v>(五冶建设龙泉驿一医院配套建设工程)成都市龙泉驿区董朗路69号龙泉驿一医院5号门</v>
      </c>
      <c r="J4760" s="33" t="str">
        <f>VLOOKUP(B4760,辅助信息!E:I,4,FALSE)</f>
        <v>孙敏</v>
      </c>
      <c r="K4760" s="33">
        <f>VLOOKUP(J4760,辅助信息!H:I,2,FALSE)</f>
        <v>13617695006</v>
      </c>
      <c r="L4760" s="102" t="str">
        <f>VLOOKUP(B4760,辅助信息!E:J,6,FALSE)</f>
        <v>联系实际收货人（孙敏13617695006）五冶建设送货单,6份材质书,锈货不收，装货前联系收货人核实到场规格,没提前告知进场规格现场不给予接收</v>
      </c>
      <c r="M4760" s="84">
        <v>45946</v>
      </c>
      <c r="O4760" s="55">
        <f ca="1" t="shared" si="230"/>
        <v>0</v>
      </c>
      <c r="P4760" s="55">
        <f ca="1" t="shared" si="231"/>
        <v>11</v>
      </c>
      <c r="Q4760" s="22" t="str">
        <f>VLOOKUP(B4760,辅助信息!E:M,9,FALSE)</f>
        <v>ZTWM-CDGS-XS-2025-0073-五冶天府-成都怡心湖片区及龙泉驿医院等项目</v>
      </c>
      <c r="R4760" s="22" t="str">
        <f>_xlfn._xlws.FILTER(辅助信息!D:D,辅助信息!E:E=B4760)</f>
        <v>五冶建设龙泉驿一医院配套建设工程</v>
      </c>
    </row>
    <row r="4761" hidden="1" spans="2:18">
      <c r="B4761" s="128" t="s">
        <v>215</v>
      </c>
      <c r="C4761" s="63">
        <v>45950</v>
      </c>
      <c r="D4761" s="33" t="str">
        <f>VLOOKUP(B4761,辅助信息!E:K,7,FALSE)</f>
        <v>JWDDCD2025102100486</v>
      </c>
      <c r="E4761" s="33" t="str">
        <f>VLOOKUP(F4761,辅助信息!A:B,2,FALSE)</f>
        <v>螺纹钢</v>
      </c>
      <c r="F4761" s="33" t="s">
        <v>45</v>
      </c>
      <c r="G4761" s="29">
        <v>6</v>
      </c>
      <c r="H4761" s="127">
        <f>IF(SUMIFS('[1]2025年已发货'!$E:$E,'[1]2025年已发货'!$F:$F,C4765,'[1]2025年已发货'!$C:$C,F4761,'[1]2025年已发货'!$G:$G,I4761,'[1]2025年已发货'!$H:$H,J4761)=0,"未发货",SUMIFS('[1]2025年已发货'!$E:$E,'[1]2025年已发货'!$F:$F,C4765,'[1]2025年已发货'!$C:$C,F4761,'[1]2025年已发货'!$G:$G,I4761,'[1]2025年已发货'!$H:$H,J4761))</f>
        <v>6</v>
      </c>
      <c r="I4761" s="33" t="str">
        <f>VLOOKUP(B4761,辅助信息!E:I,3,FALSE)</f>
        <v>(五冶建设龙泉驿一医院配套建设工程)成都市龙泉驿区董朗路69号龙泉驿一医院5号门</v>
      </c>
      <c r="J4761" s="33" t="str">
        <f>VLOOKUP(B4761,辅助信息!E:I,4,FALSE)</f>
        <v>孙敏</v>
      </c>
      <c r="K4761" s="33">
        <f>VLOOKUP(J4761,辅助信息!H:I,2,FALSE)</f>
        <v>13617695006</v>
      </c>
      <c r="L4761" s="102" t="str">
        <f>VLOOKUP(B4761,辅助信息!E:J,6,FALSE)</f>
        <v>联系实际收货人（孙敏13617695006）五冶建设送货单,6份材质书,锈货不收，装货前联系收货人核实到场规格,没提前告知进场规格现场不给予接收</v>
      </c>
      <c r="M4761" s="84">
        <v>45946</v>
      </c>
      <c r="O4761" s="55">
        <f ca="1" t="shared" si="230"/>
        <v>0</v>
      </c>
      <c r="P4761" s="55">
        <f ca="1" t="shared" si="231"/>
        <v>11</v>
      </c>
      <c r="Q4761" s="22" t="str">
        <f>VLOOKUP(B4761,辅助信息!E:M,9,FALSE)</f>
        <v>ZTWM-CDGS-XS-2025-0073-五冶天府-成都怡心湖片区及龙泉驿医院等项目</v>
      </c>
      <c r="R4761" s="22" t="str">
        <f>_xlfn._xlws.FILTER(辅助信息!D:D,辅助信息!E:E=B4761)</f>
        <v>五冶建设龙泉驿一医院配套建设工程</v>
      </c>
    </row>
    <row r="4762" hidden="1" spans="2:18">
      <c r="B4762" s="128" t="s">
        <v>215</v>
      </c>
      <c r="C4762" s="63">
        <v>45950</v>
      </c>
      <c r="D4762" s="33" t="str">
        <f>VLOOKUP(B4762,辅助信息!E:K,7,FALSE)</f>
        <v>JWDDCD2025102100486</v>
      </c>
      <c r="E4762" s="33" t="str">
        <f>VLOOKUP(F4762,辅助信息!A:B,2,FALSE)</f>
        <v>螺纹钢</v>
      </c>
      <c r="F4762" s="33" t="s">
        <v>21</v>
      </c>
      <c r="G4762" s="29">
        <v>6</v>
      </c>
      <c r="H4762" s="127">
        <f>IF(SUMIFS('[1]2025年已发货'!$E:$E,'[1]2025年已发货'!$F:$F,C4766,'[1]2025年已发货'!$C:$C,F4762,'[1]2025年已发货'!$G:$G,I4762,'[1]2025年已发货'!$H:$H,J4762)=0,"未发货",SUMIFS('[1]2025年已发货'!$E:$E,'[1]2025年已发货'!$F:$F,C4766,'[1]2025年已发货'!$C:$C,F4762,'[1]2025年已发货'!$G:$G,I4762,'[1]2025年已发货'!$H:$H,J4762))</f>
        <v>6</v>
      </c>
      <c r="I4762" s="33" t="str">
        <f>VLOOKUP(B4762,辅助信息!E:I,3,FALSE)</f>
        <v>(五冶建设龙泉驿一医院配套建设工程)成都市龙泉驿区董朗路69号龙泉驿一医院5号门</v>
      </c>
      <c r="J4762" s="33" t="str">
        <f>VLOOKUP(B4762,辅助信息!E:I,4,FALSE)</f>
        <v>孙敏</v>
      </c>
      <c r="K4762" s="33">
        <f>VLOOKUP(J4762,辅助信息!H:I,2,FALSE)</f>
        <v>13617695006</v>
      </c>
      <c r="L4762" s="102" t="str">
        <f>VLOOKUP(B4762,辅助信息!E:J,6,FALSE)</f>
        <v>联系实际收货人（孙敏13617695006）五冶建设送货单,6份材质书,锈货不收，装货前联系收货人核实到场规格,没提前告知进场规格现场不给予接收</v>
      </c>
      <c r="M4762" s="84">
        <v>45946</v>
      </c>
      <c r="O4762" s="55">
        <f ca="1" t="shared" si="230"/>
        <v>0</v>
      </c>
      <c r="P4762" s="55">
        <f ca="1" t="shared" si="231"/>
        <v>11</v>
      </c>
      <c r="Q4762" s="22" t="str">
        <f>VLOOKUP(B4762,辅助信息!E:M,9,FALSE)</f>
        <v>ZTWM-CDGS-XS-2025-0073-五冶天府-成都怡心湖片区及龙泉驿医院等项目</v>
      </c>
      <c r="R4762" s="22" t="str">
        <f>_xlfn._xlws.FILTER(辅助信息!D:D,辅助信息!E:E=B4762)</f>
        <v>五冶建设龙泉驿一医院配套建设工程</v>
      </c>
    </row>
    <row r="4763" hidden="1" spans="2:18">
      <c r="B4763" s="128" t="s">
        <v>215</v>
      </c>
      <c r="C4763" s="63">
        <v>45950</v>
      </c>
      <c r="D4763" s="33" t="str">
        <f>VLOOKUP(B4763,辅助信息!E:K,7,FALSE)</f>
        <v>JWDDCD2025102100486</v>
      </c>
      <c r="E4763" s="33" t="str">
        <f>VLOOKUP(F4763,辅助信息!A:B,2,FALSE)</f>
        <v>螺纹钢</v>
      </c>
      <c r="F4763" s="33" t="s">
        <v>58</v>
      </c>
      <c r="G4763" s="29">
        <v>12</v>
      </c>
      <c r="H4763" s="127">
        <f>IF(SUMIFS('[1]2025年已发货'!$E:$E,'[1]2025年已发货'!$F:$F,C4767,'[1]2025年已发货'!$C:$C,F4763,'[1]2025年已发货'!$G:$G,I4763,'[1]2025年已发货'!$H:$H,J4763)=0,"未发货",SUMIFS('[1]2025年已发货'!$E:$E,'[1]2025年已发货'!$F:$F,C4767,'[1]2025年已发货'!$C:$C,F4763,'[1]2025年已发货'!$G:$G,I4763,'[1]2025年已发货'!$H:$H,J4763))</f>
        <v>12</v>
      </c>
      <c r="I4763" s="33" t="str">
        <f>VLOOKUP(B4763,辅助信息!E:I,3,FALSE)</f>
        <v>(五冶建设龙泉驿一医院配套建设工程)成都市龙泉驿区董朗路69号龙泉驿一医院5号门</v>
      </c>
      <c r="J4763" s="33" t="str">
        <f>VLOOKUP(B4763,辅助信息!E:I,4,FALSE)</f>
        <v>孙敏</v>
      </c>
      <c r="K4763" s="33">
        <f>VLOOKUP(J4763,辅助信息!H:I,2,FALSE)</f>
        <v>13617695006</v>
      </c>
      <c r="L4763" s="102" t="str">
        <f>VLOOKUP(B4763,辅助信息!E:J,6,FALSE)</f>
        <v>联系实际收货人（孙敏13617695006）五冶建设送货单,6份材质书,锈货不收，装货前联系收货人核实到场规格,没提前告知进场规格现场不给予接收</v>
      </c>
      <c r="M4763" s="84">
        <v>45946</v>
      </c>
      <c r="O4763" s="55">
        <f ca="1" t="shared" si="230"/>
        <v>0</v>
      </c>
      <c r="P4763" s="55">
        <f ca="1" t="shared" si="231"/>
        <v>11</v>
      </c>
      <c r="Q4763" s="22" t="str">
        <f>VLOOKUP(B4763,辅助信息!E:M,9,FALSE)</f>
        <v>ZTWM-CDGS-XS-2025-0073-五冶天府-成都怡心湖片区及龙泉驿医院等项目</v>
      </c>
      <c r="R4763" s="22" t="str">
        <f>_xlfn._xlws.FILTER(辅助信息!D:D,辅助信息!E:E=B4763)</f>
        <v>五冶建设龙泉驿一医院配套建设工程</v>
      </c>
    </row>
    <row r="4764" hidden="1" spans="2:18">
      <c r="B4764" s="128" t="s">
        <v>215</v>
      </c>
      <c r="C4764" s="63">
        <v>45950</v>
      </c>
      <c r="D4764" s="33" t="str">
        <f>VLOOKUP(B4764,辅助信息!E:K,7,FALSE)</f>
        <v>JWDDCD2025102100486</v>
      </c>
      <c r="E4764" s="33" t="str">
        <f>VLOOKUP(F4764,辅助信息!A:B,2,FALSE)</f>
        <v>螺纹钢</v>
      </c>
      <c r="F4764" s="33" t="s">
        <v>46</v>
      </c>
      <c r="G4764" s="29">
        <v>12</v>
      </c>
      <c r="H4764" s="127">
        <f>IF(SUMIFS('[1]2025年已发货'!$E:$E,'[1]2025年已发货'!$F:$F,C4768,'[1]2025年已发货'!$C:$C,F4764,'[1]2025年已发货'!$G:$G,I4764,'[1]2025年已发货'!$H:$H,J4764)=0,"未发货",SUMIFS('[1]2025年已发货'!$E:$E,'[1]2025年已发货'!$F:$F,C4768,'[1]2025年已发货'!$C:$C,F4764,'[1]2025年已发货'!$G:$G,I4764,'[1]2025年已发货'!$H:$H,J4764))</f>
        <v>12</v>
      </c>
      <c r="I4764" s="33" t="str">
        <f>VLOOKUP(B4764,辅助信息!E:I,3,FALSE)</f>
        <v>(五冶建设龙泉驿一医院配套建设工程)成都市龙泉驿区董朗路69号龙泉驿一医院5号门</v>
      </c>
      <c r="J4764" s="33" t="str">
        <f>VLOOKUP(B4764,辅助信息!E:I,4,FALSE)</f>
        <v>孙敏</v>
      </c>
      <c r="K4764" s="33">
        <f>VLOOKUP(J4764,辅助信息!H:I,2,FALSE)</f>
        <v>13617695006</v>
      </c>
      <c r="L4764" s="102" t="str">
        <f>VLOOKUP(B4764,辅助信息!E:J,6,FALSE)</f>
        <v>联系实际收货人（孙敏13617695006）五冶建设送货单,6份材质书,锈货不收，装货前联系收货人核实到场规格,没提前告知进场规格现场不给予接收</v>
      </c>
      <c r="M4764" s="84">
        <v>45946</v>
      </c>
      <c r="O4764" s="55">
        <f ca="1" t="shared" si="230"/>
        <v>0</v>
      </c>
      <c r="P4764" s="55">
        <f ca="1" t="shared" si="231"/>
        <v>11</v>
      </c>
      <c r="Q4764" s="22" t="str">
        <f>VLOOKUP(B4764,辅助信息!E:M,9,FALSE)</f>
        <v>ZTWM-CDGS-XS-2025-0073-五冶天府-成都怡心湖片区及龙泉驿医院等项目</v>
      </c>
      <c r="R4764" s="22" t="str">
        <f>_xlfn._xlws.FILTER(辅助信息!D:D,辅助信息!E:E=B4764)</f>
        <v>五冶建设龙泉驿一医院配套建设工程</v>
      </c>
    </row>
    <row r="4765" hidden="1" spans="2:18">
      <c r="B4765" s="128" t="s">
        <v>215</v>
      </c>
      <c r="C4765" s="63">
        <v>45950</v>
      </c>
      <c r="D4765" s="33" t="str">
        <f>VLOOKUP(B4765,辅助信息!E:K,7,FALSE)</f>
        <v>JWDDCD2025102100486</v>
      </c>
      <c r="E4765" s="33" t="str">
        <f>VLOOKUP(F4765,辅助信息!A:B,2,FALSE)</f>
        <v>螺纹钢</v>
      </c>
      <c r="F4765" s="33" t="s">
        <v>22</v>
      </c>
      <c r="G4765" s="29">
        <v>37</v>
      </c>
      <c r="H4765" s="127">
        <f>IF(SUMIFS('[1]2025年已发货'!$E:$E,'[1]2025年已发货'!$F:$F,C4769,'[1]2025年已发货'!$C:$C,F4765,'[1]2025年已发货'!$G:$G,I4765,'[1]2025年已发货'!$H:$H,J4765)=0,"未发货",SUMIFS('[1]2025年已发货'!$E:$E,'[1]2025年已发货'!$F:$F,C4769,'[1]2025年已发货'!$C:$C,F4765,'[1]2025年已发货'!$G:$G,I4765,'[1]2025年已发货'!$H:$H,J4765))</f>
        <v>37</v>
      </c>
      <c r="I4765" s="33" t="str">
        <f>VLOOKUP(B4765,辅助信息!E:I,3,FALSE)</f>
        <v>(五冶建设龙泉驿一医院配套建设工程)成都市龙泉驿区董朗路69号龙泉驿一医院5号门</v>
      </c>
      <c r="J4765" s="33" t="str">
        <f>VLOOKUP(B4765,辅助信息!E:I,4,FALSE)</f>
        <v>孙敏</v>
      </c>
      <c r="K4765" s="33">
        <f>VLOOKUP(J4765,辅助信息!H:I,2,FALSE)</f>
        <v>13617695006</v>
      </c>
      <c r="L4765" s="102" t="str">
        <f>VLOOKUP(B4765,辅助信息!E:J,6,FALSE)</f>
        <v>联系实际收货人（孙敏13617695006）五冶建设送货单,6份材质书,锈货不收，装货前联系收货人核实到场规格,没提前告知进场规格现场不给予接收</v>
      </c>
      <c r="M4765" s="84">
        <v>45946</v>
      </c>
      <c r="O4765" s="55">
        <f ca="1" t="shared" si="230"/>
        <v>0</v>
      </c>
      <c r="P4765" s="55">
        <f ca="1" t="shared" si="231"/>
        <v>11</v>
      </c>
      <c r="Q4765" s="22" t="str">
        <f>VLOOKUP(B4765,辅助信息!E:M,9,FALSE)</f>
        <v>ZTWM-CDGS-XS-2025-0073-五冶天府-成都怡心湖片区及龙泉驿医院等项目</v>
      </c>
      <c r="R4765" s="22" t="str">
        <f>_xlfn._xlws.FILTER(辅助信息!D:D,辅助信息!E:E=B4765)</f>
        <v>五冶建设龙泉驿一医院配套建设工程</v>
      </c>
    </row>
    <row r="4766" hidden="1" spans="2:18">
      <c r="B4766" s="128" t="s">
        <v>215</v>
      </c>
      <c r="C4766" s="63">
        <v>45950</v>
      </c>
      <c r="D4766" s="33" t="str">
        <f>VLOOKUP(B4766,辅助信息!E:K,7,FALSE)</f>
        <v>JWDDCD2025102100486</v>
      </c>
      <c r="E4766" s="33" t="str">
        <f>VLOOKUP(F4766,辅助信息!A:B,2,FALSE)</f>
        <v>螺纹钢</v>
      </c>
      <c r="F4766" s="33" t="s">
        <v>181</v>
      </c>
      <c r="G4766" s="29">
        <v>1.5</v>
      </c>
      <c r="H4766" s="127">
        <f>IF(SUMIFS('[1]2025年已发货'!$E:$E,'[1]2025年已发货'!$F:$F,C4770,'[1]2025年已发货'!$C:$C,F4766,'[1]2025年已发货'!$G:$G,I4766,'[1]2025年已发货'!$H:$H,J4766)=0,"未发货",SUMIFS('[1]2025年已发货'!$E:$E,'[1]2025年已发货'!$F:$F,C4770,'[1]2025年已发货'!$C:$C,F4766,'[1]2025年已发货'!$G:$G,I4766,'[1]2025年已发货'!$H:$H,J4766))</f>
        <v>1.5</v>
      </c>
      <c r="I4766" s="33" t="str">
        <f>VLOOKUP(B4766,辅助信息!E:I,3,FALSE)</f>
        <v>(五冶建设龙泉驿一医院配套建设工程)成都市龙泉驿区董朗路69号龙泉驿一医院5号门</v>
      </c>
      <c r="J4766" s="33" t="str">
        <f>VLOOKUP(B4766,辅助信息!E:I,4,FALSE)</f>
        <v>孙敏</v>
      </c>
      <c r="K4766" s="33">
        <f>VLOOKUP(J4766,辅助信息!H:I,2,FALSE)</f>
        <v>13617695006</v>
      </c>
      <c r="L4766" s="102" t="str">
        <f>VLOOKUP(B4766,辅助信息!E:J,6,FALSE)</f>
        <v>联系实际收货人（孙敏13617695006）五冶建设送货单,6份材质书,锈货不收，装货前联系收货人核实到场规格,没提前告知进场规格现场不给予接收</v>
      </c>
      <c r="M4766" s="84">
        <v>45946</v>
      </c>
      <c r="O4766" s="55">
        <f ca="1" t="shared" si="230"/>
        <v>0</v>
      </c>
      <c r="P4766" s="55">
        <f ca="1" t="shared" si="231"/>
        <v>11</v>
      </c>
      <c r="Q4766" s="22" t="str">
        <f>VLOOKUP(B4766,辅助信息!E:M,9,FALSE)</f>
        <v>ZTWM-CDGS-XS-2025-0073-五冶天府-成都怡心湖片区及龙泉驿医院等项目</v>
      </c>
      <c r="R4766" s="22" t="str">
        <f>_xlfn._xlws.FILTER(辅助信息!D:D,辅助信息!E:E=B4766)</f>
        <v>五冶建设龙泉驿一医院配套建设工程</v>
      </c>
    </row>
    <row r="4767" hidden="1" spans="2:18">
      <c r="B4767" s="128" t="s">
        <v>231</v>
      </c>
      <c r="C4767" s="63">
        <v>45950</v>
      </c>
      <c r="D4767" s="33" t="str">
        <f>VLOOKUP(B4767,辅助信息!E:K,7,FALSE)</f>
        <v>JWDDCD2025102100481</v>
      </c>
      <c r="E4767" s="33" t="str">
        <f>VLOOKUP(F4767,辅助信息!A:B,2,FALSE)</f>
        <v>盘螺</v>
      </c>
      <c r="F4767" s="33" t="s">
        <v>41</v>
      </c>
      <c r="G4767" s="29">
        <v>22</v>
      </c>
      <c r="H4767" s="127"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33" t="str">
        <f>VLOOKUP(B4767,辅助信息!E:I,3,FALSE)</f>
        <v>(五冶建设成都盐道街中学初中部改扩建工程-一标)四川省成都市锦江区春熙路街道盐道街4号（盐道街中学初中部）</v>
      </c>
      <c r="J4767" s="33" t="str">
        <f>VLOOKUP(B4767,辅助信息!E:I,4,FALSE)</f>
        <v>谢鑫</v>
      </c>
      <c r="K4767" s="33">
        <f>VLOOKUP(J4767,辅助信息!H:I,2,FALSE)</f>
        <v>18228465067</v>
      </c>
      <c r="L4767" s="102" t="str">
        <f>VLOOKUP(B4767,辅助信息!E:J,6,FALSE)</f>
        <v>联系实际收货人（易前刚18228465067）五冶建设送货单,6份材质书,锈货不收，装货前联系收货人核实到场规格,没提前告知进场规格现场不给予接收</v>
      </c>
      <c r="M4767" s="84">
        <v>45950</v>
      </c>
      <c r="O4767" s="55">
        <f ca="1" t="shared" si="230"/>
        <v>0</v>
      </c>
      <c r="P4767" s="55">
        <f ca="1" t="shared" si="231"/>
        <v>7</v>
      </c>
      <c r="Q4767" s="22" t="str">
        <f>VLOOKUP(B4767,辅助信息!E:M,9,FALSE)</f>
        <v>ZTWM-CDGS-XS-2025-0073-五冶天府-成都怡心湖片区及龙泉驿医院等项目</v>
      </c>
      <c r="R4767" s="22" t="str">
        <f>_xlfn._xlws.FILTER(辅助信息!D:D,辅助信息!E:E=B4767)</f>
        <v>五冶建设成都盐道街中学初中部改扩建工程-一标</v>
      </c>
    </row>
    <row r="4768" hidden="1" spans="2:18">
      <c r="B4768" s="128" t="s">
        <v>231</v>
      </c>
      <c r="C4768" s="63">
        <v>45950</v>
      </c>
      <c r="D4768" s="33" t="str">
        <f>VLOOKUP(B4768,辅助信息!E:K,7,FALSE)</f>
        <v>JWDDCD2025102100481</v>
      </c>
      <c r="E4768" s="33" t="str">
        <f>VLOOKUP(F4768,辅助信息!A:B,2,FALSE)</f>
        <v>盘螺</v>
      </c>
      <c r="F4768" s="33" t="s">
        <v>26</v>
      </c>
      <c r="G4768" s="29">
        <v>10</v>
      </c>
      <c r="H4768" s="127"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33" t="str">
        <f>VLOOKUP(B4768,辅助信息!E:I,3,FALSE)</f>
        <v>(五冶建设成都盐道街中学初中部改扩建工程-一标)四川省成都市锦江区春熙路街道盐道街4号（盐道街中学初中部）</v>
      </c>
      <c r="J4768" s="33" t="str">
        <f>VLOOKUP(B4768,辅助信息!E:I,4,FALSE)</f>
        <v>谢鑫</v>
      </c>
      <c r="K4768" s="33">
        <f>VLOOKUP(J4768,辅助信息!H:I,2,FALSE)</f>
        <v>18228465067</v>
      </c>
      <c r="L4768" s="102" t="str">
        <f>VLOOKUP(B4768,辅助信息!E:J,6,FALSE)</f>
        <v>联系实际收货人（易前刚18228465067）五冶建设送货单,6份材质书,锈货不收，装货前联系收货人核实到场规格,没提前告知进场规格现场不给予接收</v>
      </c>
      <c r="M4768" s="84">
        <v>45950</v>
      </c>
      <c r="O4768" s="55">
        <f ca="1" t="shared" ref="O4768:O4831" si="232">IF(OR(M4768="",N4768&lt;&gt;""),"",MAX(M4768-TODAY(),0))</f>
        <v>0</v>
      </c>
      <c r="P4768" s="55">
        <f ca="1" t="shared" ref="P4768:P4831" si="233">IF(M4768="","",IF(N4768&lt;&gt;"",MAX(N4768-M4768,0),IF(TODAY()&gt;M4768,TODAY()-M4768,0)))</f>
        <v>7</v>
      </c>
      <c r="Q4768" s="22" t="str">
        <f>VLOOKUP(B4768,辅助信息!E:M,9,FALSE)</f>
        <v>ZTWM-CDGS-XS-2025-0073-五冶天府-成都怡心湖片区及龙泉驿医院等项目</v>
      </c>
      <c r="R4768" s="22" t="str">
        <f>_xlfn._xlws.FILTER(辅助信息!D:D,辅助信息!E:E=B4768)</f>
        <v>五冶建设成都盐道街中学初中部改扩建工程-一标</v>
      </c>
    </row>
    <row r="4769" hidden="1" spans="2:18">
      <c r="B4769" s="128" t="s">
        <v>231</v>
      </c>
      <c r="C4769" s="63">
        <v>45950</v>
      </c>
      <c r="D4769" s="33" t="str">
        <f>VLOOKUP(B4769,辅助信息!E:K,7,FALSE)</f>
        <v>JWDDCD2025102100481</v>
      </c>
      <c r="E4769" s="33" t="str">
        <f>VLOOKUP(F4769,辅助信息!A:B,2,FALSE)</f>
        <v>螺纹钢</v>
      </c>
      <c r="F4769" s="33" t="s">
        <v>32</v>
      </c>
      <c r="G4769" s="29">
        <v>2.5</v>
      </c>
      <c r="H4769" s="127"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33" t="str">
        <f>VLOOKUP(B4769,辅助信息!E:I,3,FALSE)</f>
        <v>(五冶建设成都盐道街中学初中部改扩建工程-一标)四川省成都市锦江区春熙路街道盐道街4号（盐道街中学初中部）</v>
      </c>
      <c r="J4769" s="33" t="str">
        <f>VLOOKUP(B4769,辅助信息!E:I,4,FALSE)</f>
        <v>谢鑫</v>
      </c>
      <c r="K4769" s="33">
        <f>VLOOKUP(J4769,辅助信息!H:I,2,FALSE)</f>
        <v>18228465067</v>
      </c>
      <c r="L4769" s="102" t="str">
        <f>VLOOKUP(B4769,辅助信息!E:J,6,FALSE)</f>
        <v>联系实际收货人（易前刚18228465067）五冶建设送货单,6份材质书,锈货不收，装货前联系收货人核实到场规格,没提前告知进场规格现场不给予接收</v>
      </c>
      <c r="M4769" s="84">
        <v>45950</v>
      </c>
      <c r="O4769" s="55">
        <f ca="1" t="shared" si="232"/>
        <v>0</v>
      </c>
      <c r="P4769" s="55">
        <f ca="1" t="shared" si="233"/>
        <v>7</v>
      </c>
      <c r="Q4769" s="22" t="str">
        <f>VLOOKUP(B4769,辅助信息!E:M,9,FALSE)</f>
        <v>ZTWM-CDGS-XS-2025-0073-五冶天府-成都怡心湖片区及龙泉驿医院等项目</v>
      </c>
      <c r="R4769" s="22" t="str">
        <f>_xlfn._xlws.FILTER(辅助信息!D:D,辅助信息!E:E=B4769)</f>
        <v>五冶建设成都盐道街中学初中部改扩建工程-一标</v>
      </c>
    </row>
    <row r="4770" hidden="1" spans="2:18">
      <c r="B4770" s="128" t="s">
        <v>194</v>
      </c>
      <c r="C4770" s="63">
        <v>45950</v>
      </c>
      <c r="D4770" s="33" t="str">
        <f>VLOOKUP(B4770,辅助信息!E:K,7,FALSE)</f>
        <v>JWDD2025071500089</v>
      </c>
      <c r="E4770" s="33" t="str">
        <f>VLOOKUP(F4770,辅助信息!A:B,2,FALSE)</f>
        <v>螺纹钢</v>
      </c>
      <c r="F4770" s="33" t="s">
        <v>27</v>
      </c>
      <c r="G4770" s="29">
        <v>10</v>
      </c>
      <c r="H4770" s="127"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33" t="str">
        <f>VLOOKUP(B4770,辅助信息!E:I,3,FALSE)</f>
        <v>(宜宾兴港三江新区长江工业园保障性租赁住房建设项目-土建)四川省宜宾市翠屏区永善路南段宜宾市三江新区长江工业园区</v>
      </c>
      <c r="J4770" s="33" t="str">
        <f>VLOOKUP(B4770,辅助信息!E:I,4,FALSE)</f>
        <v>赵元虎</v>
      </c>
      <c r="K4770" s="33">
        <f>VLOOKUP(J4770,辅助信息!H:I,2,FALSE)</f>
        <v>13684167136</v>
      </c>
      <c r="L4770" s="102" t="str">
        <f>VLOOKUP(B4770,辅助信息!E:J,6,FALSE)</f>
        <v>现场要求调度统一联系指定收货人，不单独发司机位置。锈货不收，装货前联系收货人核实到场规格,没提前告知进场规格现场不给予接收</v>
      </c>
      <c r="O4770" s="55" t="str">
        <f ca="1" t="shared" si="232"/>
        <v/>
      </c>
      <c r="P4770" s="55" t="str">
        <f ca="1" t="shared" si="233"/>
        <v/>
      </c>
      <c r="Q4770" s="22" t="str">
        <f>VLOOKUP(B4770,辅助信息!E:M,9,FALSE)</f>
        <v>ZTWM-CDYXGS-XS-2025-0014-宜宾兴港建材-三江新区长江工业园片区保障性租赁住房建设项目</v>
      </c>
      <c r="R4770" s="22" t="str">
        <f>_xlfn._xlws.FILTER(辅助信息!D:D,辅助信息!E:E=B4770)</f>
        <v>宜宾兴港三江新区长江工业园建设项目</v>
      </c>
    </row>
    <row r="4771" hidden="1" spans="2:18">
      <c r="B4771" s="128" t="s">
        <v>194</v>
      </c>
      <c r="C4771" s="63">
        <v>45950</v>
      </c>
      <c r="D4771" s="33" t="str">
        <f>VLOOKUP(B4771,辅助信息!E:K,7,FALSE)</f>
        <v>JWDD2025071500089</v>
      </c>
      <c r="E4771" s="33" t="str">
        <f>VLOOKUP(F4771,辅助信息!A:B,2,FALSE)</f>
        <v>螺纹钢</v>
      </c>
      <c r="F4771" s="33" t="s">
        <v>30</v>
      </c>
      <c r="G4771" s="29">
        <v>25</v>
      </c>
      <c r="H4771" s="127"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33" t="str">
        <f>VLOOKUP(B4771,辅助信息!E:I,3,FALSE)</f>
        <v>(宜宾兴港三江新区长江工业园保障性租赁住房建设项目-土建)四川省宜宾市翠屏区永善路南段宜宾市三江新区长江工业园区</v>
      </c>
      <c r="J4771" s="33" t="str">
        <f>VLOOKUP(B4771,辅助信息!E:I,4,FALSE)</f>
        <v>赵元虎</v>
      </c>
      <c r="K4771" s="33">
        <f>VLOOKUP(J4771,辅助信息!H:I,2,FALSE)</f>
        <v>13684167136</v>
      </c>
      <c r="L4771" s="102" t="str">
        <f>VLOOKUP(B4771,辅助信息!E:J,6,FALSE)</f>
        <v>现场要求调度统一联系指定收货人，不单独发司机位置。锈货不收，装货前联系收货人核实到场规格,没提前告知进场规格现场不给予接收</v>
      </c>
      <c r="O4771" s="55" t="str">
        <f ca="1" t="shared" si="232"/>
        <v/>
      </c>
      <c r="P4771" s="55" t="str">
        <f ca="1" t="shared" si="233"/>
        <v/>
      </c>
      <c r="Q4771" s="22" t="str">
        <f>VLOOKUP(B4771,辅助信息!E:M,9,FALSE)</f>
        <v>ZTWM-CDYXGS-XS-2025-0014-宜宾兴港建材-三江新区长江工业园片区保障性租赁住房建设项目</v>
      </c>
      <c r="R4771" s="22" t="str">
        <f>_xlfn._xlws.FILTER(辅助信息!D:D,辅助信息!E:E=B4771)</f>
        <v>宜宾兴港三江新区长江工业园建设项目</v>
      </c>
    </row>
    <row r="4772" hidden="1" spans="2:18">
      <c r="B4772" s="128" t="s">
        <v>187</v>
      </c>
      <c r="C4772" s="63">
        <v>45950</v>
      </c>
      <c r="D4772" s="33" t="str">
        <f>VLOOKUP(B4772,辅助信息!E:K,7,FALSE)</f>
        <v>JWDDCD2025072900121</v>
      </c>
      <c r="E4772" s="33" t="str">
        <f>VLOOKUP(F4772,辅助信息!A:B,2,FALSE)</f>
        <v>螺纹钢</v>
      </c>
      <c r="F4772" s="33" t="s">
        <v>82</v>
      </c>
      <c r="G4772" s="29">
        <v>10</v>
      </c>
      <c r="H4772" s="127"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33" t="str">
        <f>VLOOKUP(B4772,辅助信息!E:I,3,FALSE)</f>
        <v>(乐山市校地共建产教融合基地建设项目一标段)四川省乐山市市中区苏稽镇周山嘴</v>
      </c>
      <c r="J4772" s="33" t="str">
        <f>VLOOKUP(B4772,辅助信息!E:I,4,FALSE)</f>
        <v>范增云</v>
      </c>
      <c r="K4772" s="33">
        <f>VLOOKUP(J4772,辅助信息!H:I,2,FALSE)</f>
        <v>13668153241</v>
      </c>
      <c r="L4772" s="102" t="str">
        <f>VLOOKUP(B4772,辅助信息!E:J,6,FALSE)</f>
        <v>联系实际收货人（范增云13668153241）现场要求炉批号控制2个以下，超2个不给予签收。提前联系到场规格及数量</v>
      </c>
      <c r="O4772" s="55" t="str">
        <f ca="1" t="shared" si="232"/>
        <v/>
      </c>
      <c r="P4772" s="55" t="str">
        <f ca="1" t="shared" si="233"/>
        <v/>
      </c>
      <c r="Q4772" s="22" t="str">
        <f>VLOOKUP(B4772,辅助信息!E:M,9,FALSE)</f>
        <v>ZTWM-CDGS-XS-2025-0125-四川机司-乐山市校地共建产教融合基地配套设施项目施工一标段钢筋采购合同</v>
      </c>
      <c r="R4772" s="22" t="str">
        <f>_xlfn._xlws.FILTER(辅助信息!D:D,辅助信息!E:E=B4772)</f>
        <v>乐山市校地共建产教融合基地建设项目一标段</v>
      </c>
    </row>
    <row r="4773" hidden="1" spans="2:18">
      <c r="B4773" s="128" t="s">
        <v>187</v>
      </c>
      <c r="C4773" s="63">
        <v>45950</v>
      </c>
      <c r="D4773" s="33" t="str">
        <f>VLOOKUP(B4773,辅助信息!E:K,7,FALSE)</f>
        <v>JWDDCD2025072900121</v>
      </c>
      <c r="E4773" s="33" t="str">
        <f>VLOOKUP(F4773,辅助信息!A:B,2,FALSE)</f>
        <v>螺纹钢</v>
      </c>
      <c r="F4773" s="33" t="s">
        <v>22</v>
      </c>
      <c r="G4773" s="29">
        <v>15</v>
      </c>
      <c r="H4773" s="127"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33" t="str">
        <f>VLOOKUP(B4773,辅助信息!E:I,3,FALSE)</f>
        <v>(乐山市校地共建产教融合基地建设项目一标段)四川省乐山市市中区苏稽镇周山嘴</v>
      </c>
      <c r="J4773" s="33" t="str">
        <f>VLOOKUP(B4773,辅助信息!E:I,4,FALSE)</f>
        <v>范增云</v>
      </c>
      <c r="K4773" s="33">
        <f>VLOOKUP(J4773,辅助信息!H:I,2,FALSE)</f>
        <v>13668153241</v>
      </c>
      <c r="L4773" s="102" t="str">
        <f>VLOOKUP(B4773,辅助信息!E:J,6,FALSE)</f>
        <v>联系实际收货人（范增云13668153241）现场要求炉批号控制2个以下，超2个不给予签收。提前联系到场规格及数量</v>
      </c>
      <c r="O4773" s="55" t="str">
        <f ca="1" t="shared" si="232"/>
        <v/>
      </c>
      <c r="P4773" s="55" t="str">
        <f ca="1" t="shared" si="233"/>
        <v/>
      </c>
      <c r="Q4773" s="22" t="str">
        <f>VLOOKUP(B4773,辅助信息!E:M,9,FALSE)</f>
        <v>ZTWM-CDGS-XS-2025-0125-四川机司-乐山市校地共建产教融合基地配套设施项目施工一标段钢筋采购合同</v>
      </c>
      <c r="R4773" s="22" t="str">
        <f>_xlfn._xlws.FILTER(辅助信息!D:D,辅助信息!E:E=B4773)</f>
        <v>乐山市校地共建产教融合基地建设项目一标段</v>
      </c>
    </row>
    <row r="4774" hidden="1" spans="2:18">
      <c r="B4774" s="128" t="s">
        <v>187</v>
      </c>
      <c r="C4774" s="63">
        <v>45950</v>
      </c>
      <c r="D4774" s="33" t="str">
        <f>VLOOKUP(B4774,辅助信息!E:K,7,FALSE)</f>
        <v>JWDDCD2025072900121</v>
      </c>
      <c r="E4774" s="33" t="str">
        <f>VLOOKUP(F4774,辅助信息!A:B,2,FALSE)</f>
        <v>螺纹钢</v>
      </c>
      <c r="F4774" s="33" t="s">
        <v>142</v>
      </c>
      <c r="G4774" s="29">
        <v>10</v>
      </c>
      <c r="H4774" s="127"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33" t="str">
        <f>VLOOKUP(B4774,辅助信息!E:I,3,FALSE)</f>
        <v>(乐山市校地共建产教融合基地建设项目一标段)四川省乐山市市中区苏稽镇周山嘴</v>
      </c>
      <c r="J4774" s="33" t="str">
        <f>VLOOKUP(B4774,辅助信息!E:I,4,FALSE)</f>
        <v>范增云</v>
      </c>
      <c r="K4774" s="33">
        <f>VLOOKUP(J4774,辅助信息!H:I,2,FALSE)</f>
        <v>13668153241</v>
      </c>
      <c r="L4774" s="102" t="str">
        <f>VLOOKUP(B4774,辅助信息!E:J,6,FALSE)</f>
        <v>联系实际收货人（范增云13668153241）现场要求炉批号控制2个以下，超2个不给予签收。提前联系到场规格及数量</v>
      </c>
      <c r="O4774" s="55" t="str">
        <f ca="1" t="shared" si="232"/>
        <v/>
      </c>
      <c r="P4774" s="55" t="str">
        <f ca="1" t="shared" si="233"/>
        <v/>
      </c>
      <c r="Q4774" s="22" t="str">
        <f>VLOOKUP(B4774,辅助信息!E:M,9,FALSE)</f>
        <v>ZTWM-CDGS-XS-2025-0125-四川机司-乐山市校地共建产教融合基地配套设施项目施工一标段钢筋采购合同</v>
      </c>
      <c r="R4774" s="22" t="str">
        <f>_xlfn._xlws.FILTER(辅助信息!D:D,辅助信息!E:E=B4774)</f>
        <v>乐山市校地共建产教融合基地建设项目一标段</v>
      </c>
    </row>
    <row r="4775" hidden="1" spans="2:18">
      <c r="B4775" s="128" t="s">
        <v>167</v>
      </c>
      <c r="C4775" s="63">
        <v>45950</v>
      </c>
      <c r="D4775" s="33" t="str">
        <f>VLOOKUP(B4775,辅助信息!E:K,7,FALSE)</f>
        <v>JWDDCD2025102100473</v>
      </c>
      <c r="E4775" s="33" t="str">
        <f>VLOOKUP(F4775,辅助信息!A:B,2,FALSE)</f>
        <v>螺纹钢</v>
      </c>
      <c r="F4775" s="33" t="s">
        <v>19</v>
      </c>
      <c r="G4775" s="29">
        <v>6</v>
      </c>
      <c r="H4775" s="127"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33" t="str">
        <f>VLOOKUP(B4775,辅助信息!E:I,3,FALSE)</f>
        <v>(五冶建设扩建艺体中学二期工程)四川省成都市双流区光荣路成都艺体中学南200米</v>
      </c>
      <c r="J4775" s="33" t="str">
        <f>VLOOKUP(B4775,辅助信息!E:I,4,FALSE)</f>
        <v>谢序强</v>
      </c>
      <c r="K4775" s="33">
        <f>VLOOKUP(J4775,辅助信息!H:I,2,FALSE)</f>
        <v>13458588232</v>
      </c>
      <c r="L4775" s="102"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55" t="str">
        <f ca="1" t="shared" si="232"/>
        <v/>
      </c>
      <c r="P4775" s="55" t="str">
        <f ca="1" t="shared" si="233"/>
        <v/>
      </c>
      <c r="Q4775" s="22" t="str">
        <f>VLOOKUP(B4775,辅助信息!E:M,9,FALSE)</f>
        <v>ZTWM-CDGS-XS-2025-0073-五冶天府-成都怡心湖片区及龙泉驿医院等项目</v>
      </c>
      <c r="R4775" s="22" t="str">
        <f>_xlfn._xlws.FILTER(辅助信息!D:D,辅助信息!E:E=B4775)</f>
        <v>五冶建设扩建艺体中学二期工程</v>
      </c>
    </row>
    <row r="4776" hidden="1" spans="2:18">
      <c r="B4776" s="128" t="s">
        <v>167</v>
      </c>
      <c r="C4776" s="63">
        <v>45950</v>
      </c>
      <c r="D4776" s="33" t="str">
        <f>VLOOKUP(B4776,辅助信息!E:K,7,FALSE)</f>
        <v>JWDDCD2025102100473</v>
      </c>
      <c r="E4776" s="33" t="str">
        <f>VLOOKUP(F4776,辅助信息!A:B,2,FALSE)</f>
        <v>螺纹钢</v>
      </c>
      <c r="F4776" s="33" t="s">
        <v>66</v>
      </c>
      <c r="G4776" s="29">
        <v>6</v>
      </c>
      <c r="H4776" s="127"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33" t="str">
        <f>VLOOKUP(B4776,辅助信息!E:I,3,FALSE)</f>
        <v>(五冶建设扩建艺体中学二期工程)四川省成都市双流区光荣路成都艺体中学南200米</v>
      </c>
      <c r="J4776" s="33" t="str">
        <f>VLOOKUP(B4776,辅助信息!E:I,4,FALSE)</f>
        <v>谢序强</v>
      </c>
      <c r="K4776" s="33">
        <f>VLOOKUP(J4776,辅助信息!H:I,2,FALSE)</f>
        <v>13458588232</v>
      </c>
      <c r="L4776" s="102"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55" t="str">
        <f ca="1" t="shared" si="232"/>
        <v/>
      </c>
      <c r="P4776" s="55" t="str">
        <f ca="1" t="shared" si="233"/>
        <v/>
      </c>
      <c r="Q4776" s="22" t="str">
        <f>VLOOKUP(B4776,辅助信息!E:M,9,FALSE)</f>
        <v>ZTWM-CDGS-XS-2025-0073-五冶天府-成都怡心湖片区及龙泉驿医院等项目</v>
      </c>
      <c r="R4776" s="22" t="str">
        <f>_xlfn._xlws.FILTER(辅助信息!D:D,辅助信息!E:E=B4776)</f>
        <v>五冶建设扩建艺体中学二期工程</v>
      </c>
    </row>
    <row r="4777" hidden="1" spans="2:18">
      <c r="B4777" s="128" t="s">
        <v>167</v>
      </c>
      <c r="C4777" s="63">
        <v>45950</v>
      </c>
      <c r="D4777" s="33" t="str">
        <f>VLOOKUP(B4777,辅助信息!E:K,7,FALSE)</f>
        <v>JWDDCD2025102100473</v>
      </c>
      <c r="E4777" s="33" t="str">
        <f>VLOOKUP(F4777,辅助信息!A:B,2,FALSE)</f>
        <v>螺纹钢</v>
      </c>
      <c r="F4777" s="33" t="s">
        <v>82</v>
      </c>
      <c r="G4777" s="29">
        <v>8</v>
      </c>
      <c r="H4777" s="127"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33" t="str">
        <f>VLOOKUP(B4777,辅助信息!E:I,3,FALSE)</f>
        <v>(五冶建设扩建艺体中学二期工程)四川省成都市双流区光荣路成都艺体中学南200米</v>
      </c>
      <c r="J4777" s="33" t="str">
        <f>VLOOKUP(B4777,辅助信息!E:I,4,FALSE)</f>
        <v>谢序强</v>
      </c>
      <c r="K4777" s="33">
        <f>VLOOKUP(J4777,辅助信息!H:I,2,FALSE)</f>
        <v>13458588232</v>
      </c>
      <c r="L4777" s="102"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55" t="str">
        <f ca="1" t="shared" si="232"/>
        <v/>
      </c>
      <c r="P4777" s="55" t="str">
        <f ca="1" t="shared" si="233"/>
        <v/>
      </c>
      <c r="Q4777" s="22" t="str">
        <f>VLOOKUP(B4777,辅助信息!E:M,9,FALSE)</f>
        <v>ZTWM-CDGS-XS-2025-0073-五冶天府-成都怡心湖片区及龙泉驿医院等项目</v>
      </c>
      <c r="R4777" s="22" t="str">
        <f>_xlfn._xlws.FILTER(辅助信息!D:D,辅助信息!E:E=B4777)</f>
        <v>五冶建设扩建艺体中学二期工程</v>
      </c>
    </row>
    <row r="4778" hidden="1" spans="2:18">
      <c r="B4778" s="128" t="s">
        <v>167</v>
      </c>
      <c r="C4778" s="63">
        <v>45950</v>
      </c>
      <c r="D4778" s="33" t="str">
        <f>VLOOKUP(B4778,辅助信息!E:K,7,FALSE)</f>
        <v>JWDDCD2025102100473</v>
      </c>
      <c r="E4778" s="33" t="str">
        <f>VLOOKUP(F4778,辅助信息!A:B,2,FALSE)</f>
        <v>螺纹钢</v>
      </c>
      <c r="F4778" s="33" t="s">
        <v>45</v>
      </c>
      <c r="G4778" s="29">
        <v>8</v>
      </c>
      <c r="H4778" s="127"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33" t="str">
        <f>VLOOKUP(B4778,辅助信息!E:I,3,FALSE)</f>
        <v>(五冶建设扩建艺体中学二期工程)四川省成都市双流区光荣路成都艺体中学南200米</v>
      </c>
      <c r="J4778" s="33" t="str">
        <f>VLOOKUP(B4778,辅助信息!E:I,4,FALSE)</f>
        <v>谢序强</v>
      </c>
      <c r="K4778" s="33">
        <f>VLOOKUP(J4778,辅助信息!H:I,2,FALSE)</f>
        <v>13458588232</v>
      </c>
      <c r="L4778" s="102"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55" t="str">
        <f ca="1" t="shared" si="232"/>
        <v/>
      </c>
      <c r="P4778" s="55" t="str">
        <f ca="1" t="shared" si="233"/>
        <v/>
      </c>
      <c r="Q4778" s="22" t="str">
        <f>VLOOKUP(B4778,辅助信息!E:M,9,FALSE)</f>
        <v>ZTWM-CDGS-XS-2025-0073-五冶天府-成都怡心湖片区及龙泉驿医院等项目</v>
      </c>
      <c r="R4778" s="22" t="str">
        <f>_xlfn._xlws.FILTER(辅助信息!D:D,辅助信息!E:E=B4778)</f>
        <v>五冶建设扩建艺体中学二期工程</v>
      </c>
    </row>
    <row r="4779" hidden="1" spans="2:18">
      <c r="B4779" s="128" t="s">
        <v>167</v>
      </c>
      <c r="C4779" s="63">
        <v>45950</v>
      </c>
      <c r="D4779" s="33" t="str">
        <f>VLOOKUP(B4779,辅助信息!E:K,7,FALSE)</f>
        <v>JWDDCD2025102100473</v>
      </c>
      <c r="E4779" s="33" t="str">
        <f>VLOOKUP(F4779,辅助信息!A:B,2,FALSE)</f>
        <v>螺纹钢</v>
      </c>
      <c r="F4779" s="33" t="s">
        <v>21</v>
      </c>
      <c r="G4779" s="29">
        <v>3</v>
      </c>
      <c r="H4779" s="127"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33" t="str">
        <f>VLOOKUP(B4779,辅助信息!E:I,3,FALSE)</f>
        <v>(五冶建设扩建艺体中学二期工程)四川省成都市双流区光荣路成都艺体中学南200米</v>
      </c>
      <c r="J4779" s="33" t="str">
        <f>VLOOKUP(B4779,辅助信息!E:I,4,FALSE)</f>
        <v>谢序强</v>
      </c>
      <c r="K4779" s="33">
        <f>VLOOKUP(J4779,辅助信息!H:I,2,FALSE)</f>
        <v>13458588232</v>
      </c>
      <c r="L4779" s="102"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55" t="str">
        <f ca="1" t="shared" si="232"/>
        <v/>
      </c>
      <c r="P4779" s="55" t="str">
        <f ca="1" t="shared" si="233"/>
        <v/>
      </c>
      <c r="Q4779" s="22" t="str">
        <f>VLOOKUP(B4779,辅助信息!E:M,9,FALSE)</f>
        <v>ZTWM-CDGS-XS-2025-0073-五冶天府-成都怡心湖片区及龙泉驿医院等项目</v>
      </c>
      <c r="R4779" s="22" t="str">
        <f>_xlfn._xlws.FILTER(辅助信息!D:D,辅助信息!E:E=B4779)</f>
        <v>五冶建设扩建艺体中学二期工程</v>
      </c>
    </row>
    <row r="4780" hidden="1" spans="2:18">
      <c r="B4780" s="128" t="s">
        <v>167</v>
      </c>
      <c r="C4780" s="63">
        <v>45950</v>
      </c>
      <c r="D4780" s="33" t="str">
        <f>VLOOKUP(B4780,辅助信息!E:K,7,FALSE)</f>
        <v>JWDDCD2025102100473</v>
      </c>
      <c r="E4780" s="33" t="str">
        <f>VLOOKUP(F4780,辅助信息!A:B,2,FALSE)</f>
        <v>螺纹钢</v>
      </c>
      <c r="F4780" s="33" t="s">
        <v>58</v>
      </c>
      <c r="G4780" s="29">
        <v>3</v>
      </c>
      <c r="H4780" s="127"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33" t="str">
        <f>VLOOKUP(B4780,辅助信息!E:I,3,FALSE)</f>
        <v>(五冶建设扩建艺体中学二期工程)四川省成都市双流区光荣路成都艺体中学南200米</v>
      </c>
      <c r="J4780" s="33" t="str">
        <f>VLOOKUP(B4780,辅助信息!E:I,4,FALSE)</f>
        <v>谢序强</v>
      </c>
      <c r="K4780" s="33">
        <f>VLOOKUP(J4780,辅助信息!H:I,2,FALSE)</f>
        <v>13458588232</v>
      </c>
      <c r="L4780" s="102"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55" t="str">
        <f ca="1" t="shared" si="232"/>
        <v/>
      </c>
      <c r="P4780" s="55" t="str">
        <f ca="1" t="shared" si="233"/>
        <v/>
      </c>
      <c r="Q4780" s="22" t="str">
        <f>VLOOKUP(B4780,辅助信息!E:M,9,FALSE)</f>
        <v>ZTWM-CDGS-XS-2025-0073-五冶天府-成都怡心湖片区及龙泉驿医院等项目</v>
      </c>
      <c r="R4780" s="22" t="str">
        <f>_xlfn._xlws.FILTER(辅助信息!D:D,辅助信息!E:E=B4780)</f>
        <v>五冶建设扩建艺体中学二期工程</v>
      </c>
    </row>
    <row r="4781" hidden="1" spans="2:18">
      <c r="B4781" s="128" t="s">
        <v>167</v>
      </c>
      <c r="C4781" s="63">
        <v>45950</v>
      </c>
      <c r="D4781" s="33" t="str">
        <f>VLOOKUP(B4781,辅助信息!E:K,7,FALSE)</f>
        <v>JWDDCD2025102100473</v>
      </c>
      <c r="E4781" s="33" t="str">
        <f>VLOOKUP(F4781,辅助信息!A:B,2,FALSE)</f>
        <v>螺纹钢</v>
      </c>
      <c r="F4781" s="33" t="s">
        <v>46</v>
      </c>
      <c r="G4781" s="29">
        <v>11</v>
      </c>
      <c r="H4781" s="127"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33" t="str">
        <f>VLOOKUP(B4781,辅助信息!E:I,3,FALSE)</f>
        <v>(五冶建设扩建艺体中学二期工程)四川省成都市双流区光荣路成都艺体中学南200米</v>
      </c>
      <c r="J4781" s="33" t="str">
        <f>VLOOKUP(B4781,辅助信息!E:I,4,FALSE)</f>
        <v>谢序强</v>
      </c>
      <c r="K4781" s="33">
        <f>VLOOKUP(J4781,辅助信息!H:I,2,FALSE)</f>
        <v>13458588232</v>
      </c>
      <c r="L4781" s="102"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55" t="str">
        <f ca="1" t="shared" si="232"/>
        <v/>
      </c>
      <c r="P4781" s="55" t="str">
        <f ca="1" t="shared" si="233"/>
        <v/>
      </c>
      <c r="Q4781" s="22" t="str">
        <f>VLOOKUP(B4781,辅助信息!E:M,9,FALSE)</f>
        <v>ZTWM-CDGS-XS-2025-0073-五冶天府-成都怡心湖片区及龙泉驿医院等项目</v>
      </c>
      <c r="R4781" s="22" t="str">
        <f>_xlfn._xlws.FILTER(辅助信息!D:D,辅助信息!E:E=B4781)</f>
        <v>五冶建设扩建艺体中学二期工程</v>
      </c>
    </row>
    <row r="4782" hidden="1" spans="2:18">
      <c r="B4782" s="128" t="s">
        <v>167</v>
      </c>
      <c r="C4782" s="63">
        <v>45950</v>
      </c>
      <c r="D4782" s="33" t="str">
        <f>VLOOKUP(B4782,辅助信息!E:K,7,FALSE)</f>
        <v>JWDDCD2025102100473</v>
      </c>
      <c r="E4782" s="33" t="str">
        <f>VLOOKUP(F4782,辅助信息!A:B,2,FALSE)</f>
        <v>螺纹钢</v>
      </c>
      <c r="F4782" s="33" t="s">
        <v>22</v>
      </c>
      <c r="G4782" s="29">
        <v>46</v>
      </c>
      <c r="H4782" s="127"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33" t="str">
        <f>VLOOKUP(B4782,辅助信息!E:I,3,FALSE)</f>
        <v>(五冶建设扩建艺体中学二期工程)四川省成都市双流区光荣路成都艺体中学南200米</v>
      </c>
      <c r="J4782" s="33" t="str">
        <f>VLOOKUP(B4782,辅助信息!E:I,4,FALSE)</f>
        <v>谢序强</v>
      </c>
      <c r="K4782" s="33">
        <f>VLOOKUP(J4782,辅助信息!H:I,2,FALSE)</f>
        <v>13458588232</v>
      </c>
      <c r="L4782" s="102"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55" t="str">
        <f ca="1" t="shared" si="232"/>
        <v/>
      </c>
      <c r="P4782" s="55" t="str">
        <f ca="1" t="shared" si="233"/>
        <v/>
      </c>
      <c r="Q4782" s="22" t="str">
        <f>VLOOKUP(B4782,辅助信息!E:M,9,FALSE)</f>
        <v>ZTWM-CDGS-XS-2025-0073-五冶天府-成都怡心湖片区及龙泉驿医院等项目</v>
      </c>
      <c r="R4782" s="22" t="str">
        <f>_xlfn._xlws.FILTER(辅助信息!D:D,辅助信息!E:E=B4782)</f>
        <v>五冶建设扩建艺体中学二期工程</v>
      </c>
    </row>
    <row r="4783" hidden="1" spans="2:18">
      <c r="B4783" s="128" t="s">
        <v>167</v>
      </c>
      <c r="C4783" s="63">
        <v>45950</v>
      </c>
      <c r="D4783" s="33" t="str">
        <f>VLOOKUP(B4783,辅助信息!E:K,7,FALSE)</f>
        <v>JWDDCD2025102100473</v>
      </c>
      <c r="E4783" s="33" t="str">
        <f>VLOOKUP(F4783,辅助信息!A:B,2,FALSE)</f>
        <v>螺纹钢</v>
      </c>
      <c r="F4783" s="33" t="s">
        <v>181</v>
      </c>
      <c r="G4783" s="29">
        <v>8</v>
      </c>
      <c r="H4783" s="127"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33" t="str">
        <f>VLOOKUP(B4783,辅助信息!E:I,3,FALSE)</f>
        <v>(五冶建设扩建艺体中学二期工程)四川省成都市双流区光荣路成都艺体中学南200米</v>
      </c>
      <c r="J4783" s="33" t="str">
        <f>VLOOKUP(B4783,辅助信息!E:I,4,FALSE)</f>
        <v>谢序强</v>
      </c>
      <c r="K4783" s="33">
        <f>VLOOKUP(J4783,辅助信息!H:I,2,FALSE)</f>
        <v>13458588232</v>
      </c>
      <c r="L4783" s="102"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55" t="str">
        <f ca="1" t="shared" si="232"/>
        <v/>
      </c>
      <c r="P4783" s="55" t="str">
        <f ca="1" t="shared" si="233"/>
        <v/>
      </c>
      <c r="Q4783" s="22" t="str">
        <f>VLOOKUP(B4783,辅助信息!E:M,9,FALSE)</f>
        <v>ZTWM-CDGS-XS-2025-0073-五冶天府-成都怡心湖片区及龙泉驿医院等项目</v>
      </c>
      <c r="R4783" s="22" t="str">
        <f>_xlfn._xlws.FILTER(辅助信息!D:D,辅助信息!E:E=B4783)</f>
        <v>五冶建设扩建艺体中学二期工程</v>
      </c>
    </row>
    <row r="4784" hidden="1" spans="2:18">
      <c r="B4784" s="128" t="s">
        <v>167</v>
      </c>
      <c r="C4784" s="63">
        <v>45950</v>
      </c>
      <c r="D4784" s="33" t="str">
        <f>VLOOKUP(B4784,辅助信息!E:K,7,FALSE)</f>
        <v>JWDDCD2025102100473</v>
      </c>
      <c r="E4784" s="33" t="str">
        <f>VLOOKUP(F4784,辅助信息!A:B,2,FALSE)</f>
        <v>螺纹钢</v>
      </c>
      <c r="F4784" s="33" t="s">
        <v>182</v>
      </c>
      <c r="G4784" s="29">
        <v>6</v>
      </c>
      <c r="H4784" s="127"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33" t="str">
        <f>VLOOKUP(B4784,辅助信息!E:I,3,FALSE)</f>
        <v>(五冶建设扩建艺体中学二期工程)四川省成都市双流区光荣路成都艺体中学南200米</v>
      </c>
      <c r="J4784" s="33" t="str">
        <f>VLOOKUP(B4784,辅助信息!E:I,4,FALSE)</f>
        <v>谢序强</v>
      </c>
      <c r="K4784" s="33">
        <f>VLOOKUP(J4784,辅助信息!H:I,2,FALSE)</f>
        <v>13458588232</v>
      </c>
      <c r="L4784" s="102"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55" t="str">
        <f ca="1" t="shared" si="232"/>
        <v/>
      </c>
      <c r="P4784" s="55" t="str">
        <f ca="1" t="shared" si="233"/>
        <v/>
      </c>
      <c r="Q4784" s="22" t="str">
        <f>VLOOKUP(B4784,辅助信息!E:M,9,FALSE)</f>
        <v>ZTWM-CDGS-XS-2025-0073-五冶天府-成都怡心湖片区及龙泉驿医院等项目</v>
      </c>
      <c r="R4784" s="22" t="str">
        <f>_xlfn._xlws.FILTER(辅助信息!D:D,辅助信息!E:E=B4784)</f>
        <v>五冶建设扩建艺体中学二期工程</v>
      </c>
    </row>
    <row r="4785" hidden="1" spans="2:18">
      <c r="B4785" s="51" t="s">
        <v>225</v>
      </c>
      <c r="C4785" s="77">
        <v>45950</v>
      </c>
      <c r="D4785" s="19" t="str">
        <f>VLOOKUP(B4785,辅助信息!E:K,7,FALSE)</f>
        <v>JWDDCD2025092400210</v>
      </c>
      <c r="E4785" s="19" t="str">
        <f>VLOOKUP(F4785,辅助信息!A:B,2,FALSE)</f>
        <v>盘螺</v>
      </c>
      <c r="F4785" s="19" t="s">
        <v>41</v>
      </c>
      <c r="G4785" s="52">
        <v>10</v>
      </c>
      <c r="H4785" s="131">
        <f>IF(SUMIFS('[1]2025年已发货'!$E:$E,'[1]2025年已发货'!$F:$F,C4785,'[1]2025年已发货'!$C:$C,F4785,'[1]2025年已发货'!$G:$G,I4785,'[1]2025年已发货'!$H:$H,J4785)=0,"未发货",SUMIFS('[1]2025年已发货'!$E:$E,'[1]2025年已发货'!$F:$F,C4785,'[1]2025年已发货'!$C:$C,F4785,'[1]2025年已发货'!$G:$G,I4785,'[1]2025年已发货'!$H:$H,J4785))</f>
        <v>10</v>
      </c>
      <c r="I4785" s="19" t="str">
        <f>VLOOKUP(B4785,辅助信息!E:I,3,FALSE)</f>
        <v>(五冶钢构龙泉东洪片区85亩住宅、商业及配套工程项目一标段)成都市龙泉驿外东洪路地铁2号线惠王陵地铁C口</v>
      </c>
      <c r="J4785" s="19" t="str">
        <f>VLOOKUP(B4785,辅助信息!E:I,4,FALSE)</f>
        <v>岳工</v>
      </c>
      <c r="K4785" s="19">
        <f>VLOOKUP(J4785,辅助信息!H:I,2,FALSE)</f>
        <v>18599951655</v>
      </c>
      <c r="L4785" s="54">
        <f>VLOOKUP(B4785,辅助信息!E:J,6,FALSE)</f>
        <v>0</v>
      </c>
      <c r="O4785" s="55" t="str">
        <f ca="1" t="shared" si="232"/>
        <v/>
      </c>
      <c r="P4785" s="55" t="str">
        <f ca="1" t="shared" si="233"/>
        <v/>
      </c>
      <c r="Q4785" s="22" t="str">
        <f>VLOOKUP(B4785,辅助信息!E:M,9,FALSE)</f>
        <v>ZTWM-CDGS-XS-2025-0156-五冶钢构-2025年九月第一批次钢筋采购合同(三圣乡项目)-中铁物贸成都公司</v>
      </c>
      <c r="R4785" s="22" t="str">
        <f>_xlfn._xlws.FILTER(辅助信息!D:D,辅助信息!E:E=B4785)</f>
        <v>五冶钢构龙泉东洪片区85亩住宅、商业及配套工程项目一标段</v>
      </c>
    </row>
    <row r="4786" hidden="1" spans="2:18">
      <c r="B4786" s="129" t="s">
        <v>68</v>
      </c>
      <c r="C4786" s="63">
        <v>45951</v>
      </c>
      <c r="D4786" s="113" t="str">
        <f>VLOOKUP(B4786,辅助信息!E:K,7,FALSE)</f>
        <v>JWDDCD2025052800131</v>
      </c>
      <c r="E4786" s="113" t="str">
        <f>VLOOKUP(F4786,辅助信息!A:B,2,FALSE)</f>
        <v>螺纹钢</v>
      </c>
      <c r="F4786" s="113" t="s">
        <v>30</v>
      </c>
      <c r="G4786" s="114">
        <v>12</v>
      </c>
      <c r="H4786" s="127"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13" t="str">
        <f>VLOOKUP(B4786,辅助信息!E:I,3,FALSE)</f>
        <v>（商投建工达州中医药科技园-2工区-景观桥）达州市通川区达州中医药职业学院犀牛大道北段</v>
      </c>
      <c r="J4786" s="113" t="str">
        <f>VLOOKUP(B4786,辅助信息!E:I,4,FALSE)</f>
        <v>李波</v>
      </c>
      <c r="K4786" s="113">
        <f>VLOOKUP(J4786,辅助信息!H:I,2,FALSE)</f>
        <v>18381899787</v>
      </c>
      <c r="L4786" s="115" t="str">
        <f>VLOOKUP(B4786,辅助信息!E:J,6,FALSE)</f>
        <v>控制炉批号！多了现场不收！,优先安排达钢,提前联系到场规格及数量</v>
      </c>
      <c r="M4786" s="84">
        <v>45944</v>
      </c>
      <c r="O4786" s="55">
        <f ca="1" t="shared" si="232"/>
        <v>0</v>
      </c>
      <c r="P4786" s="55">
        <f ca="1" t="shared" si="233"/>
        <v>13</v>
      </c>
      <c r="Q4786" s="22" t="str">
        <f>VLOOKUP(B4786,辅助信息!E:M,9,FALSE)</f>
        <v>ZTWM-CDGS-XS-2024-0134-商投建工达州中医药科技成果示范园项目</v>
      </c>
      <c r="R4786" s="22" t="str">
        <f>_xlfn._xlws.FILTER(辅助信息!D:D,辅助信息!E:E=B4786)</f>
        <v>商投建工达州中医药科技园</v>
      </c>
    </row>
    <row r="4787" hidden="1" spans="2:18">
      <c r="B4787" s="129" t="s">
        <v>240</v>
      </c>
      <c r="C4787" s="63">
        <v>45951</v>
      </c>
      <c r="D4787" s="113" t="str">
        <f>VLOOKUP(B4787,辅助信息!E:K,7,FALSE)</f>
        <v>JWDDCD2025092400204</v>
      </c>
      <c r="E4787" s="113" t="str">
        <f>VLOOKUP(F4787,辅助信息!A:B,2,FALSE)</f>
        <v>高线</v>
      </c>
      <c r="F4787" s="113" t="s">
        <v>53</v>
      </c>
      <c r="G4787" s="114">
        <v>2.5</v>
      </c>
      <c r="H4787" s="127">
        <f>IF(SUMIFS('[1]2025年已发货'!$E:$E,'[1]2025年已发货'!$F:$F,C4787,'[1]2025年已发货'!$C:$C,F4787,'[1]2025年已发货'!$G:$G,I4787,'[1]2025年已发货'!$H:$H,J4787)=0,"未发货",SUMIFS('[1]2025年已发货'!$E:$E,'[1]2025年已发货'!$F:$F,C4787,'[1]2025年已发货'!$C:$C,F4787,'[1]2025年已发货'!$G:$G,I4787,'[1]2025年已发货'!$H:$H,J4787))</f>
        <v>2.5</v>
      </c>
      <c r="I4787" s="113" t="str">
        <f>VLOOKUP(B4787,辅助信息!E:I,3,FALSE)</f>
        <v>(五冶钢构龙泉东洪片区70亩住宅、商业及配套工程项目三标段)成都市龙泉驿外东洪路地铁2号线惠王陵地铁C口</v>
      </c>
      <c r="J4787" s="113" t="str">
        <f>VLOOKUP(B4787,辅助信息!E:I,4,FALSE)</f>
        <v>蒋嗣伟</v>
      </c>
      <c r="K4787" s="113">
        <f>VLOOKUP(J4787,辅助信息!H:I,2,FALSE)</f>
        <v>15014331252</v>
      </c>
      <c r="L4787" s="115">
        <f>VLOOKUP(B4787,辅助信息!E:J,6,FALSE)</f>
        <v>0</v>
      </c>
      <c r="M4787" s="84">
        <v>45948</v>
      </c>
      <c r="O4787" s="55">
        <f ca="1" t="shared" si="232"/>
        <v>0</v>
      </c>
      <c r="P4787" s="55">
        <f ca="1" t="shared" si="233"/>
        <v>9</v>
      </c>
      <c r="Q4787" s="22" t="str">
        <f>VLOOKUP(B4787,辅助信息!E:M,9,FALSE)</f>
        <v>ZTWM-CDGS-XS-2025-0156-五冶钢构-2025年九月第一批次钢筋采购合同(三圣乡项目)-中铁物贸成都公司</v>
      </c>
      <c r="R4787" s="22" t="str">
        <f>_xlfn._xlws.FILTER(辅助信息!D:D,辅助信息!E:E=B4787)</f>
        <v>五冶钢构龙泉东洪片区70亩住宅、商业及配套工程项目三标段</v>
      </c>
    </row>
    <row r="4788" hidden="1" spans="2:18">
      <c r="B4788" s="129" t="s">
        <v>240</v>
      </c>
      <c r="C4788" s="63">
        <v>45951</v>
      </c>
      <c r="D4788" s="113" t="str">
        <f>VLOOKUP(B4788,辅助信息!E:K,7,FALSE)</f>
        <v>JWDDCD2025092400204</v>
      </c>
      <c r="E4788" s="113" t="str">
        <f>VLOOKUP(F4788,辅助信息!A:B,2,FALSE)</f>
        <v>盘螺</v>
      </c>
      <c r="F4788" s="113" t="s">
        <v>41</v>
      </c>
      <c r="G4788" s="114">
        <v>15</v>
      </c>
      <c r="H4788" s="127">
        <f>IF(SUMIFS('[1]2025年已发货'!$E:$E,'[1]2025年已发货'!$F:$F,C4788,'[1]2025年已发货'!$C:$C,F4788,'[1]2025年已发货'!$G:$G,I4788,'[1]2025年已发货'!$H:$H,J4788)=0,"未发货",SUMIFS('[1]2025年已发货'!$E:$E,'[1]2025年已发货'!$F:$F,C4788,'[1]2025年已发货'!$C:$C,F4788,'[1]2025年已发货'!$G:$G,I4788,'[1]2025年已发货'!$H:$H,J4788))</f>
        <v>15</v>
      </c>
      <c r="I4788" s="113" t="str">
        <f>VLOOKUP(B4788,辅助信息!E:I,3,FALSE)</f>
        <v>(五冶钢构龙泉东洪片区70亩住宅、商业及配套工程项目三标段)成都市龙泉驿外东洪路地铁2号线惠王陵地铁C口</v>
      </c>
      <c r="J4788" s="113" t="str">
        <f>VLOOKUP(B4788,辅助信息!E:I,4,FALSE)</f>
        <v>蒋嗣伟</v>
      </c>
      <c r="K4788" s="113">
        <f>VLOOKUP(J4788,辅助信息!H:I,2,FALSE)</f>
        <v>15014331252</v>
      </c>
      <c r="L4788" s="115">
        <f>VLOOKUP(B4788,辅助信息!E:J,6,FALSE)</f>
        <v>0</v>
      </c>
      <c r="M4788" s="84">
        <v>45948</v>
      </c>
      <c r="O4788" s="55">
        <f ca="1" t="shared" si="232"/>
        <v>0</v>
      </c>
      <c r="P4788" s="55">
        <f ca="1" t="shared" si="233"/>
        <v>9</v>
      </c>
      <c r="Q4788" s="22" t="str">
        <f>VLOOKUP(B4788,辅助信息!E:M,9,FALSE)</f>
        <v>ZTWM-CDGS-XS-2025-0156-五冶钢构-2025年九月第一批次钢筋采购合同(三圣乡项目)-中铁物贸成都公司</v>
      </c>
      <c r="R4788" s="22" t="str">
        <f>_xlfn._xlws.FILTER(辅助信息!D:D,辅助信息!E:E=B4788)</f>
        <v>五冶钢构龙泉东洪片区70亩住宅、商业及配套工程项目三标段</v>
      </c>
    </row>
    <row r="4789" hidden="1" spans="2:18">
      <c r="B4789" s="129" t="s">
        <v>240</v>
      </c>
      <c r="C4789" s="63">
        <v>45951</v>
      </c>
      <c r="D4789" s="113" t="str">
        <f>VLOOKUP(B4789,辅助信息!E:K,7,FALSE)</f>
        <v>JWDDCD2025092400204</v>
      </c>
      <c r="E4789" s="113" t="str">
        <f>VLOOKUP(F4789,辅助信息!A:B,2,FALSE)</f>
        <v>盘螺</v>
      </c>
      <c r="F4789" s="113" t="s">
        <v>49</v>
      </c>
      <c r="G4789" s="114">
        <v>5</v>
      </c>
      <c r="H4789" s="127">
        <f>IF(SUMIFS('[1]2025年已发货'!$E:$E,'[1]2025年已发货'!$F:$F,C4789,'[1]2025年已发货'!$C:$C,F4789,'[1]2025年已发货'!$G:$G,I4789,'[1]2025年已发货'!$H:$H,J4789)=0,"未发货",SUMIFS('[1]2025年已发货'!$E:$E,'[1]2025年已发货'!$F:$F,C4789,'[1]2025年已发货'!$C:$C,F4789,'[1]2025年已发货'!$G:$G,I4789,'[1]2025年已发货'!$H:$H,J4789))</f>
        <v>5</v>
      </c>
      <c r="I4789" s="113" t="str">
        <f>VLOOKUP(B4789,辅助信息!E:I,3,FALSE)</f>
        <v>(五冶钢构龙泉东洪片区70亩住宅、商业及配套工程项目三标段)成都市龙泉驿外东洪路地铁2号线惠王陵地铁C口</v>
      </c>
      <c r="J4789" s="113" t="str">
        <f>VLOOKUP(B4789,辅助信息!E:I,4,FALSE)</f>
        <v>蒋嗣伟</v>
      </c>
      <c r="K4789" s="113">
        <f>VLOOKUP(J4789,辅助信息!H:I,2,FALSE)</f>
        <v>15014331252</v>
      </c>
      <c r="L4789" s="115">
        <f>VLOOKUP(B4789,辅助信息!E:J,6,FALSE)</f>
        <v>0</v>
      </c>
      <c r="M4789" s="84">
        <v>45948</v>
      </c>
      <c r="O4789" s="55">
        <f ca="1" t="shared" si="232"/>
        <v>0</v>
      </c>
      <c r="P4789" s="55">
        <f ca="1" t="shared" si="233"/>
        <v>9</v>
      </c>
      <c r="Q4789" s="22" t="str">
        <f>VLOOKUP(B4789,辅助信息!E:M,9,FALSE)</f>
        <v>ZTWM-CDGS-XS-2025-0156-五冶钢构-2025年九月第一批次钢筋采购合同(三圣乡项目)-中铁物贸成都公司</v>
      </c>
      <c r="R4789" s="22" t="str">
        <f>_xlfn._xlws.FILTER(辅助信息!D:D,辅助信息!E:E=B4789)</f>
        <v>五冶钢构龙泉东洪片区70亩住宅、商业及配套工程项目三标段</v>
      </c>
    </row>
    <row r="4790" hidden="1" spans="2:18">
      <c r="B4790" s="129" t="s">
        <v>240</v>
      </c>
      <c r="C4790" s="63">
        <v>45951</v>
      </c>
      <c r="D4790" s="113" t="str">
        <f>VLOOKUP(B4790,辅助信息!E:K,7,FALSE)</f>
        <v>JWDDCD2025092400204</v>
      </c>
      <c r="E4790" s="113" t="str">
        <f>VLOOKUP(F4790,辅助信息!A:B,2,FALSE)</f>
        <v>盘螺</v>
      </c>
      <c r="F4790" s="113" t="s">
        <v>40</v>
      </c>
      <c r="G4790" s="114">
        <v>10</v>
      </c>
      <c r="H4790" s="127">
        <f>IF(SUMIFS('[1]2025年已发货'!$E:$E,'[1]2025年已发货'!$F:$F,C4790,'[1]2025年已发货'!$C:$C,F4790,'[1]2025年已发货'!$G:$G,I4790,'[1]2025年已发货'!$H:$H,J4790)=0,"未发货",SUMIFS('[1]2025年已发货'!$E:$E,'[1]2025年已发货'!$F:$F,C4790,'[1]2025年已发货'!$C:$C,F4790,'[1]2025年已发货'!$G:$G,I4790,'[1]2025年已发货'!$H:$H,J4790))</f>
        <v>10</v>
      </c>
      <c r="I4790" s="113" t="str">
        <f>VLOOKUP(B4790,辅助信息!E:I,3,FALSE)</f>
        <v>(五冶钢构龙泉东洪片区70亩住宅、商业及配套工程项目三标段)成都市龙泉驿外东洪路地铁2号线惠王陵地铁C口</v>
      </c>
      <c r="J4790" s="113" t="str">
        <f>VLOOKUP(B4790,辅助信息!E:I,4,FALSE)</f>
        <v>蒋嗣伟</v>
      </c>
      <c r="K4790" s="113">
        <f>VLOOKUP(J4790,辅助信息!H:I,2,FALSE)</f>
        <v>15014331252</v>
      </c>
      <c r="L4790" s="115">
        <f>VLOOKUP(B4790,辅助信息!E:J,6,FALSE)</f>
        <v>0</v>
      </c>
      <c r="M4790" s="84">
        <v>45948</v>
      </c>
      <c r="O4790" s="55">
        <f ca="1" t="shared" si="232"/>
        <v>0</v>
      </c>
      <c r="P4790" s="55">
        <f ca="1" t="shared" si="233"/>
        <v>9</v>
      </c>
      <c r="Q4790" s="22" t="str">
        <f>VLOOKUP(B4790,辅助信息!E:M,9,FALSE)</f>
        <v>ZTWM-CDGS-XS-2025-0156-五冶钢构-2025年九月第一批次钢筋采购合同(三圣乡项目)-中铁物贸成都公司</v>
      </c>
      <c r="R4790" s="22" t="str">
        <f>_xlfn._xlws.FILTER(辅助信息!D:D,辅助信息!E:E=B4790)</f>
        <v>五冶钢构龙泉东洪片区70亩住宅、商业及配套工程项目三标段</v>
      </c>
    </row>
    <row r="4791" hidden="1" spans="2:18">
      <c r="B4791" s="129" t="s">
        <v>229</v>
      </c>
      <c r="C4791" s="63">
        <v>45952</v>
      </c>
      <c r="D4791" s="113" t="str">
        <f>VLOOKUP(B4791,辅助信息!E:K,7,FALSE)</f>
        <v>JWDDCD2025092400212</v>
      </c>
      <c r="E4791" s="113" t="str">
        <f>VLOOKUP(F4791,辅助信息!A:B,2,FALSE)</f>
        <v>盘螺</v>
      </c>
      <c r="F4791" s="113" t="s">
        <v>41</v>
      </c>
      <c r="G4791" s="114">
        <f>62-28</f>
        <v>34</v>
      </c>
      <c r="H4791" s="127">
        <f>IF(SUMIFS('[1]2025年已发货'!$E:$E,'[1]2025年已发货'!$F:$F,C4791,'[1]2025年已发货'!$C:$C,F4791,'[1]2025年已发货'!$G:$G,I4791,'[1]2025年已发货'!$H:$H,J4791)=0,"未发货",SUMIFS('[1]2025年已发货'!$E:$E,'[1]2025年已发货'!$F:$F,C4791,'[1]2025年已发货'!$C:$C,F4791,'[1]2025年已发货'!$G:$G,I4791,'[1]2025年已发货'!$H:$H,J4791))</f>
        <v>34</v>
      </c>
      <c r="I4791" s="149" t="str">
        <f>VLOOKUP(B4791,辅助信息!E:I,3,FALSE)</f>
        <v>(五冶钢构龙泉东洪片区85亩住宅、商业及配套工程项目三标段)成都市龙泉驿外东洪路地铁2号线惠王陵地铁C口</v>
      </c>
      <c r="J4791" s="113" t="str">
        <f>VLOOKUP(B4791,辅助信息!E:I,4,FALSE)</f>
        <v>王军宝</v>
      </c>
      <c r="K4791" s="113">
        <f>VLOOKUP(J4791,辅助信息!H:I,2,FALSE)</f>
        <v>13889142392</v>
      </c>
      <c r="L4791" s="115">
        <f>VLOOKUP(B4791,辅助信息!E:J,6,FALSE)</f>
        <v>0</v>
      </c>
      <c r="M4791" s="84">
        <v>45948</v>
      </c>
      <c r="O4791" s="55">
        <f ca="1" t="shared" si="232"/>
        <v>0</v>
      </c>
      <c r="P4791" s="55">
        <f ca="1" t="shared" si="233"/>
        <v>9</v>
      </c>
      <c r="Q4791" s="22" t="str">
        <f>VLOOKUP(B4791,辅助信息!E:M,9,FALSE)</f>
        <v>ZTWM-CDGS-XS-2025-0156-五冶钢构-2025年九月第一批次钢筋采购合同(三圣乡项目)-中铁物贸成都公司</v>
      </c>
      <c r="R4791" s="22" t="str">
        <f>_xlfn._xlws.FILTER(辅助信息!D:D,辅助信息!E:E=B4791)</f>
        <v>五冶钢构龙泉东洪片区85亩住宅、商业及配套工程项目三标段</v>
      </c>
    </row>
    <row r="4792" hidden="1" spans="2:18">
      <c r="B4792" s="129" t="s">
        <v>229</v>
      </c>
      <c r="C4792" s="63">
        <v>45952</v>
      </c>
      <c r="D4792" s="113" t="str">
        <f>VLOOKUP(B4792,辅助信息!E:K,7,FALSE)</f>
        <v>JWDDCD2025092400212</v>
      </c>
      <c r="E4792" s="113" t="str">
        <f>VLOOKUP(F4792,辅助信息!A:B,2,FALSE)</f>
        <v>盘螺</v>
      </c>
      <c r="F4792" s="113" t="s">
        <v>40</v>
      </c>
      <c r="G4792" s="114">
        <f>109-34</f>
        <v>75</v>
      </c>
      <c r="H4792" s="127">
        <f>IF(SUMIFS('[1]2025年已发货'!$E:$E,'[1]2025年已发货'!$F:$F,C4792,'[1]2025年已发货'!$C:$C,F4792,'[1]2025年已发货'!$G:$G,I4792,'[1]2025年已发货'!$H:$H,J4792)=0,"未发货",SUMIFS('[1]2025年已发货'!$E:$E,'[1]2025年已发货'!$F:$F,C4792,'[1]2025年已发货'!$C:$C,F4792,'[1]2025年已发货'!$G:$G,I4792,'[1]2025年已发货'!$H:$H,J4792))</f>
        <v>34</v>
      </c>
      <c r="I4792" s="149" t="str">
        <f>VLOOKUP(B4792,辅助信息!E:I,3,FALSE)</f>
        <v>(五冶钢构龙泉东洪片区85亩住宅、商业及配套工程项目三标段)成都市龙泉驿外东洪路地铁2号线惠王陵地铁C口</v>
      </c>
      <c r="J4792" s="113" t="str">
        <f>VLOOKUP(B4792,辅助信息!E:I,4,FALSE)</f>
        <v>王军宝</v>
      </c>
      <c r="K4792" s="113">
        <f>VLOOKUP(J4792,辅助信息!H:I,2,FALSE)</f>
        <v>13889142392</v>
      </c>
      <c r="L4792" s="115">
        <f>VLOOKUP(B4792,辅助信息!E:J,6,FALSE)</f>
        <v>0</v>
      </c>
      <c r="M4792" s="84">
        <v>45948</v>
      </c>
      <c r="O4792" s="55">
        <f ca="1" t="shared" si="232"/>
        <v>0</v>
      </c>
      <c r="P4792" s="55">
        <f ca="1" t="shared" si="233"/>
        <v>9</v>
      </c>
      <c r="Q4792" s="22" t="str">
        <f>VLOOKUP(B4792,辅助信息!E:M,9,FALSE)</f>
        <v>ZTWM-CDGS-XS-2025-0156-五冶钢构-2025年九月第一批次钢筋采购合同(三圣乡项目)-中铁物贸成都公司</v>
      </c>
      <c r="R4792" s="22" t="str">
        <f>_xlfn._xlws.FILTER(辅助信息!D:D,辅助信息!E:E=B4792)</f>
        <v>五冶钢构龙泉东洪片区85亩住宅、商业及配套工程项目三标段</v>
      </c>
    </row>
    <row r="4793" hidden="1" spans="2:18">
      <c r="B4793" s="129" t="s">
        <v>228</v>
      </c>
      <c r="C4793" s="63">
        <v>45952</v>
      </c>
      <c r="D4793" s="113" t="str">
        <f>VLOOKUP(B4793,辅助信息!E:K,7,FALSE)</f>
        <v>JWDDCD2025092400190</v>
      </c>
      <c r="E4793" s="113" t="str">
        <f>VLOOKUP(F4793,辅助信息!A:B,2,FALSE)</f>
        <v>盘螺</v>
      </c>
      <c r="F4793" s="113" t="s">
        <v>41</v>
      </c>
      <c r="G4793" s="114">
        <f>50-34</f>
        <v>16</v>
      </c>
      <c r="H4793" s="127"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49" t="str">
        <f>VLOOKUP(B4793,辅助信息!E:I,3,FALSE)</f>
        <v>(五冶钢构龙泉东洪片区70亩住宅、商业及配套工程项目二标段)成都市龙泉驿外东洪路地铁2号线惠王陵地铁C口</v>
      </c>
      <c r="J4793" s="113" t="str">
        <f>VLOOKUP(B4793,辅助信息!E:I,4,FALSE)</f>
        <v>蒋嗣伟</v>
      </c>
      <c r="K4793" s="113">
        <f>VLOOKUP(J4793,辅助信息!H:I,2,FALSE)</f>
        <v>15014331252</v>
      </c>
      <c r="L4793" s="115">
        <f>VLOOKUP(B4793,辅助信息!E:J,6,FALSE)</f>
        <v>0</v>
      </c>
      <c r="M4793" s="84">
        <v>45948</v>
      </c>
      <c r="O4793" s="55">
        <f ca="1" t="shared" si="232"/>
        <v>0</v>
      </c>
      <c r="P4793" s="55">
        <f ca="1" t="shared" si="233"/>
        <v>9</v>
      </c>
      <c r="Q4793" s="22" t="str">
        <f>VLOOKUP(B4793,辅助信息!E:M,9,FALSE)</f>
        <v>ZTWM-CDGS-XS-2025-0156-五冶钢构-2025年九月第一批次钢筋采购合同(三圣乡项目)-中铁物贸成都公司</v>
      </c>
      <c r="R4793" s="22" t="str">
        <f>_xlfn._xlws.FILTER(辅助信息!D:D,辅助信息!E:E=B4793)</f>
        <v>五冶钢构龙泉东洪片区70亩住宅、商业及配套工程项目二标段</v>
      </c>
    </row>
    <row r="4794" hidden="1" spans="2:18">
      <c r="B4794" s="129" t="s">
        <v>112</v>
      </c>
      <c r="C4794" s="63">
        <v>45952</v>
      </c>
      <c r="D4794" s="113" t="str">
        <f>VLOOKUP(B4794,辅助信息!E:K,7,FALSE)</f>
        <v>JWDDCD2025052800131</v>
      </c>
      <c r="E4794" s="113" t="str">
        <f>VLOOKUP(F4794,辅助信息!A:B,2,FALSE)</f>
        <v>盘螺</v>
      </c>
      <c r="F4794" s="113" t="s">
        <v>49</v>
      </c>
      <c r="G4794" s="114">
        <v>9</v>
      </c>
      <c r="H4794" s="127"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49" t="str">
        <f>VLOOKUP(B4794,辅助信息!E:I,3,FALSE)</f>
        <v>（商投建工达州中医药科技园-4工区-10号楼）达州市通川区达州中医药职业学院犀牛大道北段</v>
      </c>
      <c r="J4794" s="113" t="str">
        <f>VLOOKUP(B4794,辅助信息!E:I,4,FALSE)</f>
        <v>张扬</v>
      </c>
      <c r="K4794" s="113">
        <f>VLOOKUP(J4794,辅助信息!H:I,2,FALSE)</f>
        <v>18381904567</v>
      </c>
      <c r="L4794" s="115" t="str">
        <f>VLOOKUP(B4794,辅助信息!E:J,6,FALSE)</f>
        <v>控制炉批号！多了现场不收！,优先安排达钢,提前联系到场规格及数量</v>
      </c>
      <c r="M4794" s="84">
        <v>45948</v>
      </c>
      <c r="O4794" s="55">
        <f ca="1" t="shared" si="232"/>
        <v>0</v>
      </c>
      <c r="P4794" s="55">
        <f ca="1" t="shared" si="233"/>
        <v>9</v>
      </c>
      <c r="Q4794" s="22" t="str">
        <f>VLOOKUP(B4794,辅助信息!E:M,9,FALSE)</f>
        <v>ZTWM-CDGS-XS-2024-0134-商投建工达州中医药科技成果示范园项目</v>
      </c>
      <c r="R4794" s="22" t="str">
        <f>_xlfn._xlws.FILTER(辅助信息!D:D,辅助信息!E:E=B4794)</f>
        <v>商投建工达州中医药科技园</v>
      </c>
    </row>
    <row r="4795" hidden="1" spans="2:18">
      <c r="B4795" s="129" t="s">
        <v>112</v>
      </c>
      <c r="C4795" s="63">
        <v>45952</v>
      </c>
      <c r="D4795" s="113" t="str">
        <f>VLOOKUP(B4795,辅助信息!E:K,7,FALSE)</f>
        <v>JWDDCD2025052800131</v>
      </c>
      <c r="E4795" s="113" t="str">
        <f>VLOOKUP(F4795,辅助信息!A:B,2,FALSE)</f>
        <v>螺纹钢</v>
      </c>
      <c r="F4795" s="113" t="s">
        <v>21</v>
      </c>
      <c r="G4795" s="114">
        <v>9</v>
      </c>
      <c r="H4795" s="127"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49" t="str">
        <f>VLOOKUP(B4795,辅助信息!E:I,3,FALSE)</f>
        <v>（商投建工达州中医药科技园-4工区-10号楼）达州市通川区达州中医药职业学院犀牛大道北段</v>
      </c>
      <c r="J4795" s="113" t="str">
        <f>VLOOKUP(B4795,辅助信息!E:I,4,FALSE)</f>
        <v>张扬</v>
      </c>
      <c r="K4795" s="113">
        <f>VLOOKUP(J4795,辅助信息!H:I,2,FALSE)</f>
        <v>18381904567</v>
      </c>
      <c r="L4795" s="115" t="str">
        <f>VLOOKUP(B4795,辅助信息!E:J,6,FALSE)</f>
        <v>控制炉批号！多了现场不收！,优先安排达钢,提前联系到场规格及数量</v>
      </c>
      <c r="M4795" s="84">
        <v>45948</v>
      </c>
      <c r="O4795" s="55">
        <f ca="1" t="shared" si="232"/>
        <v>0</v>
      </c>
      <c r="P4795" s="55">
        <f ca="1" t="shared" si="233"/>
        <v>9</v>
      </c>
      <c r="Q4795" s="22" t="str">
        <f>VLOOKUP(B4795,辅助信息!E:M,9,FALSE)</f>
        <v>ZTWM-CDGS-XS-2024-0134-商投建工达州中医药科技成果示范园项目</v>
      </c>
      <c r="R4795" s="22" t="str">
        <f>_xlfn._xlws.FILTER(辅助信息!D:D,辅助信息!E:E=B4795)</f>
        <v>商投建工达州中医药科技园</v>
      </c>
    </row>
    <row r="4796" hidden="1" spans="2:18">
      <c r="B4796" s="129" t="s">
        <v>112</v>
      </c>
      <c r="C4796" s="63">
        <v>45952</v>
      </c>
      <c r="D4796" s="113" t="str">
        <f>VLOOKUP(B4796,辅助信息!E:K,7,FALSE)</f>
        <v>JWDDCD2025052800131</v>
      </c>
      <c r="E4796" s="113" t="str">
        <f>VLOOKUP(F4796,辅助信息!A:B,2,FALSE)</f>
        <v>螺纹钢</v>
      </c>
      <c r="F4796" s="113" t="s">
        <v>58</v>
      </c>
      <c r="G4796" s="114">
        <v>9</v>
      </c>
      <c r="H4796" s="127"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49" t="str">
        <f>VLOOKUP(B4796,辅助信息!E:I,3,FALSE)</f>
        <v>（商投建工达州中医药科技园-4工区-10号楼）达州市通川区达州中医药职业学院犀牛大道北段</v>
      </c>
      <c r="J4796" s="113" t="str">
        <f>VLOOKUP(B4796,辅助信息!E:I,4,FALSE)</f>
        <v>张扬</v>
      </c>
      <c r="K4796" s="113">
        <f>VLOOKUP(J4796,辅助信息!H:I,2,FALSE)</f>
        <v>18381904567</v>
      </c>
      <c r="L4796" s="115" t="str">
        <f>VLOOKUP(B4796,辅助信息!E:J,6,FALSE)</f>
        <v>控制炉批号！多了现场不收！,优先安排达钢,提前联系到场规格及数量</v>
      </c>
      <c r="M4796" s="84">
        <v>45948</v>
      </c>
      <c r="O4796" s="55">
        <f ca="1" t="shared" si="232"/>
        <v>0</v>
      </c>
      <c r="P4796" s="55">
        <f ca="1" t="shared" si="233"/>
        <v>9</v>
      </c>
      <c r="Q4796" s="22" t="str">
        <f>VLOOKUP(B4796,辅助信息!E:M,9,FALSE)</f>
        <v>ZTWM-CDGS-XS-2024-0134-商投建工达州中医药科技成果示范园项目</v>
      </c>
      <c r="R4796" s="22" t="str">
        <f>_xlfn._xlws.FILTER(辅助信息!D:D,辅助信息!E:E=B4796)</f>
        <v>商投建工达州中医药科技园</v>
      </c>
    </row>
    <row r="4797" hidden="1" spans="2:18">
      <c r="B4797" s="129" t="s">
        <v>112</v>
      </c>
      <c r="C4797" s="63">
        <v>45952</v>
      </c>
      <c r="D4797" s="113" t="str">
        <f>VLOOKUP(B4797,辅助信息!E:K,7,FALSE)</f>
        <v>JWDDCD2025052800131</v>
      </c>
      <c r="E4797" s="113" t="str">
        <f>VLOOKUP(F4797,辅助信息!A:B,2,FALSE)</f>
        <v>螺纹钢</v>
      </c>
      <c r="F4797" s="113" t="s">
        <v>22</v>
      </c>
      <c r="G4797" s="114">
        <v>9</v>
      </c>
      <c r="H4797" s="127"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49" t="str">
        <f>VLOOKUP(B4797,辅助信息!E:I,3,FALSE)</f>
        <v>（商投建工达州中医药科技园-4工区-10号楼）达州市通川区达州中医药职业学院犀牛大道北段</v>
      </c>
      <c r="J4797" s="113" t="str">
        <f>VLOOKUP(B4797,辅助信息!E:I,4,FALSE)</f>
        <v>张扬</v>
      </c>
      <c r="K4797" s="113">
        <f>VLOOKUP(J4797,辅助信息!H:I,2,FALSE)</f>
        <v>18381904567</v>
      </c>
      <c r="L4797" s="115" t="str">
        <f>VLOOKUP(B4797,辅助信息!E:J,6,FALSE)</f>
        <v>控制炉批号！多了现场不收！,优先安排达钢,提前联系到场规格及数量</v>
      </c>
      <c r="M4797" s="84">
        <v>45948</v>
      </c>
      <c r="O4797" s="55">
        <f ca="1" t="shared" si="232"/>
        <v>0</v>
      </c>
      <c r="P4797" s="55">
        <f ca="1" t="shared" si="233"/>
        <v>9</v>
      </c>
      <c r="Q4797" s="22" t="str">
        <f>VLOOKUP(B4797,辅助信息!E:M,9,FALSE)</f>
        <v>ZTWM-CDGS-XS-2024-0134-商投建工达州中医药科技成果示范园项目</v>
      </c>
      <c r="R4797" s="22" t="str">
        <f>_xlfn._xlws.FILTER(辅助信息!D:D,辅助信息!E:E=B4797)</f>
        <v>商投建工达州中医药科技园</v>
      </c>
    </row>
    <row r="4798" hidden="1" spans="2:18">
      <c r="B4798" s="129" t="s">
        <v>47</v>
      </c>
      <c r="C4798" s="63">
        <v>45952</v>
      </c>
      <c r="D4798" s="113" t="str">
        <f>VLOOKUP(B4798,辅助信息!E:K,7,FALSE)</f>
        <v>JWDDCD2025052800131</v>
      </c>
      <c r="E4798" s="113" t="str">
        <f>VLOOKUP(F4798,辅助信息!A:B,2,FALSE)</f>
        <v>高线</v>
      </c>
      <c r="F4798" s="113" t="s">
        <v>57</v>
      </c>
      <c r="G4798" s="114">
        <v>9</v>
      </c>
      <c r="H4798" s="127"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49" t="str">
        <f>VLOOKUP(B4798,辅助信息!E:I,3,FALSE)</f>
        <v>（商投建工达州中医药科技园-1工区）达州市通川区达州中医药职业学院犀牛大道北段</v>
      </c>
      <c r="J4798" s="113" t="str">
        <f>VLOOKUP(B4798,辅助信息!E:I,4,FALSE)</f>
        <v>程黄刚</v>
      </c>
      <c r="K4798" s="113">
        <f>VLOOKUP(J4798,辅助信息!H:I,2,FALSE)</f>
        <v>15108211617</v>
      </c>
      <c r="L4798" s="115" t="str">
        <f>VLOOKUP(B4798,辅助信息!E:J,6,FALSE)</f>
        <v>控制炉批号！多了现场不收！,优先安排达钢,提前联系到场规格及数量</v>
      </c>
      <c r="M4798" s="84">
        <v>45948</v>
      </c>
      <c r="O4798" s="55">
        <f ca="1" t="shared" si="232"/>
        <v>0</v>
      </c>
      <c r="P4798" s="55">
        <f ca="1" t="shared" si="233"/>
        <v>9</v>
      </c>
      <c r="Q4798" s="22" t="str">
        <f>VLOOKUP(B4798,辅助信息!E:M,9,FALSE)</f>
        <v>ZTWM-CDGS-XS-2024-0134-商投建工达州中医药科技成果示范园项目</v>
      </c>
      <c r="R4798" s="22" t="str">
        <f>_xlfn._xlws.FILTER(辅助信息!D:D,辅助信息!E:E=B4798)</f>
        <v>商投建工达州中医药科技园</v>
      </c>
    </row>
    <row r="4799" hidden="1" spans="2:18">
      <c r="B4799" s="129" t="s">
        <v>47</v>
      </c>
      <c r="C4799" s="63">
        <v>45952</v>
      </c>
      <c r="D4799" s="113" t="str">
        <f>VLOOKUP(B4799,辅助信息!E:K,7,FALSE)</f>
        <v>JWDDCD2025052800131</v>
      </c>
      <c r="E4799" s="113" t="str">
        <f>VLOOKUP(F4799,辅助信息!A:B,2,FALSE)</f>
        <v>螺纹钢</v>
      </c>
      <c r="F4799" s="113" t="s">
        <v>33</v>
      </c>
      <c r="G4799" s="114">
        <v>6</v>
      </c>
      <c r="H4799" s="127"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49" t="str">
        <f>VLOOKUP(B4799,辅助信息!E:I,3,FALSE)</f>
        <v>（商投建工达州中医药科技园-1工区）达州市通川区达州中医药职业学院犀牛大道北段</v>
      </c>
      <c r="J4799" s="113" t="str">
        <f>VLOOKUP(B4799,辅助信息!E:I,4,FALSE)</f>
        <v>程黄刚</v>
      </c>
      <c r="K4799" s="113">
        <f>VLOOKUP(J4799,辅助信息!H:I,2,FALSE)</f>
        <v>15108211617</v>
      </c>
      <c r="L4799" s="115" t="str">
        <f>VLOOKUP(B4799,辅助信息!E:J,6,FALSE)</f>
        <v>控制炉批号！多了现场不收！,优先安排达钢,提前联系到场规格及数量</v>
      </c>
      <c r="M4799" s="84">
        <v>45948</v>
      </c>
      <c r="O4799" s="55">
        <f ca="1" t="shared" si="232"/>
        <v>0</v>
      </c>
      <c r="P4799" s="55">
        <f ca="1" t="shared" si="233"/>
        <v>9</v>
      </c>
      <c r="Q4799" s="22" t="str">
        <f>VLOOKUP(B4799,辅助信息!E:M,9,FALSE)</f>
        <v>ZTWM-CDGS-XS-2024-0134-商投建工达州中医药科技成果示范园项目</v>
      </c>
      <c r="R4799" s="22" t="str">
        <f>_xlfn._xlws.FILTER(辅助信息!D:D,辅助信息!E:E=B4799)</f>
        <v>商投建工达州中医药科技园</v>
      </c>
    </row>
    <row r="4800" hidden="1" spans="2:18">
      <c r="B4800" s="129" t="s">
        <v>163</v>
      </c>
      <c r="C4800" s="63">
        <v>45952</v>
      </c>
      <c r="D4800" s="113" t="str">
        <f>VLOOKUP(B4800,辅助信息!E:K,7,FALSE)</f>
        <v>JWDDCD2025052800131</v>
      </c>
      <c r="E4800" s="113" t="str">
        <f>VLOOKUP(F4800,辅助信息!A:B,2,FALSE)</f>
        <v>盘螺</v>
      </c>
      <c r="F4800" s="113" t="s">
        <v>49</v>
      </c>
      <c r="G4800" s="114">
        <v>18</v>
      </c>
      <c r="H4800" s="127"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49" t="str">
        <f>VLOOKUP(B4800,辅助信息!E:I,3,FALSE)</f>
        <v>（商投建工达州中医药科技园-4工区-9号楼）达州市通川区达州中医药职业学院犀牛大道北段</v>
      </c>
      <c r="J4800" s="113" t="str">
        <f>VLOOKUP(B4800,辅助信息!E:I,4,FALSE)</f>
        <v>张扬</v>
      </c>
      <c r="K4800" s="113">
        <f>VLOOKUP(J4800,辅助信息!H:I,2,FALSE)</f>
        <v>18381904567</v>
      </c>
      <c r="L4800" s="115" t="str">
        <f>VLOOKUP(B4800,辅助信息!E:J,6,FALSE)</f>
        <v>控制炉批号！多了现场不收！,优先安排达钢,提前联系到场规格及数量</v>
      </c>
      <c r="M4800" s="84">
        <v>45949</v>
      </c>
      <c r="O4800" s="55">
        <f ca="1" t="shared" si="232"/>
        <v>0</v>
      </c>
      <c r="P4800" s="55">
        <f ca="1" t="shared" si="233"/>
        <v>8</v>
      </c>
      <c r="Q4800" s="22" t="str">
        <f>VLOOKUP(B4800,辅助信息!E:M,9,FALSE)</f>
        <v>ZTWM-CDGS-XS-2024-0134-商投建工达州中医药科技成果示范园项目</v>
      </c>
      <c r="R4800" s="22" t="str">
        <f>_xlfn._xlws.FILTER(辅助信息!D:D,辅助信息!E:E=B4800)</f>
        <v>商投建工达州中医药科技园</v>
      </c>
    </row>
    <row r="4801" hidden="1" spans="2:18">
      <c r="B4801" s="129" t="s">
        <v>203</v>
      </c>
      <c r="C4801" s="63">
        <v>45952</v>
      </c>
      <c r="D4801" s="113" t="str">
        <f>VLOOKUP(B4801,辅助信息!E:K,7,FALSE)</f>
        <v>JWDDCD2025102100479</v>
      </c>
      <c r="E4801" s="113" t="str">
        <f>VLOOKUP(F4801,辅助信息!A:B,2,FALSE)</f>
        <v>高线</v>
      </c>
      <c r="F4801" s="113" t="s">
        <v>57</v>
      </c>
      <c r="G4801" s="114">
        <v>2</v>
      </c>
      <c r="H4801" s="127">
        <f>IF(SUMIFS('[1]2025年已发货'!$E:$E,'[1]2025年已发货'!$F:$F,C4801,'[1]2025年已发货'!$C:$C,F4801,'[1]2025年已发货'!$G:$G,I4801,'[1]2025年已发货'!$H:$H,J4801)=0,"未发货",SUMIFS('[1]2025年已发货'!$E:$E,'[1]2025年已发货'!$F:$F,C4801,'[1]2025年已发货'!$C:$C,F4801,'[1]2025年已发货'!$G:$G,I4801,'[1]2025年已发货'!$H:$H,J4801))</f>
        <v>2</v>
      </c>
      <c r="I4801" s="149" t="str">
        <f>VLOOKUP(B4801,辅助信息!E:I,3,FALSE)</f>
        <v>(五冶建设空港兴城怡心街道83亩项目)成都市双流区怡心街道高峰社区一组剑和路一段空港兴城怡心街道83亩项目中国五冶项目部</v>
      </c>
      <c r="J4801" s="113" t="str">
        <f>VLOOKUP(B4801,辅助信息!E:I,4,FALSE)</f>
        <v>王刚</v>
      </c>
      <c r="K4801" s="113">
        <f>VLOOKUP(J4801,辅助信息!H:I,2,FALSE)</f>
        <v>15881190525</v>
      </c>
      <c r="L4801" s="115"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84">
        <v>45949</v>
      </c>
      <c r="O4801" s="55">
        <f ca="1" t="shared" si="232"/>
        <v>0</v>
      </c>
      <c r="P4801" s="55">
        <f ca="1" t="shared" si="233"/>
        <v>8</v>
      </c>
      <c r="Q4801" s="22" t="str">
        <f>VLOOKUP(B4801,辅助信息!E:M,9,FALSE)</f>
        <v>ZTWM-CDGS-XS-2025-0073-五冶天府-成都怡心湖片区及龙泉驿医院等项目</v>
      </c>
      <c r="R4801" s="22" t="str">
        <f>_xlfn._xlws.FILTER(辅助信息!D:D,辅助信息!E:E=B4801)</f>
        <v>五冶建设空港兴城怡心街道83亩项目</v>
      </c>
    </row>
    <row r="4802" hidden="1" spans="2:18">
      <c r="B4802" s="129" t="s">
        <v>203</v>
      </c>
      <c r="C4802" s="63">
        <v>45952</v>
      </c>
      <c r="D4802" s="113" t="str">
        <f>VLOOKUP(B4802,辅助信息!E:K,7,FALSE)</f>
        <v>JWDDCD2025102100479</v>
      </c>
      <c r="E4802" s="113" t="str">
        <f>VLOOKUP(F4802,辅助信息!A:B,2,FALSE)</f>
        <v>盘螺</v>
      </c>
      <c r="F4802" s="113" t="s">
        <v>49</v>
      </c>
      <c r="G4802" s="114">
        <v>2</v>
      </c>
      <c r="H4802" s="127">
        <f>IF(SUMIFS('[1]2025年已发货'!$E:$E,'[1]2025年已发货'!$F:$F,C4802,'[1]2025年已发货'!$C:$C,F4802,'[1]2025年已发货'!$G:$G,I4802,'[1]2025年已发货'!$H:$H,J4802)=0,"未发货",SUMIFS('[1]2025年已发货'!$E:$E,'[1]2025年已发货'!$F:$F,C4802,'[1]2025年已发货'!$C:$C,F4802,'[1]2025年已发货'!$G:$G,I4802,'[1]2025年已发货'!$H:$H,J4802))</f>
        <v>2</v>
      </c>
      <c r="I4802" s="149" t="str">
        <f>VLOOKUP(B4802,辅助信息!E:I,3,FALSE)</f>
        <v>(五冶建设空港兴城怡心街道83亩项目)成都市双流区怡心街道高峰社区一组剑和路一段空港兴城怡心街道83亩项目中国五冶项目部</v>
      </c>
      <c r="J4802" s="113" t="str">
        <f>VLOOKUP(B4802,辅助信息!E:I,4,FALSE)</f>
        <v>王刚</v>
      </c>
      <c r="K4802" s="113">
        <f>VLOOKUP(J4802,辅助信息!H:I,2,FALSE)</f>
        <v>15881190525</v>
      </c>
      <c r="L4802" s="115"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84">
        <v>45949</v>
      </c>
      <c r="O4802" s="55">
        <f ca="1" t="shared" si="232"/>
        <v>0</v>
      </c>
      <c r="P4802" s="55">
        <f ca="1" t="shared" si="233"/>
        <v>8</v>
      </c>
      <c r="Q4802" s="22" t="str">
        <f>VLOOKUP(B4802,辅助信息!E:M,9,FALSE)</f>
        <v>ZTWM-CDGS-XS-2025-0073-五冶天府-成都怡心湖片区及龙泉驿医院等项目</v>
      </c>
      <c r="R4802" s="22" t="str">
        <f>_xlfn._xlws.FILTER(辅助信息!D:D,辅助信息!E:E=B4802)</f>
        <v>五冶建设空港兴城怡心街道83亩项目</v>
      </c>
    </row>
    <row r="4803" hidden="1" spans="2:18">
      <c r="B4803" s="129" t="s">
        <v>203</v>
      </c>
      <c r="C4803" s="63">
        <v>45952</v>
      </c>
      <c r="D4803" s="113" t="str">
        <f>VLOOKUP(B4803,辅助信息!E:K,7,FALSE)</f>
        <v>JWDDCD2025102100479</v>
      </c>
      <c r="E4803" s="113" t="str">
        <f>VLOOKUP(F4803,辅助信息!A:B,2,FALSE)</f>
        <v>盘螺</v>
      </c>
      <c r="F4803" s="113" t="s">
        <v>40</v>
      </c>
      <c r="G4803" s="114">
        <v>12</v>
      </c>
      <c r="H4803" s="127">
        <f>IF(SUMIFS('[1]2025年已发货'!$E:$E,'[1]2025年已发货'!$F:$F,C4803,'[1]2025年已发货'!$C:$C,F4803,'[1]2025年已发货'!$G:$G,I4803,'[1]2025年已发货'!$H:$H,J4803)=0,"未发货",SUMIFS('[1]2025年已发货'!$E:$E,'[1]2025年已发货'!$F:$F,C4803,'[1]2025年已发货'!$C:$C,F4803,'[1]2025年已发货'!$G:$G,I4803,'[1]2025年已发货'!$H:$H,J4803))</f>
        <v>12</v>
      </c>
      <c r="I4803" s="149" t="str">
        <f>VLOOKUP(B4803,辅助信息!E:I,3,FALSE)</f>
        <v>(五冶建设空港兴城怡心街道83亩项目)成都市双流区怡心街道高峰社区一组剑和路一段空港兴城怡心街道83亩项目中国五冶项目部</v>
      </c>
      <c r="J4803" s="113" t="str">
        <f>VLOOKUP(B4803,辅助信息!E:I,4,FALSE)</f>
        <v>王刚</v>
      </c>
      <c r="K4803" s="113">
        <f>VLOOKUP(J4803,辅助信息!H:I,2,FALSE)</f>
        <v>15881190525</v>
      </c>
      <c r="L4803" s="115"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84">
        <v>45949</v>
      </c>
      <c r="O4803" s="55">
        <f ca="1" t="shared" si="232"/>
        <v>0</v>
      </c>
      <c r="P4803" s="55">
        <f ca="1" t="shared" si="233"/>
        <v>8</v>
      </c>
      <c r="Q4803" s="22" t="str">
        <f>VLOOKUP(B4803,辅助信息!E:M,9,FALSE)</f>
        <v>ZTWM-CDGS-XS-2025-0073-五冶天府-成都怡心湖片区及龙泉驿医院等项目</v>
      </c>
      <c r="R4803" s="22" t="str">
        <f>_xlfn._xlws.FILTER(辅助信息!D:D,辅助信息!E:E=B4803)</f>
        <v>五冶建设空港兴城怡心街道83亩项目</v>
      </c>
    </row>
    <row r="4804" hidden="1" spans="2:18">
      <c r="B4804" s="129" t="s">
        <v>203</v>
      </c>
      <c r="C4804" s="63">
        <v>45952</v>
      </c>
      <c r="D4804" s="113" t="str">
        <f>VLOOKUP(B4804,辅助信息!E:K,7,FALSE)</f>
        <v>JWDDCD2025102100479</v>
      </c>
      <c r="E4804" s="113" t="str">
        <f>VLOOKUP(F4804,辅助信息!A:B,2,FALSE)</f>
        <v>盘螺</v>
      </c>
      <c r="F4804" s="113" t="s">
        <v>41</v>
      </c>
      <c r="G4804" s="114">
        <v>8</v>
      </c>
      <c r="H4804" s="127">
        <f>IF(SUMIFS('[1]2025年已发货'!$E:$E,'[1]2025年已发货'!$F:$F,C4804,'[1]2025年已发货'!$C:$C,F4804,'[1]2025年已发货'!$G:$G,I4804,'[1]2025年已发货'!$H:$H,J4804)=0,"未发货",SUMIFS('[1]2025年已发货'!$E:$E,'[1]2025年已发货'!$F:$F,C4804,'[1]2025年已发货'!$C:$C,F4804,'[1]2025年已发货'!$G:$G,I4804,'[1]2025年已发货'!$H:$H,J4804))</f>
        <v>8</v>
      </c>
      <c r="I4804" s="149" t="str">
        <f>VLOOKUP(B4804,辅助信息!E:I,3,FALSE)</f>
        <v>(五冶建设空港兴城怡心街道83亩项目)成都市双流区怡心街道高峰社区一组剑和路一段空港兴城怡心街道83亩项目中国五冶项目部</v>
      </c>
      <c r="J4804" s="113" t="str">
        <f>VLOOKUP(B4804,辅助信息!E:I,4,FALSE)</f>
        <v>王刚</v>
      </c>
      <c r="K4804" s="113">
        <f>VLOOKUP(J4804,辅助信息!H:I,2,FALSE)</f>
        <v>15881190525</v>
      </c>
      <c r="L4804" s="115"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84">
        <v>45949</v>
      </c>
      <c r="O4804" s="55">
        <f ca="1" t="shared" si="232"/>
        <v>0</v>
      </c>
      <c r="P4804" s="55">
        <f ca="1" t="shared" si="233"/>
        <v>8</v>
      </c>
      <c r="Q4804" s="22" t="str">
        <f>VLOOKUP(B4804,辅助信息!E:M,9,FALSE)</f>
        <v>ZTWM-CDGS-XS-2025-0073-五冶天府-成都怡心湖片区及龙泉驿医院等项目</v>
      </c>
      <c r="R4804" s="22" t="str">
        <f>_xlfn._xlws.FILTER(辅助信息!D:D,辅助信息!E:E=B4804)</f>
        <v>五冶建设空港兴城怡心街道83亩项目</v>
      </c>
    </row>
    <row r="4805" hidden="1" spans="2:18">
      <c r="B4805" s="129" t="s">
        <v>203</v>
      </c>
      <c r="C4805" s="63">
        <v>45952</v>
      </c>
      <c r="D4805" s="113" t="str">
        <f>VLOOKUP(B4805,辅助信息!E:K,7,FALSE)</f>
        <v>JWDDCD2025102100479</v>
      </c>
      <c r="E4805" s="113" t="str">
        <f>VLOOKUP(F4805,辅助信息!A:B,2,FALSE)</f>
        <v>螺纹钢</v>
      </c>
      <c r="F4805" s="113" t="s">
        <v>32</v>
      </c>
      <c r="G4805" s="114">
        <v>4</v>
      </c>
      <c r="H4805" s="127">
        <f>IF(SUMIFS('[1]2025年已发货'!$E:$E,'[1]2025年已发货'!$F:$F,C4805,'[1]2025年已发货'!$C:$C,F4805,'[1]2025年已发货'!$G:$G,I4805,'[1]2025年已发货'!$H:$H,J4805)=0,"未发货",SUMIFS('[1]2025年已发货'!$E:$E,'[1]2025年已发货'!$F:$F,C4805,'[1]2025年已发货'!$C:$C,F4805,'[1]2025年已发货'!$G:$G,I4805,'[1]2025年已发货'!$H:$H,J4805))</f>
        <v>4</v>
      </c>
      <c r="I4805" s="149" t="str">
        <f>VLOOKUP(B4805,辅助信息!E:I,3,FALSE)</f>
        <v>(五冶建设空港兴城怡心街道83亩项目)成都市双流区怡心街道高峰社区一组剑和路一段空港兴城怡心街道83亩项目中国五冶项目部</v>
      </c>
      <c r="J4805" s="113" t="str">
        <f>VLOOKUP(B4805,辅助信息!E:I,4,FALSE)</f>
        <v>王刚</v>
      </c>
      <c r="K4805" s="113">
        <f>VLOOKUP(J4805,辅助信息!H:I,2,FALSE)</f>
        <v>15881190525</v>
      </c>
      <c r="L4805" s="115"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84">
        <v>45949</v>
      </c>
      <c r="O4805" s="55">
        <f ca="1" t="shared" si="232"/>
        <v>0</v>
      </c>
      <c r="P4805" s="55">
        <f ca="1" t="shared" si="233"/>
        <v>8</v>
      </c>
      <c r="Q4805" s="22" t="str">
        <f>VLOOKUP(B4805,辅助信息!E:M,9,FALSE)</f>
        <v>ZTWM-CDGS-XS-2025-0073-五冶天府-成都怡心湖片区及龙泉驿医院等项目</v>
      </c>
      <c r="R4805" s="22" t="str">
        <f>_xlfn._xlws.FILTER(辅助信息!D:D,辅助信息!E:E=B4805)</f>
        <v>五冶建设空港兴城怡心街道83亩项目</v>
      </c>
    </row>
    <row r="4806" hidden="1" spans="2:18">
      <c r="B4806" s="129" t="s">
        <v>203</v>
      </c>
      <c r="C4806" s="63">
        <v>45952</v>
      </c>
      <c r="D4806" s="113" t="str">
        <f>VLOOKUP(B4806,辅助信息!E:K,7,FALSE)</f>
        <v>JWDDCD2025102100479</v>
      </c>
      <c r="E4806" s="113" t="str">
        <f>VLOOKUP(F4806,辅助信息!A:B,2,FALSE)</f>
        <v>螺纹钢</v>
      </c>
      <c r="F4806" s="113" t="s">
        <v>33</v>
      </c>
      <c r="G4806" s="114">
        <v>10</v>
      </c>
      <c r="H4806" s="127">
        <v>10</v>
      </c>
      <c r="I4806" s="149" t="str">
        <f>VLOOKUP(B4806,辅助信息!E:I,3,FALSE)</f>
        <v>(五冶建设空港兴城怡心街道83亩项目)成都市双流区怡心街道高峰社区一组剑和路一段空港兴城怡心街道83亩项目中国五冶项目部</v>
      </c>
      <c r="J4806" s="113" t="str">
        <f>VLOOKUP(B4806,辅助信息!E:I,4,FALSE)</f>
        <v>王刚</v>
      </c>
      <c r="K4806" s="113">
        <f>VLOOKUP(J4806,辅助信息!H:I,2,FALSE)</f>
        <v>15881190525</v>
      </c>
      <c r="L4806" s="115"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84">
        <v>45949</v>
      </c>
      <c r="O4806" s="55">
        <f ca="1" t="shared" si="232"/>
        <v>0</v>
      </c>
      <c r="P4806" s="55">
        <f ca="1" t="shared" si="233"/>
        <v>8</v>
      </c>
      <c r="Q4806" s="22" t="str">
        <f>VLOOKUP(B4806,辅助信息!E:M,9,FALSE)</f>
        <v>ZTWM-CDGS-XS-2025-0073-五冶天府-成都怡心湖片区及龙泉驿医院等项目</v>
      </c>
      <c r="R4806" s="22" t="str">
        <f>_xlfn._xlws.FILTER(辅助信息!D:D,辅助信息!E:E=B4806)</f>
        <v>五冶建设空港兴城怡心街道83亩项目</v>
      </c>
    </row>
    <row r="4807" hidden="1" spans="2:18">
      <c r="B4807" s="129" t="s">
        <v>176</v>
      </c>
      <c r="C4807" s="63">
        <v>45951</v>
      </c>
      <c r="D4807" s="113" t="str">
        <f>VLOOKUP(B4807,辅助信息!E:K,7,FALSE)</f>
        <v>JWDDCD2025062200016</v>
      </c>
      <c r="E4807" s="113" t="str">
        <f>VLOOKUP(F4807,辅助信息!A:B,2,FALSE)</f>
        <v>螺纹钢</v>
      </c>
      <c r="F4807" s="113" t="s">
        <v>19</v>
      </c>
      <c r="G4807" s="114">
        <v>5</v>
      </c>
      <c r="H4807" s="127"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13" t="str">
        <f>VLOOKUP(B4807,辅助信息!E:I,3,FALSE)</f>
        <v>(武汉电气化局成达万高铁强电项目-渠县)四川省达州市渠县渠北镇雷家湾渠县北站旁</v>
      </c>
      <c r="J4807" s="113" t="str">
        <f>VLOOKUP(B4807,辅助信息!E:I,4,FALSE)</f>
        <v>刘频</v>
      </c>
      <c r="K4807" s="113">
        <f>VLOOKUP(J4807,辅助信息!H:I,2,FALSE)</f>
        <v>18779627939</v>
      </c>
      <c r="L4807" s="115" t="str">
        <f>VLOOKUP(B4807,辅助信息!E:J,6,FALSE)</f>
        <v>锈货不收！！下雨天钢筋没盖篷布不收！！，装货前联系收货人核实到场规格,没提前告知进场规格现场不给予接收</v>
      </c>
      <c r="M4807" s="84">
        <v>45946</v>
      </c>
      <c r="O4807" s="55">
        <f ca="1" t="shared" si="232"/>
        <v>0</v>
      </c>
      <c r="P4807" s="55">
        <f ca="1" t="shared" si="233"/>
        <v>11</v>
      </c>
      <c r="Q4807" s="22" t="str">
        <f>VLOOKUP(B4807,辅助信息!E:M,9,FALSE)</f>
        <v>ZTWM-CDGS-XS-2025-0033-中铁武汉电气化局集团有限公司成达万高速铁路强电工程项目</v>
      </c>
      <c r="R4807" s="22" t="str">
        <f>_xlfn._xlws.FILTER(辅助信息!D:D,辅助信息!E:E=B4807)</f>
        <v>武汉电气化局成达万高铁强电项目</v>
      </c>
    </row>
    <row r="4808" hidden="1" spans="2:18">
      <c r="B4808" s="129" t="s">
        <v>176</v>
      </c>
      <c r="C4808" s="63">
        <v>45951</v>
      </c>
      <c r="D4808" s="113" t="str">
        <f>VLOOKUP(B4808,辅助信息!E:K,7,FALSE)</f>
        <v>JWDDCD2025062200016</v>
      </c>
      <c r="E4808" s="113" t="str">
        <f>VLOOKUP(F4808,辅助信息!A:B,2,FALSE)</f>
        <v>螺纹钢</v>
      </c>
      <c r="F4808" s="113" t="s">
        <v>76</v>
      </c>
      <c r="G4808" s="114">
        <v>5</v>
      </c>
      <c r="H4808" s="127"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13" t="str">
        <f>VLOOKUP(B4808,辅助信息!E:I,3,FALSE)</f>
        <v>(武汉电气化局成达万高铁强电项目-渠县)四川省达州市渠县渠北镇雷家湾渠县北站旁</v>
      </c>
      <c r="J4808" s="113" t="str">
        <f>VLOOKUP(B4808,辅助信息!E:I,4,FALSE)</f>
        <v>刘频</v>
      </c>
      <c r="K4808" s="113">
        <f>VLOOKUP(J4808,辅助信息!H:I,2,FALSE)</f>
        <v>18779627939</v>
      </c>
      <c r="L4808" s="115" t="str">
        <f>VLOOKUP(B4808,辅助信息!E:J,6,FALSE)</f>
        <v>锈货不收！！下雨天钢筋没盖篷布不收！！，装货前联系收货人核实到场规格,没提前告知进场规格现场不给予接收</v>
      </c>
      <c r="M4808" s="84">
        <v>45946</v>
      </c>
      <c r="O4808" s="55">
        <f ca="1" t="shared" si="232"/>
        <v>0</v>
      </c>
      <c r="P4808" s="55">
        <f ca="1" t="shared" si="233"/>
        <v>11</v>
      </c>
      <c r="Q4808" s="22" t="str">
        <f>VLOOKUP(B4808,辅助信息!E:M,9,FALSE)</f>
        <v>ZTWM-CDGS-XS-2025-0033-中铁武汉电气化局集团有限公司成达万高速铁路强电工程项目</v>
      </c>
      <c r="R4808" s="22" t="str">
        <f>_xlfn._xlws.FILTER(辅助信息!D:D,辅助信息!E:E=B4808)</f>
        <v>武汉电气化局成达万高铁强电项目</v>
      </c>
    </row>
    <row r="4809" hidden="1" spans="2:18">
      <c r="B4809" s="129" t="s">
        <v>176</v>
      </c>
      <c r="C4809" s="63">
        <v>45951</v>
      </c>
      <c r="D4809" s="113" t="str">
        <f>VLOOKUP(B4809,辅助信息!E:K,7,FALSE)</f>
        <v>JWDDCD2025062200016</v>
      </c>
      <c r="E4809" s="113" t="str">
        <f>VLOOKUP(F4809,辅助信息!A:B,2,FALSE)</f>
        <v>螺纹钢</v>
      </c>
      <c r="F4809" s="113" t="s">
        <v>130</v>
      </c>
      <c r="G4809" s="114">
        <v>15</v>
      </c>
      <c r="H4809" s="127"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13" t="str">
        <f>VLOOKUP(B4809,辅助信息!E:I,3,FALSE)</f>
        <v>(武汉电气化局成达万高铁强电项目-渠县)四川省达州市渠县渠北镇雷家湾渠县北站旁</v>
      </c>
      <c r="J4809" s="113" t="str">
        <f>VLOOKUP(B4809,辅助信息!E:I,4,FALSE)</f>
        <v>刘频</v>
      </c>
      <c r="K4809" s="113">
        <f>VLOOKUP(J4809,辅助信息!H:I,2,FALSE)</f>
        <v>18779627939</v>
      </c>
      <c r="L4809" s="115" t="str">
        <f>VLOOKUP(B4809,辅助信息!E:J,6,FALSE)</f>
        <v>锈货不收！！下雨天钢筋没盖篷布不收！！，装货前联系收货人核实到场规格,没提前告知进场规格现场不给予接收</v>
      </c>
      <c r="M4809" s="84">
        <v>45946</v>
      </c>
      <c r="O4809" s="55">
        <f ca="1" t="shared" si="232"/>
        <v>0</v>
      </c>
      <c r="P4809" s="55">
        <f ca="1" t="shared" si="233"/>
        <v>11</v>
      </c>
      <c r="Q4809" s="22" t="str">
        <f>VLOOKUP(B4809,辅助信息!E:M,9,FALSE)</f>
        <v>ZTWM-CDGS-XS-2025-0033-中铁武汉电气化局集团有限公司成达万高速铁路强电工程项目</v>
      </c>
      <c r="R4809" s="22" t="str">
        <f>_xlfn._xlws.FILTER(辅助信息!D:D,辅助信息!E:E=B4809)</f>
        <v>武汉电气化局成达万高铁强电项目</v>
      </c>
    </row>
    <row r="4810" hidden="1" spans="2:18">
      <c r="B4810" s="129" t="s">
        <v>176</v>
      </c>
      <c r="C4810" s="63">
        <v>45951</v>
      </c>
      <c r="D4810" s="113" t="str">
        <f>VLOOKUP(B4810,辅助信息!E:K,7,FALSE)</f>
        <v>JWDDCD2025062200016</v>
      </c>
      <c r="E4810" s="113" t="str">
        <f>VLOOKUP(F4810,辅助信息!A:B,2,FALSE)</f>
        <v>螺纹钢</v>
      </c>
      <c r="F4810" s="113" t="s">
        <v>91</v>
      </c>
      <c r="G4810" s="114">
        <v>9</v>
      </c>
      <c r="H4810" s="127"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13" t="str">
        <f>VLOOKUP(B4810,辅助信息!E:I,3,FALSE)</f>
        <v>(武汉电气化局成达万高铁强电项目-渠县)四川省达州市渠县渠北镇雷家湾渠县北站旁</v>
      </c>
      <c r="J4810" s="113" t="str">
        <f>VLOOKUP(B4810,辅助信息!E:I,4,FALSE)</f>
        <v>刘频</v>
      </c>
      <c r="K4810" s="113">
        <f>VLOOKUP(J4810,辅助信息!H:I,2,FALSE)</f>
        <v>18779627939</v>
      </c>
      <c r="L4810" s="115" t="str">
        <f>VLOOKUP(B4810,辅助信息!E:J,6,FALSE)</f>
        <v>锈货不收！！下雨天钢筋没盖篷布不收！！，装货前联系收货人核实到场规格,没提前告知进场规格现场不给予接收</v>
      </c>
      <c r="M4810" s="84">
        <v>45946</v>
      </c>
      <c r="O4810" s="55">
        <f ca="1" t="shared" si="232"/>
        <v>0</v>
      </c>
      <c r="P4810" s="55">
        <f ca="1" t="shared" si="233"/>
        <v>11</v>
      </c>
      <c r="Q4810" s="22" t="str">
        <f>VLOOKUP(B4810,辅助信息!E:M,9,FALSE)</f>
        <v>ZTWM-CDGS-XS-2025-0033-中铁武汉电气化局集团有限公司成达万高速铁路强电工程项目</v>
      </c>
      <c r="R4810" s="22" t="str">
        <f>_xlfn._xlws.FILTER(辅助信息!D:D,辅助信息!E:E=B4810)</f>
        <v>武汉电气化局成达万高铁强电项目</v>
      </c>
    </row>
    <row r="4811" hidden="1" spans="2:18">
      <c r="B4811" s="129" t="s">
        <v>226</v>
      </c>
      <c r="C4811" s="63">
        <v>45952</v>
      </c>
      <c r="D4811" s="113" t="str">
        <f>VLOOKUP(B4811,辅助信息!E:K,7,FALSE)</f>
        <v>JWDDCD2025092400211</v>
      </c>
      <c r="E4811" s="113" t="str">
        <f>VLOOKUP(F4811,辅助信息!A:B,2,FALSE)</f>
        <v>盘螺</v>
      </c>
      <c r="F4811" s="113" t="s">
        <v>40</v>
      </c>
      <c r="G4811" s="114">
        <v>35</v>
      </c>
      <c r="H4811" s="127">
        <f>IF(SUMIFS('[1]2025年已发货'!$E:$E,'[1]2025年已发货'!$F:$F,C4815,'[1]2025年已发货'!$C:$C,F4811,'[1]2025年已发货'!$G:$G,I4811,'[1]2025年已发货'!$H:$H,J4811)=0,"未发货",SUMIFS('[1]2025年已发货'!$E:$E,'[1]2025年已发货'!$F:$F,C4815,'[1]2025年已发货'!$C:$C,F4811,'[1]2025年已发货'!$G:$G,I4811,'[1]2025年已发货'!$H:$H,J4811))</f>
        <v>35</v>
      </c>
      <c r="I4811" s="149" t="str">
        <f>VLOOKUP(B4811,辅助信息!E:I,3,FALSE)</f>
        <v>(五冶钢构龙泉东洪片区85亩住宅、商业及配套工程项目二标段)成都市龙泉驿外东洪路地铁2号线惠王陵地铁C口</v>
      </c>
      <c r="J4811" s="113" t="str">
        <f>VLOOKUP(B4811,辅助信息!E:I,4,FALSE)</f>
        <v>李渊</v>
      </c>
      <c r="K4811" s="113">
        <f>VLOOKUP(J4811,辅助信息!H:I,2,FALSE)</f>
        <v>18381013849</v>
      </c>
      <c r="L4811" s="115">
        <f>VLOOKUP(B4811,辅助信息!E:J,6,FALSE)</f>
        <v>0</v>
      </c>
      <c r="M4811" s="84">
        <v>45949</v>
      </c>
      <c r="O4811" s="55">
        <f ca="1" t="shared" si="232"/>
        <v>0</v>
      </c>
      <c r="P4811" s="55">
        <f ca="1" t="shared" si="233"/>
        <v>8</v>
      </c>
      <c r="Q4811" s="22" t="str">
        <f>VLOOKUP(B4811,辅助信息!E:M,9,FALSE)</f>
        <v>ZTWM-CDGS-XS-2025-0156-五冶钢构-2025年九月第一批次钢筋采购合同(三圣乡项目)-中铁物贸成都公司</v>
      </c>
      <c r="R4811" s="22" t="str">
        <f>_xlfn._xlws.FILTER(辅助信息!D:D,辅助信息!E:E=B4811)</f>
        <v>五冶钢构龙泉东洪片区85亩住宅、商业及配套工程项目二标段</v>
      </c>
    </row>
    <row r="4812" hidden="1" spans="2:18">
      <c r="B4812" s="129" t="s">
        <v>226</v>
      </c>
      <c r="C4812" s="63">
        <v>45952</v>
      </c>
      <c r="D4812" s="113" t="str">
        <f>VLOOKUP(B4812,辅助信息!E:K,7,FALSE)</f>
        <v>JWDDCD2025092400211</v>
      </c>
      <c r="E4812" s="113" t="str">
        <f>VLOOKUP(F4812,辅助信息!A:B,2,FALSE)</f>
        <v>螺纹钢</v>
      </c>
      <c r="F4812" s="113" t="s">
        <v>27</v>
      </c>
      <c r="G4812" s="114">
        <v>35</v>
      </c>
      <c r="H4812" s="127">
        <f>IF(SUMIFS('[1]2025年已发货'!$E:$E,'[1]2025年已发货'!$F:$F,C4816,'[1]2025年已发货'!$C:$C,F4812,'[1]2025年已发货'!$G:$G,I4812,'[1]2025年已发货'!$H:$H,J4812)=0,"未发货",SUMIFS('[1]2025年已发货'!$E:$E,'[1]2025年已发货'!$F:$F,C4816,'[1]2025年已发货'!$C:$C,F4812,'[1]2025年已发货'!$G:$G,I4812,'[1]2025年已发货'!$H:$H,J4812))</f>
        <v>35</v>
      </c>
      <c r="I4812" s="149" t="str">
        <f>VLOOKUP(B4812,辅助信息!E:I,3,FALSE)</f>
        <v>(五冶钢构龙泉东洪片区85亩住宅、商业及配套工程项目二标段)成都市龙泉驿外东洪路地铁2号线惠王陵地铁C口</v>
      </c>
      <c r="J4812" s="113" t="str">
        <f>VLOOKUP(B4812,辅助信息!E:I,4,FALSE)</f>
        <v>李渊</v>
      </c>
      <c r="K4812" s="113">
        <f>VLOOKUP(J4812,辅助信息!H:I,2,FALSE)</f>
        <v>18381013849</v>
      </c>
      <c r="L4812" s="115">
        <f>VLOOKUP(B4812,辅助信息!E:J,6,FALSE)</f>
        <v>0</v>
      </c>
      <c r="M4812" s="84">
        <v>45949</v>
      </c>
      <c r="O4812" s="55">
        <f ca="1" t="shared" si="232"/>
        <v>0</v>
      </c>
      <c r="P4812" s="55">
        <f ca="1" t="shared" si="233"/>
        <v>8</v>
      </c>
      <c r="Q4812" s="22" t="str">
        <f>VLOOKUP(B4812,辅助信息!E:M,9,FALSE)</f>
        <v>ZTWM-CDGS-XS-2025-0156-五冶钢构-2025年九月第一批次钢筋采购合同(三圣乡项目)-中铁物贸成都公司</v>
      </c>
      <c r="R4812" s="22" t="str">
        <f>_xlfn._xlws.FILTER(辅助信息!D:D,辅助信息!E:E=B4812)</f>
        <v>五冶钢构龙泉东洪片区85亩住宅、商业及配套工程项目二标段</v>
      </c>
    </row>
    <row r="4813" hidden="1" spans="2:18">
      <c r="B4813" s="129" t="s">
        <v>226</v>
      </c>
      <c r="C4813" s="63">
        <v>45952</v>
      </c>
      <c r="D4813" s="113" t="str">
        <f>VLOOKUP(B4813,辅助信息!E:K,7,FALSE)</f>
        <v>JWDDCD2025092400211</v>
      </c>
      <c r="E4813" s="113" t="str">
        <f>VLOOKUP(F4813,辅助信息!A:B,2,FALSE)</f>
        <v>螺纹钢</v>
      </c>
      <c r="F4813" s="113" t="s">
        <v>32</v>
      </c>
      <c r="G4813" s="114">
        <v>20</v>
      </c>
      <c r="H4813" s="127">
        <f>IF(SUMIFS('[1]2025年已发货'!$E:$E,'[1]2025年已发货'!$F:$F,C4817,'[1]2025年已发货'!$C:$C,F4813,'[1]2025年已发货'!$G:$G,I4813,'[1]2025年已发货'!$H:$H,J4813)=0,"未发货",SUMIFS('[1]2025年已发货'!$E:$E,'[1]2025年已发货'!$F:$F,C4817,'[1]2025年已发货'!$C:$C,F4813,'[1]2025年已发货'!$G:$G,I4813,'[1]2025年已发货'!$H:$H,J4813))</f>
        <v>20</v>
      </c>
      <c r="I4813" s="149" t="str">
        <f>VLOOKUP(B4813,辅助信息!E:I,3,FALSE)</f>
        <v>(五冶钢构龙泉东洪片区85亩住宅、商业及配套工程项目二标段)成都市龙泉驿外东洪路地铁2号线惠王陵地铁C口</v>
      </c>
      <c r="J4813" s="113" t="str">
        <f>VLOOKUP(B4813,辅助信息!E:I,4,FALSE)</f>
        <v>李渊</v>
      </c>
      <c r="K4813" s="113">
        <f>VLOOKUP(J4813,辅助信息!H:I,2,FALSE)</f>
        <v>18381013849</v>
      </c>
      <c r="L4813" s="115">
        <f>VLOOKUP(B4813,辅助信息!E:J,6,FALSE)</f>
        <v>0</v>
      </c>
      <c r="M4813" s="84">
        <v>45949</v>
      </c>
      <c r="O4813" s="55">
        <f ca="1" t="shared" si="232"/>
        <v>0</v>
      </c>
      <c r="P4813" s="55">
        <f ca="1" t="shared" si="233"/>
        <v>8</v>
      </c>
      <c r="Q4813" s="22" t="str">
        <f>VLOOKUP(B4813,辅助信息!E:M,9,FALSE)</f>
        <v>ZTWM-CDGS-XS-2025-0156-五冶钢构-2025年九月第一批次钢筋采购合同(三圣乡项目)-中铁物贸成都公司</v>
      </c>
      <c r="R4813" s="22" t="str">
        <f>_xlfn._xlws.FILTER(辅助信息!D:D,辅助信息!E:E=B4813)</f>
        <v>五冶钢构龙泉东洪片区85亩住宅、商业及配套工程项目二标段</v>
      </c>
    </row>
    <row r="4814" hidden="1" spans="2:18">
      <c r="B4814" s="129" t="s">
        <v>226</v>
      </c>
      <c r="C4814" s="63">
        <v>45952</v>
      </c>
      <c r="D4814" s="113" t="str">
        <f>VLOOKUP(B4814,辅助信息!E:K,7,FALSE)</f>
        <v>JWDDCD2025092400211</v>
      </c>
      <c r="E4814" s="113" t="str">
        <f>VLOOKUP(F4814,辅助信息!A:B,2,FALSE)</f>
        <v>螺纹钢</v>
      </c>
      <c r="F4814" s="113" t="s">
        <v>30</v>
      </c>
      <c r="G4814" s="114">
        <v>15</v>
      </c>
      <c r="H4814" s="127">
        <f>IF(SUMIFS('[1]2025年已发货'!$E:$E,'[1]2025年已发货'!$F:$F,C4818,'[1]2025年已发货'!$C:$C,F4814,'[1]2025年已发货'!$G:$G,I4814,'[1]2025年已发货'!$H:$H,J4814)=0,"未发货",SUMIFS('[1]2025年已发货'!$E:$E,'[1]2025年已发货'!$F:$F,C4818,'[1]2025年已发货'!$C:$C,F4814,'[1]2025年已发货'!$G:$G,I4814,'[1]2025年已发货'!$H:$H,J4814))</f>
        <v>15</v>
      </c>
      <c r="I4814" s="149" t="str">
        <f>VLOOKUP(B4814,辅助信息!E:I,3,FALSE)</f>
        <v>(五冶钢构龙泉东洪片区85亩住宅、商业及配套工程项目二标段)成都市龙泉驿外东洪路地铁2号线惠王陵地铁C口</v>
      </c>
      <c r="J4814" s="113" t="str">
        <f>VLOOKUP(B4814,辅助信息!E:I,4,FALSE)</f>
        <v>李渊</v>
      </c>
      <c r="K4814" s="113">
        <f>VLOOKUP(J4814,辅助信息!H:I,2,FALSE)</f>
        <v>18381013849</v>
      </c>
      <c r="L4814" s="115">
        <f>VLOOKUP(B4814,辅助信息!E:J,6,FALSE)</f>
        <v>0</v>
      </c>
      <c r="M4814" s="84">
        <v>45949</v>
      </c>
      <c r="O4814" s="55">
        <f ca="1" t="shared" si="232"/>
        <v>0</v>
      </c>
      <c r="P4814" s="55">
        <f ca="1" t="shared" si="233"/>
        <v>8</v>
      </c>
      <c r="Q4814" s="22" t="str">
        <f>VLOOKUP(B4814,辅助信息!E:M,9,FALSE)</f>
        <v>ZTWM-CDGS-XS-2025-0156-五冶钢构-2025年九月第一批次钢筋采购合同(三圣乡项目)-中铁物贸成都公司</v>
      </c>
      <c r="R4814" s="22" t="str">
        <f>_xlfn._xlws.FILTER(辅助信息!D:D,辅助信息!E:E=B4814)</f>
        <v>五冶钢构龙泉东洪片区85亩住宅、商业及配套工程项目二标段</v>
      </c>
    </row>
    <row r="4815" hidden="1" spans="2:18">
      <c r="B4815" s="129" t="s">
        <v>215</v>
      </c>
      <c r="C4815" s="63">
        <v>45952</v>
      </c>
      <c r="D4815" s="113" t="str">
        <f>VLOOKUP(B4815,辅助信息!E:K,7,FALSE)</f>
        <v>JWDDCD2025102100486</v>
      </c>
      <c r="E4815" s="113" t="str">
        <f>VLOOKUP(F4815,辅助信息!A:B,2,FALSE)</f>
        <v>盘螺</v>
      </c>
      <c r="F4815" s="113" t="s">
        <v>49</v>
      </c>
      <c r="G4815" s="114">
        <v>2</v>
      </c>
      <c r="H4815" s="127">
        <f>IF(SUMIFS('[1]2025年已发货'!$E:$E,'[1]2025年已发货'!$F:$F,C4819,'[1]2025年已发货'!$C:$C,F4815,'[1]2025年已发货'!$G:$G,I4815,'[1]2025年已发货'!$H:$H,J4815)=0,"未发货",SUMIFS('[1]2025年已发货'!$E:$E,'[1]2025年已发货'!$F:$F,C4819,'[1]2025年已发货'!$C:$C,F4815,'[1]2025年已发货'!$G:$G,I4815,'[1]2025年已发货'!$H:$H,J4815))</f>
        <v>2</v>
      </c>
      <c r="I4815" s="149" t="str">
        <f>VLOOKUP(B4815,辅助信息!E:I,3,FALSE)</f>
        <v>(五冶建设龙泉驿一医院配套建设工程)成都市龙泉驿区董朗路69号龙泉驿一医院5号门</v>
      </c>
      <c r="J4815" s="113" t="str">
        <f>VLOOKUP(B4815,辅助信息!E:I,4,FALSE)</f>
        <v>孙敏</v>
      </c>
      <c r="K4815" s="113">
        <f>VLOOKUP(J4815,辅助信息!H:I,2,FALSE)</f>
        <v>13617695006</v>
      </c>
      <c r="L4815" s="115" t="str">
        <f>VLOOKUP(B4815,辅助信息!E:J,6,FALSE)</f>
        <v>联系实际收货人（孙敏13617695006）五冶建设送货单,6份材质书,锈货不收，装货前联系收货人核实到场规格,没提前告知进场规格现场不给予接收</v>
      </c>
      <c r="M4815" s="84">
        <v>45946</v>
      </c>
      <c r="O4815" s="55">
        <f ca="1" t="shared" si="232"/>
        <v>0</v>
      </c>
      <c r="P4815" s="55">
        <f ca="1" t="shared" si="233"/>
        <v>11</v>
      </c>
      <c r="Q4815" s="22" t="str">
        <f>VLOOKUP(B4815,辅助信息!E:M,9,FALSE)</f>
        <v>ZTWM-CDGS-XS-2025-0073-五冶天府-成都怡心湖片区及龙泉驿医院等项目</v>
      </c>
      <c r="R4815" s="22" t="str">
        <f>_xlfn._xlws.FILTER(辅助信息!D:D,辅助信息!E:E=B4815)</f>
        <v>五冶建设龙泉驿一医院配套建设工程</v>
      </c>
    </row>
    <row r="4816" hidden="1" spans="2:18">
      <c r="B4816" s="129" t="s">
        <v>215</v>
      </c>
      <c r="C4816" s="63">
        <v>45952</v>
      </c>
      <c r="D4816" s="113" t="str">
        <f>VLOOKUP(B4816,辅助信息!E:K,7,FALSE)</f>
        <v>JWDDCD2025102100486</v>
      </c>
      <c r="E4816" s="113" t="str">
        <f>VLOOKUP(F4816,辅助信息!A:B,2,FALSE)</f>
        <v>盘螺</v>
      </c>
      <c r="F4816" s="113" t="s">
        <v>40</v>
      </c>
      <c r="G4816" s="114">
        <v>16</v>
      </c>
      <c r="H4816" s="127">
        <f>IF(SUMIFS('[1]2025年已发货'!$E:$E,'[1]2025年已发货'!$F:$F,C4820,'[1]2025年已发货'!$C:$C,F4816,'[1]2025年已发货'!$G:$G,I4816,'[1]2025年已发货'!$H:$H,J4816)=0,"未发货",SUMIFS('[1]2025年已发货'!$E:$E,'[1]2025年已发货'!$F:$F,C4820,'[1]2025年已发货'!$C:$C,F4816,'[1]2025年已发货'!$G:$G,I4816,'[1]2025年已发货'!$H:$H,J4816))</f>
        <v>16</v>
      </c>
      <c r="I4816" s="149" t="str">
        <f>VLOOKUP(B4816,辅助信息!E:I,3,FALSE)</f>
        <v>(五冶建设龙泉驿一医院配套建设工程)成都市龙泉驿区董朗路69号龙泉驿一医院5号门</v>
      </c>
      <c r="J4816" s="113" t="str">
        <f>VLOOKUP(B4816,辅助信息!E:I,4,FALSE)</f>
        <v>孙敏</v>
      </c>
      <c r="K4816" s="113">
        <f>VLOOKUP(J4816,辅助信息!H:I,2,FALSE)</f>
        <v>13617695006</v>
      </c>
      <c r="L4816" s="115" t="str">
        <f>VLOOKUP(B4816,辅助信息!E:J,6,FALSE)</f>
        <v>联系实际收货人（孙敏13617695006）五冶建设送货单,6份材质书,锈货不收，装货前联系收货人核实到场规格,没提前告知进场规格现场不给予接收</v>
      </c>
      <c r="M4816" s="84">
        <v>45946</v>
      </c>
      <c r="O4816" s="55">
        <f ca="1" t="shared" si="232"/>
        <v>0</v>
      </c>
      <c r="P4816" s="55">
        <f ca="1" t="shared" si="233"/>
        <v>11</v>
      </c>
      <c r="Q4816" s="22" t="str">
        <f>VLOOKUP(B4816,辅助信息!E:M,9,FALSE)</f>
        <v>ZTWM-CDGS-XS-2025-0073-五冶天府-成都怡心湖片区及龙泉驿医院等项目</v>
      </c>
      <c r="R4816" s="22" t="str">
        <f>_xlfn._xlws.FILTER(辅助信息!D:D,辅助信息!E:E=B4816)</f>
        <v>五冶建设龙泉驿一医院配套建设工程</v>
      </c>
    </row>
    <row r="4817" hidden="1" spans="2:18">
      <c r="B4817" s="129" t="s">
        <v>215</v>
      </c>
      <c r="C4817" s="63">
        <v>45952</v>
      </c>
      <c r="D4817" s="113" t="str">
        <f>VLOOKUP(B4817,辅助信息!E:K,7,FALSE)</f>
        <v>JWDDCD2025102100486</v>
      </c>
      <c r="E4817" s="113" t="str">
        <f>VLOOKUP(F4817,辅助信息!A:B,2,FALSE)</f>
        <v>盘螺</v>
      </c>
      <c r="F4817" s="113" t="s">
        <v>41</v>
      </c>
      <c r="G4817" s="114">
        <f>38-12.5</f>
        <v>25.5</v>
      </c>
      <c r="H4817" s="127">
        <f>IF(SUMIFS('[1]2025年已发货'!$E:$E,'[1]2025年已发货'!$F:$F,C4821,'[1]2025年已发货'!$C:$C,F4817,'[1]2025年已发货'!$G:$G,I4817,'[1]2025年已发货'!$H:$H,J4817)=0,"未发货",SUMIFS('[1]2025年已发货'!$E:$E,'[1]2025年已发货'!$F:$F,C4821,'[1]2025年已发货'!$C:$C,F4817,'[1]2025年已发货'!$G:$G,I4817,'[1]2025年已发货'!$H:$H,J4817))</f>
        <v>25.5</v>
      </c>
      <c r="I4817" s="149" t="str">
        <f>VLOOKUP(B4817,辅助信息!E:I,3,FALSE)</f>
        <v>(五冶建设龙泉驿一医院配套建设工程)成都市龙泉驿区董朗路69号龙泉驿一医院5号门</v>
      </c>
      <c r="J4817" s="113" t="str">
        <f>VLOOKUP(B4817,辅助信息!E:I,4,FALSE)</f>
        <v>孙敏</v>
      </c>
      <c r="K4817" s="113">
        <f>VLOOKUP(J4817,辅助信息!H:I,2,FALSE)</f>
        <v>13617695006</v>
      </c>
      <c r="L4817" s="115" t="str">
        <f>VLOOKUP(B4817,辅助信息!E:J,6,FALSE)</f>
        <v>联系实际收货人（孙敏13617695006）五冶建设送货单,6份材质书,锈货不收，装货前联系收货人核实到场规格,没提前告知进场规格现场不给予接收</v>
      </c>
      <c r="M4817" s="84">
        <v>45946</v>
      </c>
      <c r="O4817" s="55">
        <f ca="1" t="shared" si="232"/>
        <v>0</v>
      </c>
      <c r="P4817" s="55">
        <f ca="1" t="shared" si="233"/>
        <v>11</v>
      </c>
      <c r="Q4817" s="22" t="str">
        <f>VLOOKUP(B4817,辅助信息!E:M,9,FALSE)</f>
        <v>ZTWM-CDGS-XS-2025-0073-五冶天府-成都怡心湖片区及龙泉驿医院等项目</v>
      </c>
      <c r="R4817" s="22" t="str">
        <f>_xlfn._xlws.FILTER(辅助信息!D:D,辅助信息!E:E=B4817)</f>
        <v>五冶建设龙泉驿一医院配套建设工程</v>
      </c>
    </row>
    <row r="4818" hidden="1" spans="2:18">
      <c r="B4818" s="129" t="s">
        <v>215</v>
      </c>
      <c r="C4818" s="63">
        <v>45952</v>
      </c>
      <c r="D4818" s="113" t="str">
        <f>VLOOKUP(B4818,辅助信息!E:K,7,FALSE)</f>
        <v>JWDDCD2025102100486</v>
      </c>
      <c r="E4818" s="113" t="str">
        <f>VLOOKUP(F4818,辅助信息!A:B,2,FALSE)</f>
        <v>盘螺</v>
      </c>
      <c r="F4818" s="113" t="s">
        <v>26</v>
      </c>
      <c r="G4818" s="114">
        <v>30</v>
      </c>
      <c r="H4818" s="127">
        <v>30</v>
      </c>
      <c r="I4818" s="149" t="str">
        <f>VLOOKUP(B4818,辅助信息!E:I,3,FALSE)</f>
        <v>(五冶建设龙泉驿一医院配套建设工程)成都市龙泉驿区董朗路69号龙泉驿一医院5号门</v>
      </c>
      <c r="J4818" s="113" t="str">
        <f>VLOOKUP(B4818,辅助信息!E:I,4,FALSE)</f>
        <v>孙敏</v>
      </c>
      <c r="K4818" s="113">
        <f>VLOOKUP(J4818,辅助信息!H:I,2,FALSE)</f>
        <v>13617695006</v>
      </c>
      <c r="L4818" s="115" t="str">
        <f>VLOOKUP(B4818,辅助信息!E:J,6,FALSE)</f>
        <v>联系实际收货人（孙敏13617695006）五冶建设送货单,6份材质书,锈货不收，装货前联系收货人核实到场规格,没提前告知进场规格现场不给予接收</v>
      </c>
      <c r="M4818" s="84">
        <v>45946</v>
      </c>
      <c r="O4818" s="55">
        <f ca="1" t="shared" si="232"/>
        <v>0</v>
      </c>
      <c r="P4818" s="55">
        <f ca="1" t="shared" si="233"/>
        <v>11</v>
      </c>
      <c r="Q4818" s="22" t="str">
        <f>VLOOKUP(B4818,辅助信息!E:M,9,FALSE)</f>
        <v>ZTWM-CDGS-XS-2025-0073-五冶天府-成都怡心湖片区及龙泉驿医院等项目</v>
      </c>
      <c r="R4818" s="22" t="str">
        <f>_xlfn._xlws.FILTER(辅助信息!D:D,辅助信息!E:E=B4818)</f>
        <v>五冶建设龙泉驿一医院配套建设工程</v>
      </c>
    </row>
    <row r="4819" hidden="1" spans="2:18">
      <c r="B4819" s="129" t="s">
        <v>231</v>
      </c>
      <c r="C4819" s="63">
        <v>45952</v>
      </c>
      <c r="D4819" s="113" t="str">
        <f>VLOOKUP(B4819,辅助信息!E:K,7,FALSE)</f>
        <v>JWDDCD2025102100481</v>
      </c>
      <c r="E4819" s="113" t="str">
        <f>VLOOKUP(F4819,辅助信息!A:B,2,FALSE)</f>
        <v>盘螺</v>
      </c>
      <c r="F4819" s="113" t="s">
        <v>41</v>
      </c>
      <c r="G4819" s="114">
        <v>22</v>
      </c>
      <c r="H4819" s="127">
        <v>22</v>
      </c>
      <c r="I4819" s="149" t="str">
        <f>VLOOKUP(B4819,辅助信息!E:I,3,FALSE)</f>
        <v>(五冶建设成都盐道街中学初中部改扩建工程-一标)四川省成都市锦江区春熙路街道盐道街4号（盐道街中学初中部）</v>
      </c>
      <c r="J4819" s="113" t="str">
        <f>VLOOKUP(B4819,辅助信息!E:I,4,FALSE)</f>
        <v>谢鑫</v>
      </c>
      <c r="K4819" s="113">
        <f>VLOOKUP(J4819,辅助信息!H:I,2,FALSE)</f>
        <v>18228465067</v>
      </c>
      <c r="L4819" s="115" t="str">
        <f>VLOOKUP(B4819,辅助信息!E:J,6,FALSE)</f>
        <v>联系实际收货人（易前刚18228465067）五冶建设送货单,6份材质书,锈货不收，装货前联系收货人核实到场规格,没提前告知进场规格现场不给予接收</v>
      </c>
      <c r="M4819" s="84">
        <v>45950</v>
      </c>
      <c r="O4819" s="55">
        <f ca="1" t="shared" si="232"/>
        <v>0</v>
      </c>
      <c r="P4819" s="55">
        <f ca="1" t="shared" si="233"/>
        <v>7</v>
      </c>
      <c r="Q4819" s="22" t="str">
        <f>VLOOKUP(B4819,辅助信息!E:M,9,FALSE)</f>
        <v>ZTWM-CDGS-XS-2025-0073-五冶天府-成都怡心湖片区及龙泉驿医院等项目</v>
      </c>
      <c r="R4819" s="22" t="str">
        <f>_xlfn._xlws.FILTER(辅助信息!D:D,辅助信息!E:E=B4819)</f>
        <v>五冶建设成都盐道街中学初中部改扩建工程-一标</v>
      </c>
    </row>
    <row r="4820" hidden="1" spans="2:18">
      <c r="B4820" s="129" t="s">
        <v>231</v>
      </c>
      <c r="C4820" s="63">
        <v>45952</v>
      </c>
      <c r="D4820" s="113" t="str">
        <f>VLOOKUP(B4820,辅助信息!E:K,7,FALSE)</f>
        <v>JWDDCD2025102100481</v>
      </c>
      <c r="E4820" s="113" t="str">
        <f>VLOOKUP(F4820,辅助信息!A:B,2,FALSE)</f>
        <v>盘螺</v>
      </c>
      <c r="F4820" s="113" t="s">
        <v>26</v>
      </c>
      <c r="G4820" s="114">
        <v>10</v>
      </c>
      <c r="H4820" s="127">
        <v>10</v>
      </c>
      <c r="I4820" s="149" t="str">
        <f>VLOOKUP(B4820,辅助信息!E:I,3,FALSE)</f>
        <v>(五冶建设成都盐道街中学初中部改扩建工程-一标)四川省成都市锦江区春熙路街道盐道街4号（盐道街中学初中部）</v>
      </c>
      <c r="J4820" s="113" t="str">
        <f>VLOOKUP(B4820,辅助信息!E:I,4,FALSE)</f>
        <v>谢鑫</v>
      </c>
      <c r="K4820" s="113">
        <f>VLOOKUP(J4820,辅助信息!H:I,2,FALSE)</f>
        <v>18228465067</v>
      </c>
      <c r="L4820" s="115" t="str">
        <f>VLOOKUP(B4820,辅助信息!E:J,6,FALSE)</f>
        <v>联系实际收货人（易前刚18228465067）五冶建设送货单,6份材质书,锈货不收，装货前联系收货人核实到场规格,没提前告知进场规格现场不给予接收</v>
      </c>
      <c r="M4820" s="84">
        <v>45950</v>
      </c>
      <c r="O4820" s="55">
        <f ca="1" t="shared" si="232"/>
        <v>0</v>
      </c>
      <c r="P4820" s="55">
        <f ca="1" t="shared" si="233"/>
        <v>7</v>
      </c>
      <c r="Q4820" s="22" t="str">
        <f>VLOOKUP(B4820,辅助信息!E:M,9,FALSE)</f>
        <v>ZTWM-CDGS-XS-2025-0073-五冶天府-成都怡心湖片区及龙泉驿医院等项目</v>
      </c>
      <c r="R4820" s="22" t="str">
        <f>_xlfn._xlws.FILTER(辅助信息!D:D,辅助信息!E:E=B4820)</f>
        <v>五冶建设成都盐道街中学初中部改扩建工程-一标</v>
      </c>
    </row>
    <row r="4821" hidden="1" spans="2:18">
      <c r="B4821" s="129" t="s">
        <v>231</v>
      </c>
      <c r="C4821" s="63">
        <v>45952</v>
      </c>
      <c r="D4821" s="113" t="str">
        <f>VLOOKUP(B4821,辅助信息!E:K,7,FALSE)</f>
        <v>JWDDCD2025102100481</v>
      </c>
      <c r="E4821" s="113" t="str">
        <f>VLOOKUP(F4821,辅助信息!A:B,2,FALSE)</f>
        <v>螺纹钢</v>
      </c>
      <c r="F4821" s="113" t="s">
        <v>32</v>
      </c>
      <c r="G4821" s="114">
        <v>2.5</v>
      </c>
      <c r="H4821" s="127">
        <v>2.5</v>
      </c>
      <c r="I4821" s="149" t="str">
        <f>VLOOKUP(B4821,辅助信息!E:I,3,FALSE)</f>
        <v>(五冶建设成都盐道街中学初中部改扩建工程-一标)四川省成都市锦江区春熙路街道盐道街4号（盐道街中学初中部）</v>
      </c>
      <c r="J4821" s="113" t="str">
        <f>VLOOKUP(B4821,辅助信息!E:I,4,FALSE)</f>
        <v>谢鑫</v>
      </c>
      <c r="K4821" s="113">
        <f>VLOOKUP(J4821,辅助信息!H:I,2,FALSE)</f>
        <v>18228465067</v>
      </c>
      <c r="L4821" s="115" t="str">
        <f>VLOOKUP(B4821,辅助信息!E:J,6,FALSE)</f>
        <v>联系实际收货人（易前刚18228465067）五冶建设送货单,6份材质书,锈货不收，装货前联系收货人核实到场规格,没提前告知进场规格现场不给予接收</v>
      </c>
      <c r="M4821" s="84">
        <v>45950</v>
      </c>
      <c r="O4821" s="55">
        <f ca="1" t="shared" si="232"/>
        <v>0</v>
      </c>
      <c r="P4821" s="55">
        <f ca="1" t="shared" si="233"/>
        <v>7</v>
      </c>
      <c r="Q4821" s="22" t="str">
        <f>VLOOKUP(B4821,辅助信息!E:M,9,FALSE)</f>
        <v>ZTWM-CDGS-XS-2025-0073-五冶天府-成都怡心湖片区及龙泉驿医院等项目</v>
      </c>
      <c r="R4821" s="22" t="str">
        <f>_xlfn._xlws.FILTER(辅助信息!D:D,辅助信息!E:E=B4821)</f>
        <v>五冶建设成都盐道街中学初中部改扩建工程-一标</v>
      </c>
    </row>
    <row r="4822" hidden="1" spans="2:18">
      <c r="B4822" s="129" t="s">
        <v>194</v>
      </c>
      <c r="C4822" s="63">
        <v>45951</v>
      </c>
      <c r="D4822" s="113" t="str">
        <f>VLOOKUP(B4822,辅助信息!E:K,7,FALSE)</f>
        <v>JWDD2025071500089</v>
      </c>
      <c r="E4822" s="113" t="str">
        <f>VLOOKUP(F4822,辅助信息!A:B,2,FALSE)</f>
        <v>螺纹钢</v>
      </c>
      <c r="F4822" s="113" t="s">
        <v>27</v>
      </c>
      <c r="G4822" s="114">
        <v>10</v>
      </c>
      <c r="H4822" s="127">
        <f>IF(SUMIFS('[1]2025年已发货'!$E:$E,'[1]2025年已发货'!$F:$F,C4826,'[1]2025年已发货'!$C:$C,F4822,'[1]2025年已发货'!$G:$G,I4822,'[1]2025年已发货'!$H:$H,J4822)=0,"未发货",SUMIFS('[1]2025年已发货'!$E:$E,'[1]2025年已发货'!$F:$F,C4826,'[1]2025年已发货'!$C:$C,F4822,'[1]2025年已发货'!$G:$G,I4822,'[1]2025年已发货'!$H:$H,J4822))</f>
        <v>10</v>
      </c>
      <c r="I4822" s="113" t="str">
        <f>VLOOKUP(B4822,辅助信息!E:I,3,FALSE)</f>
        <v>(宜宾兴港三江新区长江工业园保障性租赁住房建设项目-土建)四川省宜宾市翠屏区永善路南段宜宾市三江新区长江工业园区</v>
      </c>
      <c r="J4822" s="113" t="str">
        <f>VLOOKUP(B4822,辅助信息!E:I,4,FALSE)</f>
        <v>赵元虎</v>
      </c>
      <c r="K4822" s="113">
        <f>VLOOKUP(J4822,辅助信息!H:I,2,FALSE)</f>
        <v>13684167136</v>
      </c>
      <c r="L4822" s="115" t="str">
        <f>VLOOKUP(B4822,辅助信息!E:J,6,FALSE)</f>
        <v>现场要求调度统一联系指定收货人，不单独发司机位置。锈货不收，装货前联系收货人核实到场规格,没提前告知进场规格现场不给予接收</v>
      </c>
      <c r="M4822" s="84">
        <v>45950</v>
      </c>
      <c r="O4822" s="55">
        <f ca="1" t="shared" si="232"/>
        <v>0</v>
      </c>
      <c r="P4822" s="55">
        <f ca="1" t="shared" si="233"/>
        <v>7</v>
      </c>
      <c r="Q4822" s="22" t="str">
        <f>VLOOKUP(B4822,辅助信息!E:M,9,FALSE)</f>
        <v>ZTWM-CDYXGS-XS-2025-0014-宜宾兴港建材-三江新区长江工业园片区保障性租赁住房建设项目</v>
      </c>
      <c r="R4822" s="22" t="str">
        <f>_xlfn._xlws.FILTER(辅助信息!D:D,辅助信息!E:E=B4822)</f>
        <v>宜宾兴港三江新区长江工业园建设项目</v>
      </c>
    </row>
    <row r="4823" hidden="1" spans="2:18">
      <c r="B4823" s="129" t="s">
        <v>194</v>
      </c>
      <c r="C4823" s="63">
        <v>45951</v>
      </c>
      <c r="D4823" s="113" t="str">
        <f>VLOOKUP(B4823,辅助信息!E:K,7,FALSE)</f>
        <v>JWDD2025071500089</v>
      </c>
      <c r="E4823" s="113" t="str">
        <f>VLOOKUP(F4823,辅助信息!A:B,2,FALSE)</f>
        <v>螺纹钢</v>
      </c>
      <c r="F4823" s="113" t="s">
        <v>30</v>
      </c>
      <c r="G4823" s="114">
        <v>25</v>
      </c>
      <c r="H4823" s="127"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13" t="str">
        <f>VLOOKUP(B4823,辅助信息!E:I,3,FALSE)</f>
        <v>(宜宾兴港三江新区长江工业园保障性租赁住房建设项目-土建)四川省宜宾市翠屏区永善路南段宜宾市三江新区长江工业园区</v>
      </c>
      <c r="J4823" s="113" t="str">
        <f>VLOOKUP(B4823,辅助信息!E:I,4,FALSE)</f>
        <v>赵元虎</v>
      </c>
      <c r="K4823" s="113">
        <f>VLOOKUP(J4823,辅助信息!H:I,2,FALSE)</f>
        <v>13684167136</v>
      </c>
      <c r="L4823" s="115" t="str">
        <f>VLOOKUP(B4823,辅助信息!E:J,6,FALSE)</f>
        <v>现场要求调度统一联系指定收货人，不单独发司机位置。锈货不收，装货前联系收货人核实到场规格,没提前告知进场规格现场不给予接收</v>
      </c>
      <c r="M4823" s="84">
        <v>45950</v>
      </c>
      <c r="O4823" s="55">
        <f ca="1" t="shared" si="232"/>
        <v>0</v>
      </c>
      <c r="P4823" s="55">
        <f ca="1" t="shared" si="233"/>
        <v>7</v>
      </c>
      <c r="Q4823" s="22" t="str">
        <f>VLOOKUP(B4823,辅助信息!E:M,9,FALSE)</f>
        <v>ZTWM-CDYXGS-XS-2025-0014-宜宾兴港建材-三江新区长江工业园片区保障性租赁住房建设项目</v>
      </c>
      <c r="R4823" s="22" t="str">
        <f>_xlfn._xlws.FILTER(辅助信息!D:D,辅助信息!E:E=B4823)</f>
        <v>宜宾兴港三江新区长江工业园建设项目</v>
      </c>
    </row>
    <row r="4824" hidden="1" spans="2:18">
      <c r="B4824" s="129" t="s">
        <v>187</v>
      </c>
      <c r="C4824" s="63">
        <v>45951</v>
      </c>
      <c r="D4824" s="113" t="str">
        <f>VLOOKUP(B4824,辅助信息!E:K,7,FALSE)</f>
        <v>JWDDCD2025072900121</v>
      </c>
      <c r="E4824" s="113" t="str">
        <f>VLOOKUP(F4824,辅助信息!A:B,2,FALSE)</f>
        <v>螺纹钢</v>
      </c>
      <c r="F4824" s="113" t="s">
        <v>82</v>
      </c>
      <c r="G4824" s="114">
        <v>10</v>
      </c>
      <c r="H4824" s="127"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13" t="str">
        <f>VLOOKUP(B4824,辅助信息!E:I,3,FALSE)</f>
        <v>(乐山市校地共建产教融合基地建设项目一标段)四川省乐山市市中区苏稽镇周山嘴</v>
      </c>
      <c r="J4824" s="113" t="str">
        <f>VLOOKUP(B4824,辅助信息!E:I,4,FALSE)</f>
        <v>范增云</v>
      </c>
      <c r="K4824" s="113">
        <f>VLOOKUP(J4824,辅助信息!H:I,2,FALSE)</f>
        <v>13668153241</v>
      </c>
      <c r="L4824" s="115" t="str">
        <f>VLOOKUP(B4824,辅助信息!E:J,6,FALSE)</f>
        <v>联系实际收货人（范增云13668153241）现场要求炉批号控制2个以下，超2个不给予签收。提前联系到场规格及数量</v>
      </c>
      <c r="M4824" s="84">
        <v>45950</v>
      </c>
      <c r="O4824" s="55">
        <f ca="1" t="shared" si="232"/>
        <v>0</v>
      </c>
      <c r="P4824" s="55">
        <f ca="1" t="shared" si="233"/>
        <v>7</v>
      </c>
      <c r="Q4824" s="22" t="str">
        <f>VLOOKUP(B4824,辅助信息!E:M,9,FALSE)</f>
        <v>ZTWM-CDGS-XS-2025-0125-四川机司-乐山市校地共建产教融合基地配套设施项目施工一标段钢筋采购合同</v>
      </c>
      <c r="R4824" s="22" t="str">
        <f>_xlfn._xlws.FILTER(辅助信息!D:D,辅助信息!E:E=B4824)</f>
        <v>乐山市校地共建产教融合基地建设项目一标段</v>
      </c>
    </row>
    <row r="4825" hidden="1" spans="2:18">
      <c r="B4825" s="129" t="s">
        <v>187</v>
      </c>
      <c r="C4825" s="63">
        <v>45951</v>
      </c>
      <c r="D4825" s="113" t="str">
        <f>VLOOKUP(B4825,辅助信息!E:K,7,FALSE)</f>
        <v>JWDDCD2025072900121</v>
      </c>
      <c r="E4825" s="113" t="str">
        <f>VLOOKUP(F4825,辅助信息!A:B,2,FALSE)</f>
        <v>螺纹钢</v>
      </c>
      <c r="F4825" s="113" t="s">
        <v>22</v>
      </c>
      <c r="G4825" s="114">
        <v>15</v>
      </c>
      <c r="H4825" s="127"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13" t="str">
        <f>VLOOKUP(B4825,辅助信息!E:I,3,FALSE)</f>
        <v>(乐山市校地共建产教融合基地建设项目一标段)四川省乐山市市中区苏稽镇周山嘴</v>
      </c>
      <c r="J4825" s="113" t="str">
        <f>VLOOKUP(B4825,辅助信息!E:I,4,FALSE)</f>
        <v>范增云</v>
      </c>
      <c r="K4825" s="113">
        <f>VLOOKUP(J4825,辅助信息!H:I,2,FALSE)</f>
        <v>13668153241</v>
      </c>
      <c r="L4825" s="115" t="str">
        <f>VLOOKUP(B4825,辅助信息!E:J,6,FALSE)</f>
        <v>联系实际收货人（范增云13668153241）现场要求炉批号控制2个以下，超2个不给予签收。提前联系到场规格及数量</v>
      </c>
      <c r="M4825" s="84">
        <v>45950</v>
      </c>
      <c r="O4825" s="55">
        <f ca="1" t="shared" si="232"/>
        <v>0</v>
      </c>
      <c r="P4825" s="55">
        <f ca="1" t="shared" si="233"/>
        <v>7</v>
      </c>
      <c r="Q4825" s="22" t="str">
        <f>VLOOKUP(B4825,辅助信息!E:M,9,FALSE)</f>
        <v>ZTWM-CDGS-XS-2025-0125-四川机司-乐山市校地共建产教融合基地配套设施项目施工一标段钢筋采购合同</v>
      </c>
      <c r="R4825" s="22" t="str">
        <f>_xlfn._xlws.FILTER(辅助信息!D:D,辅助信息!E:E=B4825)</f>
        <v>乐山市校地共建产教融合基地建设项目一标段</v>
      </c>
    </row>
    <row r="4826" hidden="1" spans="2:18">
      <c r="B4826" s="129" t="s">
        <v>187</v>
      </c>
      <c r="C4826" s="63">
        <v>45951</v>
      </c>
      <c r="D4826" s="113" t="str">
        <f>VLOOKUP(B4826,辅助信息!E:K,7,FALSE)</f>
        <v>JWDDCD2025072900121</v>
      </c>
      <c r="E4826" s="113" t="str">
        <f>VLOOKUP(F4826,辅助信息!A:B,2,FALSE)</f>
        <v>螺纹钢</v>
      </c>
      <c r="F4826" s="113" t="s">
        <v>142</v>
      </c>
      <c r="G4826" s="114">
        <v>10</v>
      </c>
      <c r="H4826" s="127"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13" t="str">
        <f>VLOOKUP(B4826,辅助信息!E:I,3,FALSE)</f>
        <v>(乐山市校地共建产教融合基地建设项目一标段)四川省乐山市市中区苏稽镇周山嘴</v>
      </c>
      <c r="J4826" s="113" t="str">
        <f>VLOOKUP(B4826,辅助信息!E:I,4,FALSE)</f>
        <v>范增云</v>
      </c>
      <c r="K4826" s="113">
        <f>VLOOKUP(J4826,辅助信息!H:I,2,FALSE)</f>
        <v>13668153241</v>
      </c>
      <c r="L4826" s="115" t="str">
        <f>VLOOKUP(B4826,辅助信息!E:J,6,FALSE)</f>
        <v>联系实际收货人（范增云13668153241）现场要求炉批号控制2个以下，超2个不给予签收。提前联系到场规格及数量</v>
      </c>
      <c r="M4826" s="84">
        <v>45950</v>
      </c>
      <c r="O4826" s="55">
        <f ca="1" t="shared" si="232"/>
        <v>0</v>
      </c>
      <c r="P4826" s="55">
        <f ca="1" t="shared" si="233"/>
        <v>7</v>
      </c>
      <c r="Q4826" s="22" t="str">
        <f>VLOOKUP(B4826,辅助信息!E:M,9,FALSE)</f>
        <v>ZTWM-CDGS-XS-2025-0125-四川机司-乐山市校地共建产教融合基地配套设施项目施工一标段钢筋采购合同</v>
      </c>
      <c r="R4826" s="22" t="str">
        <f>_xlfn._xlws.FILTER(辅助信息!D:D,辅助信息!E:E=B4826)</f>
        <v>乐山市校地共建产教融合基地建设项目一标段</v>
      </c>
    </row>
    <row r="4827" hidden="1" spans="2:18">
      <c r="B4827" s="129" t="s">
        <v>167</v>
      </c>
      <c r="C4827" s="63">
        <v>45952</v>
      </c>
      <c r="D4827" s="113" t="str">
        <f>VLOOKUP(B4827,辅助信息!E:K,7,FALSE)</f>
        <v>JWDDCD2025102100473</v>
      </c>
      <c r="E4827" s="113" t="str">
        <f>VLOOKUP(F4827,辅助信息!A:B,2,FALSE)</f>
        <v>螺纹钢</v>
      </c>
      <c r="F4827" s="113" t="s">
        <v>19</v>
      </c>
      <c r="G4827" s="114">
        <v>6</v>
      </c>
      <c r="H4827" s="127">
        <f>IF(SUMIFS('[1]2025年已发货'!$E:$E,'[1]2025年已发货'!$F:$F,C4831,'[1]2025年已发货'!$C:$C,F4827,'[1]2025年已发货'!$G:$G,I4827,'[1]2025年已发货'!$H:$H,J4827)=0,"未发货",SUMIFS('[1]2025年已发货'!$E:$E,'[1]2025年已发货'!$F:$F,C4831,'[1]2025年已发货'!$C:$C,F4827,'[1]2025年已发货'!$G:$G,I4827,'[1]2025年已发货'!$H:$H,J4827))</f>
        <v>6</v>
      </c>
      <c r="I4827" s="149" t="str">
        <f>VLOOKUP(B4827,辅助信息!E:I,3,FALSE)</f>
        <v>(五冶建设扩建艺体中学二期工程)四川省成都市双流区光荣路成都艺体中学南200米</v>
      </c>
      <c r="J4827" s="113" t="str">
        <f>VLOOKUP(B4827,辅助信息!E:I,4,FALSE)</f>
        <v>谢序强</v>
      </c>
      <c r="K4827" s="113">
        <f>VLOOKUP(J4827,辅助信息!H:I,2,FALSE)</f>
        <v>13458588232</v>
      </c>
      <c r="L4827" s="115"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84">
        <v>45950</v>
      </c>
      <c r="O4827" s="55">
        <f ca="1" t="shared" si="232"/>
        <v>0</v>
      </c>
      <c r="P4827" s="55">
        <f ca="1" t="shared" si="233"/>
        <v>7</v>
      </c>
      <c r="Q4827" s="22" t="str">
        <f>VLOOKUP(B4827,辅助信息!E:M,9,FALSE)</f>
        <v>ZTWM-CDGS-XS-2025-0073-五冶天府-成都怡心湖片区及龙泉驿医院等项目</v>
      </c>
      <c r="R4827" s="22" t="str">
        <f>_xlfn._xlws.FILTER(辅助信息!D:D,辅助信息!E:E=B4827)</f>
        <v>五冶建设扩建艺体中学二期工程</v>
      </c>
    </row>
    <row r="4828" hidden="1" spans="2:18">
      <c r="B4828" s="129" t="s">
        <v>167</v>
      </c>
      <c r="C4828" s="63">
        <v>45952</v>
      </c>
      <c r="D4828" s="113" t="str">
        <f>VLOOKUP(B4828,辅助信息!E:K,7,FALSE)</f>
        <v>JWDDCD2025102100473</v>
      </c>
      <c r="E4828" s="113" t="str">
        <f>VLOOKUP(F4828,辅助信息!A:B,2,FALSE)</f>
        <v>螺纹钢</v>
      </c>
      <c r="F4828" s="113" t="s">
        <v>66</v>
      </c>
      <c r="G4828" s="114">
        <v>6</v>
      </c>
      <c r="H4828" s="127">
        <f>IF(SUMIFS('[1]2025年已发货'!$E:$E,'[1]2025年已发货'!$F:$F,C4832,'[1]2025年已发货'!$C:$C,F4828,'[1]2025年已发货'!$G:$G,I4828,'[1]2025年已发货'!$H:$H,J4828)=0,"未发货",SUMIFS('[1]2025年已发货'!$E:$E,'[1]2025年已发货'!$F:$F,C4832,'[1]2025年已发货'!$C:$C,F4828,'[1]2025年已发货'!$G:$G,I4828,'[1]2025年已发货'!$H:$H,J4828))</f>
        <v>6</v>
      </c>
      <c r="I4828" s="149" t="str">
        <f>VLOOKUP(B4828,辅助信息!E:I,3,FALSE)</f>
        <v>(五冶建设扩建艺体中学二期工程)四川省成都市双流区光荣路成都艺体中学南200米</v>
      </c>
      <c r="J4828" s="113" t="str">
        <f>VLOOKUP(B4828,辅助信息!E:I,4,FALSE)</f>
        <v>谢序强</v>
      </c>
      <c r="K4828" s="113">
        <f>VLOOKUP(J4828,辅助信息!H:I,2,FALSE)</f>
        <v>13458588232</v>
      </c>
      <c r="L4828" s="115"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84">
        <v>45950</v>
      </c>
      <c r="O4828" s="55">
        <f ca="1" t="shared" si="232"/>
        <v>0</v>
      </c>
      <c r="P4828" s="55">
        <f ca="1" t="shared" si="233"/>
        <v>7</v>
      </c>
      <c r="Q4828" s="22" t="str">
        <f>VLOOKUP(B4828,辅助信息!E:M,9,FALSE)</f>
        <v>ZTWM-CDGS-XS-2025-0073-五冶天府-成都怡心湖片区及龙泉驿医院等项目</v>
      </c>
      <c r="R4828" s="22" t="str">
        <f>_xlfn._xlws.FILTER(辅助信息!D:D,辅助信息!E:E=B4828)</f>
        <v>五冶建设扩建艺体中学二期工程</v>
      </c>
    </row>
    <row r="4829" hidden="1" spans="2:18">
      <c r="B4829" s="129" t="s">
        <v>167</v>
      </c>
      <c r="C4829" s="63">
        <v>45952</v>
      </c>
      <c r="D4829" s="113" t="str">
        <f>VLOOKUP(B4829,辅助信息!E:K,7,FALSE)</f>
        <v>JWDDCD2025102100473</v>
      </c>
      <c r="E4829" s="113" t="str">
        <f>VLOOKUP(F4829,辅助信息!A:B,2,FALSE)</f>
        <v>螺纹钢</v>
      </c>
      <c r="F4829" s="113" t="s">
        <v>82</v>
      </c>
      <c r="G4829" s="114">
        <v>8</v>
      </c>
      <c r="H4829" s="127">
        <f>IF(SUMIFS('[1]2025年已发货'!$E:$E,'[1]2025年已发货'!$F:$F,C4833,'[1]2025年已发货'!$C:$C,F4829,'[1]2025年已发货'!$G:$G,I4829,'[1]2025年已发货'!$H:$H,J4829)=0,"未发货",SUMIFS('[1]2025年已发货'!$E:$E,'[1]2025年已发货'!$F:$F,C4833,'[1]2025年已发货'!$C:$C,F4829,'[1]2025年已发货'!$G:$G,I4829,'[1]2025年已发货'!$H:$H,J4829))</f>
        <v>8</v>
      </c>
      <c r="I4829" s="149" t="str">
        <f>VLOOKUP(B4829,辅助信息!E:I,3,FALSE)</f>
        <v>(五冶建设扩建艺体中学二期工程)四川省成都市双流区光荣路成都艺体中学南200米</v>
      </c>
      <c r="J4829" s="113" t="str">
        <f>VLOOKUP(B4829,辅助信息!E:I,4,FALSE)</f>
        <v>谢序强</v>
      </c>
      <c r="K4829" s="113">
        <f>VLOOKUP(J4829,辅助信息!H:I,2,FALSE)</f>
        <v>13458588232</v>
      </c>
      <c r="L4829" s="115"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84">
        <v>45950</v>
      </c>
      <c r="O4829" s="55">
        <f ca="1" t="shared" si="232"/>
        <v>0</v>
      </c>
      <c r="P4829" s="55">
        <f ca="1" t="shared" si="233"/>
        <v>7</v>
      </c>
      <c r="Q4829" s="22" t="str">
        <f>VLOOKUP(B4829,辅助信息!E:M,9,FALSE)</f>
        <v>ZTWM-CDGS-XS-2025-0073-五冶天府-成都怡心湖片区及龙泉驿医院等项目</v>
      </c>
      <c r="R4829" s="22" t="str">
        <f>_xlfn._xlws.FILTER(辅助信息!D:D,辅助信息!E:E=B4829)</f>
        <v>五冶建设扩建艺体中学二期工程</v>
      </c>
    </row>
    <row r="4830" hidden="1" spans="2:18">
      <c r="B4830" s="129" t="s">
        <v>167</v>
      </c>
      <c r="C4830" s="63">
        <v>45952</v>
      </c>
      <c r="D4830" s="113" t="str">
        <f>VLOOKUP(B4830,辅助信息!E:K,7,FALSE)</f>
        <v>JWDDCD2025102100473</v>
      </c>
      <c r="E4830" s="113" t="str">
        <f>VLOOKUP(F4830,辅助信息!A:B,2,FALSE)</f>
        <v>螺纹钢</v>
      </c>
      <c r="F4830" s="113" t="s">
        <v>45</v>
      </c>
      <c r="G4830" s="114">
        <v>8</v>
      </c>
      <c r="H4830" s="127">
        <f>IF(SUMIFS('[1]2025年已发货'!$E:$E,'[1]2025年已发货'!$F:$F,C4834,'[1]2025年已发货'!$C:$C,F4830,'[1]2025年已发货'!$G:$G,I4830,'[1]2025年已发货'!$H:$H,J4830)=0,"未发货",SUMIFS('[1]2025年已发货'!$E:$E,'[1]2025年已发货'!$F:$F,C4834,'[1]2025年已发货'!$C:$C,F4830,'[1]2025年已发货'!$G:$G,I4830,'[1]2025年已发货'!$H:$H,J4830))</f>
        <v>8</v>
      </c>
      <c r="I4830" s="149" t="str">
        <f>VLOOKUP(B4830,辅助信息!E:I,3,FALSE)</f>
        <v>(五冶建设扩建艺体中学二期工程)四川省成都市双流区光荣路成都艺体中学南200米</v>
      </c>
      <c r="J4830" s="113" t="str">
        <f>VLOOKUP(B4830,辅助信息!E:I,4,FALSE)</f>
        <v>谢序强</v>
      </c>
      <c r="K4830" s="113">
        <f>VLOOKUP(J4830,辅助信息!H:I,2,FALSE)</f>
        <v>13458588232</v>
      </c>
      <c r="L4830" s="115"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84">
        <v>45950</v>
      </c>
      <c r="O4830" s="55">
        <f ca="1" t="shared" si="232"/>
        <v>0</v>
      </c>
      <c r="P4830" s="55">
        <f ca="1" t="shared" si="233"/>
        <v>7</v>
      </c>
      <c r="Q4830" s="22" t="str">
        <f>VLOOKUP(B4830,辅助信息!E:M,9,FALSE)</f>
        <v>ZTWM-CDGS-XS-2025-0073-五冶天府-成都怡心湖片区及龙泉驿医院等项目</v>
      </c>
      <c r="R4830" s="22" t="str">
        <f>_xlfn._xlws.FILTER(辅助信息!D:D,辅助信息!E:E=B4830)</f>
        <v>五冶建设扩建艺体中学二期工程</v>
      </c>
    </row>
    <row r="4831" hidden="1" spans="2:18">
      <c r="B4831" s="129" t="s">
        <v>167</v>
      </c>
      <c r="C4831" s="63">
        <v>45952</v>
      </c>
      <c r="D4831" s="113" t="str">
        <f>VLOOKUP(B4831,辅助信息!E:K,7,FALSE)</f>
        <v>JWDDCD2025102100473</v>
      </c>
      <c r="E4831" s="113" t="str">
        <f>VLOOKUP(F4831,辅助信息!A:B,2,FALSE)</f>
        <v>螺纹钢</v>
      </c>
      <c r="F4831" s="113" t="s">
        <v>21</v>
      </c>
      <c r="G4831" s="114">
        <v>3</v>
      </c>
      <c r="H4831" s="127">
        <f>IF(SUMIFS('[1]2025年已发货'!$E:$E,'[1]2025年已发货'!$F:$F,C4835,'[1]2025年已发货'!$C:$C,F4831,'[1]2025年已发货'!$G:$G,I4831,'[1]2025年已发货'!$H:$H,J4831)=0,"未发货",SUMIFS('[1]2025年已发货'!$E:$E,'[1]2025年已发货'!$F:$F,C4835,'[1]2025年已发货'!$C:$C,F4831,'[1]2025年已发货'!$G:$G,I4831,'[1]2025年已发货'!$H:$H,J4831))</f>
        <v>3</v>
      </c>
      <c r="I4831" s="149" t="str">
        <f>VLOOKUP(B4831,辅助信息!E:I,3,FALSE)</f>
        <v>(五冶建设扩建艺体中学二期工程)四川省成都市双流区光荣路成都艺体中学南200米</v>
      </c>
      <c r="J4831" s="113" t="str">
        <f>VLOOKUP(B4831,辅助信息!E:I,4,FALSE)</f>
        <v>谢序强</v>
      </c>
      <c r="K4831" s="113">
        <f>VLOOKUP(J4831,辅助信息!H:I,2,FALSE)</f>
        <v>13458588232</v>
      </c>
      <c r="L4831" s="115"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84">
        <v>45950</v>
      </c>
      <c r="O4831" s="55">
        <f ca="1" t="shared" si="232"/>
        <v>0</v>
      </c>
      <c r="P4831" s="55">
        <f ca="1" t="shared" si="233"/>
        <v>7</v>
      </c>
      <c r="Q4831" s="22" t="str">
        <f>VLOOKUP(B4831,辅助信息!E:M,9,FALSE)</f>
        <v>ZTWM-CDGS-XS-2025-0073-五冶天府-成都怡心湖片区及龙泉驿医院等项目</v>
      </c>
      <c r="R4831" s="22" t="str">
        <f>_xlfn._xlws.FILTER(辅助信息!D:D,辅助信息!E:E=B4831)</f>
        <v>五冶建设扩建艺体中学二期工程</v>
      </c>
    </row>
    <row r="4832" hidden="1" spans="2:18">
      <c r="B4832" s="129" t="s">
        <v>167</v>
      </c>
      <c r="C4832" s="63">
        <v>45952</v>
      </c>
      <c r="D4832" s="113" t="str">
        <f>VLOOKUP(B4832,辅助信息!E:K,7,FALSE)</f>
        <v>JWDDCD2025102100473</v>
      </c>
      <c r="E4832" s="113" t="str">
        <f>VLOOKUP(F4832,辅助信息!A:B,2,FALSE)</f>
        <v>螺纹钢</v>
      </c>
      <c r="F4832" s="113" t="s">
        <v>58</v>
      </c>
      <c r="G4832" s="114">
        <v>3</v>
      </c>
      <c r="H4832" s="127">
        <f>IF(SUMIFS('[1]2025年已发货'!$E:$E,'[1]2025年已发货'!$F:$F,C4836,'[1]2025年已发货'!$C:$C,F4832,'[1]2025年已发货'!$G:$G,I4832,'[1]2025年已发货'!$H:$H,J4832)=0,"未发货",SUMIFS('[1]2025年已发货'!$E:$E,'[1]2025年已发货'!$F:$F,C4836,'[1]2025年已发货'!$C:$C,F4832,'[1]2025年已发货'!$G:$G,I4832,'[1]2025年已发货'!$H:$H,J4832))</f>
        <v>3</v>
      </c>
      <c r="I4832" s="149" t="str">
        <f>VLOOKUP(B4832,辅助信息!E:I,3,FALSE)</f>
        <v>(五冶建设扩建艺体中学二期工程)四川省成都市双流区光荣路成都艺体中学南200米</v>
      </c>
      <c r="J4832" s="113" t="str">
        <f>VLOOKUP(B4832,辅助信息!E:I,4,FALSE)</f>
        <v>谢序强</v>
      </c>
      <c r="K4832" s="113">
        <f>VLOOKUP(J4832,辅助信息!H:I,2,FALSE)</f>
        <v>13458588232</v>
      </c>
      <c r="L4832" s="115"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84">
        <v>45950</v>
      </c>
      <c r="O4832" s="55">
        <f ca="1">IF(OR(M4832="",N4832&lt;&gt;""),"",MAX(M4832-TODAY(),0))</f>
        <v>0</v>
      </c>
      <c r="P4832" s="55">
        <f ca="1">IF(M4832="","",IF(N4832&lt;&gt;"",MAX(N4832-M4832,0),IF(TODAY()&gt;M4832,TODAY()-M4832,0)))</f>
        <v>7</v>
      </c>
      <c r="Q4832" s="22" t="str">
        <f>VLOOKUP(B4832,辅助信息!E:M,9,FALSE)</f>
        <v>ZTWM-CDGS-XS-2025-0073-五冶天府-成都怡心湖片区及龙泉驿医院等项目</v>
      </c>
      <c r="R4832" s="22" t="str">
        <f>_xlfn._xlws.FILTER(辅助信息!D:D,辅助信息!E:E=B4832)</f>
        <v>五冶建设扩建艺体中学二期工程</v>
      </c>
    </row>
    <row r="4833" hidden="1" spans="2:18">
      <c r="B4833" s="129" t="s">
        <v>167</v>
      </c>
      <c r="C4833" s="63">
        <v>45952</v>
      </c>
      <c r="D4833" s="113" t="str">
        <f>VLOOKUP(B4833,辅助信息!E:K,7,FALSE)</f>
        <v>JWDDCD2025102100473</v>
      </c>
      <c r="E4833" s="113" t="str">
        <f>VLOOKUP(F4833,辅助信息!A:B,2,FALSE)</f>
        <v>螺纹钢</v>
      </c>
      <c r="F4833" s="113" t="s">
        <v>46</v>
      </c>
      <c r="G4833" s="114">
        <v>11</v>
      </c>
      <c r="H4833" s="127">
        <f>IF(SUMIFS('[1]2025年已发货'!$E:$E,'[1]2025年已发货'!$F:$F,C4837,'[1]2025年已发货'!$C:$C,F4833,'[1]2025年已发货'!$G:$G,I4833,'[1]2025年已发货'!$H:$H,J4833)=0,"未发货",SUMIFS('[1]2025年已发货'!$E:$E,'[1]2025年已发货'!$F:$F,C4837,'[1]2025年已发货'!$C:$C,F4833,'[1]2025年已发货'!$G:$G,I4833,'[1]2025年已发货'!$H:$H,J4833))</f>
        <v>11</v>
      </c>
      <c r="I4833" s="149" t="str">
        <f>VLOOKUP(B4833,辅助信息!E:I,3,FALSE)</f>
        <v>(五冶建设扩建艺体中学二期工程)四川省成都市双流区光荣路成都艺体中学南200米</v>
      </c>
      <c r="J4833" s="113" t="str">
        <f>VLOOKUP(B4833,辅助信息!E:I,4,FALSE)</f>
        <v>谢序强</v>
      </c>
      <c r="K4833" s="113">
        <f>VLOOKUP(J4833,辅助信息!H:I,2,FALSE)</f>
        <v>13458588232</v>
      </c>
      <c r="L4833" s="115"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84">
        <v>45950</v>
      </c>
      <c r="O4833" s="55">
        <f ca="1">IF(OR(M4833="",N4833&lt;&gt;""),"",MAX(M4833-TODAY(),0))</f>
        <v>0</v>
      </c>
      <c r="P4833" s="55">
        <f ca="1">IF(M4833="","",IF(N4833&lt;&gt;"",MAX(N4833-M4833,0),IF(TODAY()&gt;M4833,TODAY()-M4833,0)))</f>
        <v>7</v>
      </c>
      <c r="Q4833" s="22" t="str">
        <f>VLOOKUP(B4833,辅助信息!E:M,9,FALSE)</f>
        <v>ZTWM-CDGS-XS-2025-0073-五冶天府-成都怡心湖片区及龙泉驿医院等项目</v>
      </c>
      <c r="R4833" s="22" t="str">
        <f>_xlfn._xlws.FILTER(辅助信息!D:D,辅助信息!E:E=B4833)</f>
        <v>五冶建设扩建艺体中学二期工程</v>
      </c>
    </row>
    <row r="4834" hidden="1" spans="2:18">
      <c r="B4834" s="129" t="s">
        <v>167</v>
      </c>
      <c r="C4834" s="63">
        <v>45952</v>
      </c>
      <c r="D4834" s="113" t="str">
        <f>VLOOKUP(B4834,辅助信息!E:K,7,FALSE)</f>
        <v>JWDDCD2025102100473</v>
      </c>
      <c r="E4834" s="113" t="str">
        <f>VLOOKUP(F4834,辅助信息!A:B,2,FALSE)</f>
        <v>螺纹钢</v>
      </c>
      <c r="F4834" s="113" t="s">
        <v>22</v>
      </c>
      <c r="G4834" s="114">
        <v>46</v>
      </c>
      <c r="H4834" s="127">
        <f>IF(SUMIFS('[1]2025年已发货'!$E:$E,'[1]2025年已发货'!$F:$F,C4838,'[1]2025年已发货'!$C:$C,F4834,'[1]2025年已发货'!$G:$G,I4834,'[1]2025年已发货'!$H:$H,J4834)=0,"未发货",SUMIFS('[1]2025年已发货'!$E:$E,'[1]2025年已发货'!$F:$F,C4838,'[1]2025年已发货'!$C:$C,F4834,'[1]2025年已发货'!$G:$G,I4834,'[1]2025年已发货'!$H:$H,J4834))</f>
        <v>46</v>
      </c>
      <c r="I4834" s="149" t="str">
        <f>VLOOKUP(B4834,辅助信息!E:I,3,FALSE)</f>
        <v>(五冶建设扩建艺体中学二期工程)四川省成都市双流区光荣路成都艺体中学南200米</v>
      </c>
      <c r="J4834" s="113" t="str">
        <f>VLOOKUP(B4834,辅助信息!E:I,4,FALSE)</f>
        <v>谢序强</v>
      </c>
      <c r="K4834" s="113">
        <f>VLOOKUP(J4834,辅助信息!H:I,2,FALSE)</f>
        <v>13458588232</v>
      </c>
      <c r="L4834" s="115"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84">
        <v>45950</v>
      </c>
      <c r="O4834" s="55">
        <f ca="1">IF(OR(M4834="",N4834&lt;&gt;""),"",MAX(M4834-TODAY(),0))</f>
        <v>0</v>
      </c>
      <c r="P4834" s="55">
        <f ca="1">IF(M4834="","",IF(N4834&lt;&gt;"",MAX(N4834-M4834,0),IF(TODAY()&gt;M4834,TODAY()-M4834,0)))</f>
        <v>7</v>
      </c>
      <c r="Q4834" s="22" t="str">
        <f>VLOOKUP(B4834,辅助信息!E:M,9,FALSE)</f>
        <v>ZTWM-CDGS-XS-2025-0073-五冶天府-成都怡心湖片区及龙泉驿医院等项目</v>
      </c>
      <c r="R4834" s="22" t="str">
        <f>_xlfn._xlws.FILTER(辅助信息!D:D,辅助信息!E:E=B4834)</f>
        <v>五冶建设扩建艺体中学二期工程</v>
      </c>
    </row>
    <row r="4835" hidden="1" spans="2:18">
      <c r="B4835" s="129" t="s">
        <v>167</v>
      </c>
      <c r="C4835" s="63">
        <v>45952</v>
      </c>
      <c r="D4835" s="113" t="str">
        <f>VLOOKUP(B4835,辅助信息!E:K,7,FALSE)</f>
        <v>JWDDCD2025102100473</v>
      </c>
      <c r="E4835" s="113" t="str">
        <f>VLOOKUP(F4835,辅助信息!A:B,2,FALSE)</f>
        <v>螺纹钢</v>
      </c>
      <c r="F4835" s="113" t="s">
        <v>181</v>
      </c>
      <c r="G4835" s="114">
        <v>8</v>
      </c>
      <c r="H4835" s="127">
        <f>IF(SUMIFS('[1]2025年已发货'!$E:$E,'[1]2025年已发货'!$F:$F,C4839,'[1]2025年已发货'!$C:$C,F4835,'[1]2025年已发货'!$G:$G,I4835,'[1]2025年已发货'!$H:$H,J4835)=0,"未发货",SUMIFS('[1]2025年已发货'!$E:$E,'[1]2025年已发货'!$F:$F,C4839,'[1]2025年已发货'!$C:$C,F4835,'[1]2025年已发货'!$G:$G,I4835,'[1]2025年已发货'!$H:$H,J4835))</f>
        <v>8</v>
      </c>
      <c r="I4835" s="149" t="str">
        <f>VLOOKUP(B4835,辅助信息!E:I,3,FALSE)</f>
        <v>(五冶建设扩建艺体中学二期工程)四川省成都市双流区光荣路成都艺体中学南200米</v>
      </c>
      <c r="J4835" s="113" t="str">
        <f>VLOOKUP(B4835,辅助信息!E:I,4,FALSE)</f>
        <v>谢序强</v>
      </c>
      <c r="K4835" s="113">
        <f>VLOOKUP(J4835,辅助信息!H:I,2,FALSE)</f>
        <v>13458588232</v>
      </c>
      <c r="L4835" s="115"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84">
        <v>45950</v>
      </c>
      <c r="O4835" s="55">
        <f ca="1">IF(OR(M4835="",N4835&lt;&gt;""),"",MAX(M4835-TODAY(),0))</f>
        <v>0</v>
      </c>
      <c r="P4835" s="55">
        <f ca="1">IF(M4835="","",IF(N4835&lt;&gt;"",MAX(N4835-M4835,0),IF(TODAY()&gt;M4835,TODAY()-M4835,0)))</f>
        <v>7</v>
      </c>
      <c r="Q4835" s="22" t="str">
        <f>VLOOKUP(B4835,辅助信息!E:M,9,FALSE)</f>
        <v>ZTWM-CDGS-XS-2025-0073-五冶天府-成都怡心湖片区及龙泉驿医院等项目</v>
      </c>
      <c r="R4835" s="22" t="str">
        <f>_xlfn._xlws.FILTER(辅助信息!D:D,辅助信息!E:E=B4835)</f>
        <v>五冶建设扩建艺体中学二期工程</v>
      </c>
    </row>
    <row r="4836" hidden="1" spans="2:18">
      <c r="B4836" s="129" t="s">
        <v>167</v>
      </c>
      <c r="C4836" s="63">
        <v>45952</v>
      </c>
      <c r="D4836" s="113" t="str">
        <f>VLOOKUP(B4836,辅助信息!E:K,7,FALSE)</f>
        <v>JWDDCD2025102100473</v>
      </c>
      <c r="E4836" s="113" t="str">
        <f>VLOOKUP(F4836,辅助信息!A:B,2,FALSE)</f>
        <v>螺纹钢</v>
      </c>
      <c r="F4836" s="113" t="s">
        <v>182</v>
      </c>
      <c r="G4836" s="114">
        <v>6</v>
      </c>
      <c r="H4836" s="127">
        <f>IF(SUMIFS('[1]2025年已发货'!$E:$E,'[1]2025年已发货'!$F:$F,C4840,'[1]2025年已发货'!$C:$C,F4836,'[1]2025年已发货'!$G:$G,I4836,'[1]2025年已发货'!$H:$H,J4836)=0,"未发货",SUMIFS('[1]2025年已发货'!$E:$E,'[1]2025年已发货'!$F:$F,C4840,'[1]2025年已发货'!$C:$C,F4836,'[1]2025年已发货'!$G:$G,I4836,'[1]2025年已发货'!$H:$H,J4836))</f>
        <v>6</v>
      </c>
      <c r="I4836" s="149" t="str">
        <f>VLOOKUP(B4836,辅助信息!E:I,3,FALSE)</f>
        <v>(五冶建设扩建艺体中学二期工程)四川省成都市双流区光荣路成都艺体中学南200米</v>
      </c>
      <c r="J4836" s="113" t="str">
        <f>VLOOKUP(B4836,辅助信息!E:I,4,FALSE)</f>
        <v>谢序强</v>
      </c>
      <c r="K4836" s="113">
        <f>VLOOKUP(J4836,辅助信息!H:I,2,FALSE)</f>
        <v>13458588232</v>
      </c>
      <c r="L4836" s="115"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84">
        <v>45950</v>
      </c>
      <c r="O4836" s="55">
        <f ca="1" t="shared" ref="O4832:O4899" si="234">IF(OR(M4836="",N4836&lt;&gt;""),"",MAX(M4836-TODAY(),0))</f>
        <v>0</v>
      </c>
      <c r="P4836" s="55">
        <f ca="1" t="shared" ref="P4832:P4899" si="235">IF(M4836="","",IF(N4836&lt;&gt;"",MAX(N4836-M4836,0),IF(TODAY()&gt;M4836,TODAY()-M4836,0)))</f>
        <v>7</v>
      </c>
      <c r="Q4836" s="22" t="str">
        <f>VLOOKUP(B4836,辅助信息!E:M,9,FALSE)</f>
        <v>ZTWM-CDGS-XS-2025-0073-五冶天府-成都怡心湖片区及龙泉驿医院等项目</v>
      </c>
      <c r="R4836" s="22" t="str">
        <f>_xlfn._xlws.FILTER(辅助信息!D:D,辅助信息!E:E=B4836)</f>
        <v>五冶建设扩建艺体中学二期工程</v>
      </c>
    </row>
    <row r="4837" hidden="1" spans="2:18">
      <c r="B4837" s="128" t="s">
        <v>229</v>
      </c>
      <c r="C4837" s="63">
        <v>45952</v>
      </c>
      <c r="D4837" s="33" t="str">
        <f>VLOOKUP(B4837,辅助信息!E:K,7,FALSE)</f>
        <v>JWDDCD2025092400212</v>
      </c>
      <c r="E4837" s="33" t="str">
        <f>VLOOKUP(F4837,辅助信息!A:B,2,FALSE)</f>
        <v>高线</v>
      </c>
      <c r="F4837" s="33" t="s">
        <v>57</v>
      </c>
      <c r="G4837" s="29">
        <v>2</v>
      </c>
      <c r="H4837" s="127"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2" t="str">
        <f>VLOOKUP(B4837,辅助信息!E:I,3,FALSE)</f>
        <v>(五冶钢构龙泉东洪片区85亩住宅、商业及配套工程项目三标段)成都市龙泉驿外东洪路地铁2号线惠王陵地铁C口</v>
      </c>
      <c r="J4837" s="33" t="str">
        <f>VLOOKUP(B4837,辅助信息!E:I,4,FALSE)</f>
        <v>王军宝</v>
      </c>
      <c r="K4837" s="33">
        <f>VLOOKUP(J4837,辅助信息!H:I,2,FALSE)</f>
        <v>13889142392</v>
      </c>
      <c r="L4837" s="102">
        <f>VLOOKUP(B4837,辅助信息!E:J,6,FALSE)</f>
        <v>0</v>
      </c>
      <c r="M4837" s="84">
        <v>45950</v>
      </c>
      <c r="O4837" s="55">
        <f ca="1" t="shared" si="234"/>
        <v>0</v>
      </c>
      <c r="P4837" s="55">
        <f ca="1" t="shared" si="235"/>
        <v>7</v>
      </c>
      <c r="Q4837" s="22" t="str">
        <f>VLOOKUP(B4837,辅助信息!E:M,9,FALSE)</f>
        <v>ZTWM-CDGS-XS-2025-0156-五冶钢构-2025年九月第一批次钢筋采购合同(三圣乡项目)-中铁物贸成都公司</v>
      </c>
      <c r="R4837" s="22" t="str">
        <f>_xlfn._xlws.FILTER(辅助信息!D:D,辅助信息!E:E=B4837)</f>
        <v>五冶钢构龙泉东洪片区85亩住宅、商业及配套工程项目三标段</v>
      </c>
    </row>
    <row r="4838" hidden="1" spans="2:18">
      <c r="B4838" s="128" t="s">
        <v>229</v>
      </c>
      <c r="C4838" s="63">
        <v>45952</v>
      </c>
      <c r="D4838" s="33" t="str">
        <f>VLOOKUP(B4838,辅助信息!E:K,7,FALSE)</f>
        <v>JWDDCD2025092400212</v>
      </c>
      <c r="E4838" s="33" t="str">
        <f>VLOOKUP(F4838,辅助信息!A:B,2,FALSE)</f>
        <v>高线</v>
      </c>
      <c r="F4838" s="33" t="s">
        <v>53</v>
      </c>
      <c r="G4838" s="29">
        <v>2</v>
      </c>
      <c r="H4838" s="127"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2" t="str">
        <f>VLOOKUP(B4838,辅助信息!E:I,3,FALSE)</f>
        <v>(五冶钢构龙泉东洪片区85亩住宅、商业及配套工程项目三标段)成都市龙泉驿外东洪路地铁2号线惠王陵地铁C口</v>
      </c>
      <c r="J4838" s="33" t="str">
        <f>VLOOKUP(B4838,辅助信息!E:I,4,FALSE)</f>
        <v>王军宝</v>
      </c>
      <c r="K4838" s="33">
        <f>VLOOKUP(J4838,辅助信息!H:I,2,FALSE)</f>
        <v>13889142392</v>
      </c>
      <c r="L4838" s="102">
        <f>VLOOKUP(B4838,辅助信息!E:J,6,FALSE)</f>
        <v>0</v>
      </c>
      <c r="M4838" s="84">
        <v>45950</v>
      </c>
      <c r="O4838" s="55">
        <f ca="1" t="shared" si="234"/>
        <v>0</v>
      </c>
      <c r="P4838" s="55">
        <f ca="1" t="shared" si="235"/>
        <v>7</v>
      </c>
      <c r="Q4838" s="22" t="str">
        <f>VLOOKUP(B4838,辅助信息!E:M,9,FALSE)</f>
        <v>ZTWM-CDGS-XS-2025-0156-五冶钢构-2025年九月第一批次钢筋采购合同(三圣乡项目)-中铁物贸成都公司</v>
      </c>
      <c r="R4838" s="22" t="str">
        <f>_xlfn._xlws.FILTER(辅助信息!D:D,辅助信息!E:E=B4838)</f>
        <v>五冶钢构龙泉东洪片区85亩住宅、商业及配套工程项目三标段</v>
      </c>
    </row>
    <row r="4839" hidden="1" spans="2:18">
      <c r="B4839" s="128" t="s">
        <v>229</v>
      </c>
      <c r="C4839" s="63">
        <v>45952</v>
      </c>
      <c r="D4839" s="33" t="str">
        <f>VLOOKUP(B4839,辅助信息!E:K,7,FALSE)</f>
        <v>JWDDCD2025092400212</v>
      </c>
      <c r="E4839" s="33" t="str">
        <f>VLOOKUP(F4839,辅助信息!A:B,2,FALSE)</f>
        <v>盘螺</v>
      </c>
      <c r="F4839" s="33" t="s">
        <v>49</v>
      </c>
      <c r="G4839" s="29">
        <v>2</v>
      </c>
      <c r="H4839" s="127"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2" t="str">
        <f>VLOOKUP(B4839,辅助信息!E:I,3,FALSE)</f>
        <v>(五冶钢构龙泉东洪片区85亩住宅、商业及配套工程项目三标段)成都市龙泉驿外东洪路地铁2号线惠王陵地铁C口</v>
      </c>
      <c r="J4839" s="33" t="str">
        <f>VLOOKUP(B4839,辅助信息!E:I,4,FALSE)</f>
        <v>王军宝</v>
      </c>
      <c r="K4839" s="33">
        <f>VLOOKUP(J4839,辅助信息!H:I,2,FALSE)</f>
        <v>13889142392</v>
      </c>
      <c r="L4839" s="102">
        <f>VLOOKUP(B4839,辅助信息!E:J,6,FALSE)</f>
        <v>0</v>
      </c>
      <c r="M4839" s="84">
        <v>45950</v>
      </c>
      <c r="O4839" s="55">
        <f ca="1" t="shared" si="234"/>
        <v>0</v>
      </c>
      <c r="P4839" s="55">
        <f ca="1" t="shared" si="235"/>
        <v>7</v>
      </c>
      <c r="Q4839" s="22" t="str">
        <f>VLOOKUP(B4839,辅助信息!E:M,9,FALSE)</f>
        <v>ZTWM-CDGS-XS-2025-0156-五冶钢构-2025年九月第一批次钢筋采购合同(三圣乡项目)-中铁物贸成都公司</v>
      </c>
      <c r="R4839" s="22" t="str">
        <f>_xlfn._xlws.FILTER(辅助信息!D:D,辅助信息!E:E=B4839)</f>
        <v>五冶钢构龙泉东洪片区85亩住宅、商业及配套工程项目三标段</v>
      </c>
    </row>
    <row r="4840" hidden="1" spans="2:18">
      <c r="B4840" s="128" t="s">
        <v>229</v>
      </c>
      <c r="C4840" s="63">
        <v>45952</v>
      </c>
      <c r="D4840" s="33" t="str">
        <f>VLOOKUP(B4840,辅助信息!E:K,7,FALSE)</f>
        <v>JWDDCD2025092400212</v>
      </c>
      <c r="E4840" s="33" t="str">
        <f>VLOOKUP(F4840,辅助信息!A:B,2,FALSE)</f>
        <v>盘螺</v>
      </c>
      <c r="F4840" s="33" t="s">
        <v>40</v>
      </c>
      <c r="G4840" s="29">
        <v>8</v>
      </c>
      <c r="H4840" s="127"/>
      <c r="I4840" s="32" t="str">
        <f>VLOOKUP(B4840,辅助信息!E:I,3,FALSE)</f>
        <v>(五冶钢构龙泉东洪片区85亩住宅、商业及配套工程项目三标段)成都市龙泉驿外东洪路地铁2号线惠王陵地铁C口</v>
      </c>
      <c r="J4840" s="33" t="str">
        <f>VLOOKUP(B4840,辅助信息!E:I,4,FALSE)</f>
        <v>王军宝</v>
      </c>
      <c r="K4840" s="33">
        <f>VLOOKUP(J4840,辅助信息!H:I,2,FALSE)</f>
        <v>13889142392</v>
      </c>
      <c r="L4840" s="102">
        <f>VLOOKUP(B4840,辅助信息!E:J,6,FALSE)</f>
        <v>0</v>
      </c>
      <c r="M4840" s="84">
        <v>45950</v>
      </c>
      <c r="O4840" s="55">
        <f ca="1" t="shared" si="234"/>
        <v>0</v>
      </c>
      <c r="P4840" s="55">
        <f ca="1" t="shared" si="235"/>
        <v>7</v>
      </c>
      <c r="Q4840" s="22" t="str">
        <f>VLOOKUP(B4840,辅助信息!E:M,9,FALSE)</f>
        <v>ZTWM-CDGS-XS-2025-0156-五冶钢构-2025年九月第一批次钢筋采购合同(三圣乡项目)-中铁物贸成都公司</v>
      </c>
      <c r="R4840" s="22" t="str">
        <f>_xlfn._xlws.FILTER(辅助信息!D:D,辅助信息!E:E=B4840)</f>
        <v>五冶钢构龙泉东洪片区85亩住宅、商业及配套工程项目三标段</v>
      </c>
    </row>
    <row r="4841" hidden="1" spans="2:18">
      <c r="B4841" s="128" t="s">
        <v>229</v>
      </c>
      <c r="C4841" s="63">
        <v>45952</v>
      </c>
      <c r="D4841" s="33" t="str">
        <f>VLOOKUP(B4841,辅助信息!E:K,7,FALSE)</f>
        <v>JWDDCD2025092400212</v>
      </c>
      <c r="E4841" s="33" t="str">
        <f>VLOOKUP(F4841,辅助信息!A:B,2,FALSE)</f>
        <v>盘螺</v>
      </c>
      <c r="F4841" s="33" t="s">
        <v>41</v>
      </c>
      <c r="G4841" s="29">
        <v>20</v>
      </c>
      <c r="H4841" s="127"/>
      <c r="I4841" s="32" t="str">
        <f>VLOOKUP(B4841,辅助信息!E:I,3,FALSE)</f>
        <v>(五冶钢构龙泉东洪片区85亩住宅、商业及配套工程项目三标段)成都市龙泉驿外东洪路地铁2号线惠王陵地铁C口</v>
      </c>
      <c r="J4841" s="33" t="str">
        <f>VLOOKUP(B4841,辅助信息!E:I,4,FALSE)</f>
        <v>王军宝</v>
      </c>
      <c r="K4841" s="33">
        <f>VLOOKUP(J4841,辅助信息!H:I,2,FALSE)</f>
        <v>13889142392</v>
      </c>
      <c r="L4841" s="102">
        <f>VLOOKUP(B4841,辅助信息!E:J,6,FALSE)</f>
        <v>0</v>
      </c>
      <c r="M4841" s="84">
        <v>45950</v>
      </c>
      <c r="O4841" s="55">
        <f ca="1" t="shared" si="234"/>
        <v>0</v>
      </c>
      <c r="P4841" s="55">
        <f ca="1" t="shared" si="235"/>
        <v>7</v>
      </c>
      <c r="Q4841" s="22" t="str">
        <f>VLOOKUP(B4841,辅助信息!E:M,9,FALSE)</f>
        <v>ZTWM-CDGS-XS-2025-0156-五冶钢构-2025年九月第一批次钢筋采购合同(三圣乡项目)-中铁物贸成都公司</v>
      </c>
      <c r="R4841" s="22" t="str">
        <f>_xlfn._xlws.FILTER(辅助信息!D:D,辅助信息!E:E=B4841)</f>
        <v>五冶钢构龙泉东洪片区85亩住宅、商业及配套工程项目三标段</v>
      </c>
    </row>
    <row r="4842" hidden="1" spans="2:18">
      <c r="B4842" s="128" t="s">
        <v>229</v>
      </c>
      <c r="C4842" s="63">
        <v>45952</v>
      </c>
      <c r="D4842" s="33" t="str">
        <f>VLOOKUP(B4842,辅助信息!E:K,7,FALSE)</f>
        <v>JWDDCD2025092400212</v>
      </c>
      <c r="E4842" s="33" t="str">
        <f>VLOOKUP(F4842,辅助信息!A:B,2,FALSE)</f>
        <v>螺纹钢</v>
      </c>
      <c r="F4842" s="33" t="s">
        <v>27</v>
      </c>
      <c r="G4842" s="29">
        <v>30</v>
      </c>
      <c r="H4842" s="127"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2" t="str">
        <f>VLOOKUP(B4842,辅助信息!E:I,3,FALSE)</f>
        <v>(五冶钢构龙泉东洪片区85亩住宅、商业及配套工程项目三标段)成都市龙泉驿外东洪路地铁2号线惠王陵地铁C口</v>
      </c>
      <c r="J4842" s="33" t="str">
        <f>VLOOKUP(B4842,辅助信息!E:I,4,FALSE)</f>
        <v>王军宝</v>
      </c>
      <c r="K4842" s="33">
        <f>VLOOKUP(J4842,辅助信息!H:I,2,FALSE)</f>
        <v>13889142392</v>
      </c>
      <c r="L4842" s="102">
        <f>VLOOKUP(B4842,辅助信息!E:J,6,FALSE)</f>
        <v>0</v>
      </c>
      <c r="M4842" s="84">
        <v>45950</v>
      </c>
      <c r="O4842" s="55">
        <f ca="1" t="shared" si="234"/>
        <v>0</v>
      </c>
      <c r="P4842" s="55">
        <f ca="1" t="shared" si="235"/>
        <v>7</v>
      </c>
      <c r="Q4842" s="22" t="str">
        <f>VLOOKUP(B4842,辅助信息!E:M,9,FALSE)</f>
        <v>ZTWM-CDGS-XS-2025-0156-五冶钢构-2025年九月第一批次钢筋采购合同(三圣乡项目)-中铁物贸成都公司</v>
      </c>
      <c r="R4842" s="22" t="str">
        <f>_xlfn._xlws.FILTER(辅助信息!D:D,辅助信息!E:E=B4842)</f>
        <v>五冶钢构龙泉东洪片区85亩住宅、商业及配套工程项目三标段</v>
      </c>
    </row>
    <row r="4843" hidden="1" spans="2:18">
      <c r="B4843" s="128" t="s">
        <v>229</v>
      </c>
      <c r="C4843" s="63">
        <v>45952</v>
      </c>
      <c r="D4843" s="33" t="str">
        <f>VLOOKUP(B4843,辅助信息!E:K,7,FALSE)</f>
        <v>JWDDCD2025092400212</v>
      </c>
      <c r="E4843" s="33" t="str">
        <f>VLOOKUP(F4843,辅助信息!A:B,2,FALSE)</f>
        <v>螺纹钢</v>
      </c>
      <c r="F4843" s="33" t="s">
        <v>19</v>
      </c>
      <c r="G4843" s="29">
        <v>50</v>
      </c>
      <c r="H4843" s="127">
        <f>IF(SUMIFS('[1]2025年已发货'!$E:$E,'[1]2025年已发货'!$F:$F,C4847,'[1]2025年已发货'!$C:$C,F4843,'[1]2025年已发货'!$G:$G,I4843,'[1]2025年已发货'!$H:$H,J4843)=0,"未发货",SUMIFS('[1]2025年已发货'!$E:$E,'[1]2025年已发货'!$F:$F,C4847,'[1]2025年已发货'!$C:$C,F4843,'[1]2025年已发货'!$G:$G,I4843,'[1]2025年已发货'!$H:$H,J4843))</f>
        <v>50</v>
      </c>
      <c r="I4843" s="32" t="str">
        <f>VLOOKUP(B4843,辅助信息!E:I,3,FALSE)</f>
        <v>(五冶钢构龙泉东洪片区85亩住宅、商业及配套工程项目三标段)成都市龙泉驿外东洪路地铁2号线惠王陵地铁C口</v>
      </c>
      <c r="J4843" s="33" t="str">
        <f>VLOOKUP(B4843,辅助信息!E:I,4,FALSE)</f>
        <v>王军宝</v>
      </c>
      <c r="K4843" s="33">
        <f>VLOOKUP(J4843,辅助信息!H:I,2,FALSE)</f>
        <v>13889142392</v>
      </c>
      <c r="L4843" s="102">
        <f>VLOOKUP(B4843,辅助信息!E:J,6,FALSE)</f>
        <v>0</v>
      </c>
      <c r="M4843" s="84">
        <v>45950</v>
      </c>
      <c r="O4843" s="55">
        <f ca="1" t="shared" si="234"/>
        <v>0</v>
      </c>
      <c r="P4843" s="55">
        <f ca="1" t="shared" si="235"/>
        <v>7</v>
      </c>
      <c r="Q4843" s="22" t="str">
        <f>VLOOKUP(B4843,辅助信息!E:M,9,FALSE)</f>
        <v>ZTWM-CDGS-XS-2025-0156-五冶钢构-2025年九月第一批次钢筋采购合同(三圣乡项目)-中铁物贸成都公司</v>
      </c>
      <c r="R4843" s="22" t="str">
        <f>_xlfn._xlws.FILTER(辅助信息!D:D,辅助信息!E:E=B4843)</f>
        <v>五冶钢构龙泉东洪片区85亩住宅、商业及配套工程项目三标段</v>
      </c>
    </row>
    <row r="4844" hidden="1" spans="2:18">
      <c r="B4844" s="128" t="s">
        <v>229</v>
      </c>
      <c r="C4844" s="63">
        <v>45952</v>
      </c>
      <c r="D4844" s="33" t="str">
        <f>VLOOKUP(B4844,辅助信息!E:K,7,FALSE)</f>
        <v>JWDDCD2025092400212</v>
      </c>
      <c r="E4844" s="33" t="str">
        <f>VLOOKUP(F4844,辅助信息!A:B,2,FALSE)</f>
        <v>螺纹钢</v>
      </c>
      <c r="F4844" s="33" t="s">
        <v>32</v>
      </c>
      <c r="G4844" s="29">
        <v>10</v>
      </c>
      <c r="H4844" s="127">
        <f>IF(SUMIFS('[1]2025年已发货'!$E:$E,'[1]2025年已发货'!$F:$F,C4848,'[1]2025年已发货'!$C:$C,F4844,'[1]2025年已发货'!$G:$G,I4844,'[1]2025年已发货'!$H:$H,J4844)=0,"未发货",SUMIFS('[1]2025年已发货'!$E:$E,'[1]2025年已发货'!$F:$F,C4848,'[1]2025年已发货'!$C:$C,F4844,'[1]2025年已发货'!$G:$G,I4844,'[1]2025年已发货'!$H:$H,J4844))</f>
        <v>10</v>
      </c>
      <c r="I4844" s="32" t="str">
        <f>VLOOKUP(B4844,辅助信息!E:I,3,FALSE)</f>
        <v>(五冶钢构龙泉东洪片区85亩住宅、商业及配套工程项目三标段)成都市龙泉驿外东洪路地铁2号线惠王陵地铁C口</v>
      </c>
      <c r="J4844" s="33" t="str">
        <f>VLOOKUP(B4844,辅助信息!E:I,4,FALSE)</f>
        <v>王军宝</v>
      </c>
      <c r="K4844" s="33">
        <f>VLOOKUP(J4844,辅助信息!H:I,2,FALSE)</f>
        <v>13889142392</v>
      </c>
      <c r="L4844" s="102">
        <f>VLOOKUP(B4844,辅助信息!E:J,6,FALSE)</f>
        <v>0</v>
      </c>
      <c r="M4844" s="84">
        <v>45950</v>
      </c>
      <c r="O4844" s="55">
        <f ca="1" t="shared" si="234"/>
        <v>0</v>
      </c>
      <c r="P4844" s="55">
        <f ca="1" t="shared" si="235"/>
        <v>7</v>
      </c>
      <c r="Q4844" s="22" t="str">
        <f>VLOOKUP(B4844,辅助信息!E:M,9,FALSE)</f>
        <v>ZTWM-CDGS-XS-2025-0156-五冶钢构-2025年九月第一批次钢筋采购合同(三圣乡项目)-中铁物贸成都公司</v>
      </c>
      <c r="R4844" s="22" t="str">
        <f>_xlfn._xlws.FILTER(辅助信息!D:D,辅助信息!E:E=B4844)</f>
        <v>五冶钢构龙泉东洪片区85亩住宅、商业及配套工程项目三标段</v>
      </c>
    </row>
    <row r="4845" hidden="1" spans="2:18">
      <c r="B4845" s="128" t="s">
        <v>229</v>
      </c>
      <c r="C4845" s="63">
        <v>45952</v>
      </c>
      <c r="D4845" s="33" t="str">
        <f>VLOOKUP(B4845,辅助信息!E:K,7,FALSE)</f>
        <v>JWDDCD2025092400212</v>
      </c>
      <c r="E4845" s="33" t="str">
        <f>VLOOKUP(F4845,辅助信息!A:B,2,FALSE)</f>
        <v>螺纹钢</v>
      </c>
      <c r="F4845" s="33" t="s">
        <v>30</v>
      </c>
      <c r="G4845" s="29">
        <v>4</v>
      </c>
      <c r="H4845" s="127">
        <f>IF(SUMIFS('[1]2025年已发货'!$E:$E,'[1]2025年已发货'!$F:$F,C4849,'[1]2025年已发货'!$C:$C,F4845,'[1]2025年已发货'!$G:$G,I4845,'[1]2025年已发货'!$H:$H,J4845)=0,"未发货",SUMIFS('[1]2025年已发货'!$E:$E,'[1]2025年已发货'!$F:$F,C4849,'[1]2025年已发货'!$C:$C,F4845,'[1]2025年已发货'!$G:$G,I4845,'[1]2025年已发货'!$H:$H,J4845))</f>
        <v>4</v>
      </c>
      <c r="I4845" s="32" t="str">
        <f>VLOOKUP(B4845,辅助信息!E:I,3,FALSE)</f>
        <v>(五冶钢构龙泉东洪片区85亩住宅、商业及配套工程项目三标段)成都市龙泉驿外东洪路地铁2号线惠王陵地铁C口</v>
      </c>
      <c r="J4845" s="33" t="str">
        <f>VLOOKUP(B4845,辅助信息!E:I,4,FALSE)</f>
        <v>王军宝</v>
      </c>
      <c r="K4845" s="33">
        <f>VLOOKUP(J4845,辅助信息!H:I,2,FALSE)</f>
        <v>13889142392</v>
      </c>
      <c r="L4845" s="102">
        <f>VLOOKUP(B4845,辅助信息!E:J,6,FALSE)</f>
        <v>0</v>
      </c>
      <c r="M4845" s="84">
        <v>45950</v>
      </c>
      <c r="O4845" s="55">
        <f ca="1" t="shared" si="234"/>
        <v>0</v>
      </c>
      <c r="P4845" s="55">
        <f ca="1" t="shared" si="235"/>
        <v>7</v>
      </c>
      <c r="Q4845" s="22" t="str">
        <f>VLOOKUP(B4845,辅助信息!E:M,9,FALSE)</f>
        <v>ZTWM-CDGS-XS-2025-0156-五冶钢构-2025年九月第一批次钢筋采购合同(三圣乡项目)-中铁物贸成都公司</v>
      </c>
      <c r="R4845" s="22" t="str">
        <f>_xlfn._xlws.FILTER(辅助信息!D:D,辅助信息!E:E=B4845)</f>
        <v>五冶钢构龙泉东洪片区85亩住宅、商业及配套工程项目三标段</v>
      </c>
    </row>
    <row r="4846" hidden="1" spans="2:18">
      <c r="B4846" s="128" t="s">
        <v>229</v>
      </c>
      <c r="C4846" s="63">
        <v>45952</v>
      </c>
      <c r="D4846" s="33" t="str">
        <f>VLOOKUP(B4846,辅助信息!E:K,7,FALSE)</f>
        <v>JWDDCD2025092400212</v>
      </c>
      <c r="E4846" s="33" t="str">
        <f>VLOOKUP(F4846,辅助信息!A:B,2,FALSE)</f>
        <v>螺纹钢</v>
      </c>
      <c r="F4846" s="33" t="s">
        <v>33</v>
      </c>
      <c r="G4846" s="29">
        <v>8</v>
      </c>
      <c r="H4846" s="127">
        <f>IF(SUMIFS('[1]2025年已发货'!$E:$E,'[1]2025年已发货'!$F:$F,C4850,'[1]2025年已发货'!$C:$C,F4846,'[1]2025年已发货'!$G:$G,I4846,'[1]2025年已发货'!$H:$H,J4846)=0,"未发货",SUMIFS('[1]2025年已发货'!$E:$E,'[1]2025年已发货'!$F:$F,C4850,'[1]2025年已发货'!$C:$C,F4846,'[1]2025年已发货'!$G:$G,I4846,'[1]2025年已发货'!$H:$H,J4846))</f>
        <v>8</v>
      </c>
      <c r="I4846" s="32" t="str">
        <f>VLOOKUP(B4846,辅助信息!E:I,3,FALSE)</f>
        <v>(五冶钢构龙泉东洪片区85亩住宅、商业及配套工程项目三标段)成都市龙泉驿外东洪路地铁2号线惠王陵地铁C口</v>
      </c>
      <c r="J4846" s="33" t="str">
        <f>VLOOKUP(B4846,辅助信息!E:I,4,FALSE)</f>
        <v>王军宝</v>
      </c>
      <c r="K4846" s="33">
        <f>VLOOKUP(J4846,辅助信息!H:I,2,FALSE)</f>
        <v>13889142392</v>
      </c>
      <c r="L4846" s="102">
        <f>VLOOKUP(B4846,辅助信息!E:J,6,FALSE)</f>
        <v>0</v>
      </c>
      <c r="M4846" s="84">
        <v>45950</v>
      </c>
      <c r="O4846" s="55">
        <f ca="1" t="shared" si="234"/>
        <v>0</v>
      </c>
      <c r="P4846" s="55">
        <f ca="1" t="shared" si="235"/>
        <v>7</v>
      </c>
      <c r="Q4846" s="22" t="str">
        <f>VLOOKUP(B4846,辅助信息!E:M,9,FALSE)</f>
        <v>ZTWM-CDGS-XS-2025-0156-五冶钢构-2025年九月第一批次钢筋采购合同(三圣乡项目)-中铁物贸成都公司</v>
      </c>
      <c r="R4846" s="22" t="str">
        <f>_xlfn._xlws.FILTER(辅助信息!D:D,辅助信息!E:E=B4846)</f>
        <v>五冶钢构龙泉东洪片区85亩住宅、商业及配套工程项目三标段</v>
      </c>
    </row>
    <row r="4847" hidden="1" spans="2:18">
      <c r="B4847" s="128" t="s">
        <v>229</v>
      </c>
      <c r="C4847" s="63">
        <v>45952</v>
      </c>
      <c r="D4847" s="33" t="str">
        <f>VLOOKUP(B4847,辅助信息!E:K,7,FALSE)</f>
        <v>JWDDCD2025092400212</v>
      </c>
      <c r="E4847" s="33" t="str">
        <f>VLOOKUP(F4847,辅助信息!A:B,2,FALSE)</f>
        <v>螺纹钢</v>
      </c>
      <c r="F4847" s="33" t="s">
        <v>28</v>
      </c>
      <c r="G4847" s="29">
        <v>2</v>
      </c>
      <c r="H4847" s="127">
        <f>IF(SUMIFS('[1]2025年已发货'!$E:$E,'[1]2025年已发货'!$F:$F,C4851,'[1]2025年已发货'!$C:$C,F4847,'[1]2025年已发货'!$G:$G,I4847,'[1]2025年已发货'!$H:$H,J4847)=0,"未发货",SUMIFS('[1]2025年已发货'!$E:$E,'[1]2025年已发货'!$F:$F,C4851,'[1]2025年已发货'!$C:$C,F4847,'[1]2025年已发货'!$G:$G,I4847,'[1]2025年已发货'!$H:$H,J4847))</f>
        <v>2</v>
      </c>
      <c r="I4847" s="32" t="str">
        <f>VLOOKUP(B4847,辅助信息!E:I,3,FALSE)</f>
        <v>(五冶钢构龙泉东洪片区85亩住宅、商业及配套工程项目三标段)成都市龙泉驿外东洪路地铁2号线惠王陵地铁C口</v>
      </c>
      <c r="J4847" s="33" t="str">
        <f>VLOOKUP(B4847,辅助信息!E:I,4,FALSE)</f>
        <v>王军宝</v>
      </c>
      <c r="K4847" s="33">
        <f>VLOOKUP(J4847,辅助信息!H:I,2,FALSE)</f>
        <v>13889142392</v>
      </c>
      <c r="L4847" s="102">
        <f>VLOOKUP(B4847,辅助信息!E:J,6,FALSE)</f>
        <v>0</v>
      </c>
      <c r="M4847" s="84">
        <v>45950</v>
      </c>
      <c r="O4847" s="55">
        <f ca="1" t="shared" si="234"/>
        <v>0</v>
      </c>
      <c r="P4847" s="55">
        <f ca="1" t="shared" si="235"/>
        <v>7</v>
      </c>
      <c r="Q4847" s="22" t="str">
        <f>VLOOKUP(B4847,辅助信息!E:M,9,FALSE)</f>
        <v>ZTWM-CDGS-XS-2025-0156-五冶钢构-2025年九月第一批次钢筋采购合同(三圣乡项目)-中铁物贸成都公司</v>
      </c>
      <c r="R4847" s="22" t="str">
        <f>_xlfn._xlws.FILTER(辅助信息!D:D,辅助信息!E:E=B4847)</f>
        <v>五冶钢构龙泉东洪片区85亩住宅、商业及配套工程项目三标段</v>
      </c>
    </row>
    <row r="4848" hidden="1" spans="2:18">
      <c r="B4848" s="128" t="s">
        <v>229</v>
      </c>
      <c r="C4848" s="63">
        <v>45952</v>
      </c>
      <c r="D4848" s="33" t="str">
        <f>VLOOKUP(B4848,辅助信息!E:K,7,FALSE)</f>
        <v>JWDDCD2025092400212</v>
      </c>
      <c r="E4848" s="33" t="str">
        <f>VLOOKUP(F4848,辅助信息!A:B,2,FALSE)</f>
        <v>螺纹钢</v>
      </c>
      <c r="F4848" s="33" t="s">
        <v>18</v>
      </c>
      <c r="G4848" s="29">
        <v>6</v>
      </c>
      <c r="H4848" s="127">
        <f>IF(SUMIFS('[1]2025年已发货'!$E:$E,'[1]2025年已发货'!$F:$F,C4852,'[1]2025年已发货'!$C:$C,F4848,'[1]2025年已发货'!$G:$G,I4848,'[1]2025年已发货'!$H:$H,J4848)=0,"未发货",SUMIFS('[1]2025年已发货'!$E:$E,'[1]2025年已发货'!$F:$F,C4852,'[1]2025年已发货'!$C:$C,F4848,'[1]2025年已发货'!$G:$G,I4848,'[1]2025年已发货'!$H:$H,J4848))</f>
        <v>6</v>
      </c>
      <c r="I4848" s="32" t="str">
        <f>VLOOKUP(B4848,辅助信息!E:I,3,FALSE)</f>
        <v>(五冶钢构龙泉东洪片区85亩住宅、商业及配套工程项目三标段)成都市龙泉驿外东洪路地铁2号线惠王陵地铁C口</v>
      </c>
      <c r="J4848" s="33" t="str">
        <f>VLOOKUP(B4848,辅助信息!E:I,4,FALSE)</f>
        <v>王军宝</v>
      </c>
      <c r="K4848" s="33">
        <f>VLOOKUP(J4848,辅助信息!H:I,2,FALSE)</f>
        <v>13889142392</v>
      </c>
      <c r="L4848" s="102">
        <f>VLOOKUP(B4848,辅助信息!E:J,6,FALSE)</f>
        <v>0</v>
      </c>
      <c r="M4848" s="84">
        <v>45950</v>
      </c>
      <c r="O4848" s="55">
        <f ca="1" t="shared" si="234"/>
        <v>0</v>
      </c>
      <c r="P4848" s="55">
        <f ca="1" t="shared" si="235"/>
        <v>7</v>
      </c>
      <c r="Q4848" s="22" t="str">
        <f>VLOOKUP(B4848,辅助信息!E:M,9,FALSE)</f>
        <v>ZTWM-CDGS-XS-2025-0156-五冶钢构-2025年九月第一批次钢筋采购合同(三圣乡项目)-中铁物贸成都公司</v>
      </c>
      <c r="R4848" s="22" t="str">
        <f>_xlfn._xlws.FILTER(辅助信息!D:D,辅助信息!E:E=B4848)</f>
        <v>五冶钢构龙泉东洪片区85亩住宅、商业及配套工程项目三标段</v>
      </c>
    </row>
    <row r="4849" hidden="1" spans="2:18">
      <c r="B4849" s="128" t="s">
        <v>229</v>
      </c>
      <c r="C4849" s="63">
        <v>45952</v>
      </c>
      <c r="D4849" s="33" t="str">
        <f>VLOOKUP(B4849,辅助信息!E:K,7,FALSE)</f>
        <v>JWDDCD2025092400212</v>
      </c>
      <c r="E4849" s="33" t="str">
        <f>VLOOKUP(F4849,辅助信息!A:B,2,FALSE)</f>
        <v>螺纹钢</v>
      </c>
      <c r="F4849" s="33" t="s">
        <v>66</v>
      </c>
      <c r="G4849" s="29">
        <v>2</v>
      </c>
      <c r="H4849" s="127">
        <f>IF(SUMIFS('[1]2025年已发货'!$E:$E,'[1]2025年已发货'!$F:$F,C4853,'[1]2025年已发货'!$C:$C,F4849,'[1]2025年已发货'!$G:$G,I4849,'[1]2025年已发货'!$H:$H,J4849)=0,"未发货",SUMIFS('[1]2025年已发货'!$E:$E,'[1]2025年已发货'!$F:$F,C4853,'[1]2025年已发货'!$C:$C,F4849,'[1]2025年已发货'!$G:$G,I4849,'[1]2025年已发货'!$H:$H,J4849))</f>
        <v>2</v>
      </c>
      <c r="I4849" s="32" t="str">
        <f>VLOOKUP(B4849,辅助信息!E:I,3,FALSE)</f>
        <v>(五冶钢构龙泉东洪片区85亩住宅、商业及配套工程项目三标段)成都市龙泉驿外东洪路地铁2号线惠王陵地铁C口</v>
      </c>
      <c r="J4849" s="33" t="str">
        <f>VLOOKUP(B4849,辅助信息!E:I,4,FALSE)</f>
        <v>王军宝</v>
      </c>
      <c r="K4849" s="33">
        <f>VLOOKUP(J4849,辅助信息!H:I,2,FALSE)</f>
        <v>13889142392</v>
      </c>
      <c r="L4849" s="102">
        <f>VLOOKUP(B4849,辅助信息!E:J,6,FALSE)</f>
        <v>0</v>
      </c>
      <c r="M4849" s="84">
        <v>45950</v>
      </c>
      <c r="O4849" s="55">
        <f ca="1" t="shared" si="234"/>
        <v>0</v>
      </c>
      <c r="P4849" s="55">
        <f ca="1" t="shared" si="235"/>
        <v>7</v>
      </c>
      <c r="Q4849" s="22" t="str">
        <f>VLOOKUP(B4849,辅助信息!E:M,9,FALSE)</f>
        <v>ZTWM-CDGS-XS-2025-0156-五冶钢构-2025年九月第一批次钢筋采购合同(三圣乡项目)-中铁物贸成都公司</v>
      </c>
      <c r="R4849" s="22" t="str">
        <f>_xlfn._xlws.FILTER(辅助信息!D:D,辅助信息!E:E=B4849)</f>
        <v>五冶钢构龙泉东洪片区85亩住宅、商业及配套工程项目三标段</v>
      </c>
    </row>
    <row r="4850" hidden="1" spans="2:18">
      <c r="B4850" s="128" t="s">
        <v>229</v>
      </c>
      <c r="C4850" s="63">
        <v>45952</v>
      </c>
      <c r="D4850" s="33" t="str">
        <f>VLOOKUP(B4850,辅助信息!E:K,7,FALSE)</f>
        <v>JWDDCD2025092400212</v>
      </c>
      <c r="E4850" s="33" t="str">
        <f>VLOOKUP(F4850,辅助信息!A:B,2,FALSE)</f>
        <v>螺纹钢</v>
      </c>
      <c r="F4850" s="33" t="s">
        <v>82</v>
      </c>
      <c r="G4850" s="29">
        <v>2</v>
      </c>
      <c r="H4850" s="127">
        <f>IF(SUMIFS('[1]2025年已发货'!$E:$E,'[1]2025年已发货'!$F:$F,C4854,'[1]2025年已发货'!$C:$C,F4850,'[1]2025年已发货'!$G:$G,I4850,'[1]2025年已发货'!$H:$H,J4850)=0,"未发货",SUMIFS('[1]2025年已发货'!$E:$E,'[1]2025年已发货'!$F:$F,C4854,'[1]2025年已发货'!$C:$C,F4850,'[1]2025年已发货'!$G:$G,I4850,'[1]2025年已发货'!$H:$H,J4850))</f>
        <v>2</v>
      </c>
      <c r="I4850" s="32" t="str">
        <f>VLOOKUP(B4850,辅助信息!E:I,3,FALSE)</f>
        <v>(五冶钢构龙泉东洪片区85亩住宅、商业及配套工程项目三标段)成都市龙泉驿外东洪路地铁2号线惠王陵地铁C口</v>
      </c>
      <c r="J4850" s="33" t="str">
        <f>VLOOKUP(B4850,辅助信息!E:I,4,FALSE)</f>
        <v>王军宝</v>
      </c>
      <c r="K4850" s="33">
        <f>VLOOKUP(J4850,辅助信息!H:I,2,FALSE)</f>
        <v>13889142392</v>
      </c>
      <c r="L4850" s="102">
        <f>VLOOKUP(B4850,辅助信息!E:J,6,FALSE)</f>
        <v>0</v>
      </c>
      <c r="M4850" s="84">
        <v>45950</v>
      </c>
      <c r="O4850" s="55">
        <f ca="1" t="shared" si="234"/>
        <v>0</v>
      </c>
      <c r="P4850" s="55">
        <f ca="1" t="shared" si="235"/>
        <v>7</v>
      </c>
      <c r="Q4850" s="22" t="str">
        <f>VLOOKUP(B4850,辅助信息!E:M,9,FALSE)</f>
        <v>ZTWM-CDGS-XS-2025-0156-五冶钢构-2025年九月第一批次钢筋采购合同(三圣乡项目)-中铁物贸成都公司</v>
      </c>
      <c r="R4850" s="22" t="str">
        <f>_xlfn._xlws.FILTER(辅助信息!D:D,辅助信息!E:E=B4850)</f>
        <v>五冶钢构龙泉东洪片区85亩住宅、商业及配套工程项目三标段</v>
      </c>
    </row>
    <row r="4851" hidden="1" spans="2:18">
      <c r="B4851" s="128" t="s">
        <v>229</v>
      </c>
      <c r="C4851" s="63">
        <v>45952</v>
      </c>
      <c r="D4851" s="33" t="str">
        <f>VLOOKUP(B4851,辅助信息!E:K,7,FALSE)</f>
        <v>JWDDCD2025092400212</v>
      </c>
      <c r="E4851" s="33" t="str">
        <f>VLOOKUP(F4851,辅助信息!A:B,2,FALSE)</f>
        <v>螺纹钢</v>
      </c>
      <c r="F4851" s="33" t="s">
        <v>45</v>
      </c>
      <c r="G4851" s="29">
        <v>2</v>
      </c>
      <c r="H4851" s="127">
        <f>IF(SUMIFS('[1]2025年已发货'!$E:$E,'[1]2025年已发货'!$F:$F,C4855,'[1]2025年已发货'!$C:$C,F4851,'[1]2025年已发货'!$G:$G,I4851,'[1]2025年已发货'!$H:$H,J4851)=0,"未发货",SUMIFS('[1]2025年已发货'!$E:$E,'[1]2025年已发货'!$F:$F,C4855,'[1]2025年已发货'!$C:$C,F4851,'[1]2025年已发货'!$G:$G,I4851,'[1]2025年已发货'!$H:$H,J4851))</f>
        <v>2</v>
      </c>
      <c r="I4851" s="32" t="str">
        <f>VLOOKUP(B4851,辅助信息!E:I,3,FALSE)</f>
        <v>(五冶钢构龙泉东洪片区85亩住宅、商业及配套工程项目三标段)成都市龙泉驿外东洪路地铁2号线惠王陵地铁C口</v>
      </c>
      <c r="J4851" s="33" t="str">
        <f>VLOOKUP(B4851,辅助信息!E:I,4,FALSE)</f>
        <v>王军宝</v>
      </c>
      <c r="K4851" s="33">
        <f>VLOOKUP(J4851,辅助信息!H:I,2,FALSE)</f>
        <v>13889142392</v>
      </c>
      <c r="L4851" s="102">
        <f>VLOOKUP(B4851,辅助信息!E:J,6,FALSE)</f>
        <v>0</v>
      </c>
      <c r="M4851" s="84">
        <v>45950</v>
      </c>
      <c r="O4851" s="55">
        <f ca="1" t="shared" si="234"/>
        <v>0</v>
      </c>
      <c r="P4851" s="55">
        <f ca="1" t="shared" si="235"/>
        <v>7</v>
      </c>
      <c r="Q4851" s="22" t="str">
        <f>VLOOKUP(B4851,辅助信息!E:M,9,FALSE)</f>
        <v>ZTWM-CDGS-XS-2025-0156-五冶钢构-2025年九月第一批次钢筋采购合同(三圣乡项目)-中铁物贸成都公司</v>
      </c>
      <c r="R4851" s="22" t="str">
        <f>_xlfn._xlws.FILTER(辅助信息!D:D,辅助信息!E:E=B4851)</f>
        <v>五冶钢构龙泉东洪片区85亩住宅、商业及配套工程项目三标段</v>
      </c>
    </row>
    <row r="4852" hidden="1" spans="2:18">
      <c r="B4852" s="128" t="s">
        <v>229</v>
      </c>
      <c r="C4852" s="63">
        <v>45952</v>
      </c>
      <c r="D4852" s="33" t="str">
        <f>VLOOKUP(B4852,辅助信息!E:K,7,FALSE)</f>
        <v>JWDDCD2025092400212</v>
      </c>
      <c r="E4852" s="33" t="str">
        <f>VLOOKUP(F4852,辅助信息!A:B,2,FALSE)</f>
        <v>螺纹钢</v>
      </c>
      <c r="F4852" s="33" t="s">
        <v>21</v>
      </c>
      <c r="G4852" s="29">
        <v>2</v>
      </c>
      <c r="H4852" s="127">
        <f>IF(SUMIFS('[1]2025年已发货'!$E:$E,'[1]2025年已发货'!$F:$F,C4856,'[1]2025年已发货'!$C:$C,F4852,'[1]2025年已发货'!$G:$G,I4852,'[1]2025年已发货'!$H:$H,J4852)=0,"未发货",SUMIFS('[1]2025年已发货'!$E:$E,'[1]2025年已发货'!$F:$F,C4856,'[1]2025年已发货'!$C:$C,F4852,'[1]2025年已发货'!$G:$G,I4852,'[1]2025年已发货'!$H:$H,J4852))</f>
        <v>2</v>
      </c>
      <c r="I4852" s="32" t="str">
        <f>VLOOKUP(B4852,辅助信息!E:I,3,FALSE)</f>
        <v>(五冶钢构龙泉东洪片区85亩住宅、商业及配套工程项目三标段)成都市龙泉驿外东洪路地铁2号线惠王陵地铁C口</v>
      </c>
      <c r="J4852" s="33" t="str">
        <f>VLOOKUP(B4852,辅助信息!E:I,4,FALSE)</f>
        <v>王军宝</v>
      </c>
      <c r="K4852" s="33">
        <f>VLOOKUP(J4852,辅助信息!H:I,2,FALSE)</f>
        <v>13889142392</v>
      </c>
      <c r="L4852" s="102">
        <f>VLOOKUP(B4852,辅助信息!E:J,6,FALSE)</f>
        <v>0</v>
      </c>
      <c r="M4852" s="84">
        <v>45950</v>
      </c>
      <c r="O4852" s="55">
        <f ca="1" t="shared" si="234"/>
        <v>0</v>
      </c>
      <c r="P4852" s="55">
        <f ca="1" t="shared" si="235"/>
        <v>7</v>
      </c>
      <c r="Q4852" s="22" t="str">
        <f>VLOOKUP(B4852,辅助信息!E:M,9,FALSE)</f>
        <v>ZTWM-CDGS-XS-2025-0156-五冶钢构-2025年九月第一批次钢筋采购合同(三圣乡项目)-中铁物贸成都公司</v>
      </c>
      <c r="R4852" s="22" t="str">
        <f>_xlfn._xlws.FILTER(辅助信息!D:D,辅助信息!E:E=B4852)</f>
        <v>五冶钢构龙泉东洪片区85亩住宅、商业及配套工程项目三标段</v>
      </c>
    </row>
    <row r="4853" hidden="1" spans="2:18">
      <c r="B4853" s="128" t="s">
        <v>229</v>
      </c>
      <c r="C4853" s="63">
        <v>45952</v>
      </c>
      <c r="D4853" s="33" t="str">
        <f>VLOOKUP(B4853,辅助信息!E:K,7,FALSE)</f>
        <v>JWDDCD2025092400212</v>
      </c>
      <c r="E4853" s="33" t="str">
        <f>VLOOKUP(F4853,辅助信息!A:B,2,FALSE)</f>
        <v>螺纹钢</v>
      </c>
      <c r="F4853" s="33" t="s">
        <v>58</v>
      </c>
      <c r="G4853" s="29">
        <v>2</v>
      </c>
      <c r="H4853" s="127">
        <f>IF(SUMIFS('[1]2025年已发货'!$E:$E,'[1]2025年已发货'!$F:$F,C4857,'[1]2025年已发货'!$C:$C,F4853,'[1]2025年已发货'!$G:$G,I4853,'[1]2025年已发货'!$H:$H,J4853)=0,"未发货",SUMIFS('[1]2025年已发货'!$E:$E,'[1]2025年已发货'!$F:$F,C4857,'[1]2025年已发货'!$C:$C,F4853,'[1]2025年已发货'!$G:$G,I4853,'[1]2025年已发货'!$H:$H,J4853))</f>
        <v>2</v>
      </c>
      <c r="I4853" s="32" t="str">
        <f>VLOOKUP(B4853,辅助信息!E:I,3,FALSE)</f>
        <v>(五冶钢构龙泉东洪片区85亩住宅、商业及配套工程项目三标段)成都市龙泉驿外东洪路地铁2号线惠王陵地铁C口</v>
      </c>
      <c r="J4853" s="33" t="str">
        <f>VLOOKUP(B4853,辅助信息!E:I,4,FALSE)</f>
        <v>王军宝</v>
      </c>
      <c r="K4853" s="33">
        <f>VLOOKUP(J4853,辅助信息!H:I,2,FALSE)</f>
        <v>13889142392</v>
      </c>
      <c r="L4853" s="102">
        <f>VLOOKUP(B4853,辅助信息!E:J,6,FALSE)</f>
        <v>0</v>
      </c>
      <c r="M4853" s="84">
        <v>45950</v>
      </c>
      <c r="O4853" s="55">
        <f ca="1" t="shared" si="234"/>
        <v>0</v>
      </c>
      <c r="P4853" s="55">
        <f ca="1" t="shared" si="235"/>
        <v>7</v>
      </c>
      <c r="Q4853" s="22" t="str">
        <f>VLOOKUP(B4853,辅助信息!E:M,9,FALSE)</f>
        <v>ZTWM-CDGS-XS-2025-0156-五冶钢构-2025年九月第一批次钢筋采购合同(三圣乡项目)-中铁物贸成都公司</v>
      </c>
      <c r="R4853" s="22" t="str">
        <f>_xlfn._xlws.FILTER(辅助信息!D:D,辅助信息!E:E=B4853)</f>
        <v>五冶钢构龙泉东洪片区85亩住宅、商业及配套工程项目三标段</v>
      </c>
    </row>
    <row r="4854" hidden="1" spans="2:18">
      <c r="B4854" s="128" t="s">
        <v>229</v>
      </c>
      <c r="C4854" s="63">
        <v>45952</v>
      </c>
      <c r="D4854" s="33" t="str">
        <f>VLOOKUP(B4854,辅助信息!E:K,7,FALSE)</f>
        <v>JWDDCD2025092400212</v>
      </c>
      <c r="E4854" s="33" t="str">
        <f>VLOOKUP(F4854,辅助信息!A:B,2,FALSE)</f>
        <v>螺纹钢</v>
      </c>
      <c r="F4854" s="33" t="s">
        <v>46</v>
      </c>
      <c r="G4854" s="29">
        <v>4</v>
      </c>
      <c r="H4854" s="127">
        <f>IF(SUMIFS('[1]2025年已发货'!$E:$E,'[1]2025年已发货'!$F:$F,C4858,'[1]2025年已发货'!$C:$C,F4854,'[1]2025年已发货'!$G:$G,I4854,'[1]2025年已发货'!$H:$H,J4854)=0,"未发货",SUMIFS('[1]2025年已发货'!$E:$E,'[1]2025年已发货'!$F:$F,C4858,'[1]2025年已发货'!$C:$C,F4854,'[1]2025年已发货'!$G:$G,I4854,'[1]2025年已发货'!$H:$H,J4854))</f>
        <v>4</v>
      </c>
      <c r="I4854" s="32" t="str">
        <f>VLOOKUP(B4854,辅助信息!E:I,3,FALSE)</f>
        <v>(五冶钢构龙泉东洪片区85亩住宅、商业及配套工程项目三标段)成都市龙泉驿外东洪路地铁2号线惠王陵地铁C口</v>
      </c>
      <c r="J4854" s="33" t="str">
        <f>VLOOKUP(B4854,辅助信息!E:I,4,FALSE)</f>
        <v>王军宝</v>
      </c>
      <c r="K4854" s="33">
        <f>VLOOKUP(J4854,辅助信息!H:I,2,FALSE)</f>
        <v>13889142392</v>
      </c>
      <c r="L4854" s="102">
        <f>VLOOKUP(B4854,辅助信息!E:J,6,FALSE)</f>
        <v>0</v>
      </c>
      <c r="M4854" s="84">
        <v>45950</v>
      </c>
      <c r="O4854" s="55">
        <f ca="1" t="shared" si="234"/>
        <v>0</v>
      </c>
      <c r="P4854" s="55">
        <f ca="1" t="shared" si="235"/>
        <v>7</v>
      </c>
      <c r="Q4854" s="22" t="str">
        <f>VLOOKUP(B4854,辅助信息!E:M,9,FALSE)</f>
        <v>ZTWM-CDGS-XS-2025-0156-五冶钢构-2025年九月第一批次钢筋采购合同(三圣乡项目)-中铁物贸成都公司</v>
      </c>
      <c r="R4854" s="22" t="str">
        <f>_xlfn._xlws.FILTER(辅助信息!D:D,辅助信息!E:E=B4854)</f>
        <v>五冶钢构龙泉东洪片区85亩住宅、商业及配套工程项目三标段</v>
      </c>
    </row>
    <row r="4855" hidden="1" spans="2:18">
      <c r="B4855" s="128" t="s">
        <v>229</v>
      </c>
      <c r="C4855" s="63">
        <v>45952</v>
      </c>
      <c r="D4855" s="33" t="str">
        <f>VLOOKUP(B4855,辅助信息!E:K,7,FALSE)</f>
        <v>JWDDCD2025092400212</v>
      </c>
      <c r="E4855" s="33" t="str">
        <f>VLOOKUP(F4855,辅助信息!A:B,2,FALSE)</f>
        <v>螺纹钢</v>
      </c>
      <c r="F4855" s="33" t="s">
        <v>22</v>
      </c>
      <c r="G4855" s="29">
        <v>10</v>
      </c>
      <c r="H4855" s="127">
        <f>IF(SUMIFS('[1]2025年已发货'!$E:$E,'[1]2025年已发货'!$F:$F,C4859,'[1]2025年已发货'!$C:$C,F4855,'[1]2025年已发货'!$G:$G,I4855,'[1]2025年已发货'!$H:$H,J4855)=0,"未发货",SUMIFS('[1]2025年已发货'!$E:$E,'[1]2025年已发货'!$F:$F,C4859,'[1]2025年已发货'!$C:$C,F4855,'[1]2025年已发货'!$G:$G,I4855,'[1]2025年已发货'!$H:$H,J4855))</f>
        <v>10</v>
      </c>
      <c r="I4855" s="32" t="str">
        <f>VLOOKUP(B4855,辅助信息!E:I,3,FALSE)</f>
        <v>(五冶钢构龙泉东洪片区85亩住宅、商业及配套工程项目三标段)成都市龙泉驿外东洪路地铁2号线惠王陵地铁C口</v>
      </c>
      <c r="J4855" s="33" t="str">
        <f>VLOOKUP(B4855,辅助信息!E:I,4,FALSE)</f>
        <v>王军宝</v>
      </c>
      <c r="K4855" s="33">
        <f>VLOOKUP(J4855,辅助信息!H:I,2,FALSE)</f>
        <v>13889142392</v>
      </c>
      <c r="L4855" s="102">
        <f>VLOOKUP(B4855,辅助信息!E:J,6,FALSE)</f>
        <v>0</v>
      </c>
      <c r="M4855" s="84">
        <v>45950</v>
      </c>
      <c r="O4855" s="55">
        <f ca="1" t="shared" si="234"/>
        <v>0</v>
      </c>
      <c r="P4855" s="55">
        <f ca="1" t="shared" si="235"/>
        <v>7</v>
      </c>
      <c r="Q4855" s="22" t="str">
        <f>VLOOKUP(B4855,辅助信息!E:M,9,FALSE)</f>
        <v>ZTWM-CDGS-XS-2025-0156-五冶钢构-2025年九月第一批次钢筋采购合同(三圣乡项目)-中铁物贸成都公司</v>
      </c>
      <c r="R4855" s="22" t="str">
        <f>_xlfn._xlws.FILTER(辅助信息!D:D,辅助信息!E:E=B4855)</f>
        <v>五冶钢构龙泉东洪片区85亩住宅、商业及配套工程项目三标段</v>
      </c>
    </row>
    <row r="4856" hidden="1" spans="2:18">
      <c r="B4856" s="128" t="s">
        <v>229</v>
      </c>
      <c r="C4856" s="63">
        <v>45952</v>
      </c>
      <c r="D4856" s="33" t="str">
        <f>VLOOKUP(B4856,辅助信息!E:K,7,FALSE)</f>
        <v>JWDDCD2025092400212</v>
      </c>
      <c r="E4856" s="33" t="str">
        <f>VLOOKUP(F4856,辅助信息!A:B,2,FALSE)</f>
        <v>盘螺</v>
      </c>
      <c r="F4856" s="33" t="s">
        <v>49</v>
      </c>
      <c r="G4856" s="29">
        <v>6</v>
      </c>
      <c r="H4856" s="127"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2" t="str">
        <f>VLOOKUP(B4856,辅助信息!E:I,3,FALSE)</f>
        <v>(五冶钢构龙泉东洪片区85亩住宅、商业及配套工程项目三标段)成都市龙泉驿外东洪路地铁2号线惠王陵地铁C口</v>
      </c>
      <c r="J4856" s="33" t="str">
        <f>VLOOKUP(B4856,辅助信息!E:I,4,FALSE)</f>
        <v>王军宝</v>
      </c>
      <c r="K4856" s="33">
        <f>VLOOKUP(J4856,辅助信息!H:I,2,FALSE)</f>
        <v>13889142392</v>
      </c>
      <c r="L4856" s="102">
        <f>VLOOKUP(B4856,辅助信息!E:J,6,FALSE)</f>
        <v>0</v>
      </c>
      <c r="M4856" s="84">
        <v>45950</v>
      </c>
      <c r="O4856" s="55">
        <f ca="1" t="shared" si="234"/>
        <v>0</v>
      </c>
      <c r="P4856" s="55">
        <f ca="1" t="shared" si="235"/>
        <v>7</v>
      </c>
      <c r="Q4856" s="22" t="str">
        <f>VLOOKUP(B4856,辅助信息!E:M,9,FALSE)</f>
        <v>ZTWM-CDGS-XS-2025-0156-五冶钢构-2025年九月第一批次钢筋采购合同(三圣乡项目)-中铁物贸成都公司</v>
      </c>
      <c r="R4856" s="22" t="str">
        <f>_xlfn._xlws.FILTER(辅助信息!D:D,辅助信息!E:E=B4856)</f>
        <v>五冶钢构龙泉东洪片区85亩住宅、商业及配套工程项目三标段</v>
      </c>
    </row>
    <row r="4857" hidden="1" spans="2:18">
      <c r="B4857" s="128" t="s">
        <v>229</v>
      </c>
      <c r="C4857" s="63">
        <v>45952</v>
      </c>
      <c r="D4857" s="33" t="str">
        <f>VLOOKUP(B4857,辅助信息!E:K,7,FALSE)</f>
        <v>JWDDCD2025092400212</v>
      </c>
      <c r="E4857" s="33" t="str">
        <f>VLOOKUP(F4857,辅助信息!A:B,2,FALSE)</f>
        <v>盘螺</v>
      </c>
      <c r="F4857" s="33" t="s">
        <v>40</v>
      </c>
      <c r="G4857" s="29">
        <v>20</v>
      </c>
      <c r="H4857" s="127"/>
      <c r="I4857" s="32" t="str">
        <f>VLOOKUP(B4857,辅助信息!E:I,3,FALSE)</f>
        <v>(五冶钢构龙泉东洪片区85亩住宅、商业及配套工程项目三标段)成都市龙泉驿外东洪路地铁2号线惠王陵地铁C口</v>
      </c>
      <c r="J4857" s="33" t="str">
        <f>VLOOKUP(B4857,辅助信息!E:I,4,FALSE)</f>
        <v>王军宝</v>
      </c>
      <c r="K4857" s="33">
        <f>VLOOKUP(J4857,辅助信息!H:I,2,FALSE)</f>
        <v>13889142392</v>
      </c>
      <c r="L4857" s="102">
        <f>VLOOKUP(B4857,辅助信息!E:J,6,FALSE)</f>
        <v>0</v>
      </c>
      <c r="M4857" s="84">
        <v>45950</v>
      </c>
      <c r="O4857" s="55">
        <f ca="1" t="shared" si="234"/>
        <v>0</v>
      </c>
      <c r="P4857" s="55">
        <f ca="1" t="shared" si="235"/>
        <v>7</v>
      </c>
      <c r="Q4857" s="22" t="str">
        <f>VLOOKUP(B4857,辅助信息!E:M,9,FALSE)</f>
        <v>ZTWM-CDGS-XS-2025-0156-五冶钢构-2025年九月第一批次钢筋采购合同(三圣乡项目)-中铁物贸成都公司</v>
      </c>
      <c r="R4857" s="22" t="str">
        <f>_xlfn._xlws.FILTER(辅助信息!D:D,辅助信息!E:E=B4857)</f>
        <v>五冶钢构龙泉东洪片区85亩住宅、商业及配套工程项目三标段</v>
      </c>
    </row>
    <row r="4858" hidden="1" spans="2:18">
      <c r="B4858" s="128" t="s">
        <v>229</v>
      </c>
      <c r="C4858" s="63">
        <v>45952</v>
      </c>
      <c r="D4858" s="33" t="str">
        <f>VLOOKUP(B4858,辅助信息!E:K,7,FALSE)</f>
        <v>JWDDCD2025092400212</v>
      </c>
      <c r="E4858" s="33" t="str">
        <f>VLOOKUP(F4858,辅助信息!A:B,2,FALSE)</f>
        <v>盘螺</v>
      </c>
      <c r="F4858" s="33" t="s">
        <v>41</v>
      </c>
      <c r="G4858" s="29">
        <v>40</v>
      </c>
      <c r="H4858" s="127"/>
      <c r="I4858" s="32" t="str">
        <f>VLOOKUP(B4858,辅助信息!E:I,3,FALSE)</f>
        <v>(五冶钢构龙泉东洪片区85亩住宅、商业及配套工程项目三标段)成都市龙泉驿外东洪路地铁2号线惠王陵地铁C口</v>
      </c>
      <c r="J4858" s="33" t="str">
        <f>VLOOKUP(B4858,辅助信息!E:I,4,FALSE)</f>
        <v>王军宝</v>
      </c>
      <c r="K4858" s="33">
        <f>VLOOKUP(J4858,辅助信息!H:I,2,FALSE)</f>
        <v>13889142392</v>
      </c>
      <c r="L4858" s="102">
        <f>VLOOKUP(B4858,辅助信息!E:J,6,FALSE)</f>
        <v>0</v>
      </c>
      <c r="M4858" s="84">
        <v>45950</v>
      </c>
      <c r="O4858" s="55">
        <f ca="1" t="shared" si="234"/>
        <v>0</v>
      </c>
      <c r="P4858" s="55">
        <f ca="1" t="shared" si="235"/>
        <v>7</v>
      </c>
      <c r="Q4858" s="22" t="str">
        <f>VLOOKUP(B4858,辅助信息!E:M,9,FALSE)</f>
        <v>ZTWM-CDGS-XS-2025-0156-五冶钢构-2025年九月第一批次钢筋采购合同(三圣乡项目)-中铁物贸成都公司</v>
      </c>
      <c r="R4858" s="22" t="str">
        <f>_xlfn._xlws.FILTER(辅助信息!D:D,辅助信息!E:E=B4858)</f>
        <v>五冶钢构龙泉东洪片区85亩住宅、商业及配套工程项目三标段</v>
      </c>
    </row>
    <row r="4859" hidden="1" spans="2:18">
      <c r="B4859" s="128" t="s">
        <v>229</v>
      </c>
      <c r="C4859" s="63">
        <v>45952</v>
      </c>
      <c r="D4859" s="33" t="str">
        <f>VLOOKUP(B4859,辅助信息!E:K,7,FALSE)</f>
        <v>JWDDCD2025092400212</v>
      </c>
      <c r="E4859" s="33" t="str">
        <f>VLOOKUP(F4859,辅助信息!A:B,2,FALSE)</f>
        <v>螺纹钢</v>
      </c>
      <c r="F4859" s="33" t="s">
        <v>27</v>
      </c>
      <c r="G4859" s="29">
        <v>57</v>
      </c>
      <c r="H4859" s="127"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2" t="str">
        <f>VLOOKUP(B4859,辅助信息!E:I,3,FALSE)</f>
        <v>(五冶钢构龙泉东洪片区85亩住宅、商业及配套工程项目三标段)成都市龙泉驿外东洪路地铁2号线惠王陵地铁C口</v>
      </c>
      <c r="J4859" s="33" t="str">
        <f>VLOOKUP(B4859,辅助信息!E:I,4,FALSE)</f>
        <v>王军宝</v>
      </c>
      <c r="K4859" s="33">
        <f>VLOOKUP(J4859,辅助信息!H:I,2,FALSE)</f>
        <v>13889142392</v>
      </c>
      <c r="L4859" s="102">
        <f>VLOOKUP(B4859,辅助信息!E:J,6,FALSE)</f>
        <v>0</v>
      </c>
      <c r="M4859" s="84">
        <v>45950</v>
      </c>
      <c r="O4859" s="55">
        <f ca="1" t="shared" si="234"/>
        <v>0</v>
      </c>
      <c r="P4859" s="55">
        <f ca="1" t="shared" si="235"/>
        <v>7</v>
      </c>
      <c r="Q4859" s="22" t="str">
        <f>VLOOKUP(B4859,辅助信息!E:M,9,FALSE)</f>
        <v>ZTWM-CDGS-XS-2025-0156-五冶钢构-2025年九月第一批次钢筋采购合同(三圣乡项目)-中铁物贸成都公司</v>
      </c>
      <c r="R4859" s="22" t="str">
        <f>_xlfn._xlws.FILTER(辅助信息!D:D,辅助信息!E:E=B4859)</f>
        <v>五冶钢构龙泉东洪片区85亩住宅、商业及配套工程项目三标段</v>
      </c>
    </row>
    <row r="4860" hidden="1" spans="2:18">
      <c r="B4860" s="128" t="s">
        <v>229</v>
      </c>
      <c r="C4860" s="63">
        <v>45952</v>
      </c>
      <c r="D4860" s="33" t="str">
        <f>VLOOKUP(B4860,辅助信息!E:K,7,FALSE)</f>
        <v>JWDDCD2025092400212</v>
      </c>
      <c r="E4860" s="33" t="str">
        <f>VLOOKUP(F4860,辅助信息!A:B,2,FALSE)</f>
        <v>螺纹钢</v>
      </c>
      <c r="F4860" s="33" t="s">
        <v>19</v>
      </c>
      <c r="G4860" s="29">
        <v>9</v>
      </c>
      <c r="H4860" s="127"/>
      <c r="I4860" s="32" t="str">
        <f>VLOOKUP(B4860,辅助信息!E:I,3,FALSE)</f>
        <v>(五冶钢构龙泉东洪片区85亩住宅、商业及配套工程项目三标段)成都市龙泉驿外东洪路地铁2号线惠王陵地铁C口</v>
      </c>
      <c r="J4860" s="33" t="str">
        <f>VLOOKUP(B4860,辅助信息!E:I,4,FALSE)</f>
        <v>王军宝</v>
      </c>
      <c r="K4860" s="33">
        <f>VLOOKUP(J4860,辅助信息!H:I,2,FALSE)</f>
        <v>13889142392</v>
      </c>
      <c r="L4860" s="102">
        <f>VLOOKUP(B4860,辅助信息!E:J,6,FALSE)</f>
        <v>0</v>
      </c>
      <c r="M4860" s="84">
        <v>45950</v>
      </c>
      <c r="O4860" s="55">
        <f ca="1" t="shared" si="234"/>
        <v>0</v>
      </c>
      <c r="P4860" s="55">
        <f ca="1" t="shared" si="235"/>
        <v>7</v>
      </c>
      <c r="Q4860" s="22" t="str">
        <f>VLOOKUP(B4860,辅助信息!E:M,9,FALSE)</f>
        <v>ZTWM-CDGS-XS-2025-0156-五冶钢构-2025年九月第一批次钢筋采购合同(三圣乡项目)-中铁物贸成都公司</v>
      </c>
      <c r="R4860" s="22" t="str">
        <f>_xlfn._xlws.FILTER(辅助信息!D:D,辅助信息!E:E=B4860)</f>
        <v>五冶钢构龙泉东洪片区85亩住宅、商业及配套工程项目三标段</v>
      </c>
    </row>
    <row r="4861" hidden="1" spans="2:18">
      <c r="B4861" s="128" t="s">
        <v>229</v>
      </c>
      <c r="C4861" s="63">
        <v>45952</v>
      </c>
      <c r="D4861" s="33" t="str">
        <f>VLOOKUP(B4861,辅助信息!E:K,7,FALSE)</f>
        <v>JWDDCD2025092400212</v>
      </c>
      <c r="E4861" s="33" t="str">
        <f>VLOOKUP(F4861,辅助信息!A:B,2,FALSE)</f>
        <v>螺纹钢</v>
      </c>
      <c r="F4861" s="33" t="s">
        <v>32</v>
      </c>
      <c r="G4861" s="29">
        <v>6</v>
      </c>
      <c r="H4861" s="127"/>
      <c r="I4861" s="32" t="str">
        <f>VLOOKUP(B4861,辅助信息!E:I,3,FALSE)</f>
        <v>(五冶钢构龙泉东洪片区85亩住宅、商业及配套工程项目三标段)成都市龙泉驿外东洪路地铁2号线惠王陵地铁C口</v>
      </c>
      <c r="J4861" s="33" t="str">
        <f>VLOOKUP(B4861,辅助信息!E:I,4,FALSE)</f>
        <v>王军宝</v>
      </c>
      <c r="K4861" s="33">
        <f>VLOOKUP(J4861,辅助信息!H:I,2,FALSE)</f>
        <v>13889142392</v>
      </c>
      <c r="L4861" s="102">
        <f>VLOOKUP(B4861,辅助信息!E:J,6,FALSE)</f>
        <v>0</v>
      </c>
      <c r="M4861" s="84">
        <v>45950</v>
      </c>
      <c r="O4861" s="55">
        <f ca="1" t="shared" si="234"/>
        <v>0</v>
      </c>
      <c r="P4861" s="55">
        <f ca="1" t="shared" si="235"/>
        <v>7</v>
      </c>
      <c r="Q4861" s="22" t="str">
        <f>VLOOKUP(B4861,辅助信息!E:M,9,FALSE)</f>
        <v>ZTWM-CDGS-XS-2025-0156-五冶钢构-2025年九月第一批次钢筋采购合同(三圣乡项目)-中铁物贸成都公司</v>
      </c>
      <c r="R4861" s="22" t="str">
        <f>_xlfn._xlws.FILTER(辅助信息!D:D,辅助信息!E:E=B4861)</f>
        <v>五冶钢构龙泉东洪片区85亩住宅、商业及配套工程项目三标段</v>
      </c>
    </row>
    <row r="4862" hidden="1" spans="2:18">
      <c r="B4862" s="128" t="s">
        <v>229</v>
      </c>
      <c r="C4862" s="63">
        <v>45952</v>
      </c>
      <c r="D4862" s="33" t="str">
        <f>VLOOKUP(B4862,辅助信息!E:K,7,FALSE)</f>
        <v>JWDDCD2025092400212</v>
      </c>
      <c r="E4862" s="33" t="str">
        <f>VLOOKUP(F4862,辅助信息!A:B,2,FALSE)</f>
        <v>螺纹钢</v>
      </c>
      <c r="F4862" s="33" t="s">
        <v>30</v>
      </c>
      <c r="G4862" s="29">
        <v>9</v>
      </c>
      <c r="H4862" s="127"/>
      <c r="I4862" s="32" t="str">
        <f>VLOOKUP(B4862,辅助信息!E:I,3,FALSE)</f>
        <v>(五冶钢构龙泉东洪片区85亩住宅、商业及配套工程项目三标段)成都市龙泉驿外东洪路地铁2号线惠王陵地铁C口</v>
      </c>
      <c r="J4862" s="33" t="str">
        <f>VLOOKUP(B4862,辅助信息!E:I,4,FALSE)</f>
        <v>王军宝</v>
      </c>
      <c r="K4862" s="33">
        <f>VLOOKUP(J4862,辅助信息!H:I,2,FALSE)</f>
        <v>13889142392</v>
      </c>
      <c r="L4862" s="102">
        <f>VLOOKUP(B4862,辅助信息!E:J,6,FALSE)</f>
        <v>0</v>
      </c>
      <c r="M4862" s="84">
        <v>45950</v>
      </c>
      <c r="O4862" s="55">
        <f ca="1" t="shared" si="234"/>
        <v>0</v>
      </c>
      <c r="P4862" s="55">
        <f ca="1" t="shared" si="235"/>
        <v>7</v>
      </c>
      <c r="Q4862" s="22" t="str">
        <f>VLOOKUP(B4862,辅助信息!E:M,9,FALSE)</f>
        <v>ZTWM-CDGS-XS-2025-0156-五冶钢构-2025年九月第一批次钢筋采购合同(三圣乡项目)-中铁物贸成都公司</v>
      </c>
      <c r="R4862" s="22" t="str">
        <f>_xlfn._xlws.FILTER(辅助信息!D:D,辅助信息!E:E=B4862)</f>
        <v>五冶钢构龙泉东洪片区85亩住宅、商业及配套工程项目三标段</v>
      </c>
    </row>
    <row r="4863" hidden="1" spans="2:18">
      <c r="B4863" s="128" t="s">
        <v>229</v>
      </c>
      <c r="C4863" s="63">
        <v>45952</v>
      </c>
      <c r="D4863" s="33" t="str">
        <f>VLOOKUP(B4863,辅助信息!E:K,7,FALSE)</f>
        <v>JWDDCD2025092400212</v>
      </c>
      <c r="E4863" s="33" t="str">
        <f>VLOOKUP(F4863,辅助信息!A:B,2,FALSE)</f>
        <v>螺纹钢</v>
      </c>
      <c r="F4863" s="33" t="s">
        <v>18</v>
      </c>
      <c r="G4863" s="29">
        <v>6</v>
      </c>
      <c r="H4863" s="127"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2" t="str">
        <f>VLOOKUP(B4863,辅助信息!E:I,3,FALSE)</f>
        <v>(五冶钢构龙泉东洪片区85亩住宅、商业及配套工程项目三标段)成都市龙泉驿外东洪路地铁2号线惠王陵地铁C口</v>
      </c>
      <c r="J4863" s="33" t="str">
        <f>VLOOKUP(B4863,辅助信息!E:I,4,FALSE)</f>
        <v>王军宝</v>
      </c>
      <c r="K4863" s="33">
        <f>VLOOKUP(J4863,辅助信息!H:I,2,FALSE)</f>
        <v>13889142392</v>
      </c>
      <c r="L4863" s="102">
        <f>VLOOKUP(B4863,辅助信息!E:J,6,FALSE)</f>
        <v>0</v>
      </c>
      <c r="M4863" s="84">
        <v>45950</v>
      </c>
      <c r="O4863" s="55">
        <f ca="1" t="shared" si="234"/>
        <v>0</v>
      </c>
      <c r="P4863" s="55">
        <f ca="1" t="shared" si="235"/>
        <v>7</v>
      </c>
      <c r="Q4863" s="22" t="str">
        <f>VLOOKUP(B4863,辅助信息!E:M,9,FALSE)</f>
        <v>ZTWM-CDGS-XS-2025-0156-五冶钢构-2025年九月第一批次钢筋采购合同(三圣乡项目)-中铁物贸成都公司</v>
      </c>
      <c r="R4863" s="22" t="str">
        <f>_xlfn._xlws.FILTER(辅助信息!D:D,辅助信息!E:E=B4863)</f>
        <v>五冶钢构龙泉东洪片区85亩住宅、商业及配套工程项目三标段</v>
      </c>
    </row>
    <row r="4864" hidden="1" spans="2:18">
      <c r="B4864" s="128" t="s">
        <v>229</v>
      </c>
      <c r="C4864" s="63">
        <v>45952</v>
      </c>
      <c r="D4864" s="33" t="str">
        <f>VLOOKUP(B4864,辅助信息!E:K,7,FALSE)</f>
        <v>JWDDCD2025092400212</v>
      </c>
      <c r="E4864" s="33" t="str">
        <f>VLOOKUP(F4864,辅助信息!A:B,2,FALSE)</f>
        <v>螺纹钢</v>
      </c>
      <c r="F4864" s="33" t="s">
        <v>66</v>
      </c>
      <c r="G4864" s="29">
        <v>6</v>
      </c>
      <c r="H4864" s="127"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2" t="str">
        <f>VLOOKUP(B4864,辅助信息!E:I,3,FALSE)</f>
        <v>(五冶钢构龙泉东洪片区85亩住宅、商业及配套工程项目三标段)成都市龙泉驿外东洪路地铁2号线惠王陵地铁C口</v>
      </c>
      <c r="J4864" s="33" t="str">
        <f>VLOOKUP(B4864,辅助信息!E:I,4,FALSE)</f>
        <v>王军宝</v>
      </c>
      <c r="K4864" s="33">
        <f>VLOOKUP(J4864,辅助信息!H:I,2,FALSE)</f>
        <v>13889142392</v>
      </c>
      <c r="L4864" s="102">
        <f>VLOOKUP(B4864,辅助信息!E:J,6,FALSE)</f>
        <v>0</v>
      </c>
      <c r="M4864" s="84">
        <v>45950</v>
      </c>
      <c r="O4864" s="55">
        <f ca="1" t="shared" si="234"/>
        <v>0</v>
      </c>
      <c r="P4864" s="55">
        <f ca="1" t="shared" si="235"/>
        <v>7</v>
      </c>
      <c r="Q4864" s="22" t="str">
        <f>VLOOKUP(B4864,辅助信息!E:M,9,FALSE)</f>
        <v>ZTWM-CDGS-XS-2025-0156-五冶钢构-2025年九月第一批次钢筋采购合同(三圣乡项目)-中铁物贸成都公司</v>
      </c>
      <c r="R4864" s="22" t="str">
        <f>_xlfn._xlws.FILTER(辅助信息!D:D,辅助信息!E:E=B4864)</f>
        <v>五冶钢构龙泉东洪片区85亩住宅、商业及配套工程项目三标段</v>
      </c>
    </row>
    <row r="4865" hidden="1" spans="2:18">
      <c r="B4865" s="128" t="s">
        <v>229</v>
      </c>
      <c r="C4865" s="63">
        <v>45952</v>
      </c>
      <c r="D4865" s="33" t="str">
        <f>VLOOKUP(B4865,辅助信息!E:K,7,FALSE)</f>
        <v>JWDDCD2025092400212</v>
      </c>
      <c r="E4865" s="33" t="str">
        <f>VLOOKUP(F4865,辅助信息!A:B,2,FALSE)</f>
        <v>螺纹钢</v>
      </c>
      <c r="F4865" s="33" t="s">
        <v>58</v>
      </c>
      <c r="G4865" s="29">
        <v>6</v>
      </c>
      <c r="H4865" s="127"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2" t="str">
        <f>VLOOKUP(B4865,辅助信息!E:I,3,FALSE)</f>
        <v>(五冶钢构龙泉东洪片区85亩住宅、商业及配套工程项目三标段)成都市龙泉驿外东洪路地铁2号线惠王陵地铁C口</v>
      </c>
      <c r="J4865" s="33" t="str">
        <f>VLOOKUP(B4865,辅助信息!E:I,4,FALSE)</f>
        <v>王军宝</v>
      </c>
      <c r="K4865" s="33">
        <f>VLOOKUP(J4865,辅助信息!H:I,2,FALSE)</f>
        <v>13889142392</v>
      </c>
      <c r="L4865" s="102">
        <f>VLOOKUP(B4865,辅助信息!E:J,6,FALSE)</f>
        <v>0</v>
      </c>
      <c r="M4865" s="84">
        <v>45950</v>
      </c>
      <c r="O4865" s="55">
        <f ca="1" t="shared" si="234"/>
        <v>0</v>
      </c>
      <c r="P4865" s="55">
        <f ca="1" t="shared" si="235"/>
        <v>7</v>
      </c>
      <c r="Q4865" s="22" t="str">
        <f>VLOOKUP(B4865,辅助信息!E:M,9,FALSE)</f>
        <v>ZTWM-CDGS-XS-2025-0156-五冶钢构-2025年九月第一批次钢筋采购合同(三圣乡项目)-中铁物贸成都公司</v>
      </c>
      <c r="R4865" s="22" t="str">
        <f>_xlfn._xlws.FILTER(辅助信息!D:D,辅助信息!E:E=B4865)</f>
        <v>五冶钢构龙泉东洪片区85亩住宅、商业及配套工程项目三标段</v>
      </c>
    </row>
    <row r="4866" hidden="1" spans="2:18">
      <c r="B4866" s="128" t="s">
        <v>229</v>
      </c>
      <c r="C4866" s="63">
        <v>45952</v>
      </c>
      <c r="D4866" s="33" t="str">
        <f>VLOOKUP(B4866,辅助信息!E:K,7,FALSE)</f>
        <v>JWDDCD2025092400212</v>
      </c>
      <c r="E4866" s="33" t="str">
        <f>VLOOKUP(F4866,辅助信息!A:B,2,FALSE)</f>
        <v>螺纹钢</v>
      </c>
      <c r="F4866" s="33" t="s">
        <v>46</v>
      </c>
      <c r="G4866" s="29">
        <v>9</v>
      </c>
      <c r="H4866" s="127"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2" t="str">
        <f>VLOOKUP(B4866,辅助信息!E:I,3,FALSE)</f>
        <v>(五冶钢构龙泉东洪片区85亩住宅、商业及配套工程项目三标段)成都市龙泉驿外东洪路地铁2号线惠王陵地铁C口</v>
      </c>
      <c r="J4866" s="33" t="str">
        <f>VLOOKUP(B4866,辅助信息!E:I,4,FALSE)</f>
        <v>王军宝</v>
      </c>
      <c r="K4866" s="33">
        <f>VLOOKUP(J4866,辅助信息!H:I,2,FALSE)</f>
        <v>13889142392</v>
      </c>
      <c r="L4866" s="102">
        <f>VLOOKUP(B4866,辅助信息!E:J,6,FALSE)</f>
        <v>0</v>
      </c>
      <c r="M4866" s="84">
        <v>45950</v>
      </c>
      <c r="O4866" s="55">
        <f ca="1" t="shared" si="234"/>
        <v>0</v>
      </c>
      <c r="P4866" s="55">
        <f ca="1" t="shared" si="235"/>
        <v>7</v>
      </c>
      <c r="Q4866" s="22" t="str">
        <f>VLOOKUP(B4866,辅助信息!E:M,9,FALSE)</f>
        <v>ZTWM-CDGS-XS-2025-0156-五冶钢构-2025年九月第一批次钢筋采购合同(三圣乡项目)-中铁物贸成都公司</v>
      </c>
      <c r="R4866" s="22" t="str">
        <f>_xlfn._xlws.FILTER(辅助信息!D:D,辅助信息!E:E=B4866)</f>
        <v>五冶钢构龙泉东洪片区85亩住宅、商业及配套工程项目三标段</v>
      </c>
    </row>
    <row r="4867" hidden="1" spans="2:18">
      <c r="B4867" s="128" t="s">
        <v>229</v>
      </c>
      <c r="C4867" s="63">
        <v>45952</v>
      </c>
      <c r="D4867" s="33" t="str">
        <f>VLOOKUP(B4867,辅助信息!E:K,7,FALSE)</f>
        <v>JWDDCD2025092400212</v>
      </c>
      <c r="E4867" s="33" t="str">
        <f>VLOOKUP(F4867,辅助信息!A:B,2,FALSE)</f>
        <v>螺纹钢</v>
      </c>
      <c r="F4867" s="33" t="s">
        <v>22</v>
      </c>
      <c r="G4867" s="29">
        <v>21</v>
      </c>
      <c r="H4867" s="127"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2" t="str">
        <f>VLOOKUP(B4867,辅助信息!E:I,3,FALSE)</f>
        <v>(五冶钢构龙泉东洪片区85亩住宅、商业及配套工程项目三标段)成都市龙泉驿外东洪路地铁2号线惠王陵地铁C口</v>
      </c>
      <c r="J4867" s="33" t="str">
        <f>VLOOKUP(B4867,辅助信息!E:I,4,FALSE)</f>
        <v>王军宝</v>
      </c>
      <c r="K4867" s="33">
        <f>VLOOKUP(J4867,辅助信息!H:I,2,FALSE)</f>
        <v>13889142392</v>
      </c>
      <c r="L4867" s="102">
        <f>VLOOKUP(B4867,辅助信息!E:J,6,FALSE)</f>
        <v>0</v>
      </c>
      <c r="M4867" s="84">
        <v>45950</v>
      </c>
      <c r="O4867" s="55">
        <f ca="1" t="shared" si="234"/>
        <v>0</v>
      </c>
      <c r="P4867" s="55">
        <f ca="1" t="shared" si="235"/>
        <v>7</v>
      </c>
      <c r="Q4867" s="22" t="str">
        <f>VLOOKUP(B4867,辅助信息!E:M,9,FALSE)</f>
        <v>ZTWM-CDGS-XS-2025-0156-五冶钢构-2025年九月第一批次钢筋采购合同(三圣乡项目)-中铁物贸成都公司</v>
      </c>
      <c r="R4867" s="22" t="str">
        <f>_xlfn._xlws.FILTER(辅助信息!D:D,辅助信息!E:E=B4867)</f>
        <v>五冶钢构龙泉东洪片区85亩住宅、商业及配套工程项目三标段</v>
      </c>
    </row>
    <row r="4868" hidden="1" spans="2:18">
      <c r="B4868" s="128" t="s">
        <v>203</v>
      </c>
      <c r="C4868" s="63">
        <v>45953</v>
      </c>
      <c r="D4868" s="33" t="str">
        <f>VLOOKUP(B4868,辅助信息!E:K,7,FALSE)</f>
        <v>JWDDCD2025102100479</v>
      </c>
      <c r="E4868" s="33" t="str">
        <f>VLOOKUP(F4868,辅助信息!A:B,2,FALSE)</f>
        <v>高线</v>
      </c>
      <c r="F4868" s="33" t="s">
        <v>57</v>
      </c>
      <c r="G4868" s="29">
        <v>4</v>
      </c>
      <c r="H4868" s="127">
        <f>IF(SUMIFS('[1]2025年已发货'!$E:$E,'[1]2025年已发货'!$F:$F,C4868,'[1]2025年已发货'!$C:$C,F4868,'[1]2025年已发货'!$G:$G,I4868,'[1]2025年已发货'!$H:$H,J4868)=0,"未发货",SUMIFS('[1]2025年已发货'!$E:$E,'[1]2025年已发货'!$F:$F,C4868,'[1]2025年已发货'!$C:$C,F4868,'[1]2025年已发货'!$G:$G,I4868,'[1]2025年已发货'!$H:$H,J4868))</f>
        <v>5</v>
      </c>
      <c r="I4868" s="33" t="str">
        <f>VLOOKUP(B4868,辅助信息!E:I,3,FALSE)</f>
        <v>(五冶建设空港兴城怡心街道83亩项目)成都市双流区怡心街道高峰社区一组剑和路一段空港兴城怡心街道83亩项目中国五冶项目部</v>
      </c>
      <c r="J4868" s="33" t="str">
        <f>VLOOKUP(B4868,辅助信息!E:I,4,FALSE)</f>
        <v>王刚</v>
      </c>
      <c r="K4868" s="33">
        <f>VLOOKUP(J4868,辅助信息!H:I,2,FALSE)</f>
        <v>15881190525</v>
      </c>
      <c r="L4868" s="102"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55" t="str">
        <f ca="1" t="shared" si="234"/>
        <v/>
      </c>
      <c r="P4868" s="55" t="str">
        <f ca="1" t="shared" si="235"/>
        <v/>
      </c>
      <c r="Q4868" s="22" t="str">
        <f>VLOOKUP(B4868,辅助信息!E:M,9,FALSE)</f>
        <v>ZTWM-CDGS-XS-2025-0073-五冶天府-成都怡心湖片区及龙泉驿医院等项目</v>
      </c>
      <c r="R4868" s="22" t="str">
        <f>_xlfn._xlws.FILTER(辅助信息!D:D,辅助信息!E:E=B4868)</f>
        <v>五冶建设空港兴城怡心街道83亩项目</v>
      </c>
    </row>
    <row r="4869" hidden="1" spans="2:18">
      <c r="B4869" s="128" t="s">
        <v>203</v>
      </c>
      <c r="C4869" s="63">
        <v>45953</v>
      </c>
      <c r="D4869" s="33" t="str">
        <f>VLOOKUP(B4869,辅助信息!E:K,7,FALSE)</f>
        <v>JWDDCD2025102100479</v>
      </c>
      <c r="E4869" s="33" t="str">
        <f>VLOOKUP(F4869,辅助信息!A:B,2,FALSE)</f>
        <v>盘螺</v>
      </c>
      <c r="F4869" s="33" t="s">
        <v>40</v>
      </c>
      <c r="G4869" s="29">
        <v>8</v>
      </c>
      <c r="H4869" s="127">
        <f>IF(SUMIFS('[1]2025年已发货'!$E:$E,'[1]2025年已发货'!$F:$F,C4869,'[1]2025年已发货'!$C:$C,F4869,'[1]2025年已发货'!$G:$G,I4869,'[1]2025年已发货'!$H:$H,J4869)=0,"未发货",SUMIFS('[1]2025年已发货'!$E:$E,'[1]2025年已发货'!$F:$F,C4869,'[1]2025年已发货'!$C:$C,F4869,'[1]2025年已发货'!$G:$G,I4869,'[1]2025年已发货'!$H:$H,J4869))</f>
        <v>7.5</v>
      </c>
      <c r="I4869" s="33" t="str">
        <f>VLOOKUP(B4869,辅助信息!E:I,3,FALSE)</f>
        <v>(五冶建设空港兴城怡心街道83亩项目)成都市双流区怡心街道高峰社区一组剑和路一段空港兴城怡心街道83亩项目中国五冶项目部</v>
      </c>
      <c r="J4869" s="33" t="str">
        <f>VLOOKUP(B4869,辅助信息!E:I,4,FALSE)</f>
        <v>王刚</v>
      </c>
      <c r="K4869" s="33">
        <f>VLOOKUP(J4869,辅助信息!H:I,2,FALSE)</f>
        <v>15881190525</v>
      </c>
      <c r="L4869" s="102"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55" t="str">
        <f ca="1" t="shared" si="234"/>
        <v/>
      </c>
      <c r="P4869" s="55" t="str">
        <f ca="1" t="shared" si="235"/>
        <v/>
      </c>
      <c r="Q4869" s="22" t="str">
        <f>VLOOKUP(B4869,辅助信息!E:M,9,FALSE)</f>
        <v>ZTWM-CDGS-XS-2025-0073-五冶天府-成都怡心湖片区及龙泉驿医院等项目</v>
      </c>
      <c r="R4869" s="22" t="str">
        <f>_xlfn._xlws.FILTER(辅助信息!D:D,辅助信息!E:E=B4869)</f>
        <v>五冶建设空港兴城怡心街道83亩项目</v>
      </c>
    </row>
    <row r="4870" hidden="1" spans="2:18">
      <c r="B4870" s="128" t="s">
        <v>203</v>
      </c>
      <c r="C4870" s="63">
        <v>45953</v>
      </c>
      <c r="D4870" s="33" t="str">
        <f>VLOOKUP(B4870,辅助信息!E:K,7,FALSE)</f>
        <v>JWDDCD2025102100479</v>
      </c>
      <c r="E4870" s="33" t="str">
        <f>VLOOKUP(F4870,辅助信息!A:B,2,FALSE)</f>
        <v>螺纹钢</v>
      </c>
      <c r="F4870" s="33" t="s">
        <v>27</v>
      </c>
      <c r="G4870" s="29">
        <v>32</v>
      </c>
      <c r="H4870" s="127">
        <f>IF(SUMIFS('[1]2025年已发货'!$E:$E,'[1]2025年已发货'!$F:$F,C4870,'[1]2025年已发货'!$C:$C,F4870,'[1]2025年已发货'!$G:$G,I4870,'[1]2025年已发货'!$H:$H,J4870)=0,"未发货",SUMIFS('[1]2025年已发货'!$E:$E,'[1]2025年已发货'!$F:$F,C4870,'[1]2025年已发货'!$C:$C,F4870,'[1]2025年已发货'!$G:$G,I4870,'[1]2025年已发货'!$H:$H,J4870))</f>
        <v>30</v>
      </c>
      <c r="I4870" s="33" t="str">
        <f>VLOOKUP(B4870,辅助信息!E:I,3,FALSE)</f>
        <v>(五冶建设空港兴城怡心街道83亩项目)成都市双流区怡心街道高峰社区一组剑和路一段空港兴城怡心街道83亩项目中国五冶项目部</v>
      </c>
      <c r="J4870" s="33" t="str">
        <f>VLOOKUP(B4870,辅助信息!E:I,4,FALSE)</f>
        <v>王刚</v>
      </c>
      <c r="K4870" s="33">
        <f>VLOOKUP(J4870,辅助信息!H:I,2,FALSE)</f>
        <v>15881190525</v>
      </c>
      <c r="L4870" s="102"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55" t="str">
        <f ca="1" t="shared" si="234"/>
        <v/>
      </c>
      <c r="P4870" s="55" t="str">
        <f ca="1" t="shared" si="235"/>
        <v/>
      </c>
      <c r="Q4870" s="22" t="str">
        <f>VLOOKUP(B4870,辅助信息!E:M,9,FALSE)</f>
        <v>ZTWM-CDGS-XS-2025-0073-五冶天府-成都怡心湖片区及龙泉驿医院等项目</v>
      </c>
      <c r="R4870" s="22" t="str">
        <f>_xlfn._xlws.FILTER(辅助信息!D:D,辅助信息!E:E=B4870)</f>
        <v>五冶建设空港兴城怡心街道83亩项目</v>
      </c>
    </row>
    <row r="4871" hidden="1" spans="2:18">
      <c r="B4871" s="128" t="s">
        <v>203</v>
      </c>
      <c r="C4871" s="63">
        <v>45953</v>
      </c>
      <c r="D4871" s="33" t="str">
        <f>VLOOKUP(B4871,辅助信息!E:K,7,FALSE)</f>
        <v>JWDDCD2025102100479</v>
      </c>
      <c r="E4871" s="33" t="str">
        <f>VLOOKUP(F4871,辅助信息!A:B,2,FALSE)</f>
        <v>螺纹钢</v>
      </c>
      <c r="F4871" s="33" t="s">
        <v>19</v>
      </c>
      <c r="G4871" s="29">
        <v>42</v>
      </c>
      <c r="H4871" s="127">
        <f>IF(SUMIFS('[1]2025年已发货'!$E:$E,'[1]2025年已发货'!$F:$F,C4871,'[1]2025年已发货'!$C:$C,F4871,'[1]2025年已发货'!$G:$G,I4871,'[1]2025年已发货'!$H:$H,J4871)=0,"未发货",SUMIFS('[1]2025年已发货'!$E:$E,'[1]2025年已发货'!$F:$F,C4871,'[1]2025年已发货'!$C:$C,F4871,'[1]2025年已发货'!$G:$G,I4871,'[1]2025年已发货'!$H:$H,J4871))</f>
        <v>42</v>
      </c>
      <c r="I4871" s="33" t="str">
        <f>VLOOKUP(B4871,辅助信息!E:I,3,FALSE)</f>
        <v>(五冶建设空港兴城怡心街道83亩项目)成都市双流区怡心街道高峰社区一组剑和路一段空港兴城怡心街道83亩项目中国五冶项目部</v>
      </c>
      <c r="J4871" s="33" t="str">
        <f>VLOOKUP(B4871,辅助信息!E:I,4,FALSE)</f>
        <v>王刚</v>
      </c>
      <c r="K4871" s="33">
        <f>VLOOKUP(J4871,辅助信息!H:I,2,FALSE)</f>
        <v>15881190525</v>
      </c>
      <c r="L4871" s="102"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55" t="str">
        <f ca="1" t="shared" si="234"/>
        <v/>
      </c>
      <c r="P4871" s="55" t="str">
        <f ca="1" t="shared" si="235"/>
        <v/>
      </c>
      <c r="Q4871" s="22" t="str">
        <f>VLOOKUP(B4871,辅助信息!E:M,9,FALSE)</f>
        <v>ZTWM-CDGS-XS-2025-0073-五冶天府-成都怡心湖片区及龙泉驿医院等项目</v>
      </c>
      <c r="R4871" s="22" t="str">
        <f>_xlfn._xlws.FILTER(辅助信息!D:D,辅助信息!E:E=B4871)</f>
        <v>五冶建设空港兴城怡心街道83亩项目</v>
      </c>
    </row>
    <row r="4872" hidden="1" spans="2:18">
      <c r="B4872" s="128" t="s">
        <v>203</v>
      </c>
      <c r="C4872" s="63">
        <v>45953</v>
      </c>
      <c r="D4872" s="33" t="str">
        <f>VLOOKUP(B4872,辅助信息!E:K,7,FALSE)</f>
        <v>JWDDCD2025102100479</v>
      </c>
      <c r="E4872" s="33" t="str">
        <f>VLOOKUP(F4872,辅助信息!A:B,2,FALSE)</f>
        <v>螺纹钢</v>
      </c>
      <c r="F4872" s="33" t="s">
        <v>32</v>
      </c>
      <c r="G4872" s="29">
        <v>10</v>
      </c>
      <c r="H4872" s="127">
        <f>IF(SUMIFS('[1]2025年已发货'!$E:$E,'[1]2025年已发货'!$F:$F,C4872,'[1]2025年已发货'!$C:$C,F4872,'[1]2025年已发货'!$G:$G,I4872,'[1]2025年已发货'!$H:$H,J4872)=0,"未发货",SUMIFS('[1]2025年已发货'!$E:$E,'[1]2025年已发货'!$F:$F,C4872,'[1]2025年已发货'!$C:$C,F4872,'[1]2025年已发货'!$G:$G,I4872,'[1]2025年已发货'!$H:$H,J4872))</f>
        <v>10</v>
      </c>
      <c r="I4872" s="33" t="str">
        <f>VLOOKUP(B4872,辅助信息!E:I,3,FALSE)</f>
        <v>(五冶建设空港兴城怡心街道83亩项目)成都市双流区怡心街道高峰社区一组剑和路一段空港兴城怡心街道83亩项目中国五冶项目部</v>
      </c>
      <c r="J4872" s="33" t="str">
        <f>VLOOKUP(B4872,辅助信息!E:I,4,FALSE)</f>
        <v>王刚</v>
      </c>
      <c r="K4872" s="33">
        <f>VLOOKUP(J4872,辅助信息!H:I,2,FALSE)</f>
        <v>15881190525</v>
      </c>
      <c r="L4872" s="102"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55" t="str">
        <f ca="1" t="shared" si="234"/>
        <v/>
      </c>
      <c r="P4872" s="55" t="str">
        <f ca="1" t="shared" si="235"/>
        <v/>
      </c>
      <c r="Q4872" s="22" t="str">
        <f>VLOOKUP(B4872,辅助信息!E:M,9,FALSE)</f>
        <v>ZTWM-CDGS-XS-2025-0073-五冶天府-成都怡心湖片区及龙泉驿医院等项目</v>
      </c>
      <c r="R4872" s="22" t="str">
        <f>_xlfn._xlws.FILTER(辅助信息!D:D,辅助信息!E:E=B4872)</f>
        <v>五冶建设空港兴城怡心街道83亩项目</v>
      </c>
    </row>
    <row r="4873" hidden="1" spans="2:18">
      <c r="B4873" s="128" t="s">
        <v>203</v>
      </c>
      <c r="C4873" s="63">
        <v>45953</v>
      </c>
      <c r="D4873" s="33" t="str">
        <f>VLOOKUP(B4873,辅助信息!E:K,7,FALSE)</f>
        <v>JWDDCD2025102100479</v>
      </c>
      <c r="E4873" s="33" t="str">
        <f>VLOOKUP(F4873,辅助信息!A:B,2,FALSE)</f>
        <v>螺纹钢</v>
      </c>
      <c r="F4873" s="33" t="s">
        <v>30</v>
      </c>
      <c r="G4873" s="29">
        <v>20</v>
      </c>
      <c r="H4873" s="127">
        <f>IF(SUMIFS('[1]2025年已发货'!$E:$E,'[1]2025年已发货'!$F:$F,C4873,'[1]2025年已发货'!$C:$C,F4873,'[1]2025年已发货'!$G:$G,I4873,'[1]2025年已发货'!$H:$H,J4873)=0,"未发货",SUMIFS('[1]2025年已发货'!$E:$E,'[1]2025年已发货'!$F:$F,C4873,'[1]2025年已发货'!$C:$C,F4873,'[1]2025年已发货'!$G:$G,I4873,'[1]2025年已发货'!$H:$H,J4873))</f>
        <v>20</v>
      </c>
      <c r="I4873" s="33" t="str">
        <f>VLOOKUP(B4873,辅助信息!E:I,3,FALSE)</f>
        <v>(五冶建设空港兴城怡心街道83亩项目)成都市双流区怡心街道高峰社区一组剑和路一段空港兴城怡心街道83亩项目中国五冶项目部</v>
      </c>
      <c r="J4873" s="33" t="str">
        <f>VLOOKUP(B4873,辅助信息!E:I,4,FALSE)</f>
        <v>王刚</v>
      </c>
      <c r="K4873" s="33">
        <f>VLOOKUP(J4873,辅助信息!H:I,2,FALSE)</f>
        <v>15881190525</v>
      </c>
      <c r="L4873" s="102"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55" t="str">
        <f ca="1" t="shared" si="234"/>
        <v/>
      </c>
      <c r="P4873" s="55" t="str">
        <f ca="1" t="shared" si="235"/>
        <v/>
      </c>
      <c r="Q4873" s="22" t="str">
        <f>VLOOKUP(B4873,辅助信息!E:M,9,FALSE)</f>
        <v>ZTWM-CDGS-XS-2025-0073-五冶天府-成都怡心湖片区及龙泉驿医院等项目</v>
      </c>
      <c r="R4873" s="22" t="str">
        <f>_xlfn._xlws.FILTER(辅助信息!D:D,辅助信息!E:E=B4873)</f>
        <v>五冶建设空港兴城怡心街道83亩项目</v>
      </c>
    </row>
    <row r="4874" hidden="1" spans="2:18">
      <c r="B4874" s="128" t="s">
        <v>203</v>
      </c>
      <c r="C4874" s="63">
        <v>45953</v>
      </c>
      <c r="D4874" s="33" t="str">
        <f>VLOOKUP(B4874,辅助信息!E:K,7,FALSE)</f>
        <v>JWDDCD2025102100479</v>
      </c>
      <c r="E4874" s="33" t="str">
        <f>VLOOKUP(F4874,辅助信息!A:B,2,FALSE)</f>
        <v>螺纹钢</v>
      </c>
      <c r="F4874" s="33" t="s">
        <v>33</v>
      </c>
      <c r="G4874" s="29">
        <v>30</v>
      </c>
      <c r="H4874" s="127">
        <f>IF(SUMIFS('[1]2025年已发货'!$E:$E,'[1]2025年已发货'!$F:$F,C4874,'[1]2025年已发货'!$C:$C,F4874,'[1]2025年已发货'!$G:$G,I4874,'[1]2025年已发货'!$H:$H,J4874)=0,"未发货",SUMIFS('[1]2025年已发货'!$E:$E,'[1]2025年已发货'!$F:$F,C4874,'[1]2025年已发货'!$C:$C,F4874,'[1]2025年已发货'!$G:$G,I4874,'[1]2025年已发货'!$H:$H,J4874))</f>
        <v>30</v>
      </c>
      <c r="I4874" s="33" t="str">
        <f>VLOOKUP(B4874,辅助信息!E:I,3,FALSE)</f>
        <v>(五冶建设空港兴城怡心街道83亩项目)成都市双流区怡心街道高峰社区一组剑和路一段空港兴城怡心街道83亩项目中国五冶项目部</v>
      </c>
      <c r="J4874" s="33" t="str">
        <f>VLOOKUP(B4874,辅助信息!E:I,4,FALSE)</f>
        <v>王刚</v>
      </c>
      <c r="K4874" s="33">
        <f>VLOOKUP(J4874,辅助信息!H:I,2,FALSE)</f>
        <v>15881190525</v>
      </c>
      <c r="L4874" s="102"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55" t="str">
        <f ca="1" t="shared" si="234"/>
        <v/>
      </c>
      <c r="P4874" s="55" t="str">
        <f ca="1" t="shared" si="235"/>
        <v/>
      </c>
      <c r="Q4874" s="22" t="str">
        <f>VLOOKUP(B4874,辅助信息!E:M,9,FALSE)</f>
        <v>ZTWM-CDGS-XS-2025-0073-五冶天府-成都怡心湖片区及龙泉驿医院等项目</v>
      </c>
      <c r="R4874" s="22" t="str">
        <f>_xlfn._xlws.FILTER(辅助信息!D:D,辅助信息!E:E=B4874)</f>
        <v>五冶建设空港兴城怡心街道83亩项目</v>
      </c>
    </row>
    <row r="4875" hidden="1" spans="2:18">
      <c r="B4875" s="128" t="s">
        <v>203</v>
      </c>
      <c r="C4875" s="63">
        <v>45953</v>
      </c>
      <c r="D4875" s="33" t="str">
        <f>VLOOKUP(B4875,辅助信息!E:K,7,FALSE)</f>
        <v>JWDDCD2025102100479</v>
      </c>
      <c r="E4875" s="33" t="str">
        <f>VLOOKUP(F4875,辅助信息!A:B,2,FALSE)</f>
        <v>螺纹钢</v>
      </c>
      <c r="F4875" s="33" t="s">
        <v>28</v>
      </c>
      <c r="G4875" s="29">
        <v>5</v>
      </c>
      <c r="H4875" s="127">
        <f>IF(SUMIFS('[1]2025年已发货'!$E:$E,'[1]2025年已发货'!$F:$F,C4875,'[1]2025年已发货'!$C:$C,F4875,'[1]2025年已发货'!$G:$G,I4875,'[1]2025年已发货'!$H:$H,J4875)=0,"未发货",SUMIFS('[1]2025年已发货'!$E:$E,'[1]2025年已发货'!$F:$F,C4875,'[1]2025年已发货'!$C:$C,F4875,'[1]2025年已发货'!$G:$G,I4875,'[1]2025年已发货'!$H:$H,J4875))</f>
        <v>5</v>
      </c>
      <c r="I4875" s="33" t="str">
        <f>VLOOKUP(B4875,辅助信息!E:I,3,FALSE)</f>
        <v>(五冶建设空港兴城怡心街道83亩项目)成都市双流区怡心街道高峰社区一组剑和路一段空港兴城怡心街道83亩项目中国五冶项目部</v>
      </c>
      <c r="J4875" s="33" t="str">
        <f>VLOOKUP(B4875,辅助信息!E:I,4,FALSE)</f>
        <v>王刚</v>
      </c>
      <c r="K4875" s="33">
        <f>VLOOKUP(J4875,辅助信息!H:I,2,FALSE)</f>
        <v>15881190525</v>
      </c>
      <c r="L4875" s="102"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55" t="str">
        <f ca="1" t="shared" si="234"/>
        <v/>
      </c>
      <c r="P4875" s="55" t="str">
        <f ca="1" t="shared" si="235"/>
        <v/>
      </c>
      <c r="Q4875" s="22" t="str">
        <f>VLOOKUP(B4875,辅助信息!E:M,9,FALSE)</f>
        <v>ZTWM-CDGS-XS-2025-0073-五冶天府-成都怡心湖片区及龙泉驿医院等项目</v>
      </c>
      <c r="R4875" s="22" t="str">
        <f>_xlfn._xlws.FILTER(辅助信息!D:D,辅助信息!E:E=B4875)</f>
        <v>五冶建设空港兴城怡心街道83亩项目</v>
      </c>
    </row>
    <row r="4876" hidden="1" spans="2:18">
      <c r="B4876" s="128" t="s">
        <v>203</v>
      </c>
      <c r="C4876" s="63">
        <v>45953</v>
      </c>
      <c r="D4876" s="33" t="str">
        <f>VLOOKUP(B4876,辅助信息!E:K,7,FALSE)</f>
        <v>JWDDCD2025102100479</v>
      </c>
      <c r="E4876" s="33" t="str">
        <f>VLOOKUP(F4876,辅助信息!A:B,2,FALSE)</f>
        <v>螺纹钢</v>
      </c>
      <c r="F4876" s="33" t="s">
        <v>18</v>
      </c>
      <c r="G4876" s="29">
        <v>5</v>
      </c>
      <c r="H4876" s="127">
        <f>IF(SUMIFS('[1]2025年已发货'!$E:$E,'[1]2025年已发货'!$F:$F,C4876,'[1]2025年已发货'!$C:$C,F4876,'[1]2025年已发货'!$G:$G,I4876,'[1]2025年已发货'!$H:$H,J4876)=0,"未发货",SUMIFS('[1]2025年已发货'!$E:$E,'[1]2025年已发货'!$F:$F,C4876,'[1]2025年已发货'!$C:$C,F4876,'[1]2025年已发货'!$G:$G,I4876,'[1]2025年已发货'!$H:$H,J4876))</f>
        <v>5</v>
      </c>
      <c r="I4876" s="33" t="str">
        <f>VLOOKUP(B4876,辅助信息!E:I,3,FALSE)</f>
        <v>(五冶建设空港兴城怡心街道83亩项目)成都市双流区怡心街道高峰社区一组剑和路一段空港兴城怡心街道83亩项目中国五冶项目部</v>
      </c>
      <c r="J4876" s="33" t="str">
        <f>VLOOKUP(B4876,辅助信息!E:I,4,FALSE)</f>
        <v>王刚</v>
      </c>
      <c r="K4876" s="33">
        <f>VLOOKUP(J4876,辅助信息!H:I,2,FALSE)</f>
        <v>15881190525</v>
      </c>
      <c r="L4876" s="102"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55" t="str">
        <f ca="1" t="shared" si="234"/>
        <v/>
      </c>
      <c r="P4876" s="55" t="str">
        <f ca="1" t="shared" si="235"/>
        <v/>
      </c>
      <c r="Q4876" s="22" t="str">
        <f>VLOOKUP(B4876,辅助信息!E:M,9,FALSE)</f>
        <v>ZTWM-CDGS-XS-2025-0073-五冶天府-成都怡心湖片区及龙泉驿医院等项目</v>
      </c>
      <c r="R4876" s="22" t="str">
        <f>_xlfn._xlws.FILTER(辅助信息!D:D,辅助信息!E:E=B4876)</f>
        <v>五冶建设空港兴城怡心街道83亩项目</v>
      </c>
    </row>
    <row r="4877" hidden="1" spans="2:18">
      <c r="B4877" s="128" t="s">
        <v>203</v>
      </c>
      <c r="C4877" s="63">
        <v>45953</v>
      </c>
      <c r="D4877" s="33" t="str">
        <f>VLOOKUP(B4877,辅助信息!E:K,7,FALSE)</f>
        <v>JWDDCD2025102100479</v>
      </c>
      <c r="E4877" s="33" t="str">
        <f>VLOOKUP(F4877,辅助信息!A:B,2,FALSE)</f>
        <v>螺纹钢</v>
      </c>
      <c r="F4877" s="33" t="s">
        <v>66</v>
      </c>
      <c r="G4877" s="29">
        <v>20</v>
      </c>
      <c r="H4877" s="127">
        <f>IF(SUMIFS('[1]2025年已发货'!$E:$E,'[1]2025年已发货'!$F:$F,C4877,'[1]2025年已发货'!$C:$C,F4877,'[1]2025年已发货'!$G:$G,I4877,'[1]2025年已发货'!$H:$H,J4877)=0,"未发货",SUMIFS('[1]2025年已发货'!$E:$E,'[1]2025年已发货'!$F:$F,C4877,'[1]2025年已发货'!$C:$C,F4877,'[1]2025年已发货'!$G:$G,I4877,'[1]2025年已发货'!$H:$H,J4877))</f>
        <v>20</v>
      </c>
      <c r="I4877" s="33" t="str">
        <f>VLOOKUP(B4877,辅助信息!E:I,3,FALSE)</f>
        <v>(五冶建设空港兴城怡心街道83亩项目)成都市双流区怡心街道高峰社区一组剑和路一段空港兴城怡心街道83亩项目中国五冶项目部</v>
      </c>
      <c r="J4877" s="33" t="str">
        <f>VLOOKUP(B4877,辅助信息!E:I,4,FALSE)</f>
        <v>王刚</v>
      </c>
      <c r="K4877" s="33">
        <f>VLOOKUP(J4877,辅助信息!H:I,2,FALSE)</f>
        <v>15881190525</v>
      </c>
      <c r="L4877" s="102"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55" t="str">
        <f ca="1" t="shared" si="234"/>
        <v/>
      </c>
      <c r="P4877" s="55" t="str">
        <f ca="1" t="shared" si="235"/>
        <v/>
      </c>
      <c r="Q4877" s="22" t="str">
        <f>VLOOKUP(B4877,辅助信息!E:M,9,FALSE)</f>
        <v>ZTWM-CDGS-XS-2025-0073-五冶天府-成都怡心湖片区及龙泉驿医院等项目</v>
      </c>
      <c r="R4877" s="22" t="str">
        <f>_xlfn._xlws.FILTER(辅助信息!D:D,辅助信息!E:E=B4877)</f>
        <v>五冶建设空港兴城怡心街道83亩项目</v>
      </c>
    </row>
    <row r="4878" hidden="1" spans="2:18">
      <c r="B4878" s="129" t="s">
        <v>229</v>
      </c>
      <c r="C4878" s="63">
        <v>45953</v>
      </c>
      <c r="D4878" s="113" t="str">
        <f>VLOOKUP(B4878,辅助信息!E:K,7,FALSE)</f>
        <v>JWDDCD2025092400212</v>
      </c>
      <c r="E4878" s="113" t="str">
        <f>VLOOKUP(F4878,辅助信息!A:B,2,FALSE)</f>
        <v>盘螺</v>
      </c>
      <c r="F4878" s="113" t="s">
        <v>40</v>
      </c>
      <c r="G4878" s="114">
        <f>75-34</f>
        <v>41</v>
      </c>
      <c r="H4878" s="127"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49" t="str">
        <f>VLOOKUP(B4878,辅助信息!E:I,3,FALSE)</f>
        <v>(五冶钢构龙泉东洪片区85亩住宅、商业及配套工程项目三标段)成都市龙泉驿外东洪路地铁2号线惠王陵地铁C口</v>
      </c>
      <c r="J4878" s="113" t="str">
        <f>VLOOKUP(B4878,辅助信息!E:I,4,FALSE)</f>
        <v>王军宝</v>
      </c>
      <c r="K4878" s="113">
        <f>VLOOKUP(J4878,辅助信息!H:I,2,FALSE)</f>
        <v>13889142392</v>
      </c>
      <c r="L4878" s="115">
        <f>VLOOKUP(B4878,辅助信息!E:J,6,FALSE)</f>
        <v>0</v>
      </c>
      <c r="M4878" s="84">
        <v>45948</v>
      </c>
      <c r="O4878" s="55">
        <f ca="1" t="shared" si="234"/>
        <v>0</v>
      </c>
      <c r="P4878" s="55">
        <f ca="1" t="shared" si="235"/>
        <v>9</v>
      </c>
      <c r="Q4878" s="22" t="str">
        <f>VLOOKUP(B4878,辅助信息!E:M,9,FALSE)</f>
        <v>ZTWM-CDGS-XS-2025-0156-五冶钢构-2025年九月第一批次钢筋采购合同(三圣乡项目)-中铁物贸成都公司</v>
      </c>
      <c r="R4878" s="22" t="str">
        <f>_xlfn._xlws.FILTER(辅助信息!D:D,辅助信息!E:E=B4878)</f>
        <v>五冶钢构龙泉东洪片区85亩住宅、商业及配套工程项目三标段</v>
      </c>
    </row>
    <row r="4879" hidden="1" spans="2:18">
      <c r="B4879" s="129" t="s">
        <v>228</v>
      </c>
      <c r="C4879" s="63">
        <v>45953</v>
      </c>
      <c r="D4879" s="113" t="str">
        <f>VLOOKUP(B4879,辅助信息!E:K,7,FALSE)</f>
        <v>JWDDCD2025092400190</v>
      </c>
      <c r="E4879" s="113" t="str">
        <f>VLOOKUP(F4879,辅助信息!A:B,2,FALSE)</f>
        <v>盘螺</v>
      </c>
      <c r="F4879" s="113" t="s">
        <v>41</v>
      </c>
      <c r="G4879" s="114">
        <v>16</v>
      </c>
      <c r="H4879" s="127"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49" t="str">
        <f>VLOOKUP(B4879,辅助信息!E:I,3,FALSE)</f>
        <v>(五冶钢构龙泉东洪片区70亩住宅、商业及配套工程项目二标段)成都市龙泉驿外东洪路地铁2号线惠王陵地铁C口</v>
      </c>
      <c r="J4879" s="113" t="str">
        <f>VLOOKUP(B4879,辅助信息!E:I,4,FALSE)</f>
        <v>蒋嗣伟</v>
      </c>
      <c r="K4879" s="113">
        <f>VLOOKUP(J4879,辅助信息!H:I,2,FALSE)</f>
        <v>15014331252</v>
      </c>
      <c r="L4879" s="115">
        <f>VLOOKUP(B4879,辅助信息!E:J,6,FALSE)</f>
        <v>0</v>
      </c>
      <c r="M4879" s="84">
        <v>45948</v>
      </c>
      <c r="O4879" s="55">
        <f ca="1" t="shared" si="234"/>
        <v>0</v>
      </c>
      <c r="P4879" s="55">
        <f ca="1" t="shared" si="235"/>
        <v>9</v>
      </c>
      <c r="Q4879" s="22" t="str">
        <f>VLOOKUP(B4879,辅助信息!E:M,9,FALSE)</f>
        <v>ZTWM-CDGS-XS-2025-0156-五冶钢构-2025年九月第一批次钢筋采购合同(三圣乡项目)-中铁物贸成都公司</v>
      </c>
      <c r="R4879" s="22" t="str">
        <f>_xlfn._xlws.FILTER(辅助信息!D:D,辅助信息!E:E=B4879)</f>
        <v>五冶钢构龙泉东洪片区70亩住宅、商业及配套工程项目二标段</v>
      </c>
    </row>
    <row r="4880" hidden="1" spans="2:18">
      <c r="B4880" s="134" t="s">
        <v>112</v>
      </c>
      <c r="C4880" s="63">
        <v>45953</v>
      </c>
      <c r="D4880" s="113" t="str">
        <f>VLOOKUP(B4880,辅助信息!E:K,7,FALSE)</f>
        <v>JWDDCD2025052800131</v>
      </c>
      <c r="E4880" s="113" t="str">
        <f>VLOOKUP(F4880,辅助信息!A:B,2,FALSE)</f>
        <v>盘螺</v>
      </c>
      <c r="F4880" s="113" t="s">
        <v>49</v>
      </c>
      <c r="G4880" s="114">
        <v>9</v>
      </c>
      <c r="H4880" s="127">
        <f>IF(SUMIFS('[1]2025年已发货'!$E:$E,'[1]2025年已发货'!$F:$F,C4880,'[1]2025年已发货'!$C:$C,F4880,'[1]2025年已发货'!$G:$G,I4880,'[1]2025年已发货'!$H:$H,J4880)=0,"未发货",SUMIFS('[1]2025年已发货'!$E:$E,'[1]2025年已发货'!$F:$F,C4880,'[1]2025年已发货'!$C:$C,F4880,'[1]2025年已发货'!$G:$G,I4880,'[1]2025年已发货'!$H:$H,J4880))</f>
        <v>7.5</v>
      </c>
      <c r="I4880" s="149" t="str">
        <f>VLOOKUP(B4880,辅助信息!E:I,3,FALSE)</f>
        <v>（商投建工达州中医药科技园-4工区-10号楼）达州市通川区达州中医药职业学院犀牛大道北段</v>
      </c>
      <c r="J4880" s="113" t="str">
        <f>VLOOKUP(B4880,辅助信息!E:I,4,FALSE)</f>
        <v>张扬</v>
      </c>
      <c r="K4880" s="113">
        <f>VLOOKUP(J4880,辅助信息!H:I,2,FALSE)</f>
        <v>18381904567</v>
      </c>
      <c r="L4880" s="115" t="str">
        <f>VLOOKUP(B4880,辅助信息!E:J,6,FALSE)</f>
        <v>控制炉批号！多了现场不收！,优先安排达钢,提前联系到场规格及数量</v>
      </c>
      <c r="M4880" s="84">
        <v>45948</v>
      </c>
      <c r="O4880" s="55">
        <f ca="1" t="shared" si="234"/>
        <v>0</v>
      </c>
      <c r="P4880" s="55">
        <f ca="1" t="shared" si="235"/>
        <v>9</v>
      </c>
      <c r="Q4880" s="22" t="str">
        <f>VLOOKUP(B4880,辅助信息!E:M,9,FALSE)</f>
        <v>ZTWM-CDGS-XS-2024-0134-商投建工达州中医药科技成果示范园项目</v>
      </c>
      <c r="R4880" s="22" t="str">
        <f>_xlfn._xlws.FILTER(辅助信息!D:D,辅助信息!E:E=B4880)</f>
        <v>商投建工达州中医药科技园</v>
      </c>
    </row>
    <row r="4881" hidden="1" spans="2:18">
      <c r="B4881" s="134" t="s">
        <v>112</v>
      </c>
      <c r="C4881" s="63">
        <v>45953</v>
      </c>
      <c r="D4881" s="113" t="str">
        <f>VLOOKUP(B4881,辅助信息!E:K,7,FALSE)</f>
        <v>JWDDCD2025052800131</v>
      </c>
      <c r="E4881" s="113" t="str">
        <f>VLOOKUP(F4881,辅助信息!A:B,2,FALSE)</f>
        <v>螺纹钢</v>
      </c>
      <c r="F4881" s="113" t="s">
        <v>21</v>
      </c>
      <c r="G4881" s="114">
        <v>9</v>
      </c>
      <c r="H4881" s="127">
        <f>IF(SUMIFS('[1]2025年已发货'!$E:$E,'[1]2025年已发货'!$F:$F,C4881,'[1]2025年已发货'!$C:$C,F4881,'[1]2025年已发货'!$G:$G,I4881,'[1]2025年已发货'!$H:$H,J4881)=0,"未发货",SUMIFS('[1]2025年已发货'!$E:$E,'[1]2025年已发货'!$F:$F,C4881,'[1]2025年已发货'!$C:$C,F4881,'[1]2025年已发货'!$G:$G,I4881,'[1]2025年已发货'!$H:$H,J4881))</f>
        <v>2.5</v>
      </c>
      <c r="I4881" s="149" t="str">
        <f>VLOOKUP(B4881,辅助信息!E:I,3,FALSE)</f>
        <v>（商投建工达州中医药科技园-4工区-10号楼）达州市通川区达州中医药职业学院犀牛大道北段</v>
      </c>
      <c r="J4881" s="113" t="str">
        <f>VLOOKUP(B4881,辅助信息!E:I,4,FALSE)</f>
        <v>张扬</v>
      </c>
      <c r="K4881" s="113">
        <f>VLOOKUP(J4881,辅助信息!H:I,2,FALSE)</f>
        <v>18381904567</v>
      </c>
      <c r="L4881" s="115" t="str">
        <f>VLOOKUP(B4881,辅助信息!E:J,6,FALSE)</f>
        <v>控制炉批号！多了现场不收！,优先安排达钢,提前联系到场规格及数量</v>
      </c>
      <c r="M4881" s="84">
        <v>45948</v>
      </c>
      <c r="O4881" s="55">
        <f ca="1" t="shared" si="234"/>
        <v>0</v>
      </c>
      <c r="P4881" s="55">
        <f ca="1" t="shared" si="235"/>
        <v>9</v>
      </c>
      <c r="Q4881" s="22" t="str">
        <f>VLOOKUP(B4881,辅助信息!E:M,9,FALSE)</f>
        <v>ZTWM-CDGS-XS-2024-0134-商投建工达州中医药科技成果示范园项目</v>
      </c>
      <c r="R4881" s="22" t="str">
        <f>_xlfn._xlws.FILTER(辅助信息!D:D,辅助信息!E:E=B4881)</f>
        <v>商投建工达州中医药科技园</v>
      </c>
    </row>
    <row r="4882" hidden="1" spans="2:18">
      <c r="B4882" s="134" t="s">
        <v>112</v>
      </c>
      <c r="C4882" s="63">
        <v>45953</v>
      </c>
      <c r="D4882" s="113" t="str">
        <f>VLOOKUP(B4882,辅助信息!E:K,7,FALSE)</f>
        <v>JWDDCD2025052800131</v>
      </c>
      <c r="E4882" s="113" t="str">
        <f>VLOOKUP(F4882,辅助信息!A:B,2,FALSE)</f>
        <v>螺纹钢</v>
      </c>
      <c r="F4882" s="113" t="s">
        <v>58</v>
      </c>
      <c r="G4882" s="114">
        <v>9</v>
      </c>
      <c r="H4882" s="127">
        <f>IF(SUMIFS('[1]2025年已发货'!$E:$E,'[1]2025年已发货'!$F:$F,C4882,'[1]2025年已发货'!$C:$C,F4882,'[1]2025年已发货'!$G:$G,I4882,'[1]2025年已发货'!$H:$H,J4882)=0,"未发货",SUMIFS('[1]2025年已发货'!$E:$E,'[1]2025年已发货'!$F:$F,C4882,'[1]2025年已发货'!$C:$C,F4882,'[1]2025年已发货'!$G:$G,I4882,'[1]2025年已发货'!$H:$H,J4882))</f>
        <v>7.5</v>
      </c>
      <c r="I4882" s="149" t="str">
        <f>VLOOKUP(B4882,辅助信息!E:I,3,FALSE)</f>
        <v>（商投建工达州中医药科技园-4工区-10号楼）达州市通川区达州中医药职业学院犀牛大道北段</v>
      </c>
      <c r="J4882" s="113" t="str">
        <f>VLOOKUP(B4882,辅助信息!E:I,4,FALSE)</f>
        <v>张扬</v>
      </c>
      <c r="K4882" s="113">
        <f>VLOOKUP(J4882,辅助信息!H:I,2,FALSE)</f>
        <v>18381904567</v>
      </c>
      <c r="L4882" s="115" t="str">
        <f>VLOOKUP(B4882,辅助信息!E:J,6,FALSE)</f>
        <v>控制炉批号！多了现场不收！,优先安排达钢,提前联系到场规格及数量</v>
      </c>
      <c r="M4882" s="84">
        <v>45948</v>
      </c>
      <c r="O4882" s="55">
        <f ca="1" t="shared" si="234"/>
        <v>0</v>
      </c>
      <c r="P4882" s="55">
        <f ca="1" t="shared" si="235"/>
        <v>9</v>
      </c>
      <c r="Q4882" s="22" t="str">
        <f>VLOOKUP(B4882,辅助信息!E:M,9,FALSE)</f>
        <v>ZTWM-CDGS-XS-2024-0134-商投建工达州中医药科技成果示范园项目</v>
      </c>
      <c r="R4882" s="22" t="str">
        <f>_xlfn._xlws.FILTER(辅助信息!D:D,辅助信息!E:E=B4882)</f>
        <v>商投建工达州中医药科技园</v>
      </c>
    </row>
    <row r="4883" hidden="1" spans="2:18">
      <c r="B4883" s="134" t="s">
        <v>112</v>
      </c>
      <c r="C4883" s="63">
        <v>45953</v>
      </c>
      <c r="D4883" s="113" t="str">
        <f>VLOOKUP(B4883,辅助信息!E:K,7,FALSE)</f>
        <v>JWDDCD2025052800131</v>
      </c>
      <c r="E4883" s="113" t="str">
        <f>VLOOKUP(F4883,辅助信息!A:B,2,FALSE)</f>
        <v>螺纹钢</v>
      </c>
      <c r="F4883" s="113" t="s">
        <v>22</v>
      </c>
      <c r="G4883" s="114">
        <v>9</v>
      </c>
      <c r="H4883" s="127">
        <f>IF(SUMIFS('[1]2025年已发货'!$E:$E,'[1]2025年已发货'!$F:$F,C4883,'[1]2025年已发货'!$C:$C,F4883,'[1]2025年已发货'!$G:$G,I4883,'[1]2025年已发货'!$H:$H,J4883)=0,"未发货",SUMIFS('[1]2025年已发货'!$E:$E,'[1]2025年已发货'!$F:$F,C4883,'[1]2025年已发货'!$C:$C,F4883,'[1]2025年已发货'!$G:$G,I4883,'[1]2025年已发货'!$H:$H,J4883))</f>
        <v>10</v>
      </c>
      <c r="I4883" s="149" t="str">
        <f>VLOOKUP(B4883,辅助信息!E:I,3,FALSE)</f>
        <v>（商投建工达州中医药科技园-4工区-10号楼）达州市通川区达州中医药职业学院犀牛大道北段</v>
      </c>
      <c r="J4883" s="113" t="str">
        <f>VLOOKUP(B4883,辅助信息!E:I,4,FALSE)</f>
        <v>张扬</v>
      </c>
      <c r="K4883" s="113">
        <f>VLOOKUP(J4883,辅助信息!H:I,2,FALSE)</f>
        <v>18381904567</v>
      </c>
      <c r="L4883" s="115" t="str">
        <f>VLOOKUP(B4883,辅助信息!E:J,6,FALSE)</f>
        <v>控制炉批号！多了现场不收！,优先安排达钢,提前联系到场规格及数量</v>
      </c>
      <c r="M4883" s="84">
        <v>45948</v>
      </c>
      <c r="O4883" s="55">
        <f ca="1" t="shared" si="234"/>
        <v>0</v>
      </c>
      <c r="P4883" s="55">
        <f ca="1" t="shared" si="235"/>
        <v>9</v>
      </c>
      <c r="Q4883" s="22" t="str">
        <f>VLOOKUP(B4883,辅助信息!E:M,9,FALSE)</f>
        <v>ZTWM-CDGS-XS-2024-0134-商投建工达州中医药科技成果示范园项目</v>
      </c>
      <c r="R4883" s="22" t="str">
        <f>_xlfn._xlws.FILTER(辅助信息!D:D,辅助信息!E:E=B4883)</f>
        <v>商投建工达州中医药科技园</v>
      </c>
    </row>
    <row r="4884" hidden="1" spans="2:18">
      <c r="B4884" s="134" t="s">
        <v>47</v>
      </c>
      <c r="C4884" s="63">
        <v>45953</v>
      </c>
      <c r="D4884" s="113" t="str">
        <f>VLOOKUP(B4884,辅助信息!E:K,7,FALSE)</f>
        <v>JWDDCD2025052800131</v>
      </c>
      <c r="E4884" s="113" t="str">
        <f>VLOOKUP(F4884,辅助信息!A:B,2,FALSE)</f>
        <v>高线</v>
      </c>
      <c r="F4884" s="113" t="s">
        <v>57</v>
      </c>
      <c r="G4884" s="114">
        <v>9</v>
      </c>
      <c r="H4884" s="127">
        <f>IF(SUMIFS('[1]2025年已发货'!$E:$E,'[1]2025年已发货'!$F:$F,C4884,'[1]2025年已发货'!$C:$C,F4884,'[1]2025年已发货'!$G:$G,I4884,'[1]2025年已发货'!$H:$H,J4884)=0,"未发货",SUMIFS('[1]2025年已发货'!$E:$E,'[1]2025年已发货'!$F:$F,C4884,'[1]2025年已发货'!$C:$C,F4884,'[1]2025年已发货'!$G:$G,I4884,'[1]2025年已发货'!$H:$H,J4884))</f>
        <v>7.5</v>
      </c>
      <c r="I4884" s="149" t="str">
        <f>VLOOKUP(B4884,辅助信息!E:I,3,FALSE)</f>
        <v>（商投建工达州中医药科技园-1工区）达州市通川区达州中医药职业学院犀牛大道北段</v>
      </c>
      <c r="J4884" s="113" t="str">
        <f>VLOOKUP(B4884,辅助信息!E:I,4,FALSE)</f>
        <v>程黄刚</v>
      </c>
      <c r="K4884" s="113">
        <f>VLOOKUP(J4884,辅助信息!H:I,2,FALSE)</f>
        <v>15108211617</v>
      </c>
      <c r="L4884" s="115" t="str">
        <f>VLOOKUP(B4884,辅助信息!E:J,6,FALSE)</f>
        <v>控制炉批号！多了现场不收！,优先安排达钢,提前联系到场规格及数量</v>
      </c>
      <c r="M4884" s="84">
        <v>45953</v>
      </c>
      <c r="O4884" s="55">
        <f ca="1" t="shared" si="234"/>
        <v>0</v>
      </c>
      <c r="P4884" s="55">
        <f ca="1" t="shared" si="235"/>
        <v>4</v>
      </c>
      <c r="Q4884" s="22" t="str">
        <f>VLOOKUP(B4884,辅助信息!E:M,9,FALSE)</f>
        <v>ZTWM-CDGS-XS-2024-0134-商投建工达州中医药科技成果示范园项目</v>
      </c>
      <c r="R4884" s="22" t="str">
        <f>_xlfn._xlws.FILTER(辅助信息!D:D,辅助信息!E:E=B4884)</f>
        <v>商投建工达州中医药科技园</v>
      </c>
    </row>
    <row r="4885" hidden="1" spans="2:18">
      <c r="B4885" s="134" t="s">
        <v>47</v>
      </c>
      <c r="C4885" s="63">
        <v>45953</v>
      </c>
      <c r="D4885" s="113" t="str">
        <f>VLOOKUP(B4885,辅助信息!E:K,7,FALSE)</f>
        <v>JWDDCD2025052800131</v>
      </c>
      <c r="E4885" s="113" t="str">
        <f>VLOOKUP(F4885,辅助信息!A:B,2,FALSE)</f>
        <v>盘螺</v>
      </c>
      <c r="F4885" s="113" t="s">
        <v>40</v>
      </c>
      <c r="G4885" s="114">
        <v>9</v>
      </c>
      <c r="H4885" s="127">
        <f>IF(SUMIFS('[1]2025年已发货'!$E:$E,'[1]2025年已发货'!$F:$F,C4885,'[1]2025年已发货'!$C:$C,F4885,'[1]2025年已发货'!$G:$G,I4885,'[1]2025年已发货'!$H:$H,J4885)=0,"未发货",SUMIFS('[1]2025年已发货'!$E:$E,'[1]2025年已发货'!$F:$F,C4885,'[1]2025年已发货'!$C:$C,F4885,'[1]2025年已发货'!$G:$G,I4885,'[1]2025年已发货'!$H:$H,J4885))</f>
        <v>24</v>
      </c>
      <c r="I4885" s="149" t="str">
        <f>VLOOKUP(B4885,辅助信息!E:I,3,FALSE)</f>
        <v>（商投建工达州中医药科技园-1工区）达州市通川区达州中医药职业学院犀牛大道北段</v>
      </c>
      <c r="J4885" s="113" t="str">
        <f>VLOOKUP(B4885,辅助信息!E:I,4,FALSE)</f>
        <v>程黄刚</v>
      </c>
      <c r="K4885" s="113">
        <f>VLOOKUP(J4885,辅助信息!H:I,2,FALSE)</f>
        <v>15108211617</v>
      </c>
      <c r="L4885" s="115" t="str">
        <f>VLOOKUP(B4885,辅助信息!E:J,6,FALSE)</f>
        <v>控制炉批号！多了现场不收！,优先安排达钢,提前联系到场规格及数量</v>
      </c>
      <c r="M4885" s="84">
        <v>45953</v>
      </c>
      <c r="O4885" s="55">
        <f ca="1" t="shared" si="234"/>
        <v>0</v>
      </c>
      <c r="P4885" s="55">
        <f ca="1" t="shared" si="235"/>
        <v>4</v>
      </c>
      <c r="Q4885" s="22" t="str">
        <f>VLOOKUP(B4885,辅助信息!E:M,9,FALSE)</f>
        <v>ZTWM-CDGS-XS-2024-0134-商投建工达州中医药科技成果示范园项目</v>
      </c>
      <c r="R4885" s="22" t="str">
        <f>_xlfn._xlws.FILTER(辅助信息!D:D,辅助信息!E:E=B4885)</f>
        <v>商投建工达州中医药科技园</v>
      </c>
    </row>
    <row r="4886" hidden="1" spans="2:18">
      <c r="B4886" s="134" t="s">
        <v>47</v>
      </c>
      <c r="C4886" s="63">
        <v>45953</v>
      </c>
      <c r="D4886" s="113" t="str">
        <f>VLOOKUP(B4886,辅助信息!E:K,7,FALSE)</f>
        <v>JWDDCD2025052800131</v>
      </c>
      <c r="E4886" s="113" t="str">
        <f>VLOOKUP(F4886,辅助信息!A:B,2,FALSE)</f>
        <v>螺纹钢</v>
      </c>
      <c r="F4886" s="113" t="s">
        <v>27</v>
      </c>
      <c r="G4886" s="114">
        <v>6</v>
      </c>
      <c r="H4886" s="127">
        <f>IF(SUMIFS('[1]2025年已发货'!$E:$E,'[1]2025年已发货'!$F:$F,C4886,'[1]2025年已发货'!$C:$C,F4886,'[1]2025年已发货'!$G:$G,I4886,'[1]2025年已发货'!$H:$H,J4886)=0,"未发货",SUMIFS('[1]2025年已发货'!$E:$E,'[1]2025年已发货'!$F:$F,C4886,'[1]2025年已发货'!$C:$C,F4886,'[1]2025年已发货'!$G:$G,I4886,'[1]2025年已发货'!$H:$H,J4886))</f>
        <v>5</v>
      </c>
      <c r="I4886" s="149" t="str">
        <f>VLOOKUP(B4886,辅助信息!E:I,3,FALSE)</f>
        <v>（商投建工达州中医药科技园-1工区）达州市通川区达州中医药职业学院犀牛大道北段</v>
      </c>
      <c r="J4886" s="113" t="str">
        <f>VLOOKUP(B4886,辅助信息!E:I,4,FALSE)</f>
        <v>程黄刚</v>
      </c>
      <c r="K4886" s="113">
        <f>VLOOKUP(J4886,辅助信息!H:I,2,FALSE)</f>
        <v>15108211617</v>
      </c>
      <c r="L4886" s="115" t="str">
        <f>VLOOKUP(B4886,辅助信息!E:J,6,FALSE)</f>
        <v>控制炉批号！多了现场不收！,优先安排达钢,提前联系到场规格及数量</v>
      </c>
      <c r="M4886" s="84"/>
      <c r="O4886" s="55" t="str">
        <f ca="1" t="shared" si="234"/>
        <v/>
      </c>
      <c r="P4886" s="55" t="str">
        <f ca="1" t="shared" si="235"/>
        <v/>
      </c>
      <c r="Q4886" s="22" t="str">
        <f>VLOOKUP(B4886,辅助信息!E:M,9,FALSE)</f>
        <v>ZTWM-CDGS-XS-2024-0134-商投建工达州中医药科技成果示范园项目</v>
      </c>
      <c r="R4886" s="22" t="str">
        <f>_xlfn._xlws.FILTER(辅助信息!D:D,辅助信息!E:E=B4886)</f>
        <v>商投建工达州中医药科技园</v>
      </c>
    </row>
    <row r="4887" hidden="1" spans="2:18">
      <c r="B4887" s="134" t="s">
        <v>47</v>
      </c>
      <c r="C4887" s="63">
        <v>45953</v>
      </c>
      <c r="D4887" s="113" t="str">
        <f>VLOOKUP(B4887,辅助信息!E:K,7,FALSE)</f>
        <v>JWDDCD2025052800131</v>
      </c>
      <c r="E4887" s="113" t="str">
        <f>VLOOKUP(F4887,辅助信息!A:B,2,FALSE)</f>
        <v>螺纹钢</v>
      </c>
      <c r="F4887" s="113" t="s">
        <v>33</v>
      </c>
      <c r="G4887" s="114">
        <v>12</v>
      </c>
      <c r="H4887" s="127">
        <f>IF(SUMIFS('[1]2025年已发货'!$E:$E,'[1]2025年已发货'!$F:$F,C4887,'[1]2025年已发货'!$C:$C,F4887,'[1]2025年已发货'!$G:$G,I4887,'[1]2025年已发货'!$H:$H,J4887)=0,"未发货",SUMIFS('[1]2025年已发货'!$E:$E,'[1]2025年已发货'!$F:$F,C4887,'[1]2025年已发货'!$C:$C,F4887,'[1]2025年已发货'!$G:$G,I4887,'[1]2025年已发货'!$H:$H,J4887))</f>
        <v>5</v>
      </c>
      <c r="I4887" s="149" t="str">
        <f>VLOOKUP(B4887,辅助信息!E:I,3,FALSE)</f>
        <v>（商投建工达州中医药科技园-1工区）达州市通川区达州中医药职业学院犀牛大道北段</v>
      </c>
      <c r="J4887" s="113" t="str">
        <f>VLOOKUP(B4887,辅助信息!E:I,4,FALSE)</f>
        <v>程黄刚</v>
      </c>
      <c r="K4887" s="113">
        <f>VLOOKUP(J4887,辅助信息!H:I,2,FALSE)</f>
        <v>15108211617</v>
      </c>
      <c r="L4887" s="115" t="str">
        <f>VLOOKUP(B4887,辅助信息!E:J,6,FALSE)</f>
        <v>控制炉批号！多了现场不收！,优先安排达钢,提前联系到场规格及数量</v>
      </c>
      <c r="M4887" s="84">
        <v>45953</v>
      </c>
      <c r="O4887" s="55">
        <f ca="1" t="shared" si="234"/>
        <v>0</v>
      </c>
      <c r="P4887" s="55">
        <f ca="1" t="shared" si="235"/>
        <v>4</v>
      </c>
      <c r="Q4887" s="22" t="str">
        <f>VLOOKUP(B4887,辅助信息!E:M,9,FALSE)</f>
        <v>ZTWM-CDGS-XS-2024-0134-商投建工达州中医药科技成果示范园项目</v>
      </c>
      <c r="R4887" s="22" t="str">
        <f>_xlfn._xlws.FILTER(辅助信息!D:D,辅助信息!E:E=B4887)</f>
        <v>商投建工达州中医药科技园</v>
      </c>
    </row>
    <row r="4888" hidden="1" spans="2:18">
      <c r="B4888" s="134" t="s">
        <v>163</v>
      </c>
      <c r="C4888" s="63">
        <v>45953</v>
      </c>
      <c r="D4888" s="113" t="str">
        <f>VLOOKUP(B4888,辅助信息!E:K,7,FALSE)</f>
        <v>JWDDCD2025052800131</v>
      </c>
      <c r="E4888" s="113" t="str">
        <f>VLOOKUP(F4888,辅助信息!A:B,2,FALSE)</f>
        <v>盘螺</v>
      </c>
      <c r="F4888" s="113" t="s">
        <v>49</v>
      </c>
      <c r="G4888" s="114">
        <v>18</v>
      </c>
      <c r="H4888" s="127">
        <f>IF(SUMIFS('[1]2025年已发货'!$E:$E,'[1]2025年已发货'!$F:$F,C4888,'[1]2025年已发货'!$C:$C,F4888,'[1]2025年已发货'!$G:$G,I4888,'[1]2025年已发货'!$H:$H,J4888)=0,"未发货",SUMIFS('[1]2025年已发货'!$E:$E,'[1]2025年已发货'!$F:$F,C4888,'[1]2025年已发货'!$C:$C,F4888,'[1]2025年已发货'!$G:$G,I4888,'[1]2025年已发货'!$H:$H,J4888))</f>
        <v>17.5</v>
      </c>
      <c r="I4888" s="149" t="str">
        <f>VLOOKUP(B4888,辅助信息!E:I,3,FALSE)</f>
        <v>（商投建工达州中医药科技园-4工区-9号楼）达州市通川区达州中医药职业学院犀牛大道北段</v>
      </c>
      <c r="J4888" s="113" t="str">
        <f>VLOOKUP(B4888,辅助信息!E:I,4,FALSE)</f>
        <v>张扬</v>
      </c>
      <c r="K4888" s="113">
        <f>VLOOKUP(J4888,辅助信息!H:I,2,FALSE)</f>
        <v>18381904567</v>
      </c>
      <c r="L4888" s="115" t="str">
        <f>VLOOKUP(B4888,辅助信息!E:J,6,FALSE)</f>
        <v>控制炉批号！多了现场不收！,优先安排达钢,提前联系到场规格及数量</v>
      </c>
      <c r="M4888" s="84">
        <v>45953</v>
      </c>
      <c r="O4888" s="55">
        <f ca="1" t="shared" si="234"/>
        <v>0</v>
      </c>
      <c r="P4888" s="55">
        <f ca="1" t="shared" si="235"/>
        <v>4</v>
      </c>
      <c r="Q4888" s="22" t="str">
        <f>VLOOKUP(B4888,辅助信息!E:M,9,FALSE)</f>
        <v>ZTWM-CDGS-XS-2024-0134-商投建工达州中医药科技成果示范园项目</v>
      </c>
      <c r="R4888" s="22" t="str">
        <f>_xlfn._xlws.FILTER(辅助信息!D:D,辅助信息!E:E=B4888)</f>
        <v>商投建工达州中医药科技园</v>
      </c>
    </row>
    <row r="4889" hidden="1" spans="2:18">
      <c r="B4889" s="134" t="s">
        <v>163</v>
      </c>
      <c r="C4889" s="63">
        <v>45953</v>
      </c>
      <c r="D4889" s="113" t="str">
        <f>VLOOKUP(B4889,辅助信息!E:K,7,FALSE)</f>
        <v>JWDDCD2025052800131</v>
      </c>
      <c r="E4889" s="113" t="str">
        <f>VLOOKUP(F4889,辅助信息!A:B,2,FALSE)</f>
        <v>盘螺</v>
      </c>
      <c r="F4889" s="113" t="s">
        <v>41</v>
      </c>
      <c r="G4889" s="114">
        <v>18</v>
      </c>
      <c r="H4889" s="127">
        <f>IF(SUMIFS('[1]2025年已发货'!$E:$E,'[1]2025年已发货'!$F:$F,C4889,'[1]2025年已发货'!$C:$C,F4889,'[1]2025年已发货'!$G:$G,I4889,'[1]2025年已发货'!$H:$H,J4889)=0,"未发货",SUMIFS('[1]2025年已发货'!$E:$E,'[1]2025年已发货'!$F:$F,C4889,'[1]2025年已发货'!$C:$C,F4889,'[1]2025年已发货'!$G:$G,I4889,'[1]2025年已发货'!$H:$H,J4889))</f>
        <v>17.5</v>
      </c>
      <c r="I4889" s="149" t="str">
        <f>VLOOKUP(B4889,辅助信息!E:I,3,FALSE)</f>
        <v>（商投建工达州中医药科技园-4工区-9号楼）达州市通川区达州中医药职业学院犀牛大道北段</v>
      </c>
      <c r="J4889" s="113" t="str">
        <f>VLOOKUP(B4889,辅助信息!E:I,4,FALSE)</f>
        <v>张扬</v>
      </c>
      <c r="K4889" s="113">
        <f>VLOOKUP(J4889,辅助信息!H:I,2,FALSE)</f>
        <v>18381904567</v>
      </c>
      <c r="L4889" s="115" t="str">
        <f>VLOOKUP(B4889,辅助信息!E:J,6,FALSE)</f>
        <v>控制炉批号！多了现场不收！,优先安排达钢,提前联系到场规格及数量</v>
      </c>
      <c r="M4889" s="84">
        <v>45953</v>
      </c>
      <c r="O4889" s="55">
        <f ca="1" t="shared" si="234"/>
        <v>0</v>
      </c>
      <c r="P4889" s="55">
        <f ca="1" t="shared" si="235"/>
        <v>4</v>
      </c>
      <c r="Q4889" s="22" t="str">
        <f>VLOOKUP(B4889,辅助信息!E:M,9,FALSE)</f>
        <v>ZTWM-CDGS-XS-2024-0134-商投建工达州中医药科技成果示范园项目</v>
      </c>
      <c r="R4889" s="22" t="str">
        <f>_xlfn._xlws.FILTER(辅助信息!D:D,辅助信息!E:E=B4889)</f>
        <v>商投建工达州中医药科技园</v>
      </c>
    </row>
    <row r="4890" hidden="1" spans="2:18">
      <c r="B4890" s="128" t="s">
        <v>229</v>
      </c>
      <c r="C4890" s="63">
        <v>45953</v>
      </c>
      <c r="D4890" s="33" t="str">
        <f>VLOOKUP(B4890,辅助信息!E:K,7,FALSE)</f>
        <v>JWDDCD2025092400212</v>
      </c>
      <c r="E4890" s="33" t="str">
        <f>VLOOKUP(F4890,辅助信息!A:B,2,FALSE)</f>
        <v>高线</v>
      </c>
      <c r="F4890" s="33" t="s">
        <v>57</v>
      </c>
      <c r="G4890" s="29">
        <v>2</v>
      </c>
      <c r="H4890" s="127"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2" t="str">
        <f>VLOOKUP(B4890,辅助信息!E:I,3,FALSE)</f>
        <v>(五冶钢构龙泉东洪片区85亩住宅、商业及配套工程项目三标段)成都市龙泉驿外东洪路地铁2号线惠王陵地铁C口</v>
      </c>
      <c r="J4890" s="33" t="str">
        <f>VLOOKUP(B4890,辅助信息!E:I,4,FALSE)</f>
        <v>王军宝</v>
      </c>
      <c r="K4890" s="33">
        <f>VLOOKUP(J4890,辅助信息!H:I,2,FALSE)</f>
        <v>13889142392</v>
      </c>
      <c r="L4890" s="102">
        <f>VLOOKUP(B4890,辅助信息!E:J,6,FALSE)</f>
        <v>0</v>
      </c>
      <c r="M4890" s="84">
        <v>45950</v>
      </c>
      <c r="O4890" s="55">
        <f ca="1" t="shared" si="234"/>
        <v>0</v>
      </c>
      <c r="P4890" s="55">
        <f ca="1" t="shared" si="235"/>
        <v>7</v>
      </c>
      <c r="Q4890" s="22" t="str">
        <f>VLOOKUP(B4890,辅助信息!E:M,9,FALSE)</f>
        <v>ZTWM-CDGS-XS-2025-0156-五冶钢构-2025年九月第一批次钢筋采购合同(三圣乡项目)-中铁物贸成都公司</v>
      </c>
      <c r="R4890" s="22" t="str">
        <f>_xlfn._xlws.FILTER(辅助信息!D:D,辅助信息!E:E=B4890)</f>
        <v>五冶钢构龙泉东洪片区85亩住宅、商业及配套工程项目三标段</v>
      </c>
    </row>
    <row r="4891" hidden="1" spans="2:18">
      <c r="B4891" s="128" t="s">
        <v>229</v>
      </c>
      <c r="C4891" s="63">
        <v>45953</v>
      </c>
      <c r="D4891" s="33" t="str">
        <f>VLOOKUP(B4891,辅助信息!E:K,7,FALSE)</f>
        <v>JWDDCD2025092400212</v>
      </c>
      <c r="E4891" s="33" t="str">
        <f>VLOOKUP(F4891,辅助信息!A:B,2,FALSE)</f>
        <v>高线</v>
      </c>
      <c r="F4891" s="33" t="s">
        <v>53</v>
      </c>
      <c r="G4891" s="29">
        <v>2</v>
      </c>
      <c r="H4891" s="127"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2" t="str">
        <f>VLOOKUP(B4891,辅助信息!E:I,3,FALSE)</f>
        <v>(五冶钢构龙泉东洪片区85亩住宅、商业及配套工程项目三标段)成都市龙泉驿外东洪路地铁2号线惠王陵地铁C口</v>
      </c>
      <c r="J4891" s="33" t="str">
        <f>VLOOKUP(B4891,辅助信息!E:I,4,FALSE)</f>
        <v>王军宝</v>
      </c>
      <c r="K4891" s="33">
        <f>VLOOKUP(J4891,辅助信息!H:I,2,FALSE)</f>
        <v>13889142392</v>
      </c>
      <c r="L4891" s="102">
        <f>VLOOKUP(B4891,辅助信息!E:J,6,FALSE)</f>
        <v>0</v>
      </c>
      <c r="M4891" s="84">
        <v>45950</v>
      </c>
      <c r="O4891" s="55">
        <f ca="1" t="shared" si="234"/>
        <v>0</v>
      </c>
      <c r="P4891" s="55">
        <f ca="1" t="shared" si="235"/>
        <v>7</v>
      </c>
      <c r="Q4891" s="22" t="str">
        <f>VLOOKUP(B4891,辅助信息!E:M,9,FALSE)</f>
        <v>ZTWM-CDGS-XS-2025-0156-五冶钢构-2025年九月第一批次钢筋采购合同(三圣乡项目)-中铁物贸成都公司</v>
      </c>
      <c r="R4891" s="22" t="str">
        <f>_xlfn._xlws.FILTER(辅助信息!D:D,辅助信息!E:E=B4891)</f>
        <v>五冶钢构龙泉东洪片区85亩住宅、商业及配套工程项目三标段</v>
      </c>
    </row>
    <row r="4892" hidden="1" spans="2:18">
      <c r="B4892" s="128" t="s">
        <v>229</v>
      </c>
      <c r="C4892" s="63">
        <v>45953</v>
      </c>
      <c r="D4892" s="33" t="str">
        <f>VLOOKUP(B4892,辅助信息!E:K,7,FALSE)</f>
        <v>JWDDCD2025092400212</v>
      </c>
      <c r="E4892" s="33" t="str">
        <f>VLOOKUP(F4892,辅助信息!A:B,2,FALSE)</f>
        <v>盘螺</v>
      </c>
      <c r="F4892" s="33" t="s">
        <v>49</v>
      </c>
      <c r="G4892" s="29">
        <v>2</v>
      </c>
      <c r="H4892" s="127"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2" t="str">
        <f>VLOOKUP(B4892,辅助信息!E:I,3,FALSE)</f>
        <v>(五冶钢构龙泉东洪片区85亩住宅、商业及配套工程项目三标段)成都市龙泉驿外东洪路地铁2号线惠王陵地铁C口</v>
      </c>
      <c r="J4892" s="33" t="str">
        <f>VLOOKUP(B4892,辅助信息!E:I,4,FALSE)</f>
        <v>王军宝</v>
      </c>
      <c r="K4892" s="33">
        <f>VLOOKUP(J4892,辅助信息!H:I,2,FALSE)</f>
        <v>13889142392</v>
      </c>
      <c r="L4892" s="102">
        <f>VLOOKUP(B4892,辅助信息!E:J,6,FALSE)</f>
        <v>0</v>
      </c>
      <c r="M4892" s="84">
        <v>45950</v>
      </c>
      <c r="O4892" s="55">
        <f ca="1" t="shared" si="234"/>
        <v>0</v>
      </c>
      <c r="P4892" s="55">
        <f ca="1" t="shared" si="235"/>
        <v>7</v>
      </c>
      <c r="Q4892" s="22" t="str">
        <f>VLOOKUP(B4892,辅助信息!E:M,9,FALSE)</f>
        <v>ZTWM-CDGS-XS-2025-0156-五冶钢构-2025年九月第一批次钢筋采购合同(三圣乡项目)-中铁物贸成都公司</v>
      </c>
      <c r="R4892" s="22" t="str">
        <f>_xlfn._xlws.FILTER(辅助信息!D:D,辅助信息!E:E=B4892)</f>
        <v>五冶钢构龙泉东洪片区85亩住宅、商业及配套工程项目三标段</v>
      </c>
    </row>
    <row r="4893" hidden="1" spans="2:18">
      <c r="B4893" s="128" t="s">
        <v>229</v>
      </c>
      <c r="C4893" s="63">
        <v>45953</v>
      </c>
      <c r="D4893" s="33" t="str">
        <f>VLOOKUP(B4893,辅助信息!E:K,7,FALSE)</f>
        <v>JWDDCD2025092400212</v>
      </c>
      <c r="E4893" s="33" t="str">
        <f>VLOOKUP(F4893,辅助信息!A:B,2,FALSE)</f>
        <v>盘螺</v>
      </c>
      <c r="F4893" s="33" t="s">
        <v>40</v>
      </c>
      <c r="G4893" s="29">
        <v>8</v>
      </c>
      <c r="H4893" s="127"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2" t="str">
        <f>VLOOKUP(B4893,辅助信息!E:I,3,FALSE)</f>
        <v>(五冶钢构龙泉东洪片区85亩住宅、商业及配套工程项目三标段)成都市龙泉驿外东洪路地铁2号线惠王陵地铁C口</v>
      </c>
      <c r="J4893" s="33" t="str">
        <f>VLOOKUP(B4893,辅助信息!E:I,4,FALSE)</f>
        <v>王军宝</v>
      </c>
      <c r="K4893" s="33">
        <f>VLOOKUP(J4893,辅助信息!H:I,2,FALSE)</f>
        <v>13889142392</v>
      </c>
      <c r="L4893" s="102">
        <f>VLOOKUP(B4893,辅助信息!E:J,6,FALSE)</f>
        <v>0</v>
      </c>
      <c r="M4893" s="84">
        <v>45950</v>
      </c>
      <c r="O4893" s="55">
        <f ca="1" t="shared" si="234"/>
        <v>0</v>
      </c>
      <c r="P4893" s="55">
        <f ca="1" t="shared" si="235"/>
        <v>7</v>
      </c>
      <c r="Q4893" s="22" t="str">
        <f>VLOOKUP(B4893,辅助信息!E:M,9,FALSE)</f>
        <v>ZTWM-CDGS-XS-2025-0156-五冶钢构-2025年九月第一批次钢筋采购合同(三圣乡项目)-中铁物贸成都公司</v>
      </c>
      <c r="R4893" s="22" t="str">
        <f>_xlfn._xlws.FILTER(辅助信息!D:D,辅助信息!E:E=B4893)</f>
        <v>五冶钢构龙泉东洪片区85亩住宅、商业及配套工程项目三标段</v>
      </c>
    </row>
    <row r="4894" hidden="1" spans="2:18">
      <c r="B4894" s="128" t="s">
        <v>229</v>
      </c>
      <c r="C4894" s="63">
        <v>45953</v>
      </c>
      <c r="D4894" s="33" t="str">
        <f>VLOOKUP(B4894,辅助信息!E:K,7,FALSE)</f>
        <v>JWDDCD2025092400212</v>
      </c>
      <c r="E4894" s="33" t="str">
        <f>VLOOKUP(F4894,辅助信息!A:B,2,FALSE)</f>
        <v>盘螺</v>
      </c>
      <c r="F4894" s="33" t="s">
        <v>41</v>
      </c>
      <c r="G4894" s="29">
        <v>20</v>
      </c>
      <c r="H4894" s="127"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2" t="str">
        <f>VLOOKUP(B4894,辅助信息!E:I,3,FALSE)</f>
        <v>(五冶钢构龙泉东洪片区85亩住宅、商业及配套工程项目三标段)成都市龙泉驿外东洪路地铁2号线惠王陵地铁C口</v>
      </c>
      <c r="J4894" s="33" t="str">
        <f>VLOOKUP(B4894,辅助信息!E:I,4,FALSE)</f>
        <v>王军宝</v>
      </c>
      <c r="K4894" s="33">
        <f>VLOOKUP(J4894,辅助信息!H:I,2,FALSE)</f>
        <v>13889142392</v>
      </c>
      <c r="L4894" s="102">
        <f>VLOOKUP(B4894,辅助信息!E:J,6,FALSE)</f>
        <v>0</v>
      </c>
      <c r="M4894" s="84">
        <v>45950</v>
      </c>
      <c r="O4894" s="55">
        <f ca="1" t="shared" si="234"/>
        <v>0</v>
      </c>
      <c r="P4894" s="55">
        <f ca="1" t="shared" si="235"/>
        <v>7</v>
      </c>
      <c r="Q4894" s="22" t="str">
        <f>VLOOKUP(B4894,辅助信息!E:M,9,FALSE)</f>
        <v>ZTWM-CDGS-XS-2025-0156-五冶钢构-2025年九月第一批次钢筋采购合同(三圣乡项目)-中铁物贸成都公司</v>
      </c>
      <c r="R4894" s="22" t="str">
        <f>_xlfn._xlws.FILTER(辅助信息!D:D,辅助信息!E:E=B4894)</f>
        <v>五冶钢构龙泉东洪片区85亩住宅、商业及配套工程项目三标段</v>
      </c>
    </row>
    <row r="4895" hidden="1" spans="2:18">
      <c r="B4895" s="128" t="s">
        <v>229</v>
      </c>
      <c r="C4895" s="63">
        <v>45953</v>
      </c>
      <c r="D4895" s="33" t="str">
        <f>VLOOKUP(B4895,辅助信息!E:K,7,FALSE)</f>
        <v>JWDDCD2025092400212</v>
      </c>
      <c r="E4895" s="33" t="str">
        <f>VLOOKUP(F4895,辅助信息!A:B,2,FALSE)</f>
        <v>螺纹钢</v>
      </c>
      <c r="F4895" s="33" t="s">
        <v>27</v>
      </c>
      <c r="G4895" s="29">
        <v>30</v>
      </c>
      <c r="H4895" s="127"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2" t="str">
        <f>VLOOKUP(B4895,辅助信息!E:I,3,FALSE)</f>
        <v>(五冶钢构龙泉东洪片区85亩住宅、商业及配套工程项目三标段)成都市龙泉驿外东洪路地铁2号线惠王陵地铁C口</v>
      </c>
      <c r="J4895" s="33" t="str">
        <f>VLOOKUP(B4895,辅助信息!E:I,4,FALSE)</f>
        <v>王军宝</v>
      </c>
      <c r="K4895" s="33">
        <f>VLOOKUP(J4895,辅助信息!H:I,2,FALSE)</f>
        <v>13889142392</v>
      </c>
      <c r="L4895" s="102">
        <f>VLOOKUP(B4895,辅助信息!E:J,6,FALSE)</f>
        <v>0</v>
      </c>
      <c r="M4895" s="84">
        <v>45950</v>
      </c>
      <c r="O4895" s="55">
        <f ca="1" t="shared" si="234"/>
        <v>0</v>
      </c>
      <c r="P4895" s="55">
        <f ca="1" t="shared" si="235"/>
        <v>7</v>
      </c>
      <c r="Q4895" s="22" t="str">
        <f>VLOOKUP(B4895,辅助信息!E:M,9,FALSE)</f>
        <v>ZTWM-CDGS-XS-2025-0156-五冶钢构-2025年九月第一批次钢筋采购合同(三圣乡项目)-中铁物贸成都公司</v>
      </c>
      <c r="R4895" s="22" t="str">
        <f>_xlfn._xlws.FILTER(辅助信息!D:D,辅助信息!E:E=B4895)</f>
        <v>五冶钢构龙泉东洪片区85亩住宅、商业及配套工程项目三标段</v>
      </c>
    </row>
    <row r="4896" hidden="1" spans="2:18">
      <c r="B4896" s="128" t="s">
        <v>229</v>
      </c>
      <c r="C4896" s="63">
        <v>45953</v>
      </c>
      <c r="D4896" s="33" t="str">
        <f>VLOOKUP(B4896,辅助信息!E:K,7,FALSE)</f>
        <v>JWDDCD2025092400212</v>
      </c>
      <c r="E4896" s="33" t="str">
        <f>VLOOKUP(F4896,辅助信息!A:B,2,FALSE)</f>
        <v>盘螺</v>
      </c>
      <c r="F4896" s="33" t="s">
        <v>49</v>
      </c>
      <c r="G4896" s="29">
        <v>6</v>
      </c>
      <c r="H4896" s="127"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2" t="str">
        <f>VLOOKUP(B4896,辅助信息!E:I,3,FALSE)</f>
        <v>(五冶钢构龙泉东洪片区85亩住宅、商业及配套工程项目三标段)成都市龙泉驿外东洪路地铁2号线惠王陵地铁C口</v>
      </c>
      <c r="J4896" s="33" t="str">
        <f>VLOOKUP(B4896,辅助信息!E:I,4,FALSE)</f>
        <v>王军宝</v>
      </c>
      <c r="K4896" s="33">
        <f>VLOOKUP(J4896,辅助信息!H:I,2,FALSE)</f>
        <v>13889142392</v>
      </c>
      <c r="L4896" s="102">
        <f>VLOOKUP(B4896,辅助信息!E:J,6,FALSE)</f>
        <v>0</v>
      </c>
      <c r="M4896" s="84">
        <v>45950</v>
      </c>
      <c r="O4896" s="55">
        <f ca="1" t="shared" si="234"/>
        <v>0</v>
      </c>
      <c r="P4896" s="55">
        <f ca="1" t="shared" si="235"/>
        <v>7</v>
      </c>
      <c r="Q4896" s="22" t="str">
        <f>VLOOKUP(B4896,辅助信息!E:M,9,FALSE)</f>
        <v>ZTWM-CDGS-XS-2025-0156-五冶钢构-2025年九月第一批次钢筋采购合同(三圣乡项目)-中铁物贸成都公司</v>
      </c>
      <c r="R4896" s="22" t="str">
        <f>_xlfn._xlws.FILTER(辅助信息!D:D,辅助信息!E:E=B4896)</f>
        <v>五冶钢构龙泉东洪片区85亩住宅、商业及配套工程项目三标段</v>
      </c>
    </row>
    <row r="4897" hidden="1" spans="2:18">
      <c r="B4897" s="128" t="s">
        <v>229</v>
      </c>
      <c r="C4897" s="63">
        <v>45953</v>
      </c>
      <c r="D4897" s="33" t="str">
        <f>VLOOKUP(B4897,辅助信息!E:K,7,FALSE)</f>
        <v>JWDDCD2025092400212</v>
      </c>
      <c r="E4897" s="33" t="str">
        <f>VLOOKUP(F4897,辅助信息!A:B,2,FALSE)</f>
        <v>盘螺</v>
      </c>
      <c r="F4897" s="33" t="s">
        <v>40</v>
      </c>
      <c r="G4897" s="29">
        <v>20</v>
      </c>
      <c r="H4897" s="127"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2" t="str">
        <f>VLOOKUP(B4897,辅助信息!E:I,3,FALSE)</f>
        <v>(五冶钢构龙泉东洪片区85亩住宅、商业及配套工程项目三标段)成都市龙泉驿外东洪路地铁2号线惠王陵地铁C口</v>
      </c>
      <c r="J4897" s="33" t="str">
        <f>VLOOKUP(B4897,辅助信息!E:I,4,FALSE)</f>
        <v>王军宝</v>
      </c>
      <c r="K4897" s="33">
        <f>VLOOKUP(J4897,辅助信息!H:I,2,FALSE)</f>
        <v>13889142392</v>
      </c>
      <c r="L4897" s="102">
        <f>VLOOKUP(B4897,辅助信息!E:J,6,FALSE)</f>
        <v>0</v>
      </c>
      <c r="M4897" s="84">
        <v>45950</v>
      </c>
      <c r="O4897" s="55">
        <f ca="1" t="shared" si="234"/>
        <v>0</v>
      </c>
      <c r="P4897" s="55">
        <f ca="1" t="shared" si="235"/>
        <v>7</v>
      </c>
      <c r="Q4897" s="22" t="str">
        <f>VLOOKUP(B4897,辅助信息!E:M,9,FALSE)</f>
        <v>ZTWM-CDGS-XS-2025-0156-五冶钢构-2025年九月第一批次钢筋采购合同(三圣乡项目)-中铁物贸成都公司</v>
      </c>
      <c r="R4897" s="22" t="str">
        <f>_xlfn._xlws.FILTER(辅助信息!D:D,辅助信息!E:E=B4897)</f>
        <v>五冶钢构龙泉东洪片区85亩住宅、商业及配套工程项目三标段</v>
      </c>
    </row>
    <row r="4898" hidden="1" spans="2:18">
      <c r="B4898" s="128" t="s">
        <v>229</v>
      </c>
      <c r="C4898" s="63">
        <v>45953</v>
      </c>
      <c r="D4898" s="33" t="str">
        <f>VLOOKUP(B4898,辅助信息!E:K,7,FALSE)</f>
        <v>JWDDCD2025092400212</v>
      </c>
      <c r="E4898" s="33" t="str">
        <f>VLOOKUP(F4898,辅助信息!A:B,2,FALSE)</f>
        <v>盘螺</v>
      </c>
      <c r="F4898" s="33" t="s">
        <v>41</v>
      </c>
      <c r="G4898" s="29">
        <v>40</v>
      </c>
      <c r="H4898" s="127"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2" t="str">
        <f>VLOOKUP(B4898,辅助信息!E:I,3,FALSE)</f>
        <v>(五冶钢构龙泉东洪片区85亩住宅、商业及配套工程项目三标段)成都市龙泉驿外东洪路地铁2号线惠王陵地铁C口</v>
      </c>
      <c r="J4898" s="33" t="str">
        <f>VLOOKUP(B4898,辅助信息!E:I,4,FALSE)</f>
        <v>王军宝</v>
      </c>
      <c r="K4898" s="33">
        <f>VLOOKUP(J4898,辅助信息!H:I,2,FALSE)</f>
        <v>13889142392</v>
      </c>
      <c r="L4898" s="102">
        <f>VLOOKUP(B4898,辅助信息!E:J,6,FALSE)</f>
        <v>0</v>
      </c>
      <c r="M4898" s="84">
        <v>45950</v>
      </c>
      <c r="O4898" s="55">
        <f ca="1" t="shared" si="234"/>
        <v>0</v>
      </c>
      <c r="P4898" s="55">
        <f ca="1" t="shared" si="235"/>
        <v>7</v>
      </c>
      <c r="Q4898" s="22" t="str">
        <f>VLOOKUP(B4898,辅助信息!E:M,9,FALSE)</f>
        <v>ZTWM-CDGS-XS-2025-0156-五冶钢构-2025年九月第一批次钢筋采购合同(三圣乡项目)-中铁物贸成都公司</v>
      </c>
      <c r="R4898" s="22" t="str">
        <f>_xlfn._xlws.FILTER(辅助信息!D:D,辅助信息!E:E=B4898)</f>
        <v>五冶钢构龙泉东洪片区85亩住宅、商业及配套工程项目三标段</v>
      </c>
    </row>
    <row r="4899" hidden="1" spans="2:18">
      <c r="B4899" s="128" t="s">
        <v>229</v>
      </c>
      <c r="C4899" s="63">
        <v>45953</v>
      </c>
      <c r="D4899" s="33" t="str">
        <f>VLOOKUP(B4899,辅助信息!E:K,7,FALSE)</f>
        <v>JWDDCD2025092400212</v>
      </c>
      <c r="E4899" s="33" t="str">
        <f>VLOOKUP(F4899,辅助信息!A:B,2,FALSE)</f>
        <v>螺纹钢</v>
      </c>
      <c r="F4899" s="33" t="s">
        <v>27</v>
      </c>
      <c r="G4899" s="29">
        <v>57</v>
      </c>
      <c r="H4899" s="127"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2" t="str">
        <f>VLOOKUP(B4899,辅助信息!E:I,3,FALSE)</f>
        <v>(五冶钢构龙泉东洪片区85亩住宅、商业及配套工程项目三标段)成都市龙泉驿外东洪路地铁2号线惠王陵地铁C口</v>
      </c>
      <c r="J4899" s="33" t="str">
        <f>VLOOKUP(B4899,辅助信息!E:I,4,FALSE)</f>
        <v>王军宝</v>
      </c>
      <c r="K4899" s="33">
        <f>VLOOKUP(J4899,辅助信息!H:I,2,FALSE)</f>
        <v>13889142392</v>
      </c>
      <c r="L4899" s="102">
        <f>VLOOKUP(B4899,辅助信息!E:J,6,FALSE)</f>
        <v>0</v>
      </c>
      <c r="M4899" s="84">
        <v>45950</v>
      </c>
      <c r="O4899" s="55">
        <f ca="1" t="shared" si="234"/>
        <v>0</v>
      </c>
      <c r="P4899" s="55">
        <f ca="1" t="shared" si="235"/>
        <v>7</v>
      </c>
      <c r="Q4899" s="22" t="str">
        <f>VLOOKUP(B4899,辅助信息!E:M,9,FALSE)</f>
        <v>ZTWM-CDGS-XS-2025-0156-五冶钢构-2025年九月第一批次钢筋采购合同(三圣乡项目)-中铁物贸成都公司</v>
      </c>
      <c r="R4899" s="22" t="str">
        <f>_xlfn._xlws.FILTER(辅助信息!D:D,辅助信息!E:E=B4899)</f>
        <v>五冶钢构龙泉东洪片区85亩住宅、商业及配套工程项目三标段</v>
      </c>
    </row>
    <row r="4900" hidden="1" spans="2:18">
      <c r="B4900" s="128" t="s">
        <v>229</v>
      </c>
      <c r="C4900" s="63">
        <v>45953</v>
      </c>
      <c r="D4900" s="33" t="str">
        <f>VLOOKUP(B4900,辅助信息!E:K,7,FALSE)</f>
        <v>JWDDCD2025092400212</v>
      </c>
      <c r="E4900" s="33" t="str">
        <f>VLOOKUP(F4900,辅助信息!A:B,2,FALSE)</f>
        <v>螺纹钢</v>
      </c>
      <c r="F4900" s="33" t="s">
        <v>19</v>
      </c>
      <c r="G4900" s="29">
        <v>9</v>
      </c>
      <c r="H4900" s="127"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2" t="str">
        <f>VLOOKUP(B4900,辅助信息!E:I,3,FALSE)</f>
        <v>(五冶钢构龙泉东洪片区85亩住宅、商业及配套工程项目三标段)成都市龙泉驿外东洪路地铁2号线惠王陵地铁C口</v>
      </c>
      <c r="J4900" s="33" t="str">
        <f>VLOOKUP(B4900,辅助信息!E:I,4,FALSE)</f>
        <v>王军宝</v>
      </c>
      <c r="K4900" s="33">
        <f>VLOOKUP(J4900,辅助信息!H:I,2,FALSE)</f>
        <v>13889142392</v>
      </c>
      <c r="L4900" s="102">
        <f>VLOOKUP(B4900,辅助信息!E:J,6,FALSE)</f>
        <v>0</v>
      </c>
      <c r="M4900" s="84">
        <v>45950</v>
      </c>
      <c r="O4900" s="55">
        <f ca="1" t="shared" ref="O4900:O4963" si="236">IF(OR(M4900="",N4900&lt;&gt;""),"",MAX(M4900-TODAY(),0))</f>
        <v>0</v>
      </c>
      <c r="P4900" s="55">
        <f ca="1" t="shared" ref="P4900:P4963" si="237">IF(M4900="","",IF(N4900&lt;&gt;"",MAX(N4900-M4900,0),IF(TODAY()&gt;M4900,TODAY()-M4900,0)))</f>
        <v>7</v>
      </c>
      <c r="Q4900" s="22" t="str">
        <f>VLOOKUP(B4900,辅助信息!E:M,9,FALSE)</f>
        <v>ZTWM-CDGS-XS-2025-0156-五冶钢构-2025年九月第一批次钢筋采购合同(三圣乡项目)-中铁物贸成都公司</v>
      </c>
      <c r="R4900" s="22" t="str">
        <f>_xlfn._xlws.FILTER(辅助信息!D:D,辅助信息!E:E=B4900)</f>
        <v>五冶钢构龙泉东洪片区85亩住宅、商业及配套工程项目三标段</v>
      </c>
    </row>
    <row r="4901" hidden="1" spans="2:18">
      <c r="B4901" s="128" t="s">
        <v>229</v>
      </c>
      <c r="C4901" s="63">
        <v>45953</v>
      </c>
      <c r="D4901" s="33" t="str">
        <f>VLOOKUP(B4901,辅助信息!E:K,7,FALSE)</f>
        <v>JWDDCD2025092400212</v>
      </c>
      <c r="E4901" s="33" t="str">
        <f>VLOOKUP(F4901,辅助信息!A:B,2,FALSE)</f>
        <v>螺纹钢</v>
      </c>
      <c r="F4901" s="33" t="s">
        <v>32</v>
      </c>
      <c r="G4901" s="29">
        <v>6</v>
      </c>
      <c r="H4901" s="127"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2" t="str">
        <f>VLOOKUP(B4901,辅助信息!E:I,3,FALSE)</f>
        <v>(五冶钢构龙泉东洪片区85亩住宅、商业及配套工程项目三标段)成都市龙泉驿外东洪路地铁2号线惠王陵地铁C口</v>
      </c>
      <c r="J4901" s="33" t="str">
        <f>VLOOKUP(B4901,辅助信息!E:I,4,FALSE)</f>
        <v>王军宝</v>
      </c>
      <c r="K4901" s="33">
        <f>VLOOKUP(J4901,辅助信息!H:I,2,FALSE)</f>
        <v>13889142392</v>
      </c>
      <c r="L4901" s="102">
        <f>VLOOKUP(B4901,辅助信息!E:J,6,FALSE)</f>
        <v>0</v>
      </c>
      <c r="M4901" s="84">
        <v>45950</v>
      </c>
      <c r="O4901" s="55">
        <f ca="1" t="shared" si="236"/>
        <v>0</v>
      </c>
      <c r="P4901" s="55">
        <f ca="1" t="shared" si="237"/>
        <v>7</v>
      </c>
      <c r="Q4901" s="22" t="str">
        <f>VLOOKUP(B4901,辅助信息!E:M,9,FALSE)</f>
        <v>ZTWM-CDGS-XS-2025-0156-五冶钢构-2025年九月第一批次钢筋采购合同(三圣乡项目)-中铁物贸成都公司</v>
      </c>
      <c r="R4901" s="22" t="str">
        <f>_xlfn._xlws.FILTER(辅助信息!D:D,辅助信息!E:E=B4901)</f>
        <v>五冶钢构龙泉东洪片区85亩住宅、商业及配套工程项目三标段</v>
      </c>
    </row>
    <row r="4902" hidden="1" spans="2:18">
      <c r="B4902" s="128" t="s">
        <v>229</v>
      </c>
      <c r="C4902" s="63">
        <v>45953</v>
      </c>
      <c r="D4902" s="33" t="str">
        <f>VLOOKUP(B4902,辅助信息!E:K,7,FALSE)</f>
        <v>JWDDCD2025092400212</v>
      </c>
      <c r="E4902" s="33" t="str">
        <f>VLOOKUP(F4902,辅助信息!A:B,2,FALSE)</f>
        <v>螺纹钢</v>
      </c>
      <c r="F4902" s="33" t="s">
        <v>30</v>
      </c>
      <c r="G4902" s="29">
        <v>9</v>
      </c>
      <c r="H4902" s="127"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2" t="str">
        <f>VLOOKUP(B4902,辅助信息!E:I,3,FALSE)</f>
        <v>(五冶钢构龙泉东洪片区85亩住宅、商业及配套工程项目三标段)成都市龙泉驿外东洪路地铁2号线惠王陵地铁C口</v>
      </c>
      <c r="J4902" s="33" t="str">
        <f>VLOOKUP(B4902,辅助信息!E:I,4,FALSE)</f>
        <v>王军宝</v>
      </c>
      <c r="K4902" s="33">
        <f>VLOOKUP(J4902,辅助信息!H:I,2,FALSE)</f>
        <v>13889142392</v>
      </c>
      <c r="L4902" s="102">
        <f>VLOOKUP(B4902,辅助信息!E:J,6,FALSE)</f>
        <v>0</v>
      </c>
      <c r="M4902" s="84">
        <v>45950</v>
      </c>
      <c r="O4902" s="55">
        <f ca="1" t="shared" si="236"/>
        <v>0</v>
      </c>
      <c r="P4902" s="55">
        <f ca="1" t="shared" si="237"/>
        <v>7</v>
      </c>
      <c r="Q4902" s="22" t="str">
        <f>VLOOKUP(B4902,辅助信息!E:M,9,FALSE)</f>
        <v>ZTWM-CDGS-XS-2025-0156-五冶钢构-2025年九月第一批次钢筋采购合同(三圣乡项目)-中铁物贸成都公司</v>
      </c>
      <c r="R4902" s="22" t="str">
        <f>_xlfn._xlws.FILTER(辅助信息!D:D,辅助信息!E:E=B4902)</f>
        <v>五冶钢构龙泉东洪片区85亩住宅、商业及配套工程项目三标段</v>
      </c>
    </row>
    <row r="4903" hidden="1" spans="2:18">
      <c r="B4903" s="128" t="s">
        <v>229</v>
      </c>
      <c r="C4903" s="63">
        <v>45953</v>
      </c>
      <c r="D4903" s="33" t="str">
        <f>VLOOKUP(B4903,辅助信息!E:K,7,FALSE)</f>
        <v>JWDDCD2025092400212</v>
      </c>
      <c r="E4903" s="33" t="str">
        <f>VLOOKUP(F4903,辅助信息!A:B,2,FALSE)</f>
        <v>螺纹钢</v>
      </c>
      <c r="F4903" s="33" t="s">
        <v>18</v>
      </c>
      <c r="G4903" s="29">
        <v>6</v>
      </c>
      <c r="H4903" s="127"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2" t="str">
        <f>VLOOKUP(B4903,辅助信息!E:I,3,FALSE)</f>
        <v>(五冶钢构龙泉东洪片区85亩住宅、商业及配套工程项目三标段)成都市龙泉驿外东洪路地铁2号线惠王陵地铁C口</v>
      </c>
      <c r="J4903" s="33" t="str">
        <f>VLOOKUP(B4903,辅助信息!E:I,4,FALSE)</f>
        <v>王军宝</v>
      </c>
      <c r="K4903" s="33">
        <f>VLOOKUP(J4903,辅助信息!H:I,2,FALSE)</f>
        <v>13889142392</v>
      </c>
      <c r="L4903" s="102">
        <f>VLOOKUP(B4903,辅助信息!E:J,6,FALSE)</f>
        <v>0</v>
      </c>
      <c r="M4903" s="84">
        <v>45950</v>
      </c>
      <c r="O4903" s="55">
        <f ca="1" t="shared" si="236"/>
        <v>0</v>
      </c>
      <c r="P4903" s="55">
        <f ca="1" t="shared" si="237"/>
        <v>7</v>
      </c>
      <c r="Q4903" s="22" t="str">
        <f>VLOOKUP(B4903,辅助信息!E:M,9,FALSE)</f>
        <v>ZTWM-CDGS-XS-2025-0156-五冶钢构-2025年九月第一批次钢筋采购合同(三圣乡项目)-中铁物贸成都公司</v>
      </c>
      <c r="R4903" s="22" t="str">
        <f>_xlfn._xlws.FILTER(辅助信息!D:D,辅助信息!E:E=B4903)</f>
        <v>五冶钢构龙泉东洪片区85亩住宅、商业及配套工程项目三标段</v>
      </c>
    </row>
    <row r="4904" hidden="1" spans="2:18">
      <c r="B4904" s="128" t="s">
        <v>229</v>
      </c>
      <c r="C4904" s="63">
        <v>45953</v>
      </c>
      <c r="D4904" s="33" t="str">
        <f>VLOOKUP(B4904,辅助信息!E:K,7,FALSE)</f>
        <v>JWDDCD2025092400212</v>
      </c>
      <c r="E4904" s="33" t="str">
        <f>VLOOKUP(F4904,辅助信息!A:B,2,FALSE)</f>
        <v>螺纹钢</v>
      </c>
      <c r="F4904" s="33" t="s">
        <v>66</v>
      </c>
      <c r="G4904" s="29">
        <v>6</v>
      </c>
      <c r="H4904" s="127"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2" t="str">
        <f>VLOOKUP(B4904,辅助信息!E:I,3,FALSE)</f>
        <v>(五冶钢构龙泉东洪片区85亩住宅、商业及配套工程项目三标段)成都市龙泉驿外东洪路地铁2号线惠王陵地铁C口</v>
      </c>
      <c r="J4904" s="33" t="str">
        <f>VLOOKUP(B4904,辅助信息!E:I,4,FALSE)</f>
        <v>王军宝</v>
      </c>
      <c r="K4904" s="33">
        <f>VLOOKUP(J4904,辅助信息!H:I,2,FALSE)</f>
        <v>13889142392</v>
      </c>
      <c r="L4904" s="102">
        <f>VLOOKUP(B4904,辅助信息!E:J,6,FALSE)</f>
        <v>0</v>
      </c>
      <c r="M4904" s="84">
        <v>45950</v>
      </c>
      <c r="O4904" s="55">
        <f ca="1" t="shared" si="236"/>
        <v>0</v>
      </c>
      <c r="P4904" s="55">
        <f ca="1" t="shared" si="237"/>
        <v>7</v>
      </c>
      <c r="Q4904" s="22" t="str">
        <f>VLOOKUP(B4904,辅助信息!E:M,9,FALSE)</f>
        <v>ZTWM-CDGS-XS-2025-0156-五冶钢构-2025年九月第一批次钢筋采购合同(三圣乡项目)-中铁物贸成都公司</v>
      </c>
      <c r="R4904" s="22" t="str">
        <f>_xlfn._xlws.FILTER(辅助信息!D:D,辅助信息!E:E=B4904)</f>
        <v>五冶钢构龙泉东洪片区85亩住宅、商业及配套工程项目三标段</v>
      </c>
    </row>
    <row r="4905" hidden="1" spans="2:18">
      <c r="B4905" s="128" t="s">
        <v>229</v>
      </c>
      <c r="C4905" s="63">
        <v>45953</v>
      </c>
      <c r="D4905" s="33" t="str">
        <f>VLOOKUP(B4905,辅助信息!E:K,7,FALSE)</f>
        <v>JWDDCD2025092400212</v>
      </c>
      <c r="E4905" s="33" t="str">
        <f>VLOOKUP(F4905,辅助信息!A:B,2,FALSE)</f>
        <v>螺纹钢</v>
      </c>
      <c r="F4905" s="33" t="s">
        <v>58</v>
      </c>
      <c r="G4905" s="29">
        <v>6</v>
      </c>
      <c r="H4905" s="127"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2" t="str">
        <f>VLOOKUP(B4905,辅助信息!E:I,3,FALSE)</f>
        <v>(五冶钢构龙泉东洪片区85亩住宅、商业及配套工程项目三标段)成都市龙泉驿外东洪路地铁2号线惠王陵地铁C口</v>
      </c>
      <c r="J4905" s="33" t="str">
        <f>VLOOKUP(B4905,辅助信息!E:I,4,FALSE)</f>
        <v>王军宝</v>
      </c>
      <c r="K4905" s="33">
        <f>VLOOKUP(J4905,辅助信息!H:I,2,FALSE)</f>
        <v>13889142392</v>
      </c>
      <c r="L4905" s="102">
        <f>VLOOKUP(B4905,辅助信息!E:J,6,FALSE)</f>
        <v>0</v>
      </c>
      <c r="M4905" s="84">
        <v>45950</v>
      </c>
      <c r="O4905" s="55">
        <f ca="1" t="shared" si="236"/>
        <v>0</v>
      </c>
      <c r="P4905" s="55">
        <f ca="1" t="shared" si="237"/>
        <v>7</v>
      </c>
      <c r="Q4905" s="22" t="str">
        <f>VLOOKUP(B4905,辅助信息!E:M,9,FALSE)</f>
        <v>ZTWM-CDGS-XS-2025-0156-五冶钢构-2025年九月第一批次钢筋采购合同(三圣乡项目)-中铁物贸成都公司</v>
      </c>
      <c r="R4905" s="22" t="str">
        <f>_xlfn._xlws.FILTER(辅助信息!D:D,辅助信息!E:E=B4905)</f>
        <v>五冶钢构龙泉东洪片区85亩住宅、商业及配套工程项目三标段</v>
      </c>
    </row>
    <row r="4906" hidden="1" spans="2:18">
      <c r="B4906" s="128" t="s">
        <v>229</v>
      </c>
      <c r="C4906" s="63">
        <v>45953</v>
      </c>
      <c r="D4906" s="33" t="str">
        <f>VLOOKUP(B4906,辅助信息!E:K,7,FALSE)</f>
        <v>JWDDCD2025092400212</v>
      </c>
      <c r="E4906" s="33" t="str">
        <f>VLOOKUP(F4906,辅助信息!A:B,2,FALSE)</f>
        <v>螺纹钢</v>
      </c>
      <c r="F4906" s="33" t="s">
        <v>46</v>
      </c>
      <c r="G4906" s="29">
        <v>9</v>
      </c>
      <c r="H4906" s="127"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2" t="str">
        <f>VLOOKUP(B4906,辅助信息!E:I,3,FALSE)</f>
        <v>(五冶钢构龙泉东洪片区85亩住宅、商业及配套工程项目三标段)成都市龙泉驿外东洪路地铁2号线惠王陵地铁C口</v>
      </c>
      <c r="J4906" s="33" t="str">
        <f>VLOOKUP(B4906,辅助信息!E:I,4,FALSE)</f>
        <v>王军宝</v>
      </c>
      <c r="K4906" s="33">
        <f>VLOOKUP(J4906,辅助信息!H:I,2,FALSE)</f>
        <v>13889142392</v>
      </c>
      <c r="L4906" s="102">
        <f>VLOOKUP(B4906,辅助信息!E:J,6,FALSE)</f>
        <v>0</v>
      </c>
      <c r="M4906" s="84">
        <v>45950</v>
      </c>
      <c r="O4906" s="55">
        <f ca="1" t="shared" si="236"/>
        <v>0</v>
      </c>
      <c r="P4906" s="55">
        <f ca="1" t="shared" si="237"/>
        <v>7</v>
      </c>
      <c r="Q4906" s="22" t="str">
        <f>VLOOKUP(B4906,辅助信息!E:M,9,FALSE)</f>
        <v>ZTWM-CDGS-XS-2025-0156-五冶钢构-2025年九月第一批次钢筋采购合同(三圣乡项目)-中铁物贸成都公司</v>
      </c>
      <c r="R4906" s="22" t="str">
        <f>_xlfn._xlws.FILTER(辅助信息!D:D,辅助信息!E:E=B4906)</f>
        <v>五冶钢构龙泉东洪片区85亩住宅、商业及配套工程项目三标段</v>
      </c>
    </row>
    <row r="4907" hidden="1" spans="2:18">
      <c r="B4907" s="128" t="s">
        <v>229</v>
      </c>
      <c r="C4907" s="63">
        <v>45953</v>
      </c>
      <c r="D4907" s="33" t="str">
        <f>VLOOKUP(B4907,辅助信息!E:K,7,FALSE)</f>
        <v>JWDDCD2025092400212</v>
      </c>
      <c r="E4907" s="33" t="str">
        <f>VLOOKUP(F4907,辅助信息!A:B,2,FALSE)</f>
        <v>螺纹钢</v>
      </c>
      <c r="F4907" s="33" t="s">
        <v>22</v>
      </c>
      <c r="G4907" s="29">
        <v>21</v>
      </c>
      <c r="H4907" s="127"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2" t="str">
        <f>VLOOKUP(B4907,辅助信息!E:I,3,FALSE)</f>
        <v>(五冶钢构龙泉东洪片区85亩住宅、商业及配套工程项目三标段)成都市龙泉驿外东洪路地铁2号线惠王陵地铁C口</v>
      </c>
      <c r="J4907" s="33" t="str">
        <f>VLOOKUP(B4907,辅助信息!E:I,4,FALSE)</f>
        <v>王军宝</v>
      </c>
      <c r="K4907" s="33">
        <f>VLOOKUP(J4907,辅助信息!H:I,2,FALSE)</f>
        <v>13889142392</v>
      </c>
      <c r="L4907" s="102">
        <f>VLOOKUP(B4907,辅助信息!E:J,6,FALSE)</f>
        <v>0</v>
      </c>
      <c r="M4907" s="84">
        <v>45950</v>
      </c>
      <c r="O4907" s="55">
        <f ca="1" t="shared" si="236"/>
        <v>0</v>
      </c>
      <c r="P4907" s="55">
        <f ca="1" t="shared" si="237"/>
        <v>7</v>
      </c>
      <c r="Q4907" s="22" t="str">
        <f>VLOOKUP(B4907,辅助信息!E:M,9,FALSE)</f>
        <v>ZTWM-CDGS-XS-2025-0156-五冶钢构-2025年九月第一批次钢筋采购合同(三圣乡项目)-中铁物贸成都公司</v>
      </c>
      <c r="R4907" s="22" t="str">
        <f>_xlfn._xlws.FILTER(辅助信息!D:D,辅助信息!E:E=B4907)</f>
        <v>五冶钢构龙泉东洪片区85亩住宅、商业及配套工程项目三标段</v>
      </c>
    </row>
    <row r="4908" hidden="1" spans="2:18">
      <c r="B4908" s="128" t="s">
        <v>228</v>
      </c>
      <c r="C4908" s="63">
        <v>45953</v>
      </c>
      <c r="D4908" s="33" t="str">
        <f>VLOOKUP(B4908,辅助信息!E:K,7,FALSE)</f>
        <v>JWDDCD2025092400190</v>
      </c>
      <c r="E4908" s="33" t="str">
        <f>VLOOKUP(F4908,辅助信息!A:B,2,FALSE)</f>
        <v>高线</v>
      </c>
      <c r="F4908" s="33" t="s">
        <v>53</v>
      </c>
      <c r="G4908" s="29">
        <v>2</v>
      </c>
      <c r="H4908" s="127"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2" t="str">
        <f>VLOOKUP(B4908,辅助信息!E:I,3,FALSE)</f>
        <v>(五冶钢构龙泉东洪片区70亩住宅、商业及配套工程项目二标段)成都市龙泉驿外东洪路地铁2号线惠王陵地铁C口</v>
      </c>
      <c r="J4908" s="33" t="str">
        <f>VLOOKUP(B4908,辅助信息!E:I,4,FALSE)</f>
        <v>蒋嗣伟</v>
      </c>
      <c r="K4908" s="33">
        <f>VLOOKUP(J4908,辅助信息!H:I,2,FALSE)</f>
        <v>15014331252</v>
      </c>
      <c r="L4908" s="102">
        <f>VLOOKUP(B4908,辅助信息!E:J,6,FALSE)</f>
        <v>0</v>
      </c>
      <c r="M4908" s="84">
        <v>45953</v>
      </c>
      <c r="O4908" s="55">
        <f ca="1" t="shared" si="236"/>
        <v>0</v>
      </c>
      <c r="P4908" s="55">
        <f ca="1" t="shared" si="237"/>
        <v>4</v>
      </c>
      <c r="Q4908" s="22" t="str">
        <f>VLOOKUP(B4908,辅助信息!E:M,9,FALSE)</f>
        <v>ZTWM-CDGS-XS-2025-0156-五冶钢构-2025年九月第一批次钢筋采购合同(三圣乡项目)-中铁物贸成都公司</v>
      </c>
      <c r="R4908" s="22" t="str">
        <f>_xlfn._xlws.FILTER(辅助信息!D:D,辅助信息!E:E=B4908)</f>
        <v>五冶钢构龙泉东洪片区70亩住宅、商业及配套工程项目二标段</v>
      </c>
    </row>
    <row r="4909" hidden="1" spans="2:18">
      <c r="B4909" s="128" t="s">
        <v>228</v>
      </c>
      <c r="C4909" s="63">
        <v>45953</v>
      </c>
      <c r="D4909" s="33" t="str">
        <f>VLOOKUP(B4909,辅助信息!E:K,7,FALSE)</f>
        <v>JWDDCD2025092400190</v>
      </c>
      <c r="E4909" s="33" t="str">
        <f>VLOOKUP(F4909,辅助信息!A:B,2,FALSE)</f>
        <v>盘螺</v>
      </c>
      <c r="F4909" s="33" t="s">
        <v>40</v>
      </c>
      <c r="G4909" s="29">
        <v>35</v>
      </c>
      <c r="H4909" s="127"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2" t="str">
        <f>VLOOKUP(B4909,辅助信息!E:I,3,FALSE)</f>
        <v>(五冶钢构龙泉东洪片区70亩住宅、商业及配套工程项目二标段)成都市龙泉驿外东洪路地铁2号线惠王陵地铁C口</v>
      </c>
      <c r="J4909" s="33" t="str">
        <f>VLOOKUP(B4909,辅助信息!E:I,4,FALSE)</f>
        <v>蒋嗣伟</v>
      </c>
      <c r="K4909" s="33">
        <f>VLOOKUP(J4909,辅助信息!H:I,2,FALSE)</f>
        <v>15014331252</v>
      </c>
      <c r="L4909" s="102">
        <f>VLOOKUP(B4909,辅助信息!E:J,6,FALSE)</f>
        <v>0</v>
      </c>
      <c r="M4909" s="84">
        <v>45953</v>
      </c>
      <c r="O4909" s="55">
        <f ca="1" t="shared" si="236"/>
        <v>0</v>
      </c>
      <c r="P4909" s="55">
        <f ca="1" t="shared" si="237"/>
        <v>4</v>
      </c>
      <c r="Q4909" s="22" t="str">
        <f>VLOOKUP(B4909,辅助信息!E:M,9,FALSE)</f>
        <v>ZTWM-CDGS-XS-2025-0156-五冶钢构-2025年九月第一批次钢筋采购合同(三圣乡项目)-中铁物贸成都公司</v>
      </c>
      <c r="R4909" s="22" t="str">
        <f>_xlfn._xlws.FILTER(辅助信息!D:D,辅助信息!E:E=B4909)</f>
        <v>五冶钢构龙泉东洪片区70亩住宅、商业及配套工程项目二标段</v>
      </c>
    </row>
    <row r="4910" hidden="1" spans="2:18">
      <c r="B4910" s="128" t="s">
        <v>228</v>
      </c>
      <c r="C4910" s="63">
        <v>45953</v>
      </c>
      <c r="D4910" s="33" t="str">
        <f>VLOOKUP(B4910,辅助信息!E:K,7,FALSE)</f>
        <v>JWDDCD2025092400190</v>
      </c>
      <c r="E4910" s="33" t="str">
        <f>VLOOKUP(F4910,辅助信息!A:B,2,FALSE)</f>
        <v>螺纹钢</v>
      </c>
      <c r="F4910" s="33" t="s">
        <v>27</v>
      </c>
      <c r="G4910" s="29">
        <v>35</v>
      </c>
      <c r="H4910" s="127"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2" t="str">
        <f>VLOOKUP(B4910,辅助信息!E:I,3,FALSE)</f>
        <v>(五冶钢构龙泉东洪片区70亩住宅、商业及配套工程项目二标段)成都市龙泉驿外东洪路地铁2号线惠王陵地铁C口</v>
      </c>
      <c r="J4910" s="33" t="str">
        <f>VLOOKUP(B4910,辅助信息!E:I,4,FALSE)</f>
        <v>蒋嗣伟</v>
      </c>
      <c r="K4910" s="33">
        <f>VLOOKUP(J4910,辅助信息!H:I,2,FALSE)</f>
        <v>15014331252</v>
      </c>
      <c r="L4910" s="102">
        <f>VLOOKUP(B4910,辅助信息!E:J,6,FALSE)</f>
        <v>0</v>
      </c>
      <c r="M4910" s="84">
        <v>45953</v>
      </c>
      <c r="O4910" s="55">
        <f ca="1" t="shared" si="236"/>
        <v>0</v>
      </c>
      <c r="P4910" s="55">
        <f ca="1" t="shared" si="237"/>
        <v>4</v>
      </c>
      <c r="Q4910" s="22" t="str">
        <f>VLOOKUP(B4910,辅助信息!E:M,9,FALSE)</f>
        <v>ZTWM-CDGS-XS-2025-0156-五冶钢构-2025年九月第一批次钢筋采购合同(三圣乡项目)-中铁物贸成都公司</v>
      </c>
      <c r="R4910" s="22" t="str">
        <f>_xlfn._xlws.FILTER(辅助信息!D:D,辅助信息!E:E=B4910)</f>
        <v>五冶钢构龙泉东洪片区70亩住宅、商业及配套工程项目二标段</v>
      </c>
    </row>
    <row r="4911" hidden="1" spans="2:18">
      <c r="B4911" s="128" t="s">
        <v>228</v>
      </c>
      <c r="C4911" s="63">
        <v>45953</v>
      </c>
      <c r="D4911" s="33" t="str">
        <f>VLOOKUP(B4911,辅助信息!E:K,7,FALSE)</f>
        <v>JWDDCD2025092400190</v>
      </c>
      <c r="E4911" s="33" t="str">
        <f>VLOOKUP(F4911,辅助信息!A:B,2,FALSE)</f>
        <v>螺纹钢</v>
      </c>
      <c r="F4911" s="33" t="s">
        <v>19</v>
      </c>
      <c r="G4911" s="29">
        <v>15</v>
      </c>
      <c r="H4911" s="127"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2" t="str">
        <f>VLOOKUP(B4911,辅助信息!E:I,3,FALSE)</f>
        <v>(五冶钢构龙泉东洪片区70亩住宅、商业及配套工程项目二标段)成都市龙泉驿外东洪路地铁2号线惠王陵地铁C口</v>
      </c>
      <c r="J4911" s="33" t="str">
        <f>VLOOKUP(B4911,辅助信息!E:I,4,FALSE)</f>
        <v>蒋嗣伟</v>
      </c>
      <c r="K4911" s="33">
        <f>VLOOKUP(J4911,辅助信息!H:I,2,FALSE)</f>
        <v>15014331252</v>
      </c>
      <c r="L4911" s="102">
        <f>VLOOKUP(B4911,辅助信息!E:J,6,FALSE)</f>
        <v>0</v>
      </c>
      <c r="M4911" s="84">
        <v>45953</v>
      </c>
      <c r="O4911" s="55">
        <f ca="1" t="shared" si="236"/>
        <v>0</v>
      </c>
      <c r="P4911" s="55">
        <f ca="1" t="shared" si="237"/>
        <v>4</v>
      </c>
      <c r="Q4911" s="22" t="str">
        <f>VLOOKUP(B4911,辅助信息!E:M,9,FALSE)</f>
        <v>ZTWM-CDGS-XS-2025-0156-五冶钢构-2025年九月第一批次钢筋采购合同(三圣乡项目)-中铁物贸成都公司</v>
      </c>
      <c r="R4911" s="22" t="str">
        <f>_xlfn._xlws.FILTER(辅助信息!D:D,辅助信息!E:E=B4911)</f>
        <v>五冶钢构龙泉东洪片区70亩住宅、商业及配套工程项目二标段</v>
      </c>
    </row>
    <row r="4912" hidden="1" spans="2:18">
      <c r="B4912" s="128" t="s">
        <v>228</v>
      </c>
      <c r="C4912" s="63">
        <v>45953</v>
      </c>
      <c r="D4912" s="33" t="str">
        <f>VLOOKUP(B4912,辅助信息!E:K,7,FALSE)</f>
        <v>JWDDCD2025092400190</v>
      </c>
      <c r="E4912" s="33" t="str">
        <f>VLOOKUP(F4912,辅助信息!A:B,2,FALSE)</f>
        <v>螺纹钢</v>
      </c>
      <c r="F4912" s="33" t="s">
        <v>32</v>
      </c>
      <c r="G4912" s="29">
        <v>35</v>
      </c>
      <c r="H4912" s="127"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2" t="str">
        <f>VLOOKUP(B4912,辅助信息!E:I,3,FALSE)</f>
        <v>(五冶钢构龙泉东洪片区70亩住宅、商业及配套工程项目二标段)成都市龙泉驿外东洪路地铁2号线惠王陵地铁C口</v>
      </c>
      <c r="J4912" s="33" t="str">
        <f>VLOOKUP(B4912,辅助信息!E:I,4,FALSE)</f>
        <v>蒋嗣伟</v>
      </c>
      <c r="K4912" s="33">
        <f>VLOOKUP(J4912,辅助信息!H:I,2,FALSE)</f>
        <v>15014331252</v>
      </c>
      <c r="L4912" s="102">
        <f>VLOOKUP(B4912,辅助信息!E:J,6,FALSE)</f>
        <v>0</v>
      </c>
      <c r="M4912" s="84">
        <v>45953</v>
      </c>
      <c r="O4912" s="55">
        <f ca="1" t="shared" si="236"/>
        <v>0</v>
      </c>
      <c r="P4912" s="55">
        <f ca="1" t="shared" si="237"/>
        <v>4</v>
      </c>
      <c r="Q4912" s="22" t="str">
        <f>VLOOKUP(B4912,辅助信息!E:M,9,FALSE)</f>
        <v>ZTWM-CDGS-XS-2025-0156-五冶钢构-2025年九月第一批次钢筋采购合同(三圣乡项目)-中铁物贸成都公司</v>
      </c>
      <c r="R4912" s="22" t="str">
        <f>_xlfn._xlws.FILTER(辅助信息!D:D,辅助信息!E:E=B4912)</f>
        <v>五冶钢构龙泉东洪片区70亩住宅、商业及配套工程项目二标段</v>
      </c>
    </row>
    <row r="4913" hidden="1" spans="2:18">
      <c r="B4913" s="128" t="s">
        <v>228</v>
      </c>
      <c r="C4913" s="63">
        <v>45953</v>
      </c>
      <c r="D4913" s="33" t="str">
        <f>VLOOKUP(B4913,辅助信息!E:K,7,FALSE)</f>
        <v>JWDDCD2025092400190</v>
      </c>
      <c r="E4913" s="33" t="str">
        <f>VLOOKUP(F4913,辅助信息!A:B,2,FALSE)</f>
        <v>螺纹钢</v>
      </c>
      <c r="F4913" s="33" t="s">
        <v>30</v>
      </c>
      <c r="G4913" s="29">
        <v>10</v>
      </c>
      <c r="H4913" s="127"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2" t="str">
        <f>VLOOKUP(B4913,辅助信息!E:I,3,FALSE)</f>
        <v>(五冶钢构龙泉东洪片区70亩住宅、商业及配套工程项目二标段)成都市龙泉驿外东洪路地铁2号线惠王陵地铁C口</v>
      </c>
      <c r="J4913" s="33" t="str">
        <f>VLOOKUP(B4913,辅助信息!E:I,4,FALSE)</f>
        <v>蒋嗣伟</v>
      </c>
      <c r="K4913" s="33">
        <f>VLOOKUP(J4913,辅助信息!H:I,2,FALSE)</f>
        <v>15014331252</v>
      </c>
      <c r="L4913" s="102">
        <f>VLOOKUP(B4913,辅助信息!E:J,6,FALSE)</f>
        <v>0</v>
      </c>
      <c r="M4913" s="84">
        <v>45953</v>
      </c>
      <c r="O4913" s="55">
        <f ca="1" t="shared" si="236"/>
        <v>0</v>
      </c>
      <c r="P4913" s="55">
        <f ca="1" t="shared" si="237"/>
        <v>4</v>
      </c>
      <c r="Q4913" s="22" t="str">
        <f>VLOOKUP(B4913,辅助信息!E:M,9,FALSE)</f>
        <v>ZTWM-CDGS-XS-2025-0156-五冶钢构-2025年九月第一批次钢筋采购合同(三圣乡项目)-中铁物贸成都公司</v>
      </c>
      <c r="R4913" s="22" t="str">
        <f>_xlfn._xlws.FILTER(辅助信息!D:D,辅助信息!E:E=B4913)</f>
        <v>五冶钢构龙泉东洪片区70亩住宅、商业及配套工程项目二标段</v>
      </c>
    </row>
    <row r="4914" hidden="1" spans="2:18">
      <c r="B4914" s="128" t="s">
        <v>228</v>
      </c>
      <c r="C4914" s="63">
        <v>45953</v>
      </c>
      <c r="D4914" s="33" t="str">
        <f>VLOOKUP(B4914,辅助信息!E:K,7,FALSE)</f>
        <v>JWDDCD2025092400190</v>
      </c>
      <c r="E4914" s="33" t="str">
        <f>VLOOKUP(F4914,辅助信息!A:B,2,FALSE)</f>
        <v>螺纹钢</v>
      </c>
      <c r="F4914" s="33" t="s">
        <v>33</v>
      </c>
      <c r="G4914" s="29">
        <v>12.5</v>
      </c>
      <c r="H4914" s="127"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2" t="str">
        <f>VLOOKUP(B4914,辅助信息!E:I,3,FALSE)</f>
        <v>(五冶钢构龙泉东洪片区70亩住宅、商业及配套工程项目二标段)成都市龙泉驿外东洪路地铁2号线惠王陵地铁C口</v>
      </c>
      <c r="J4914" s="33" t="str">
        <f>VLOOKUP(B4914,辅助信息!E:I,4,FALSE)</f>
        <v>蒋嗣伟</v>
      </c>
      <c r="K4914" s="33">
        <f>VLOOKUP(J4914,辅助信息!H:I,2,FALSE)</f>
        <v>15014331252</v>
      </c>
      <c r="L4914" s="102">
        <f>VLOOKUP(B4914,辅助信息!E:J,6,FALSE)</f>
        <v>0</v>
      </c>
      <c r="M4914" s="84">
        <v>45953</v>
      </c>
      <c r="O4914" s="55">
        <f ca="1" t="shared" si="236"/>
        <v>0</v>
      </c>
      <c r="P4914" s="55">
        <f ca="1" t="shared" si="237"/>
        <v>4</v>
      </c>
      <c r="Q4914" s="22" t="str">
        <f>VLOOKUP(B4914,辅助信息!E:M,9,FALSE)</f>
        <v>ZTWM-CDGS-XS-2025-0156-五冶钢构-2025年九月第一批次钢筋采购合同(三圣乡项目)-中铁物贸成都公司</v>
      </c>
      <c r="R4914" s="22" t="str">
        <f>_xlfn._xlws.FILTER(辅助信息!D:D,辅助信息!E:E=B4914)</f>
        <v>五冶钢构龙泉东洪片区70亩住宅、商业及配套工程项目二标段</v>
      </c>
    </row>
    <row r="4915" hidden="1" spans="2:18">
      <c r="B4915" s="128" t="s">
        <v>228</v>
      </c>
      <c r="C4915" s="63">
        <v>45953</v>
      </c>
      <c r="D4915" s="33" t="str">
        <f>VLOOKUP(B4915,辅助信息!E:K,7,FALSE)</f>
        <v>JWDDCD2025092400190</v>
      </c>
      <c r="E4915" s="33" t="str">
        <f>VLOOKUP(F4915,辅助信息!A:B,2,FALSE)</f>
        <v>螺纹钢</v>
      </c>
      <c r="F4915" s="33" t="s">
        <v>28</v>
      </c>
      <c r="G4915" s="29">
        <v>15</v>
      </c>
      <c r="H4915" s="127"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2" t="str">
        <f>VLOOKUP(B4915,辅助信息!E:I,3,FALSE)</f>
        <v>(五冶钢构龙泉东洪片区70亩住宅、商业及配套工程项目二标段)成都市龙泉驿外东洪路地铁2号线惠王陵地铁C口</v>
      </c>
      <c r="J4915" s="33" t="str">
        <f>VLOOKUP(B4915,辅助信息!E:I,4,FALSE)</f>
        <v>蒋嗣伟</v>
      </c>
      <c r="K4915" s="33">
        <f>VLOOKUP(J4915,辅助信息!H:I,2,FALSE)</f>
        <v>15014331252</v>
      </c>
      <c r="L4915" s="102">
        <f>VLOOKUP(B4915,辅助信息!E:J,6,FALSE)</f>
        <v>0</v>
      </c>
      <c r="M4915" s="84">
        <v>45953</v>
      </c>
      <c r="O4915" s="55">
        <f ca="1" t="shared" si="236"/>
        <v>0</v>
      </c>
      <c r="P4915" s="55">
        <f ca="1" t="shared" si="237"/>
        <v>4</v>
      </c>
      <c r="Q4915" s="22" t="str">
        <f>VLOOKUP(B4915,辅助信息!E:M,9,FALSE)</f>
        <v>ZTWM-CDGS-XS-2025-0156-五冶钢构-2025年九月第一批次钢筋采购合同(三圣乡项目)-中铁物贸成都公司</v>
      </c>
      <c r="R4915" s="22" t="str">
        <f>_xlfn._xlws.FILTER(辅助信息!D:D,辅助信息!E:E=B4915)</f>
        <v>五冶钢构龙泉东洪片区70亩住宅、商业及配套工程项目二标段</v>
      </c>
    </row>
    <row r="4916" hidden="1" spans="2:18">
      <c r="B4916" s="128" t="s">
        <v>228</v>
      </c>
      <c r="C4916" s="63">
        <v>45953</v>
      </c>
      <c r="D4916" s="33" t="str">
        <f>VLOOKUP(B4916,辅助信息!E:K,7,FALSE)</f>
        <v>JWDDCD2025092400190</v>
      </c>
      <c r="E4916" s="33" t="str">
        <f>VLOOKUP(F4916,辅助信息!A:B,2,FALSE)</f>
        <v>螺纹钢</v>
      </c>
      <c r="F4916" s="33" t="s">
        <v>18</v>
      </c>
      <c r="G4916" s="29">
        <v>15</v>
      </c>
      <c r="H4916" s="127"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2" t="str">
        <f>VLOOKUP(B4916,辅助信息!E:I,3,FALSE)</f>
        <v>(五冶钢构龙泉东洪片区70亩住宅、商业及配套工程项目二标段)成都市龙泉驿外东洪路地铁2号线惠王陵地铁C口</v>
      </c>
      <c r="J4916" s="33" t="str">
        <f>VLOOKUP(B4916,辅助信息!E:I,4,FALSE)</f>
        <v>蒋嗣伟</v>
      </c>
      <c r="K4916" s="33">
        <f>VLOOKUP(J4916,辅助信息!H:I,2,FALSE)</f>
        <v>15014331252</v>
      </c>
      <c r="L4916" s="102">
        <f>VLOOKUP(B4916,辅助信息!E:J,6,FALSE)</f>
        <v>0</v>
      </c>
      <c r="M4916" s="84">
        <v>45953</v>
      </c>
      <c r="O4916" s="55">
        <f ca="1" t="shared" si="236"/>
        <v>0</v>
      </c>
      <c r="P4916" s="55">
        <f ca="1" t="shared" si="237"/>
        <v>4</v>
      </c>
      <c r="Q4916" s="22" t="str">
        <f>VLOOKUP(B4916,辅助信息!E:M,9,FALSE)</f>
        <v>ZTWM-CDGS-XS-2025-0156-五冶钢构-2025年九月第一批次钢筋采购合同(三圣乡项目)-中铁物贸成都公司</v>
      </c>
      <c r="R4916" s="22" t="str">
        <f>_xlfn._xlws.FILTER(辅助信息!D:D,辅助信息!E:E=B4916)</f>
        <v>五冶钢构龙泉东洪片区70亩住宅、商业及配套工程项目二标段</v>
      </c>
    </row>
    <row r="4917" hidden="1" spans="2:18">
      <c r="B4917" s="128" t="s">
        <v>232</v>
      </c>
      <c r="C4917" s="97">
        <v>45954</v>
      </c>
      <c r="D4917" s="33" t="str">
        <f>VLOOKUP(B4917,辅助信息!E:K,7,FALSE)</f>
        <v>JWDDCD2025052800131</v>
      </c>
      <c r="E4917" s="33" t="str">
        <f>VLOOKUP(F4917,辅助信息!A:B,2,FALSE)</f>
        <v>盘螺</v>
      </c>
      <c r="F4917" s="33" t="s">
        <v>40</v>
      </c>
      <c r="G4917" s="29">
        <v>10</v>
      </c>
      <c r="H4917" s="127">
        <f>IF(SUMIFS('[1]2025年已发货'!$E:$E,'[1]2025年已发货'!$F:$F,C4917,'[1]2025年已发货'!$C:$C,F4917,'[1]2025年已发货'!$G:$G,I4917,'[1]2025年已发货'!$H:$H,J4917)=0,"未发货",SUMIFS('[1]2025年已发货'!$E:$E,'[1]2025年已发货'!$F:$F,C4917,'[1]2025年已发货'!$C:$C,F4917,'[1]2025年已发货'!$G:$G,I4917,'[1]2025年已发货'!$H:$H,J4917))</f>
        <v>10</v>
      </c>
      <c r="I4917" s="32" t="str">
        <f>VLOOKUP(B4917,辅助信息!E:I,3,FALSE)</f>
        <v>（商投建工达州中医药科技园-2工区-2号桥）达州市通川区达州中医药职业学院犀牛大道北段</v>
      </c>
      <c r="J4917" s="33" t="str">
        <f>VLOOKUP(B4917,辅助信息!E:I,4,FALSE)</f>
        <v>李波</v>
      </c>
      <c r="K4917" s="33">
        <f>VLOOKUP(J4917,辅助信息!H:I,2,FALSE)</f>
        <v>18381899787</v>
      </c>
      <c r="L4917" s="102" t="str">
        <f>VLOOKUP(B4917,辅助信息!E:J,6,FALSE)</f>
        <v>控制炉批号！多了现场不收！,优先安排达钢,提前联系到场规格及数量</v>
      </c>
      <c r="M4917" s="84">
        <v>45953</v>
      </c>
      <c r="O4917" s="55">
        <f ca="1" t="shared" si="236"/>
        <v>0</v>
      </c>
      <c r="P4917" s="55">
        <f ca="1" t="shared" si="237"/>
        <v>4</v>
      </c>
      <c r="Q4917" s="22" t="str">
        <f>VLOOKUP(B4917,辅助信息!E:M,9,FALSE)</f>
        <v>ZTWM-CDGS-XS-2024-0134-商投建工达州中医药科技成果示范园项目</v>
      </c>
      <c r="R4917" s="22" t="str">
        <f>_xlfn._xlws.FILTER(辅助信息!D:D,辅助信息!E:E=B4917)</f>
        <v>商投建工达州中医药科技园</v>
      </c>
    </row>
    <row r="4918" hidden="1" spans="2:18">
      <c r="B4918" s="128" t="s">
        <v>232</v>
      </c>
      <c r="C4918" s="97">
        <v>45954</v>
      </c>
      <c r="D4918" s="33" t="str">
        <f>VLOOKUP(B4918,辅助信息!E:K,7,FALSE)</f>
        <v>JWDDCD2025052800131</v>
      </c>
      <c r="E4918" s="33" t="str">
        <f>VLOOKUP(F4918,辅助信息!A:B,2,FALSE)</f>
        <v>盘螺</v>
      </c>
      <c r="F4918" s="33" t="s">
        <v>41</v>
      </c>
      <c r="G4918" s="29">
        <v>10</v>
      </c>
      <c r="H4918" s="127">
        <f>IF(SUMIFS('[1]2025年已发货'!$E:$E,'[1]2025年已发货'!$F:$F,C4918,'[1]2025年已发货'!$C:$C,F4918,'[1]2025年已发货'!$G:$G,I4918,'[1]2025年已发货'!$H:$H,J4918)=0,"未发货",SUMIFS('[1]2025年已发货'!$E:$E,'[1]2025年已发货'!$F:$F,C4918,'[1]2025年已发货'!$C:$C,F4918,'[1]2025年已发货'!$G:$G,I4918,'[1]2025年已发货'!$H:$H,J4918))</f>
        <v>10</v>
      </c>
      <c r="I4918" s="32" t="str">
        <f>VLOOKUP(B4918,辅助信息!E:I,3,FALSE)</f>
        <v>（商投建工达州中医药科技园-2工区-2号桥）达州市通川区达州中医药职业学院犀牛大道北段</v>
      </c>
      <c r="J4918" s="33" t="str">
        <f>VLOOKUP(B4918,辅助信息!E:I,4,FALSE)</f>
        <v>李波</v>
      </c>
      <c r="K4918" s="33">
        <f>VLOOKUP(J4918,辅助信息!H:I,2,FALSE)</f>
        <v>18381899787</v>
      </c>
      <c r="L4918" s="102" t="str">
        <f>VLOOKUP(B4918,辅助信息!E:J,6,FALSE)</f>
        <v>控制炉批号！多了现场不收！,优先安排达钢,提前联系到场规格及数量</v>
      </c>
      <c r="M4918" s="84">
        <v>45953</v>
      </c>
      <c r="O4918" s="55">
        <f ca="1" t="shared" si="236"/>
        <v>0</v>
      </c>
      <c r="P4918" s="55">
        <f ca="1" t="shared" si="237"/>
        <v>4</v>
      </c>
      <c r="Q4918" s="22" t="str">
        <f>VLOOKUP(B4918,辅助信息!E:M,9,FALSE)</f>
        <v>ZTWM-CDGS-XS-2024-0134-商投建工达州中医药科技成果示范园项目</v>
      </c>
      <c r="R4918" s="22" t="str">
        <f>_xlfn._xlws.FILTER(辅助信息!D:D,辅助信息!E:E=B4918)</f>
        <v>商投建工达州中医药科技园</v>
      </c>
    </row>
    <row r="4919" hidden="1" spans="2:18">
      <c r="B4919" s="128" t="s">
        <v>232</v>
      </c>
      <c r="C4919" s="97">
        <v>45954</v>
      </c>
      <c r="D4919" s="33" t="str">
        <f>VLOOKUP(B4919,辅助信息!E:K,7,FALSE)</f>
        <v>JWDDCD2025052800131</v>
      </c>
      <c r="E4919" s="33" t="str">
        <f>VLOOKUP(F4919,辅助信息!A:B,2,FALSE)</f>
        <v>螺纹钢</v>
      </c>
      <c r="F4919" s="33" t="s">
        <v>27</v>
      </c>
      <c r="G4919" s="29">
        <v>30</v>
      </c>
      <c r="H4919" s="127">
        <f>IF(SUMIFS('[1]2025年已发货'!$E:$E,'[1]2025年已发货'!$F:$F,C4919,'[1]2025年已发货'!$C:$C,F4919,'[1]2025年已发货'!$G:$G,I4919,'[1]2025年已发货'!$H:$H,J4919)=0,"未发货",SUMIFS('[1]2025年已发货'!$E:$E,'[1]2025年已发货'!$F:$F,C4919,'[1]2025年已发货'!$C:$C,F4919,'[1]2025年已发货'!$G:$G,I4919,'[1]2025年已发货'!$H:$H,J4919))</f>
        <v>30</v>
      </c>
      <c r="I4919" s="32" t="str">
        <f>VLOOKUP(B4919,辅助信息!E:I,3,FALSE)</f>
        <v>（商投建工达州中医药科技园-2工区-2号桥）达州市通川区达州中医药职业学院犀牛大道北段</v>
      </c>
      <c r="J4919" s="33" t="str">
        <f>VLOOKUP(B4919,辅助信息!E:I,4,FALSE)</f>
        <v>李波</v>
      </c>
      <c r="K4919" s="33">
        <f>VLOOKUP(J4919,辅助信息!H:I,2,FALSE)</f>
        <v>18381899787</v>
      </c>
      <c r="L4919" s="102" t="str">
        <f>VLOOKUP(B4919,辅助信息!E:J,6,FALSE)</f>
        <v>控制炉批号！多了现场不收！,优先安排达钢,提前联系到场规格及数量</v>
      </c>
      <c r="M4919" s="84">
        <v>45953</v>
      </c>
      <c r="O4919" s="55">
        <f ca="1" t="shared" si="236"/>
        <v>0</v>
      </c>
      <c r="P4919" s="55">
        <f ca="1" t="shared" si="237"/>
        <v>4</v>
      </c>
      <c r="Q4919" s="22" t="str">
        <f>VLOOKUP(B4919,辅助信息!E:M,9,FALSE)</f>
        <v>ZTWM-CDGS-XS-2024-0134-商投建工达州中医药科技成果示范园项目</v>
      </c>
      <c r="R4919" s="22" t="str">
        <f>_xlfn._xlws.FILTER(辅助信息!D:D,辅助信息!E:E=B4919)</f>
        <v>商投建工达州中医药科技园</v>
      </c>
    </row>
    <row r="4920" hidden="1" spans="2:18">
      <c r="B4920" s="128" t="s">
        <v>232</v>
      </c>
      <c r="C4920" s="97">
        <v>45954</v>
      </c>
      <c r="D4920" s="33" t="str">
        <f>VLOOKUP(B4920,辅助信息!E:K,7,FALSE)</f>
        <v>JWDDCD2025052800131</v>
      </c>
      <c r="E4920" s="33" t="str">
        <f>VLOOKUP(F4920,辅助信息!A:B,2,FALSE)</f>
        <v>螺纹钢</v>
      </c>
      <c r="F4920" s="33" t="s">
        <v>19</v>
      </c>
      <c r="G4920" s="29">
        <v>100</v>
      </c>
      <c r="H4920" s="127">
        <f>IF(SUMIFS('[1]2025年已发货'!$E:$E,'[1]2025年已发货'!$F:$F,C4920,'[1]2025年已发货'!$C:$C,F4920,'[1]2025年已发货'!$G:$G,I4920,'[1]2025年已发货'!$H:$H,J4920)=0,"未发货",SUMIFS('[1]2025年已发货'!$E:$E,'[1]2025年已发货'!$F:$F,C4920,'[1]2025年已发货'!$C:$C,F4920,'[1]2025年已发货'!$G:$G,I4920,'[1]2025年已发货'!$H:$H,J4920))</f>
        <v>100</v>
      </c>
      <c r="I4920" s="32" t="str">
        <f>VLOOKUP(B4920,辅助信息!E:I,3,FALSE)</f>
        <v>（商投建工达州中医药科技园-2工区-2号桥）达州市通川区达州中医药职业学院犀牛大道北段</v>
      </c>
      <c r="J4920" s="33" t="str">
        <f>VLOOKUP(B4920,辅助信息!E:I,4,FALSE)</f>
        <v>李波</v>
      </c>
      <c r="K4920" s="33">
        <f>VLOOKUP(J4920,辅助信息!H:I,2,FALSE)</f>
        <v>18381899787</v>
      </c>
      <c r="L4920" s="102" t="str">
        <f>VLOOKUP(B4920,辅助信息!E:J,6,FALSE)</f>
        <v>控制炉批号！多了现场不收！,优先安排达钢,提前联系到场规格及数量</v>
      </c>
      <c r="M4920" s="84">
        <v>45953</v>
      </c>
      <c r="O4920" s="55">
        <f ca="1" t="shared" si="236"/>
        <v>0</v>
      </c>
      <c r="P4920" s="55">
        <f ca="1" t="shared" si="237"/>
        <v>4</v>
      </c>
      <c r="Q4920" s="22" t="str">
        <f>VLOOKUP(B4920,辅助信息!E:M,9,FALSE)</f>
        <v>ZTWM-CDGS-XS-2024-0134-商投建工达州中医药科技成果示范园项目</v>
      </c>
      <c r="R4920" s="22" t="str">
        <f>_xlfn._xlws.FILTER(辅助信息!D:D,辅助信息!E:E=B4920)</f>
        <v>商投建工达州中医药科技园</v>
      </c>
    </row>
    <row r="4921" hidden="1" spans="2:18">
      <c r="B4921" s="128" t="s">
        <v>232</v>
      </c>
      <c r="C4921" s="97">
        <v>45954</v>
      </c>
      <c r="D4921" s="33" t="str">
        <f>VLOOKUP(B4921,辅助信息!E:K,7,FALSE)</f>
        <v>JWDDCD2025052800131</v>
      </c>
      <c r="E4921" s="33" t="str">
        <f>VLOOKUP(F4921,辅助信息!A:B,2,FALSE)</f>
        <v>螺纹钢</v>
      </c>
      <c r="F4921" s="33" t="s">
        <v>32</v>
      </c>
      <c r="G4921" s="29">
        <v>30</v>
      </c>
      <c r="H4921" s="127">
        <f>IF(SUMIFS('[1]2025年已发货'!$E:$E,'[1]2025年已发货'!$F:$F,C4921,'[1]2025年已发货'!$C:$C,F4921,'[1]2025年已发货'!$G:$G,I4921,'[1]2025年已发货'!$H:$H,J4921)=0,"未发货",SUMIFS('[1]2025年已发货'!$E:$E,'[1]2025年已发货'!$F:$F,C4921,'[1]2025年已发货'!$C:$C,F4921,'[1]2025年已发货'!$G:$G,I4921,'[1]2025年已发货'!$H:$H,J4921))</f>
        <v>30</v>
      </c>
      <c r="I4921" s="32" t="str">
        <f>VLOOKUP(B4921,辅助信息!E:I,3,FALSE)</f>
        <v>（商投建工达州中医药科技园-2工区-2号桥）达州市通川区达州中医药职业学院犀牛大道北段</v>
      </c>
      <c r="J4921" s="33" t="str">
        <f>VLOOKUP(B4921,辅助信息!E:I,4,FALSE)</f>
        <v>李波</v>
      </c>
      <c r="K4921" s="33">
        <f>VLOOKUP(J4921,辅助信息!H:I,2,FALSE)</f>
        <v>18381899787</v>
      </c>
      <c r="L4921" s="102" t="str">
        <f>VLOOKUP(B4921,辅助信息!E:J,6,FALSE)</f>
        <v>控制炉批号！多了现场不收！,优先安排达钢,提前联系到场规格及数量</v>
      </c>
      <c r="M4921" s="84">
        <v>45953</v>
      </c>
      <c r="O4921" s="55">
        <f ca="1" t="shared" si="236"/>
        <v>0</v>
      </c>
      <c r="P4921" s="55">
        <f ca="1" t="shared" si="237"/>
        <v>4</v>
      </c>
      <c r="Q4921" s="22" t="str">
        <f>VLOOKUP(B4921,辅助信息!E:M,9,FALSE)</f>
        <v>ZTWM-CDGS-XS-2024-0134-商投建工达州中医药科技成果示范园项目</v>
      </c>
      <c r="R4921" s="22" t="str">
        <f>_xlfn._xlws.FILTER(辅助信息!D:D,辅助信息!E:E=B4921)</f>
        <v>商投建工达州中医药科技园</v>
      </c>
    </row>
    <row r="4922" hidden="1" spans="2:18">
      <c r="B4922" s="128" t="s">
        <v>232</v>
      </c>
      <c r="C4922" s="97">
        <v>45954</v>
      </c>
      <c r="D4922" s="33" t="str">
        <f>VLOOKUP(B4922,辅助信息!E:K,7,FALSE)</f>
        <v>JWDDCD2025052800131</v>
      </c>
      <c r="E4922" s="33" t="str">
        <f>VLOOKUP(F4922,辅助信息!A:B,2,FALSE)</f>
        <v>螺纹钢</v>
      </c>
      <c r="F4922" s="33" t="s">
        <v>30</v>
      </c>
      <c r="G4922" s="29">
        <v>90</v>
      </c>
      <c r="H4922" s="127"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2" t="str">
        <f>VLOOKUP(B4922,辅助信息!E:I,3,FALSE)</f>
        <v>（商投建工达州中医药科技园-2工区-2号桥）达州市通川区达州中医药职业学院犀牛大道北段</v>
      </c>
      <c r="J4922" s="33" t="str">
        <f>VLOOKUP(B4922,辅助信息!E:I,4,FALSE)</f>
        <v>李波</v>
      </c>
      <c r="K4922" s="33">
        <f>VLOOKUP(J4922,辅助信息!H:I,2,FALSE)</f>
        <v>18381899787</v>
      </c>
      <c r="L4922" s="102" t="str">
        <f>VLOOKUP(B4922,辅助信息!E:J,6,FALSE)</f>
        <v>控制炉批号！多了现场不收！,优先安排达钢,提前联系到场规格及数量</v>
      </c>
      <c r="M4922" s="84">
        <v>45953</v>
      </c>
      <c r="O4922" s="55">
        <f ca="1" t="shared" si="236"/>
        <v>0</v>
      </c>
      <c r="P4922" s="55">
        <f ca="1" t="shared" si="237"/>
        <v>4</v>
      </c>
      <c r="Q4922" s="22" t="str">
        <f>VLOOKUP(B4922,辅助信息!E:M,9,FALSE)</f>
        <v>ZTWM-CDGS-XS-2024-0134-商投建工达州中医药科技成果示范园项目</v>
      </c>
      <c r="R4922" s="22" t="str">
        <f>_xlfn._xlws.FILTER(辅助信息!D:D,辅助信息!E:E=B4922)</f>
        <v>商投建工达州中医药科技园</v>
      </c>
    </row>
    <row r="4923" hidden="1" spans="2:18">
      <c r="B4923" s="128" t="s">
        <v>232</v>
      </c>
      <c r="C4923" s="97">
        <v>45954</v>
      </c>
      <c r="D4923" s="33" t="str">
        <f>VLOOKUP(B4923,辅助信息!E:K,7,FALSE)</f>
        <v>JWDDCD2025052800131</v>
      </c>
      <c r="E4923" s="33" t="str">
        <f>VLOOKUP(F4923,辅助信息!A:B,2,FALSE)</f>
        <v>螺纹钢</v>
      </c>
      <c r="F4923" s="33" t="s">
        <v>33</v>
      </c>
      <c r="G4923" s="29">
        <v>40</v>
      </c>
      <c r="H4923" s="127">
        <f>IF(SUMIFS('[1]2025年已发货'!$E:$E,'[1]2025年已发货'!$F:$F,C4923,'[1]2025年已发货'!$C:$C,F4923,'[1]2025年已发货'!$G:$G,I4923,'[1]2025年已发货'!$H:$H,J4923)=0,"未发货",SUMIFS('[1]2025年已发货'!$E:$E,'[1]2025年已发货'!$F:$F,C4923,'[1]2025年已发货'!$C:$C,F4923,'[1]2025年已发货'!$G:$G,I4923,'[1]2025年已发货'!$H:$H,J4923))</f>
        <v>40</v>
      </c>
      <c r="I4923" s="32" t="str">
        <f>VLOOKUP(B4923,辅助信息!E:I,3,FALSE)</f>
        <v>（商投建工达州中医药科技园-2工区-2号桥）达州市通川区达州中医药职业学院犀牛大道北段</v>
      </c>
      <c r="J4923" s="33" t="str">
        <f>VLOOKUP(B4923,辅助信息!E:I,4,FALSE)</f>
        <v>李波</v>
      </c>
      <c r="K4923" s="33">
        <f>VLOOKUP(J4923,辅助信息!H:I,2,FALSE)</f>
        <v>18381899787</v>
      </c>
      <c r="L4923" s="102" t="str">
        <f>VLOOKUP(B4923,辅助信息!E:J,6,FALSE)</f>
        <v>控制炉批号！多了现场不收！,优先安排达钢,提前联系到场规格及数量</v>
      </c>
      <c r="M4923" s="84">
        <v>45953</v>
      </c>
      <c r="O4923" s="55">
        <f ca="1" t="shared" si="236"/>
        <v>0</v>
      </c>
      <c r="P4923" s="55">
        <f ca="1" t="shared" si="237"/>
        <v>4</v>
      </c>
      <c r="Q4923" s="22" t="str">
        <f>VLOOKUP(B4923,辅助信息!E:M,9,FALSE)</f>
        <v>ZTWM-CDGS-XS-2024-0134-商投建工达州中医药科技成果示范园项目</v>
      </c>
      <c r="R4923" s="22" t="str">
        <f>_xlfn._xlws.FILTER(辅助信息!D:D,辅助信息!E:E=B4923)</f>
        <v>商投建工达州中医药科技园</v>
      </c>
    </row>
    <row r="4924" hidden="1" spans="2:18">
      <c r="B4924" s="128" t="s">
        <v>232</v>
      </c>
      <c r="C4924" s="97">
        <v>45954</v>
      </c>
      <c r="D4924" s="33" t="str">
        <f>VLOOKUP(B4924,辅助信息!E:K,7,FALSE)</f>
        <v>JWDDCD2025052800131</v>
      </c>
      <c r="E4924" s="33" t="str">
        <f>VLOOKUP(F4924,辅助信息!A:B,2,FALSE)</f>
        <v>螺纹钢</v>
      </c>
      <c r="F4924" s="33" t="s">
        <v>18</v>
      </c>
      <c r="G4924" s="29">
        <v>30</v>
      </c>
      <c r="H4924" s="127"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2" t="str">
        <f>VLOOKUP(B4924,辅助信息!E:I,3,FALSE)</f>
        <v>（商投建工达州中医药科技园-2工区-2号桥）达州市通川区达州中医药职业学院犀牛大道北段</v>
      </c>
      <c r="J4924" s="33" t="str">
        <f>VLOOKUP(B4924,辅助信息!E:I,4,FALSE)</f>
        <v>李波</v>
      </c>
      <c r="K4924" s="33">
        <f>VLOOKUP(J4924,辅助信息!H:I,2,FALSE)</f>
        <v>18381899787</v>
      </c>
      <c r="L4924" s="102" t="str">
        <f>VLOOKUP(B4924,辅助信息!E:J,6,FALSE)</f>
        <v>控制炉批号！多了现场不收！,优先安排达钢,提前联系到场规格及数量</v>
      </c>
      <c r="M4924" s="84">
        <v>45953</v>
      </c>
      <c r="O4924" s="55">
        <f ca="1" t="shared" si="236"/>
        <v>0</v>
      </c>
      <c r="P4924" s="55">
        <f ca="1" t="shared" si="237"/>
        <v>4</v>
      </c>
      <c r="Q4924" s="22" t="str">
        <f>VLOOKUP(B4924,辅助信息!E:M,9,FALSE)</f>
        <v>ZTWM-CDGS-XS-2024-0134-商投建工达州中医药科技成果示范园项目</v>
      </c>
      <c r="R4924" s="22" t="str">
        <f>_xlfn._xlws.FILTER(辅助信息!D:D,辅助信息!E:E=B4924)</f>
        <v>商投建工达州中医药科技园</v>
      </c>
    </row>
    <row r="4925" hidden="1" spans="2:18">
      <c r="B4925" s="128" t="s">
        <v>194</v>
      </c>
      <c r="C4925" s="97">
        <v>45953</v>
      </c>
      <c r="D4925" s="33" t="str">
        <f>VLOOKUP(B4925,辅助信息!E:K,7,FALSE)</f>
        <v>JWDD2025071500089</v>
      </c>
      <c r="E4925" s="33" t="str">
        <f>VLOOKUP(F4925,辅助信息!A:B,2,FALSE)</f>
        <v>盘螺</v>
      </c>
      <c r="F4925" s="33" t="s">
        <v>49</v>
      </c>
      <c r="G4925" s="29">
        <v>6</v>
      </c>
      <c r="H4925" s="127">
        <f>IF(SUMIFS('[1]2025年已发货'!$E:$E,'[1]2025年已发货'!$F:$F,C4925,'[1]2025年已发货'!$C:$C,F4925,'[1]2025年已发货'!$G:$G,I4925,'[1]2025年已发货'!$H:$H,J4925)=0,"未发货",SUMIFS('[1]2025年已发货'!$E:$E,'[1]2025年已发货'!$F:$F,C4925,'[1]2025年已发货'!$C:$C,F4925,'[1]2025年已发货'!$G:$G,I4925,'[1]2025年已发货'!$H:$H,J4925))</f>
        <v>5</v>
      </c>
      <c r="I4925" s="32" t="str">
        <f>VLOOKUP(B4925,辅助信息!E:I,3,FALSE)</f>
        <v>(宜宾兴港三江新区长江工业园保障性租赁住房建设项目-土建)四川省宜宾市翠屏区永善路南段宜宾市三江新区长江工业园区</v>
      </c>
      <c r="J4925" s="33" t="str">
        <f>VLOOKUP(B4925,辅助信息!E:I,4,FALSE)</f>
        <v>赵元虎</v>
      </c>
      <c r="K4925" s="33">
        <f>VLOOKUP(J4925,辅助信息!H:I,2,FALSE)</f>
        <v>13684167136</v>
      </c>
      <c r="L4925" s="102" t="str">
        <f>VLOOKUP(B4925,辅助信息!E:J,6,FALSE)</f>
        <v>现场要求调度统一联系指定收货人，不单独发司机位置。锈货不收，装货前联系收货人核实到场规格,没提前告知进场规格现场不给予接收</v>
      </c>
      <c r="M4925" s="84">
        <v>45953</v>
      </c>
      <c r="O4925" s="55">
        <f ca="1" t="shared" si="236"/>
        <v>0</v>
      </c>
      <c r="P4925" s="55">
        <f ca="1" t="shared" si="237"/>
        <v>4</v>
      </c>
      <c r="Q4925" s="22" t="str">
        <f>VLOOKUP(B4925,辅助信息!E:M,9,FALSE)</f>
        <v>ZTWM-CDYXGS-XS-2025-0014-宜宾兴港建材-三江新区长江工业园片区保障性租赁住房建设项目</v>
      </c>
      <c r="R4925" s="22" t="str">
        <f>_xlfn._xlws.FILTER(辅助信息!D:D,辅助信息!E:E=B4925)</f>
        <v>宜宾兴港三江新区长江工业园建设项目</v>
      </c>
    </row>
    <row r="4926" hidden="1" spans="2:18">
      <c r="B4926" s="128" t="s">
        <v>194</v>
      </c>
      <c r="C4926" s="97">
        <v>45953</v>
      </c>
      <c r="D4926" s="33" t="str">
        <f>VLOOKUP(B4926,辅助信息!E:K,7,FALSE)</f>
        <v>JWDD2025071500089</v>
      </c>
      <c r="E4926" s="33" t="str">
        <f>VLOOKUP(F4926,辅助信息!A:B,2,FALSE)</f>
        <v>盘螺</v>
      </c>
      <c r="F4926" s="33" t="s">
        <v>41</v>
      </c>
      <c r="G4926" s="29">
        <v>10</v>
      </c>
      <c r="H4926" s="127">
        <f>IF(SUMIFS('[1]2025年已发货'!$E:$E,'[1]2025年已发货'!$F:$F,C4926,'[1]2025年已发货'!$C:$C,F4926,'[1]2025年已发货'!$G:$G,I4926,'[1]2025年已发货'!$H:$H,J4926)=0,"未发货",SUMIFS('[1]2025年已发货'!$E:$E,'[1]2025年已发货'!$F:$F,C4926,'[1]2025年已发货'!$C:$C,F4926,'[1]2025年已发货'!$G:$G,I4926,'[1]2025年已发货'!$H:$H,J4926))</f>
        <v>10</v>
      </c>
      <c r="I4926" s="32" t="str">
        <f>VLOOKUP(B4926,辅助信息!E:I,3,FALSE)</f>
        <v>(宜宾兴港三江新区长江工业园保障性租赁住房建设项目-土建)四川省宜宾市翠屏区永善路南段宜宾市三江新区长江工业园区</v>
      </c>
      <c r="J4926" s="33" t="str">
        <f>VLOOKUP(B4926,辅助信息!E:I,4,FALSE)</f>
        <v>赵元虎</v>
      </c>
      <c r="K4926" s="33">
        <f>VLOOKUP(J4926,辅助信息!H:I,2,FALSE)</f>
        <v>13684167136</v>
      </c>
      <c r="L4926" s="102" t="str">
        <f>VLOOKUP(B4926,辅助信息!E:J,6,FALSE)</f>
        <v>现场要求调度统一联系指定收货人，不单独发司机位置。锈货不收，装货前联系收货人核实到场规格,没提前告知进场规格现场不给予接收</v>
      </c>
      <c r="M4926" s="84">
        <v>45953</v>
      </c>
      <c r="O4926" s="55">
        <f ca="1" t="shared" si="236"/>
        <v>0</v>
      </c>
      <c r="P4926" s="55">
        <f ca="1" t="shared" si="237"/>
        <v>4</v>
      </c>
      <c r="Q4926" s="22" t="str">
        <f>VLOOKUP(B4926,辅助信息!E:M,9,FALSE)</f>
        <v>ZTWM-CDYXGS-XS-2025-0014-宜宾兴港建材-三江新区长江工业园片区保障性租赁住房建设项目</v>
      </c>
      <c r="R4926" s="22" t="str">
        <f>_xlfn._xlws.FILTER(辅助信息!D:D,辅助信息!E:E=B4926)</f>
        <v>宜宾兴港三江新区长江工业园建设项目</v>
      </c>
    </row>
    <row r="4927" hidden="1" spans="2:18">
      <c r="B4927" s="128" t="s">
        <v>194</v>
      </c>
      <c r="C4927" s="97">
        <v>45953</v>
      </c>
      <c r="D4927" s="33" t="str">
        <f>VLOOKUP(B4927,辅助信息!E:K,7,FALSE)</f>
        <v>JWDD2025071500089</v>
      </c>
      <c r="E4927" s="33" t="str">
        <f>VLOOKUP(F4927,辅助信息!A:B,2,FALSE)</f>
        <v>盘螺</v>
      </c>
      <c r="F4927" s="33" t="s">
        <v>26</v>
      </c>
      <c r="G4927" s="29">
        <v>8</v>
      </c>
      <c r="H4927" s="127">
        <f>IF(SUMIFS('[1]2025年已发货'!$E:$E,'[1]2025年已发货'!$F:$F,C4927,'[1]2025年已发货'!$C:$C,F4927,'[1]2025年已发货'!$G:$G,I4927,'[1]2025年已发货'!$H:$H,J4927)=0,"未发货",SUMIFS('[1]2025年已发货'!$E:$E,'[1]2025年已发货'!$F:$F,C4927,'[1]2025年已发货'!$C:$C,F4927,'[1]2025年已发货'!$G:$G,I4927,'[1]2025年已发货'!$H:$H,J4927))</f>
        <v>7.5</v>
      </c>
      <c r="I4927" s="32" t="str">
        <f>VLOOKUP(B4927,辅助信息!E:I,3,FALSE)</f>
        <v>(宜宾兴港三江新区长江工业园保障性租赁住房建设项目-土建)四川省宜宾市翠屏区永善路南段宜宾市三江新区长江工业园区</v>
      </c>
      <c r="J4927" s="33" t="str">
        <f>VLOOKUP(B4927,辅助信息!E:I,4,FALSE)</f>
        <v>赵元虎</v>
      </c>
      <c r="K4927" s="33">
        <f>VLOOKUP(J4927,辅助信息!H:I,2,FALSE)</f>
        <v>13684167136</v>
      </c>
      <c r="L4927" s="102" t="str">
        <f>VLOOKUP(B4927,辅助信息!E:J,6,FALSE)</f>
        <v>现场要求调度统一联系指定收货人，不单独发司机位置。锈货不收，装货前联系收货人核实到场规格,没提前告知进场规格现场不给予接收</v>
      </c>
      <c r="M4927" s="84">
        <v>45953</v>
      </c>
      <c r="O4927" s="55">
        <f ca="1" t="shared" si="236"/>
        <v>0</v>
      </c>
      <c r="P4927" s="55">
        <f ca="1" t="shared" si="237"/>
        <v>4</v>
      </c>
      <c r="Q4927" s="22" t="str">
        <f>VLOOKUP(B4927,辅助信息!E:M,9,FALSE)</f>
        <v>ZTWM-CDYXGS-XS-2025-0014-宜宾兴港建材-三江新区长江工业园片区保障性租赁住房建设项目</v>
      </c>
      <c r="R4927" s="22" t="str">
        <f>_xlfn._xlws.FILTER(辅助信息!D:D,辅助信息!E:E=B4927)</f>
        <v>宜宾兴港三江新区长江工业园建设项目</v>
      </c>
    </row>
    <row r="4928" hidden="1" spans="2:18">
      <c r="B4928" s="128" t="s">
        <v>194</v>
      </c>
      <c r="C4928" s="97">
        <v>45953</v>
      </c>
      <c r="D4928" s="33" t="str">
        <f>VLOOKUP(B4928,辅助信息!E:K,7,FALSE)</f>
        <v>JWDD2025071500089</v>
      </c>
      <c r="E4928" s="33" t="str">
        <f>VLOOKUP(F4928,辅助信息!A:B,2,FALSE)</f>
        <v>螺纹钢</v>
      </c>
      <c r="F4928" s="33" t="s">
        <v>19</v>
      </c>
      <c r="G4928" s="29">
        <v>12</v>
      </c>
      <c r="H4928" s="127">
        <f>IF(SUMIFS('[1]2025年已发货'!$E:$E,'[1]2025年已发货'!$F:$F,C4928,'[1]2025年已发货'!$C:$C,F4928,'[1]2025年已发货'!$G:$G,I4928,'[1]2025年已发货'!$H:$H,J4928)=0,"未发货",SUMIFS('[1]2025年已发货'!$E:$E,'[1]2025年已发货'!$F:$F,C4928,'[1]2025年已发货'!$C:$C,F4928,'[1]2025年已发货'!$G:$G,I4928,'[1]2025年已发货'!$H:$H,J4928))</f>
        <v>12.5</v>
      </c>
      <c r="I4928" s="32" t="str">
        <f>VLOOKUP(B4928,辅助信息!E:I,3,FALSE)</f>
        <v>(宜宾兴港三江新区长江工业园保障性租赁住房建设项目-土建)四川省宜宾市翠屏区永善路南段宜宾市三江新区长江工业园区</v>
      </c>
      <c r="J4928" s="33" t="str">
        <f>VLOOKUP(B4928,辅助信息!E:I,4,FALSE)</f>
        <v>赵元虎</v>
      </c>
      <c r="K4928" s="33">
        <f>VLOOKUP(J4928,辅助信息!H:I,2,FALSE)</f>
        <v>13684167136</v>
      </c>
      <c r="L4928" s="102" t="str">
        <f>VLOOKUP(B4928,辅助信息!E:J,6,FALSE)</f>
        <v>现场要求调度统一联系指定收货人，不单独发司机位置。锈货不收，装货前联系收货人核实到场规格,没提前告知进场规格现场不给予接收</v>
      </c>
      <c r="M4928" s="84">
        <v>45953</v>
      </c>
      <c r="O4928" s="55">
        <f ca="1" t="shared" si="236"/>
        <v>0</v>
      </c>
      <c r="P4928" s="55">
        <f ca="1" t="shared" si="237"/>
        <v>4</v>
      </c>
      <c r="Q4928" s="22" t="str">
        <f>VLOOKUP(B4928,辅助信息!E:M,9,FALSE)</f>
        <v>ZTWM-CDYXGS-XS-2025-0014-宜宾兴港建材-三江新区长江工业园片区保障性租赁住房建设项目</v>
      </c>
      <c r="R4928" s="22" t="str">
        <f>_xlfn._xlws.FILTER(辅助信息!D:D,辅助信息!E:E=B4928)</f>
        <v>宜宾兴港三江新区长江工业园建设项目</v>
      </c>
    </row>
    <row r="4929" hidden="1" spans="2:18">
      <c r="B4929" s="128" t="s">
        <v>194</v>
      </c>
      <c r="C4929" s="97">
        <v>45953</v>
      </c>
      <c r="D4929" s="33" t="str">
        <f>VLOOKUP(B4929,辅助信息!E:K,7,FALSE)</f>
        <v>JWDD2025071500089</v>
      </c>
      <c r="E4929" s="33" t="str">
        <f>VLOOKUP(F4929,辅助信息!A:B,2,FALSE)</f>
        <v>螺纹钢</v>
      </c>
      <c r="F4929" s="33" t="s">
        <v>32</v>
      </c>
      <c r="G4929" s="29">
        <v>6</v>
      </c>
      <c r="H4929" s="127">
        <f>IF(SUMIFS('[1]2025年已发货'!$E:$E,'[1]2025年已发货'!$F:$F,C4929,'[1]2025年已发货'!$C:$C,F4929,'[1]2025年已发货'!$G:$G,I4929,'[1]2025年已发货'!$H:$H,J4929)=0,"未发货",SUMIFS('[1]2025年已发货'!$E:$E,'[1]2025年已发货'!$F:$F,C4929,'[1]2025年已发货'!$C:$C,F4929,'[1]2025年已发货'!$G:$G,I4929,'[1]2025年已发货'!$H:$H,J4929))</f>
        <v>7.5</v>
      </c>
      <c r="I4929" s="32" t="str">
        <f>VLOOKUP(B4929,辅助信息!E:I,3,FALSE)</f>
        <v>(宜宾兴港三江新区长江工业园保障性租赁住房建设项目-土建)四川省宜宾市翠屏区永善路南段宜宾市三江新区长江工业园区</v>
      </c>
      <c r="J4929" s="33" t="str">
        <f>VLOOKUP(B4929,辅助信息!E:I,4,FALSE)</f>
        <v>赵元虎</v>
      </c>
      <c r="K4929" s="33">
        <f>VLOOKUP(J4929,辅助信息!H:I,2,FALSE)</f>
        <v>13684167136</v>
      </c>
      <c r="L4929" s="102" t="str">
        <f>VLOOKUP(B4929,辅助信息!E:J,6,FALSE)</f>
        <v>现场要求调度统一联系指定收货人，不单独发司机位置。锈货不收，装货前联系收货人核实到场规格,没提前告知进场规格现场不给予接收</v>
      </c>
      <c r="M4929" s="84">
        <v>45953</v>
      </c>
      <c r="O4929" s="55">
        <f ca="1" t="shared" si="236"/>
        <v>0</v>
      </c>
      <c r="P4929" s="55">
        <f ca="1" t="shared" si="237"/>
        <v>4</v>
      </c>
      <c r="Q4929" s="22" t="str">
        <f>VLOOKUP(B4929,辅助信息!E:M,9,FALSE)</f>
        <v>ZTWM-CDYXGS-XS-2025-0014-宜宾兴港建材-三江新区长江工业园片区保障性租赁住房建设项目</v>
      </c>
      <c r="R4929" s="22" t="str">
        <f>_xlfn._xlws.FILTER(辅助信息!D:D,辅助信息!E:E=B4929)</f>
        <v>宜宾兴港三江新区长江工业园建设项目</v>
      </c>
    </row>
    <row r="4930" hidden="1" spans="2:18">
      <c r="B4930" s="128" t="s">
        <v>194</v>
      </c>
      <c r="C4930" s="97">
        <v>45953</v>
      </c>
      <c r="D4930" s="33" t="str">
        <f>VLOOKUP(B4930,辅助信息!E:K,7,FALSE)</f>
        <v>JWDD2025071500089</v>
      </c>
      <c r="E4930" s="33" t="str">
        <f>VLOOKUP(F4930,辅助信息!A:B,2,FALSE)</f>
        <v>螺纹钢</v>
      </c>
      <c r="F4930" s="33" t="s">
        <v>30</v>
      </c>
      <c r="G4930" s="29">
        <v>6</v>
      </c>
      <c r="H4930" s="127">
        <f>IF(SUMIFS('[1]2025年已发货'!$E:$E,'[1]2025年已发货'!$F:$F,C4930,'[1]2025年已发货'!$C:$C,F4930,'[1]2025年已发货'!$G:$G,I4930,'[1]2025年已发货'!$H:$H,J4930)=0,"未发货",SUMIFS('[1]2025年已发货'!$E:$E,'[1]2025年已发货'!$F:$F,C4930,'[1]2025年已发货'!$C:$C,F4930,'[1]2025年已发货'!$G:$G,I4930,'[1]2025年已发货'!$H:$H,J4930))</f>
        <v>5</v>
      </c>
      <c r="I4930" s="32" t="str">
        <f>VLOOKUP(B4930,辅助信息!E:I,3,FALSE)</f>
        <v>(宜宾兴港三江新区长江工业园保障性租赁住房建设项目-土建)四川省宜宾市翠屏区永善路南段宜宾市三江新区长江工业园区</v>
      </c>
      <c r="J4930" s="33" t="str">
        <f>VLOOKUP(B4930,辅助信息!E:I,4,FALSE)</f>
        <v>赵元虎</v>
      </c>
      <c r="K4930" s="33">
        <f>VLOOKUP(J4930,辅助信息!H:I,2,FALSE)</f>
        <v>13684167136</v>
      </c>
      <c r="L4930" s="102" t="str">
        <f>VLOOKUP(B4930,辅助信息!E:J,6,FALSE)</f>
        <v>现场要求调度统一联系指定收货人，不单独发司机位置。锈货不收，装货前联系收货人核实到场规格,没提前告知进场规格现场不给予接收</v>
      </c>
      <c r="M4930" s="84">
        <v>45953</v>
      </c>
      <c r="O4930" s="55">
        <f ca="1" t="shared" si="236"/>
        <v>0</v>
      </c>
      <c r="P4930" s="55">
        <f ca="1" t="shared" si="237"/>
        <v>4</v>
      </c>
      <c r="Q4930" s="22" t="str">
        <f>VLOOKUP(B4930,辅助信息!E:M,9,FALSE)</f>
        <v>ZTWM-CDYXGS-XS-2025-0014-宜宾兴港建材-三江新区长江工业园片区保障性租赁住房建设项目</v>
      </c>
      <c r="R4930" s="22" t="str">
        <f>_xlfn._xlws.FILTER(辅助信息!D:D,辅助信息!E:E=B4930)</f>
        <v>宜宾兴港三江新区长江工业园建设项目</v>
      </c>
    </row>
    <row r="4931" hidden="1" spans="2:18">
      <c r="B4931" s="128" t="s">
        <v>194</v>
      </c>
      <c r="C4931" s="97">
        <v>45953</v>
      </c>
      <c r="D4931" s="33" t="str">
        <f>VLOOKUP(B4931,辅助信息!E:K,7,FALSE)</f>
        <v>JWDD2025071500089</v>
      </c>
      <c r="E4931" s="33" t="str">
        <f>VLOOKUP(F4931,辅助信息!A:B,2,FALSE)</f>
        <v>螺纹钢</v>
      </c>
      <c r="F4931" s="33" t="s">
        <v>33</v>
      </c>
      <c r="G4931" s="29">
        <v>6</v>
      </c>
      <c r="H4931" s="127">
        <f>IF(SUMIFS('[1]2025年已发货'!$E:$E,'[1]2025年已发货'!$F:$F,C4931,'[1]2025年已发货'!$C:$C,F4931,'[1]2025年已发货'!$G:$G,I4931,'[1]2025年已发货'!$H:$H,J4931)=0,"未发货",SUMIFS('[1]2025年已发货'!$E:$E,'[1]2025年已发货'!$F:$F,C4931,'[1]2025年已发货'!$C:$C,F4931,'[1]2025年已发货'!$G:$G,I4931,'[1]2025年已发货'!$H:$H,J4931))</f>
        <v>5</v>
      </c>
      <c r="I4931" s="32" t="str">
        <f>VLOOKUP(B4931,辅助信息!E:I,3,FALSE)</f>
        <v>(宜宾兴港三江新区长江工业园保障性租赁住房建设项目-土建)四川省宜宾市翠屏区永善路南段宜宾市三江新区长江工业园区</v>
      </c>
      <c r="J4931" s="33" t="str">
        <f>VLOOKUP(B4931,辅助信息!E:I,4,FALSE)</f>
        <v>赵元虎</v>
      </c>
      <c r="K4931" s="33">
        <f>VLOOKUP(J4931,辅助信息!H:I,2,FALSE)</f>
        <v>13684167136</v>
      </c>
      <c r="L4931" s="102" t="str">
        <f>VLOOKUP(B4931,辅助信息!E:J,6,FALSE)</f>
        <v>现场要求调度统一联系指定收货人，不单独发司机位置。锈货不收，装货前联系收货人核实到场规格,没提前告知进场规格现场不给予接收</v>
      </c>
      <c r="M4931" s="84">
        <v>45953</v>
      </c>
      <c r="O4931" s="55">
        <f ca="1" t="shared" si="236"/>
        <v>0</v>
      </c>
      <c r="P4931" s="55">
        <f ca="1" t="shared" si="237"/>
        <v>4</v>
      </c>
      <c r="Q4931" s="22" t="str">
        <f>VLOOKUP(B4931,辅助信息!E:M,9,FALSE)</f>
        <v>ZTWM-CDYXGS-XS-2025-0014-宜宾兴港建材-三江新区长江工业园片区保障性租赁住房建设项目</v>
      </c>
      <c r="R4931" s="22" t="str">
        <f>_xlfn._xlws.FILTER(辅助信息!D:D,辅助信息!E:E=B4931)</f>
        <v>宜宾兴港三江新区长江工业园建设项目</v>
      </c>
    </row>
    <row r="4932" hidden="1" spans="2:18">
      <c r="B4932" s="128" t="s">
        <v>194</v>
      </c>
      <c r="C4932" s="97">
        <v>45953</v>
      </c>
      <c r="D4932" s="33" t="str">
        <f>VLOOKUP(B4932,辅助信息!E:K,7,FALSE)</f>
        <v>JWDD2025071500089</v>
      </c>
      <c r="E4932" s="33" t="str">
        <f>VLOOKUP(F4932,辅助信息!A:B,2,FALSE)</f>
        <v>螺纹钢</v>
      </c>
      <c r="F4932" s="33" t="s">
        <v>28</v>
      </c>
      <c r="G4932" s="29">
        <v>6</v>
      </c>
      <c r="H4932" s="127">
        <f>IF(SUMIFS('[1]2025年已发货'!$E:$E,'[1]2025年已发货'!$F:$F,C4932,'[1]2025年已发货'!$C:$C,F4932,'[1]2025年已发货'!$G:$G,I4932,'[1]2025年已发货'!$H:$H,J4932)=0,"未发货",SUMIFS('[1]2025年已发货'!$E:$E,'[1]2025年已发货'!$F:$F,C4932,'[1]2025年已发货'!$C:$C,F4932,'[1]2025年已发货'!$G:$G,I4932,'[1]2025年已发货'!$H:$H,J4932))</f>
        <v>7.5</v>
      </c>
      <c r="I4932" s="32" t="str">
        <f>VLOOKUP(B4932,辅助信息!E:I,3,FALSE)</f>
        <v>(宜宾兴港三江新区长江工业园保障性租赁住房建设项目-土建)四川省宜宾市翠屏区永善路南段宜宾市三江新区长江工业园区</v>
      </c>
      <c r="J4932" s="33" t="str">
        <f>VLOOKUP(B4932,辅助信息!E:I,4,FALSE)</f>
        <v>赵元虎</v>
      </c>
      <c r="K4932" s="33">
        <f>VLOOKUP(J4932,辅助信息!H:I,2,FALSE)</f>
        <v>13684167136</v>
      </c>
      <c r="L4932" s="102" t="str">
        <f>VLOOKUP(B4932,辅助信息!E:J,6,FALSE)</f>
        <v>现场要求调度统一联系指定收货人，不单独发司机位置。锈货不收，装货前联系收货人核实到场规格,没提前告知进场规格现场不给予接收</v>
      </c>
      <c r="M4932" s="84">
        <v>45953</v>
      </c>
      <c r="O4932" s="55">
        <f ca="1" t="shared" si="236"/>
        <v>0</v>
      </c>
      <c r="P4932" s="55">
        <f ca="1" t="shared" si="237"/>
        <v>4</v>
      </c>
      <c r="Q4932" s="22" t="str">
        <f>VLOOKUP(B4932,辅助信息!E:M,9,FALSE)</f>
        <v>ZTWM-CDYXGS-XS-2025-0014-宜宾兴港建材-三江新区长江工业园片区保障性租赁住房建设项目</v>
      </c>
      <c r="R4932" s="22" t="str">
        <f>_xlfn._xlws.FILTER(辅助信息!D:D,辅助信息!E:E=B4932)</f>
        <v>宜宾兴港三江新区长江工业园建设项目</v>
      </c>
    </row>
    <row r="4933" hidden="1" spans="2:18">
      <c r="B4933" s="150" t="s">
        <v>194</v>
      </c>
      <c r="C4933" s="97">
        <v>45953</v>
      </c>
      <c r="D4933" s="76" t="str">
        <f>VLOOKUP(B4933,辅助信息!E:K,7,FALSE)</f>
        <v>JWDD2025071500089</v>
      </c>
      <c r="E4933" s="76" t="str">
        <f>VLOOKUP(F4933,辅助信息!A:B,2,FALSE)</f>
        <v>螺纹钢</v>
      </c>
      <c r="F4933" s="76" t="s">
        <v>18</v>
      </c>
      <c r="G4933" s="78">
        <v>10</v>
      </c>
      <c r="H4933" s="131">
        <f>IF(SUMIFS('[1]2025年已发货'!$E:$E,'[1]2025年已发货'!$F:$F,C4933,'[1]2025年已发货'!$C:$C,F4933,'[1]2025年已发货'!$G:$G,I4933,'[1]2025年已发货'!$H:$H,J4933)=0,"未发货",SUMIFS('[1]2025年已发货'!$E:$E,'[1]2025年已发货'!$F:$F,C4933,'[1]2025年已发货'!$C:$C,F4933,'[1]2025年已发货'!$G:$G,I4933,'[1]2025年已发货'!$H:$H,J4933))</f>
        <v>10</v>
      </c>
      <c r="I4933" s="103" t="str">
        <f>VLOOKUP(B4933,辅助信息!E:I,3,FALSE)</f>
        <v>(宜宾兴港三江新区长江工业园保障性租赁住房建设项目-土建)四川省宜宾市翠屏区永善路南段宜宾市三江新区长江工业园区</v>
      </c>
      <c r="J4933" s="76" t="str">
        <f>VLOOKUP(B4933,辅助信息!E:I,4,FALSE)</f>
        <v>赵元虎</v>
      </c>
      <c r="K4933" s="76">
        <f>VLOOKUP(J4933,辅助信息!H:I,2,FALSE)</f>
        <v>13684167136</v>
      </c>
      <c r="L4933" s="151" t="str">
        <f>VLOOKUP(B4933,辅助信息!E:J,6,FALSE)</f>
        <v>现场要求调度统一联系指定收货人，不单独发司机位置。锈货不收，装货前联系收货人核实到场规格,没提前告知进场规格现场不给予接收</v>
      </c>
      <c r="M4933" s="84">
        <v>45953</v>
      </c>
      <c r="O4933" s="55">
        <f ca="1" t="shared" si="236"/>
        <v>0</v>
      </c>
      <c r="P4933" s="55">
        <f ca="1" t="shared" si="237"/>
        <v>4</v>
      </c>
      <c r="Q4933" s="22" t="str">
        <f>VLOOKUP(B4933,辅助信息!E:M,9,FALSE)</f>
        <v>ZTWM-CDYXGS-XS-2025-0014-宜宾兴港建材-三江新区长江工业园片区保障性租赁住房建设项目</v>
      </c>
      <c r="R4933" s="22" t="str">
        <f>_xlfn._xlws.FILTER(辅助信息!D:D,辅助信息!E:E=B4933)</f>
        <v>宜宾兴港三江新区长江工业园建设项目</v>
      </c>
    </row>
    <row r="4934" hidden="1" spans="2:18">
      <c r="B4934" s="128" t="s">
        <v>163</v>
      </c>
      <c r="C4934" s="97">
        <v>45954</v>
      </c>
      <c r="D4934" s="33" t="str">
        <f>VLOOKUP(B4934,辅助信息!E:K,7,FALSE)</f>
        <v>JWDDCD2025052800131</v>
      </c>
      <c r="E4934" s="33" t="str">
        <f>VLOOKUP(F4934,辅助信息!A:B,2,FALSE)</f>
        <v>盘螺</v>
      </c>
      <c r="F4934" s="33" t="s">
        <v>40</v>
      </c>
      <c r="G4934" s="29">
        <v>40</v>
      </c>
      <c r="H4934" s="127">
        <f>IF(SUMIFS('[1]2025年已发货'!$E:$E,'[1]2025年已发货'!$F:$F,C4934,'[1]2025年已发货'!$C:$C,F4934,'[1]2025年已发货'!$G:$G,I4934,'[1]2025年已发货'!$H:$H,J4934)=0,"未发货",SUMIFS('[1]2025年已发货'!$E:$E,'[1]2025年已发货'!$F:$F,C4934,'[1]2025年已发货'!$C:$C,F4934,'[1]2025年已发货'!$G:$G,I4934,'[1]2025年已发货'!$H:$H,J4934))</f>
        <v>30</v>
      </c>
      <c r="I4934" s="32" t="str">
        <f>VLOOKUP(B4934,辅助信息!E:I,3,FALSE)</f>
        <v>（商投建工达州中医药科技园-4工区-9号楼）达州市通川区达州中医药职业学院犀牛大道北段</v>
      </c>
      <c r="J4934" s="33" t="str">
        <f>VLOOKUP(B4934,辅助信息!E:I,4,FALSE)</f>
        <v>张扬</v>
      </c>
      <c r="K4934" s="33">
        <f>VLOOKUP(J4934,辅助信息!H:I,2,FALSE)</f>
        <v>18381904567</v>
      </c>
      <c r="L4934" s="102" t="str">
        <f>VLOOKUP(B4934,辅助信息!E:J,6,FALSE)</f>
        <v>控制炉批号！多了现场不收！,优先安排达钢,提前联系到场规格及数量</v>
      </c>
      <c r="M4934" s="97">
        <v>45953</v>
      </c>
      <c r="O4934" s="55">
        <f ca="1" t="shared" si="236"/>
        <v>0</v>
      </c>
      <c r="P4934" s="55">
        <f ca="1" t="shared" si="237"/>
        <v>4</v>
      </c>
      <c r="Q4934" s="22" t="str">
        <f>VLOOKUP(B4934,辅助信息!E:M,9,FALSE)</f>
        <v>ZTWM-CDGS-XS-2024-0134-商投建工达州中医药科技成果示范园项目</v>
      </c>
      <c r="R4934" s="22" t="str">
        <f>_xlfn._xlws.FILTER(辅助信息!D:D,辅助信息!E:E=B4934)</f>
        <v>商投建工达州中医药科技园</v>
      </c>
    </row>
    <row r="4935" hidden="1" spans="2:18">
      <c r="B4935" s="128" t="s">
        <v>163</v>
      </c>
      <c r="C4935" s="97">
        <v>45954</v>
      </c>
      <c r="D4935" s="33" t="str">
        <f>VLOOKUP(B4935,辅助信息!E:K,7,FALSE)</f>
        <v>JWDDCD2025052800131</v>
      </c>
      <c r="E4935" s="33" t="str">
        <f>VLOOKUP(F4935,辅助信息!A:B,2,FALSE)</f>
        <v>螺纹钢</v>
      </c>
      <c r="F4935" s="33" t="s">
        <v>66</v>
      </c>
      <c r="G4935" s="29">
        <v>18</v>
      </c>
      <c r="H4935" s="127">
        <f>IF(SUMIFS('[1]2025年已发货'!$E:$E,'[1]2025年已发货'!$F:$F,C4935,'[1]2025年已发货'!$C:$C,F4935,'[1]2025年已发货'!$G:$G,I4935,'[1]2025年已发货'!$H:$H,J4935)=0,"未发货",SUMIFS('[1]2025年已发货'!$E:$E,'[1]2025年已发货'!$F:$F,C4935,'[1]2025年已发货'!$C:$C,F4935,'[1]2025年已发货'!$G:$G,I4935,'[1]2025年已发货'!$H:$H,J4935))</f>
        <v>18</v>
      </c>
      <c r="I4935" s="32" t="str">
        <f>VLOOKUP(B4935,辅助信息!E:I,3,FALSE)</f>
        <v>（商投建工达州中医药科技园-4工区-9号楼）达州市通川区达州中医药职业学院犀牛大道北段</v>
      </c>
      <c r="J4935" s="33" t="str">
        <f>VLOOKUP(B4935,辅助信息!E:I,4,FALSE)</f>
        <v>张扬</v>
      </c>
      <c r="K4935" s="33">
        <f>VLOOKUP(J4935,辅助信息!H:I,2,FALSE)</f>
        <v>18381904567</v>
      </c>
      <c r="L4935" s="102" t="str">
        <f>VLOOKUP(B4935,辅助信息!E:J,6,FALSE)</f>
        <v>控制炉批号！多了现场不收！,优先安排达钢,提前联系到场规格及数量</v>
      </c>
      <c r="M4935" s="97">
        <v>45953</v>
      </c>
      <c r="O4935" s="55">
        <f ca="1" t="shared" si="236"/>
        <v>0</v>
      </c>
      <c r="P4935" s="55">
        <f ca="1" t="shared" si="237"/>
        <v>4</v>
      </c>
      <c r="Q4935" s="22" t="str">
        <f>VLOOKUP(B4935,辅助信息!E:M,9,FALSE)</f>
        <v>ZTWM-CDGS-XS-2024-0134-商投建工达州中医药科技成果示范园项目</v>
      </c>
      <c r="R4935" s="22" t="str">
        <f>_xlfn._xlws.FILTER(辅助信息!D:D,辅助信息!E:E=B4935)</f>
        <v>商投建工达州中医药科技园</v>
      </c>
    </row>
    <row r="4936" hidden="1" spans="2:18">
      <c r="B4936" s="128" t="s">
        <v>163</v>
      </c>
      <c r="C4936" s="97">
        <v>45954</v>
      </c>
      <c r="D4936" s="33" t="str">
        <f>VLOOKUP(B4936,辅助信息!E:K,7,FALSE)</f>
        <v>JWDDCD2025052800131</v>
      </c>
      <c r="E4936" s="33" t="str">
        <f>VLOOKUP(F4936,辅助信息!A:B,2,FALSE)</f>
        <v>螺纹钢</v>
      </c>
      <c r="F4936" s="33" t="s">
        <v>45</v>
      </c>
      <c r="G4936" s="29">
        <v>6</v>
      </c>
      <c r="H4936" s="127">
        <f>IF(SUMIFS('[1]2025年已发货'!$E:$E,'[1]2025年已发货'!$F:$F,C4936,'[1]2025年已发货'!$C:$C,F4936,'[1]2025年已发货'!$G:$G,I4936,'[1]2025年已发货'!$H:$H,J4936)=0,"未发货",SUMIFS('[1]2025年已发货'!$E:$E,'[1]2025年已发货'!$F:$F,C4936,'[1]2025年已发货'!$C:$C,F4936,'[1]2025年已发货'!$G:$G,I4936,'[1]2025年已发货'!$H:$H,J4936))</f>
        <v>6</v>
      </c>
      <c r="I4936" s="32" t="str">
        <f>VLOOKUP(B4936,辅助信息!E:I,3,FALSE)</f>
        <v>（商投建工达州中医药科技园-4工区-9号楼）达州市通川区达州中医药职业学院犀牛大道北段</v>
      </c>
      <c r="J4936" s="33" t="str">
        <f>VLOOKUP(B4936,辅助信息!E:I,4,FALSE)</f>
        <v>张扬</v>
      </c>
      <c r="K4936" s="33">
        <f>VLOOKUP(J4936,辅助信息!H:I,2,FALSE)</f>
        <v>18381904567</v>
      </c>
      <c r="L4936" s="102" t="str">
        <f>VLOOKUP(B4936,辅助信息!E:J,6,FALSE)</f>
        <v>控制炉批号！多了现场不收！,优先安排达钢,提前联系到场规格及数量</v>
      </c>
      <c r="M4936" s="97">
        <v>45953</v>
      </c>
      <c r="O4936" s="55">
        <f ca="1" t="shared" si="236"/>
        <v>0</v>
      </c>
      <c r="P4936" s="55">
        <f ca="1" t="shared" si="237"/>
        <v>4</v>
      </c>
      <c r="Q4936" s="22" t="str">
        <f>VLOOKUP(B4936,辅助信息!E:M,9,FALSE)</f>
        <v>ZTWM-CDGS-XS-2024-0134-商投建工达州中医药科技成果示范园项目</v>
      </c>
      <c r="R4936" s="22" t="str">
        <f>_xlfn._xlws.FILTER(辅助信息!D:D,辅助信息!E:E=B4936)</f>
        <v>商投建工达州中医药科技园</v>
      </c>
    </row>
    <row r="4937" hidden="1" spans="2:18">
      <c r="B4937" s="128" t="s">
        <v>163</v>
      </c>
      <c r="C4937" s="97">
        <v>45954</v>
      </c>
      <c r="D4937" s="33" t="str">
        <f>VLOOKUP(B4937,辅助信息!E:K,7,FALSE)</f>
        <v>JWDDCD2025052800131</v>
      </c>
      <c r="E4937" s="33" t="str">
        <f>VLOOKUP(F4937,辅助信息!A:B,2,FALSE)</f>
        <v>螺纹钢</v>
      </c>
      <c r="F4937" s="33" t="s">
        <v>21</v>
      </c>
      <c r="G4937" s="29">
        <v>18</v>
      </c>
      <c r="H4937" s="127"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2" t="str">
        <f>VLOOKUP(B4937,辅助信息!E:I,3,FALSE)</f>
        <v>（商投建工达州中医药科技园-4工区-9号楼）达州市通川区达州中医药职业学院犀牛大道北段</v>
      </c>
      <c r="J4937" s="33" t="str">
        <f>VLOOKUP(B4937,辅助信息!E:I,4,FALSE)</f>
        <v>张扬</v>
      </c>
      <c r="K4937" s="33">
        <f>VLOOKUP(J4937,辅助信息!H:I,2,FALSE)</f>
        <v>18381904567</v>
      </c>
      <c r="L4937" s="102" t="str">
        <f>VLOOKUP(B4937,辅助信息!E:J,6,FALSE)</f>
        <v>控制炉批号！多了现场不收！,优先安排达钢,提前联系到场规格及数量</v>
      </c>
      <c r="M4937" s="97">
        <v>45953</v>
      </c>
      <c r="O4937" s="55">
        <f ca="1" t="shared" si="236"/>
        <v>0</v>
      </c>
      <c r="P4937" s="55">
        <f ca="1" t="shared" si="237"/>
        <v>4</v>
      </c>
      <c r="Q4937" s="22" t="str">
        <f>VLOOKUP(B4937,辅助信息!E:M,9,FALSE)</f>
        <v>ZTWM-CDGS-XS-2024-0134-商投建工达州中医药科技成果示范园项目</v>
      </c>
      <c r="R4937" s="22" t="str">
        <f>_xlfn._xlws.FILTER(辅助信息!D:D,辅助信息!E:E=B4937)</f>
        <v>商投建工达州中医药科技园</v>
      </c>
    </row>
    <row r="4938" hidden="1" spans="2:18">
      <c r="B4938" s="129" t="s">
        <v>229</v>
      </c>
      <c r="C4938" s="97">
        <v>45954</v>
      </c>
      <c r="D4938" s="113" t="str">
        <f>VLOOKUP(B4938,辅助信息!E:K,7,FALSE)</f>
        <v>JWDDCD2025092400212</v>
      </c>
      <c r="E4938" s="113" t="str">
        <f>VLOOKUP(F4938,辅助信息!A:B,2,FALSE)</f>
        <v>盘螺</v>
      </c>
      <c r="F4938" s="113" t="s">
        <v>40</v>
      </c>
      <c r="G4938" s="114">
        <f>75-34</f>
        <v>41</v>
      </c>
      <c r="H4938" s="127"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49" t="str">
        <f>VLOOKUP(B4938,辅助信息!E:I,3,FALSE)</f>
        <v>(五冶钢构龙泉东洪片区85亩住宅、商业及配套工程项目三标段)成都市龙泉驿外东洪路地铁2号线惠王陵地铁C口</v>
      </c>
      <c r="J4938" s="113" t="str">
        <f>VLOOKUP(B4938,辅助信息!E:I,4,FALSE)</f>
        <v>王军宝</v>
      </c>
      <c r="K4938" s="113">
        <f>VLOOKUP(J4938,辅助信息!H:I,2,FALSE)</f>
        <v>13889142392</v>
      </c>
      <c r="L4938" s="115">
        <f>VLOOKUP(B4938,辅助信息!E:J,6,FALSE)</f>
        <v>0</v>
      </c>
      <c r="M4938" s="84">
        <v>45948</v>
      </c>
      <c r="O4938" s="55">
        <f ca="1" t="shared" si="236"/>
        <v>0</v>
      </c>
      <c r="P4938" s="55">
        <f ca="1" t="shared" si="237"/>
        <v>9</v>
      </c>
      <c r="Q4938" s="22" t="str">
        <f>VLOOKUP(B4938,辅助信息!E:M,9,FALSE)</f>
        <v>ZTWM-CDGS-XS-2025-0156-五冶钢构-2025年九月第一批次钢筋采购合同(三圣乡项目)-中铁物贸成都公司</v>
      </c>
      <c r="R4938" s="22" t="str">
        <f>_xlfn._xlws.FILTER(辅助信息!D:D,辅助信息!E:E=B4938)</f>
        <v>五冶钢构龙泉东洪片区85亩住宅、商业及配套工程项目三标段</v>
      </c>
    </row>
    <row r="4939" hidden="1" spans="2:18">
      <c r="B4939" s="129" t="s">
        <v>228</v>
      </c>
      <c r="C4939" s="97">
        <v>45954</v>
      </c>
      <c r="D4939" s="113" t="str">
        <f>VLOOKUP(B4939,辅助信息!E:K,7,FALSE)</f>
        <v>JWDDCD2025092400190</v>
      </c>
      <c r="E4939" s="113" t="str">
        <f>VLOOKUP(F4939,辅助信息!A:B,2,FALSE)</f>
        <v>盘螺</v>
      </c>
      <c r="F4939" s="113" t="s">
        <v>41</v>
      </c>
      <c r="G4939" s="114">
        <v>16</v>
      </c>
      <c r="H4939" s="127"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49" t="str">
        <f>VLOOKUP(B4939,辅助信息!E:I,3,FALSE)</f>
        <v>(五冶钢构龙泉东洪片区70亩住宅、商业及配套工程项目二标段)成都市龙泉驿外东洪路地铁2号线惠王陵地铁C口</v>
      </c>
      <c r="J4939" s="113" t="str">
        <f>VLOOKUP(B4939,辅助信息!E:I,4,FALSE)</f>
        <v>蒋嗣伟</v>
      </c>
      <c r="K4939" s="113">
        <f>VLOOKUP(J4939,辅助信息!H:I,2,FALSE)</f>
        <v>15014331252</v>
      </c>
      <c r="L4939" s="115">
        <f>VLOOKUP(B4939,辅助信息!E:J,6,FALSE)</f>
        <v>0</v>
      </c>
      <c r="M4939" s="84">
        <v>45948</v>
      </c>
      <c r="O4939" s="55">
        <f ca="1" t="shared" si="236"/>
        <v>0</v>
      </c>
      <c r="P4939" s="55">
        <f ca="1" t="shared" si="237"/>
        <v>9</v>
      </c>
      <c r="Q4939" s="22" t="str">
        <f>VLOOKUP(B4939,辅助信息!E:M,9,FALSE)</f>
        <v>ZTWM-CDGS-XS-2025-0156-五冶钢构-2025年九月第一批次钢筋采购合同(三圣乡项目)-中铁物贸成都公司</v>
      </c>
      <c r="R4939" s="22" t="str">
        <f>_xlfn._xlws.FILTER(辅助信息!D:D,辅助信息!E:E=B4939)</f>
        <v>五冶钢构龙泉东洪片区70亩住宅、商业及配套工程项目二标段</v>
      </c>
    </row>
    <row r="4940" hidden="1" spans="2:18">
      <c r="B4940" s="129" t="s">
        <v>229</v>
      </c>
      <c r="C4940" s="97">
        <v>45954</v>
      </c>
      <c r="D4940" s="113" t="str">
        <f>VLOOKUP(B4940,辅助信息!E:K,7,FALSE)</f>
        <v>JWDDCD2025092400212</v>
      </c>
      <c r="E4940" s="113" t="str">
        <f>VLOOKUP(F4940,辅助信息!A:B,2,FALSE)</f>
        <v>高线</v>
      </c>
      <c r="F4940" s="113" t="s">
        <v>57</v>
      </c>
      <c r="G4940" s="114">
        <v>2</v>
      </c>
      <c r="H4940" s="127"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49" t="str">
        <f>VLOOKUP(B4940,辅助信息!E:I,3,FALSE)</f>
        <v>(五冶钢构龙泉东洪片区85亩住宅、商业及配套工程项目三标段)成都市龙泉驿外东洪路地铁2号线惠王陵地铁C口</v>
      </c>
      <c r="J4940" s="113" t="str">
        <f>VLOOKUP(B4940,辅助信息!E:I,4,FALSE)</f>
        <v>王军宝</v>
      </c>
      <c r="K4940" s="113">
        <f>VLOOKUP(J4940,辅助信息!H:I,2,FALSE)</f>
        <v>13889142392</v>
      </c>
      <c r="L4940" s="115">
        <f>VLOOKUP(B4940,辅助信息!E:J,6,FALSE)</f>
        <v>0</v>
      </c>
      <c r="M4940" s="84">
        <v>45950</v>
      </c>
      <c r="O4940" s="55">
        <f ca="1" t="shared" si="236"/>
        <v>0</v>
      </c>
      <c r="P4940" s="55">
        <f ca="1" t="shared" si="237"/>
        <v>7</v>
      </c>
      <c r="Q4940" s="22" t="str">
        <f>VLOOKUP(B4940,辅助信息!E:M,9,FALSE)</f>
        <v>ZTWM-CDGS-XS-2025-0156-五冶钢构-2025年九月第一批次钢筋采购合同(三圣乡项目)-中铁物贸成都公司</v>
      </c>
      <c r="R4940" s="22" t="str">
        <f>_xlfn._xlws.FILTER(辅助信息!D:D,辅助信息!E:E=B4940)</f>
        <v>五冶钢构龙泉东洪片区85亩住宅、商业及配套工程项目三标段</v>
      </c>
    </row>
    <row r="4941" hidden="1" spans="2:18">
      <c r="B4941" s="129" t="s">
        <v>229</v>
      </c>
      <c r="C4941" s="97">
        <v>45954</v>
      </c>
      <c r="D4941" s="113" t="str">
        <f>VLOOKUP(B4941,辅助信息!E:K,7,FALSE)</f>
        <v>JWDDCD2025092400212</v>
      </c>
      <c r="E4941" s="113" t="str">
        <f>VLOOKUP(F4941,辅助信息!A:B,2,FALSE)</f>
        <v>高线</v>
      </c>
      <c r="F4941" s="113" t="s">
        <v>53</v>
      </c>
      <c r="G4941" s="114">
        <v>2</v>
      </c>
      <c r="H4941" s="127"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49" t="str">
        <f>VLOOKUP(B4941,辅助信息!E:I,3,FALSE)</f>
        <v>(五冶钢构龙泉东洪片区85亩住宅、商业及配套工程项目三标段)成都市龙泉驿外东洪路地铁2号线惠王陵地铁C口</v>
      </c>
      <c r="J4941" s="113" t="str">
        <f>VLOOKUP(B4941,辅助信息!E:I,4,FALSE)</f>
        <v>王军宝</v>
      </c>
      <c r="K4941" s="113">
        <f>VLOOKUP(J4941,辅助信息!H:I,2,FALSE)</f>
        <v>13889142392</v>
      </c>
      <c r="L4941" s="115">
        <f>VLOOKUP(B4941,辅助信息!E:J,6,FALSE)</f>
        <v>0</v>
      </c>
      <c r="M4941" s="84">
        <v>45950</v>
      </c>
      <c r="O4941" s="55">
        <f ca="1" t="shared" si="236"/>
        <v>0</v>
      </c>
      <c r="P4941" s="55">
        <f ca="1" t="shared" si="237"/>
        <v>7</v>
      </c>
      <c r="Q4941" s="22" t="str">
        <f>VLOOKUP(B4941,辅助信息!E:M,9,FALSE)</f>
        <v>ZTWM-CDGS-XS-2025-0156-五冶钢构-2025年九月第一批次钢筋采购合同(三圣乡项目)-中铁物贸成都公司</v>
      </c>
      <c r="R4941" s="22" t="str">
        <f>_xlfn._xlws.FILTER(辅助信息!D:D,辅助信息!E:E=B4941)</f>
        <v>五冶钢构龙泉东洪片区85亩住宅、商业及配套工程项目三标段</v>
      </c>
    </row>
    <row r="4942" hidden="1" spans="2:18">
      <c r="B4942" s="129" t="s">
        <v>229</v>
      </c>
      <c r="C4942" s="97">
        <v>45954</v>
      </c>
      <c r="D4942" s="113" t="str">
        <f>VLOOKUP(B4942,辅助信息!E:K,7,FALSE)</f>
        <v>JWDDCD2025092400212</v>
      </c>
      <c r="E4942" s="113" t="str">
        <f>VLOOKUP(F4942,辅助信息!A:B,2,FALSE)</f>
        <v>盘螺</v>
      </c>
      <c r="F4942" s="113" t="s">
        <v>49</v>
      </c>
      <c r="G4942" s="114">
        <v>2</v>
      </c>
      <c r="H4942" s="127"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49" t="str">
        <f>VLOOKUP(B4942,辅助信息!E:I,3,FALSE)</f>
        <v>(五冶钢构龙泉东洪片区85亩住宅、商业及配套工程项目三标段)成都市龙泉驿外东洪路地铁2号线惠王陵地铁C口</v>
      </c>
      <c r="J4942" s="113" t="str">
        <f>VLOOKUP(B4942,辅助信息!E:I,4,FALSE)</f>
        <v>王军宝</v>
      </c>
      <c r="K4942" s="113">
        <f>VLOOKUP(J4942,辅助信息!H:I,2,FALSE)</f>
        <v>13889142392</v>
      </c>
      <c r="L4942" s="115">
        <f>VLOOKUP(B4942,辅助信息!E:J,6,FALSE)</f>
        <v>0</v>
      </c>
      <c r="M4942" s="84">
        <v>45950</v>
      </c>
      <c r="O4942" s="55">
        <f ca="1" t="shared" si="236"/>
        <v>0</v>
      </c>
      <c r="P4942" s="55">
        <f ca="1" t="shared" si="237"/>
        <v>7</v>
      </c>
      <c r="Q4942" s="22" t="str">
        <f>VLOOKUP(B4942,辅助信息!E:M,9,FALSE)</f>
        <v>ZTWM-CDGS-XS-2025-0156-五冶钢构-2025年九月第一批次钢筋采购合同(三圣乡项目)-中铁物贸成都公司</v>
      </c>
      <c r="R4942" s="22" t="str">
        <f>_xlfn._xlws.FILTER(辅助信息!D:D,辅助信息!E:E=B4942)</f>
        <v>五冶钢构龙泉东洪片区85亩住宅、商业及配套工程项目三标段</v>
      </c>
    </row>
    <row r="4943" hidden="1" spans="2:18">
      <c r="B4943" s="129" t="s">
        <v>229</v>
      </c>
      <c r="C4943" s="97">
        <v>45954</v>
      </c>
      <c r="D4943" s="113" t="str">
        <f>VLOOKUP(B4943,辅助信息!E:K,7,FALSE)</f>
        <v>JWDDCD2025092400212</v>
      </c>
      <c r="E4943" s="113" t="str">
        <f>VLOOKUP(F4943,辅助信息!A:B,2,FALSE)</f>
        <v>盘螺</v>
      </c>
      <c r="F4943" s="113" t="s">
        <v>40</v>
      </c>
      <c r="G4943" s="114">
        <v>8</v>
      </c>
      <c r="H4943" s="127"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49" t="str">
        <f>VLOOKUP(B4943,辅助信息!E:I,3,FALSE)</f>
        <v>(五冶钢构龙泉东洪片区85亩住宅、商业及配套工程项目三标段)成都市龙泉驿外东洪路地铁2号线惠王陵地铁C口</v>
      </c>
      <c r="J4943" s="113" t="str">
        <f>VLOOKUP(B4943,辅助信息!E:I,4,FALSE)</f>
        <v>王军宝</v>
      </c>
      <c r="K4943" s="113">
        <f>VLOOKUP(J4943,辅助信息!H:I,2,FALSE)</f>
        <v>13889142392</v>
      </c>
      <c r="L4943" s="115">
        <f>VLOOKUP(B4943,辅助信息!E:J,6,FALSE)</f>
        <v>0</v>
      </c>
      <c r="M4943" s="84">
        <v>45950</v>
      </c>
      <c r="O4943" s="55">
        <f ca="1" t="shared" si="236"/>
        <v>0</v>
      </c>
      <c r="P4943" s="55">
        <f ca="1" t="shared" si="237"/>
        <v>7</v>
      </c>
      <c r="Q4943" s="22" t="str">
        <f>VLOOKUP(B4943,辅助信息!E:M,9,FALSE)</f>
        <v>ZTWM-CDGS-XS-2025-0156-五冶钢构-2025年九月第一批次钢筋采购合同(三圣乡项目)-中铁物贸成都公司</v>
      </c>
      <c r="R4943" s="22" t="str">
        <f>_xlfn._xlws.FILTER(辅助信息!D:D,辅助信息!E:E=B4943)</f>
        <v>五冶钢构龙泉东洪片区85亩住宅、商业及配套工程项目三标段</v>
      </c>
    </row>
    <row r="4944" hidden="1" spans="2:18">
      <c r="B4944" s="129" t="s">
        <v>229</v>
      </c>
      <c r="C4944" s="97">
        <v>45954</v>
      </c>
      <c r="D4944" s="113" t="str">
        <f>VLOOKUP(B4944,辅助信息!E:K,7,FALSE)</f>
        <v>JWDDCD2025092400212</v>
      </c>
      <c r="E4944" s="113" t="str">
        <f>VLOOKUP(F4944,辅助信息!A:B,2,FALSE)</f>
        <v>盘螺</v>
      </c>
      <c r="F4944" s="113" t="s">
        <v>41</v>
      </c>
      <c r="G4944" s="114">
        <v>20</v>
      </c>
      <c r="H4944" s="127"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49" t="str">
        <f>VLOOKUP(B4944,辅助信息!E:I,3,FALSE)</f>
        <v>(五冶钢构龙泉东洪片区85亩住宅、商业及配套工程项目三标段)成都市龙泉驿外东洪路地铁2号线惠王陵地铁C口</v>
      </c>
      <c r="J4944" s="113" t="str">
        <f>VLOOKUP(B4944,辅助信息!E:I,4,FALSE)</f>
        <v>王军宝</v>
      </c>
      <c r="K4944" s="113">
        <f>VLOOKUP(J4944,辅助信息!H:I,2,FALSE)</f>
        <v>13889142392</v>
      </c>
      <c r="L4944" s="115">
        <f>VLOOKUP(B4944,辅助信息!E:J,6,FALSE)</f>
        <v>0</v>
      </c>
      <c r="M4944" s="84">
        <v>45950</v>
      </c>
      <c r="O4944" s="55">
        <f ca="1" t="shared" si="236"/>
        <v>0</v>
      </c>
      <c r="P4944" s="55">
        <f ca="1" t="shared" si="237"/>
        <v>7</v>
      </c>
      <c r="Q4944" s="22" t="str">
        <f>VLOOKUP(B4944,辅助信息!E:M,9,FALSE)</f>
        <v>ZTWM-CDGS-XS-2025-0156-五冶钢构-2025年九月第一批次钢筋采购合同(三圣乡项目)-中铁物贸成都公司</v>
      </c>
      <c r="R4944" s="22" t="str">
        <f>_xlfn._xlws.FILTER(辅助信息!D:D,辅助信息!E:E=B4944)</f>
        <v>五冶钢构龙泉东洪片区85亩住宅、商业及配套工程项目三标段</v>
      </c>
    </row>
    <row r="4945" hidden="1" spans="2:18">
      <c r="B4945" s="129" t="s">
        <v>229</v>
      </c>
      <c r="C4945" s="97">
        <v>45954</v>
      </c>
      <c r="D4945" s="113" t="str">
        <f>VLOOKUP(B4945,辅助信息!E:K,7,FALSE)</f>
        <v>JWDDCD2025092400212</v>
      </c>
      <c r="E4945" s="113" t="str">
        <f>VLOOKUP(F4945,辅助信息!A:B,2,FALSE)</f>
        <v>螺纹钢</v>
      </c>
      <c r="F4945" s="113" t="s">
        <v>27</v>
      </c>
      <c r="G4945" s="114">
        <v>30</v>
      </c>
      <c r="H4945" s="127"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49" t="str">
        <f>VLOOKUP(B4945,辅助信息!E:I,3,FALSE)</f>
        <v>(五冶钢构龙泉东洪片区85亩住宅、商业及配套工程项目三标段)成都市龙泉驿外东洪路地铁2号线惠王陵地铁C口</v>
      </c>
      <c r="J4945" s="113" t="str">
        <f>VLOOKUP(B4945,辅助信息!E:I,4,FALSE)</f>
        <v>王军宝</v>
      </c>
      <c r="K4945" s="113">
        <f>VLOOKUP(J4945,辅助信息!H:I,2,FALSE)</f>
        <v>13889142392</v>
      </c>
      <c r="L4945" s="115">
        <f>VLOOKUP(B4945,辅助信息!E:J,6,FALSE)</f>
        <v>0</v>
      </c>
      <c r="M4945" s="84">
        <v>45950</v>
      </c>
      <c r="O4945" s="55">
        <f ca="1" t="shared" si="236"/>
        <v>0</v>
      </c>
      <c r="P4945" s="55">
        <f ca="1" t="shared" si="237"/>
        <v>7</v>
      </c>
      <c r="Q4945" s="22" t="str">
        <f>VLOOKUP(B4945,辅助信息!E:M,9,FALSE)</f>
        <v>ZTWM-CDGS-XS-2025-0156-五冶钢构-2025年九月第一批次钢筋采购合同(三圣乡项目)-中铁物贸成都公司</v>
      </c>
      <c r="R4945" s="22" t="str">
        <f>_xlfn._xlws.FILTER(辅助信息!D:D,辅助信息!E:E=B4945)</f>
        <v>五冶钢构龙泉东洪片区85亩住宅、商业及配套工程项目三标段</v>
      </c>
    </row>
    <row r="4946" hidden="1" spans="2:18">
      <c r="B4946" s="129" t="s">
        <v>229</v>
      </c>
      <c r="C4946" s="97">
        <v>45954</v>
      </c>
      <c r="D4946" s="113" t="str">
        <f>VLOOKUP(B4946,辅助信息!E:K,7,FALSE)</f>
        <v>JWDDCD2025092400212</v>
      </c>
      <c r="E4946" s="113" t="str">
        <f>VLOOKUP(F4946,辅助信息!A:B,2,FALSE)</f>
        <v>盘螺</v>
      </c>
      <c r="F4946" s="113" t="s">
        <v>49</v>
      </c>
      <c r="G4946" s="114">
        <v>6</v>
      </c>
      <c r="H4946" s="127"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49" t="str">
        <f>VLOOKUP(B4946,辅助信息!E:I,3,FALSE)</f>
        <v>(五冶钢构龙泉东洪片区85亩住宅、商业及配套工程项目三标段)成都市龙泉驿外东洪路地铁2号线惠王陵地铁C口</v>
      </c>
      <c r="J4946" s="113" t="str">
        <f>VLOOKUP(B4946,辅助信息!E:I,4,FALSE)</f>
        <v>王军宝</v>
      </c>
      <c r="K4946" s="113">
        <f>VLOOKUP(J4946,辅助信息!H:I,2,FALSE)</f>
        <v>13889142392</v>
      </c>
      <c r="L4946" s="115">
        <f>VLOOKUP(B4946,辅助信息!E:J,6,FALSE)</f>
        <v>0</v>
      </c>
      <c r="M4946" s="84">
        <v>45950</v>
      </c>
      <c r="O4946" s="55">
        <f ca="1" t="shared" si="236"/>
        <v>0</v>
      </c>
      <c r="P4946" s="55">
        <f ca="1" t="shared" si="237"/>
        <v>7</v>
      </c>
      <c r="Q4946" s="22" t="str">
        <f>VLOOKUP(B4946,辅助信息!E:M,9,FALSE)</f>
        <v>ZTWM-CDGS-XS-2025-0156-五冶钢构-2025年九月第一批次钢筋采购合同(三圣乡项目)-中铁物贸成都公司</v>
      </c>
      <c r="R4946" s="22" t="str">
        <f>_xlfn._xlws.FILTER(辅助信息!D:D,辅助信息!E:E=B4946)</f>
        <v>五冶钢构龙泉东洪片区85亩住宅、商业及配套工程项目三标段</v>
      </c>
    </row>
    <row r="4947" hidden="1" spans="2:18">
      <c r="B4947" s="129" t="s">
        <v>229</v>
      </c>
      <c r="C4947" s="97">
        <v>45954</v>
      </c>
      <c r="D4947" s="113" t="str">
        <f>VLOOKUP(B4947,辅助信息!E:K,7,FALSE)</f>
        <v>JWDDCD2025092400212</v>
      </c>
      <c r="E4947" s="113" t="str">
        <f>VLOOKUP(F4947,辅助信息!A:B,2,FALSE)</f>
        <v>盘螺</v>
      </c>
      <c r="F4947" s="113" t="s">
        <v>40</v>
      </c>
      <c r="G4947" s="114">
        <v>20</v>
      </c>
      <c r="H4947" s="127"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49" t="str">
        <f>VLOOKUP(B4947,辅助信息!E:I,3,FALSE)</f>
        <v>(五冶钢构龙泉东洪片区85亩住宅、商业及配套工程项目三标段)成都市龙泉驿外东洪路地铁2号线惠王陵地铁C口</v>
      </c>
      <c r="J4947" s="113" t="str">
        <f>VLOOKUP(B4947,辅助信息!E:I,4,FALSE)</f>
        <v>王军宝</v>
      </c>
      <c r="K4947" s="113">
        <f>VLOOKUP(J4947,辅助信息!H:I,2,FALSE)</f>
        <v>13889142392</v>
      </c>
      <c r="L4947" s="115">
        <f>VLOOKUP(B4947,辅助信息!E:J,6,FALSE)</f>
        <v>0</v>
      </c>
      <c r="M4947" s="84">
        <v>45950</v>
      </c>
      <c r="O4947" s="55">
        <f ca="1" t="shared" si="236"/>
        <v>0</v>
      </c>
      <c r="P4947" s="55">
        <f ca="1" t="shared" si="237"/>
        <v>7</v>
      </c>
      <c r="Q4947" s="22" t="str">
        <f>VLOOKUP(B4947,辅助信息!E:M,9,FALSE)</f>
        <v>ZTWM-CDGS-XS-2025-0156-五冶钢构-2025年九月第一批次钢筋采购合同(三圣乡项目)-中铁物贸成都公司</v>
      </c>
      <c r="R4947" s="22" t="str">
        <f>_xlfn._xlws.FILTER(辅助信息!D:D,辅助信息!E:E=B4947)</f>
        <v>五冶钢构龙泉东洪片区85亩住宅、商业及配套工程项目三标段</v>
      </c>
    </row>
    <row r="4948" hidden="1" spans="2:18">
      <c r="B4948" s="129" t="s">
        <v>229</v>
      </c>
      <c r="C4948" s="97">
        <v>45954</v>
      </c>
      <c r="D4948" s="113" t="str">
        <f>VLOOKUP(B4948,辅助信息!E:K,7,FALSE)</f>
        <v>JWDDCD2025092400212</v>
      </c>
      <c r="E4948" s="113" t="str">
        <f>VLOOKUP(F4948,辅助信息!A:B,2,FALSE)</f>
        <v>盘螺</v>
      </c>
      <c r="F4948" s="113" t="s">
        <v>41</v>
      </c>
      <c r="G4948" s="114">
        <v>40</v>
      </c>
      <c r="H4948" s="127"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49" t="str">
        <f>VLOOKUP(B4948,辅助信息!E:I,3,FALSE)</f>
        <v>(五冶钢构龙泉东洪片区85亩住宅、商业及配套工程项目三标段)成都市龙泉驿外东洪路地铁2号线惠王陵地铁C口</v>
      </c>
      <c r="J4948" s="113" t="str">
        <f>VLOOKUP(B4948,辅助信息!E:I,4,FALSE)</f>
        <v>王军宝</v>
      </c>
      <c r="K4948" s="113">
        <f>VLOOKUP(J4948,辅助信息!H:I,2,FALSE)</f>
        <v>13889142392</v>
      </c>
      <c r="L4948" s="115">
        <f>VLOOKUP(B4948,辅助信息!E:J,6,FALSE)</f>
        <v>0</v>
      </c>
      <c r="M4948" s="84">
        <v>45950</v>
      </c>
      <c r="O4948" s="55">
        <f ca="1" t="shared" si="236"/>
        <v>0</v>
      </c>
      <c r="P4948" s="55">
        <f ca="1" t="shared" si="237"/>
        <v>7</v>
      </c>
      <c r="Q4948" s="22" t="str">
        <f>VLOOKUP(B4948,辅助信息!E:M,9,FALSE)</f>
        <v>ZTWM-CDGS-XS-2025-0156-五冶钢构-2025年九月第一批次钢筋采购合同(三圣乡项目)-中铁物贸成都公司</v>
      </c>
      <c r="R4948" s="22" t="str">
        <f>_xlfn._xlws.FILTER(辅助信息!D:D,辅助信息!E:E=B4948)</f>
        <v>五冶钢构龙泉东洪片区85亩住宅、商业及配套工程项目三标段</v>
      </c>
    </row>
    <row r="4949" hidden="1" spans="2:18">
      <c r="B4949" s="129" t="s">
        <v>229</v>
      </c>
      <c r="C4949" s="97">
        <v>45954</v>
      </c>
      <c r="D4949" s="113" t="str">
        <f>VLOOKUP(B4949,辅助信息!E:K,7,FALSE)</f>
        <v>JWDDCD2025092400212</v>
      </c>
      <c r="E4949" s="113" t="str">
        <f>VLOOKUP(F4949,辅助信息!A:B,2,FALSE)</f>
        <v>螺纹钢</v>
      </c>
      <c r="F4949" s="113" t="s">
        <v>27</v>
      </c>
      <c r="G4949" s="114">
        <v>57</v>
      </c>
      <c r="H4949" s="127"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49" t="str">
        <f>VLOOKUP(B4949,辅助信息!E:I,3,FALSE)</f>
        <v>(五冶钢构龙泉东洪片区85亩住宅、商业及配套工程项目三标段)成都市龙泉驿外东洪路地铁2号线惠王陵地铁C口</v>
      </c>
      <c r="J4949" s="113" t="str">
        <f>VLOOKUP(B4949,辅助信息!E:I,4,FALSE)</f>
        <v>王军宝</v>
      </c>
      <c r="K4949" s="113">
        <f>VLOOKUP(J4949,辅助信息!H:I,2,FALSE)</f>
        <v>13889142392</v>
      </c>
      <c r="L4949" s="115">
        <f>VLOOKUP(B4949,辅助信息!E:J,6,FALSE)</f>
        <v>0</v>
      </c>
      <c r="M4949" s="84">
        <v>45950</v>
      </c>
      <c r="O4949" s="55">
        <f ca="1" t="shared" si="236"/>
        <v>0</v>
      </c>
      <c r="P4949" s="55">
        <f ca="1" t="shared" si="237"/>
        <v>7</v>
      </c>
      <c r="Q4949" s="22" t="str">
        <f>VLOOKUP(B4949,辅助信息!E:M,9,FALSE)</f>
        <v>ZTWM-CDGS-XS-2025-0156-五冶钢构-2025年九月第一批次钢筋采购合同(三圣乡项目)-中铁物贸成都公司</v>
      </c>
      <c r="R4949" s="22" t="str">
        <f>_xlfn._xlws.FILTER(辅助信息!D:D,辅助信息!E:E=B4949)</f>
        <v>五冶钢构龙泉东洪片区85亩住宅、商业及配套工程项目三标段</v>
      </c>
    </row>
    <row r="4950" hidden="1" spans="2:18">
      <c r="B4950" s="129" t="s">
        <v>229</v>
      </c>
      <c r="C4950" s="97">
        <v>45954</v>
      </c>
      <c r="D4950" s="113" t="str">
        <f>VLOOKUP(B4950,辅助信息!E:K,7,FALSE)</f>
        <v>JWDDCD2025092400212</v>
      </c>
      <c r="E4950" s="113" t="str">
        <f>VLOOKUP(F4950,辅助信息!A:B,2,FALSE)</f>
        <v>螺纹钢</v>
      </c>
      <c r="F4950" s="113" t="s">
        <v>19</v>
      </c>
      <c r="G4950" s="114">
        <v>9</v>
      </c>
      <c r="H4950" s="127"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49" t="str">
        <f>VLOOKUP(B4950,辅助信息!E:I,3,FALSE)</f>
        <v>(五冶钢构龙泉东洪片区85亩住宅、商业及配套工程项目三标段)成都市龙泉驿外东洪路地铁2号线惠王陵地铁C口</v>
      </c>
      <c r="J4950" s="113" t="str">
        <f>VLOOKUP(B4950,辅助信息!E:I,4,FALSE)</f>
        <v>王军宝</v>
      </c>
      <c r="K4950" s="113">
        <f>VLOOKUP(J4950,辅助信息!H:I,2,FALSE)</f>
        <v>13889142392</v>
      </c>
      <c r="L4950" s="115">
        <f>VLOOKUP(B4950,辅助信息!E:J,6,FALSE)</f>
        <v>0</v>
      </c>
      <c r="M4950" s="84">
        <v>45950</v>
      </c>
      <c r="O4950" s="55">
        <f ca="1" t="shared" si="236"/>
        <v>0</v>
      </c>
      <c r="P4950" s="55">
        <f ca="1" t="shared" si="237"/>
        <v>7</v>
      </c>
      <c r="Q4950" s="22" t="str">
        <f>VLOOKUP(B4950,辅助信息!E:M,9,FALSE)</f>
        <v>ZTWM-CDGS-XS-2025-0156-五冶钢构-2025年九月第一批次钢筋采购合同(三圣乡项目)-中铁物贸成都公司</v>
      </c>
      <c r="R4950" s="22" t="str">
        <f>_xlfn._xlws.FILTER(辅助信息!D:D,辅助信息!E:E=B4950)</f>
        <v>五冶钢构龙泉东洪片区85亩住宅、商业及配套工程项目三标段</v>
      </c>
    </row>
    <row r="4951" hidden="1" spans="2:18">
      <c r="B4951" s="129" t="s">
        <v>229</v>
      </c>
      <c r="C4951" s="97">
        <v>45954</v>
      </c>
      <c r="D4951" s="113" t="str">
        <f>VLOOKUP(B4951,辅助信息!E:K,7,FALSE)</f>
        <v>JWDDCD2025092400212</v>
      </c>
      <c r="E4951" s="113" t="str">
        <f>VLOOKUP(F4951,辅助信息!A:B,2,FALSE)</f>
        <v>螺纹钢</v>
      </c>
      <c r="F4951" s="113" t="s">
        <v>32</v>
      </c>
      <c r="G4951" s="114">
        <v>6</v>
      </c>
      <c r="H4951" s="127"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49" t="str">
        <f>VLOOKUP(B4951,辅助信息!E:I,3,FALSE)</f>
        <v>(五冶钢构龙泉东洪片区85亩住宅、商业及配套工程项目三标段)成都市龙泉驿外东洪路地铁2号线惠王陵地铁C口</v>
      </c>
      <c r="J4951" s="113" t="str">
        <f>VLOOKUP(B4951,辅助信息!E:I,4,FALSE)</f>
        <v>王军宝</v>
      </c>
      <c r="K4951" s="113">
        <f>VLOOKUP(J4951,辅助信息!H:I,2,FALSE)</f>
        <v>13889142392</v>
      </c>
      <c r="L4951" s="115">
        <f>VLOOKUP(B4951,辅助信息!E:J,6,FALSE)</f>
        <v>0</v>
      </c>
      <c r="M4951" s="84">
        <v>45950</v>
      </c>
      <c r="O4951" s="55">
        <f ca="1" t="shared" si="236"/>
        <v>0</v>
      </c>
      <c r="P4951" s="55">
        <f ca="1" t="shared" si="237"/>
        <v>7</v>
      </c>
      <c r="Q4951" s="22" t="str">
        <f>VLOOKUP(B4951,辅助信息!E:M,9,FALSE)</f>
        <v>ZTWM-CDGS-XS-2025-0156-五冶钢构-2025年九月第一批次钢筋采购合同(三圣乡项目)-中铁物贸成都公司</v>
      </c>
      <c r="R4951" s="22" t="str">
        <f>_xlfn._xlws.FILTER(辅助信息!D:D,辅助信息!E:E=B4951)</f>
        <v>五冶钢构龙泉东洪片区85亩住宅、商业及配套工程项目三标段</v>
      </c>
    </row>
    <row r="4952" hidden="1" spans="2:18">
      <c r="B4952" s="129" t="s">
        <v>229</v>
      </c>
      <c r="C4952" s="97">
        <v>45954</v>
      </c>
      <c r="D4952" s="113" t="str">
        <f>VLOOKUP(B4952,辅助信息!E:K,7,FALSE)</f>
        <v>JWDDCD2025092400212</v>
      </c>
      <c r="E4952" s="113" t="str">
        <f>VLOOKUP(F4952,辅助信息!A:B,2,FALSE)</f>
        <v>螺纹钢</v>
      </c>
      <c r="F4952" s="113" t="s">
        <v>30</v>
      </c>
      <c r="G4952" s="114">
        <v>9</v>
      </c>
      <c r="H4952" s="127"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49" t="str">
        <f>VLOOKUP(B4952,辅助信息!E:I,3,FALSE)</f>
        <v>(五冶钢构龙泉东洪片区85亩住宅、商业及配套工程项目三标段)成都市龙泉驿外东洪路地铁2号线惠王陵地铁C口</v>
      </c>
      <c r="J4952" s="113" t="str">
        <f>VLOOKUP(B4952,辅助信息!E:I,4,FALSE)</f>
        <v>王军宝</v>
      </c>
      <c r="K4952" s="113">
        <f>VLOOKUP(J4952,辅助信息!H:I,2,FALSE)</f>
        <v>13889142392</v>
      </c>
      <c r="L4952" s="115">
        <f>VLOOKUP(B4952,辅助信息!E:J,6,FALSE)</f>
        <v>0</v>
      </c>
      <c r="M4952" s="84">
        <v>45950</v>
      </c>
      <c r="O4952" s="55">
        <f ca="1" t="shared" si="236"/>
        <v>0</v>
      </c>
      <c r="P4952" s="55">
        <f ca="1" t="shared" si="237"/>
        <v>7</v>
      </c>
      <c r="Q4952" s="22" t="str">
        <f>VLOOKUP(B4952,辅助信息!E:M,9,FALSE)</f>
        <v>ZTWM-CDGS-XS-2025-0156-五冶钢构-2025年九月第一批次钢筋采购合同(三圣乡项目)-中铁物贸成都公司</v>
      </c>
      <c r="R4952" s="22" t="str">
        <f>_xlfn._xlws.FILTER(辅助信息!D:D,辅助信息!E:E=B4952)</f>
        <v>五冶钢构龙泉东洪片区85亩住宅、商业及配套工程项目三标段</v>
      </c>
    </row>
    <row r="4953" hidden="1" spans="2:18">
      <c r="B4953" s="129" t="s">
        <v>229</v>
      </c>
      <c r="C4953" s="97">
        <v>45954</v>
      </c>
      <c r="D4953" s="113" t="str">
        <f>VLOOKUP(B4953,辅助信息!E:K,7,FALSE)</f>
        <v>JWDDCD2025092400212</v>
      </c>
      <c r="E4953" s="113" t="str">
        <f>VLOOKUP(F4953,辅助信息!A:B,2,FALSE)</f>
        <v>螺纹钢</v>
      </c>
      <c r="F4953" s="113" t="s">
        <v>18</v>
      </c>
      <c r="G4953" s="114">
        <v>6</v>
      </c>
      <c r="H4953" s="127"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49" t="str">
        <f>VLOOKUP(B4953,辅助信息!E:I,3,FALSE)</f>
        <v>(五冶钢构龙泉东洪片区85亩住宅、商业及配套工程项目三标段)成都市龙泉驿外东洪路地铁2号线惠王陵地铁C口</v>
      </c>
      <c r="J4953" s="113" t="str">
        <f>VLOOKUP(B4953,辅助信息!E:I,4,FALSE)</f>
        <v>王军宝</v>
      </c>
      <c r="K4953" s="113">
        <f>VLOOKUP(J4953,辅助信息!H:I,2,FALSE)</f>
        <v>13889142392</v>
      </c>
      <c r="L4953" s="115">
        <f>VLOOKUP(B4953,辅助信息!E:J,6,FALSE)</f>
        <v>0</v>
      </c>
      <c r="M4953" s="84">
        <v>45950</v>
      </c>
      <c r="O4953" s="55">
        <f ca="1" t="shared" si="236"/>
        <v>0</v>
      </c>
      <c r="P4953" s="55">
        <f ca="1" t="shared" si="237"/>
        <v>7</v>
      </c>
      <c r="Q4953" s="22" t="str">
        <f>VLOOKUP(B4953,辅助信息!E:M,9,FALSE)</f>
        <v>ZTWM-CDGS-XS-2025-0156-五冶钢构-2025年九月第一批次钢筋采购合同(三圣乡项目)-中铁物贸成都公司</v>
      </c>
      <c r="R4953" s="22" t="str">
        <f>_xlfn._xlws.FILTER(辅助信息!D:D,辅助信息!E:E=B4953)</f>
        <v>五冶钢构龙泉东洪片区85亩住宅、商业及配套工程项目三标段</v>
      </c>
    </row>
    <row r="4954" hidden="1" spans="2:18">
      <c r="B4954" s="129" t="s">
        <v>229</v>
      </c>
      <c r="C4954" s="97">
        <v>45954</v>
      </c>
      <c r="D4954" s="113" t="str">
        <f>VLOOKUP(B4954,辅助信息!E:K,7,FALSE)</f>
        <v>JWDDCD2025092400212</v>
      </c>
      <c r="E4954" s="113" t="str">
        <f>VLOOKUP(F4954,辅助信息!A:B,2,FALSE)</f>
        <v>螺纹钢</v>
      </c>
      <c r="F4954" s="113" t="s">
        <v>66</v>
      </c>
      <c r="G4954" s="114">
        <v>6</v>
      </c>
      <c r="H4954" s="127"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49" t="str">
        <f>VLOOKUP(B4954,辅助信息!E:I,3,FALSE)</f>
        <v>(五冶钢构龙泉东洪片区85亩住宅、商业及配套工程项目三标段)成都市龙泉驿外东洪路地铁2号线惠王陵地铁C口</v>
      </c>
      <c r="J4954" s="113" t="str">
        <f>VLOOKUP(B4954,辅助信息!E:I,4,FALSE)</f>
        <v>王军宝</v>
      </c>
      <c r="K4954" s="113">
        <f>VLOOKUP(J4954,辅助信息!H:I,2,FALSE)</f>
        <v>13889142392</v>
      </c>
      <c r="L4954" s="115">
        <f>VLOOKUP(B4954,辅助信息!E:J,6,FALSE)</f>
        <v>0</v>
      </c>
      <c r="M4954" s="84">
        <v>45950</v>
      </c>
      <c r="O4954" s="55">
        <f ca="1" t="shared" si="236"/>
        <v>0</v>
      </c>
      <c r="P4954" s="55">
        <f ca="1" t="shared" si="237"/>
        <v>7</v>
      </c>
      <c r="Q4954" s="22" t="str">
        <f>VLOOKUP(B4954,辅助信息!E:M,9,FALSE)</f>
        <v>ZTWM-CDGS-XS-2025-0156-五冶钢构-2025年九月第一批次钢筋采购合同(三圣乡项目)-中铁物贸成都公司</v>
      </c>
      <c r="R4954" s="22" t="str">
        <f>_xlfn._xlws.FILTER(辅助信息!D:D,辅助信息!E:E=B4954)</f>
        <v>五冶钢构龙泉东洪片区85亩住宅、商业及配套工程项目三标段</v>
      </c>
    </row>
    <row r="4955" hidden="1" spans="2:18">
      <c r="B4955" s="129" t="s">
        <v>229</v>
      </c>
      <c r="C4955" s="97">
        <v>45954</v>
      </c>
      <c r="D4955" s="113" t="str">
        <f>VLOOKUP(B4955,辅助信息!E:K,7,FALSE)</f>
        <v>JWDDCD2025092400212</v>
      </c>
      <c r="E4955" s="113" t="str">
        <f>VLOOKUP(F4955,辅助信息!A:B,2,FALSE)</f>
        <v>螺纹钢</v>
      </c>
      <c r="F4955" s="113" t="s">
        <v>58</v>
      </c>
      <c r="G4955" s="114">
        <v>6</v>
      </c>
      <c r="H4955" s="127"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49" t="str">
        <f>VLOOKUP(B4955,辅助信息!E:I,3,FALSE)</f>
        <v>(五冶钢构龙泉东洪片区85亩住宅、商业及配套工程项目三标段)成都市龙泉驿外东洪路地铁2号线惠王陵地铁C口</v>
      </c>
      <c r="J4955" s="113" t="str">
        <f>VLOOKUP(B4955,辅助信息!E:I,4,FALSE)</f>
        <v>王军宝</v>
      </c>
      <c r="K4955" s="113">
        <f>VLOOKUP(J4955,辅助信息!H:I,2,FALSE)</f>
        <v>13889142392</v>
      </c>
      <c r="L4955" s="115">
        <f>VLOOKUP(B4955,辅助信息!E:J,6,FALSE)</f>
        <v>0</v>
      </c>
      <c r="M4955" s="84">
        <v>45950</v>
      </c>
      <c r="O4955" s="55">
        <f ca="1" t="shared" si="236"/>
        <v>0</v>
      </c>
      <c r="P4955" s="55">
        <f ca="1" t="shared" si="237"/>
        <v>7</v>
      </c>
      <c r="Q4955" s="22" t="str">
        <f>VLOOKUP(B4955,辅助信息!E:M,9,FALSE)</f>
        <v>ZTWM-CDGS-XS-2025-0156-五冶钢构-2025年九月第一批次钢筋采购合同(三圣乡项目)-中铁物贸成都公司</v>
      </c>
      <c r="R4955" s="22" t="str">
        <f>_xlfn._xlws.FILTER(辅助信息!D:D,辅助信息!E:E=B4955)</f>
        <v>五冶钢构龙泉东洪片区85亩住宅、商业及配套工程项目三标段</v>
      </c>
    </row>
    <row r="4956" hidden="1" spans="2:18">
      <c r="B4956" s="129" t="s">
        <v>229</v>
      </c>
      <c r="C4956" s="97">
        <v>45954</v>
      </c>
      <c r="D4956" s="113" t="str">
        <f>VLOOKUP(B4956,辅助信息!E:K,7,FALSE)</f>
        <v>JWDDCD2025092400212</v>
      </c>
      <c r="E4956" s="113" t="str">
        <f>VLOOKUP(F4956,辅助信息!A:B,2,FALSE)</f>
        <v>螺纹钢</v>
      </c>
      <c r="F4956" s="113" t="s">
        <v>46</v>
      </c>
      <c r="G4956" s="114">
        <v>9</v>
      </c>
      <c r="H4956" s="127"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49" t="str">
        <f>VLOOKUP(B4956,辅助信息!E:I,3,FALSE)</f>
        <v>(五冶钢构龙泉东洪片区85亩住宅、商业及配套工程项目三标段)成都市龙泉驿外东洪路地铁2号线惠王陵地铁C口</v>
      </c>
      <c r="J4956" s="113" t="str">
        <f>VLOOKUP(B4956,辅助信息!E:I,4,FALSE)</f>
        <v>王军宝</v>
      </c>
      <c r="K4956" s="113">
        <f>VLOOKUP(J4956,辅助信息!H:I,2,FALSE)</f>
        <v>13889142392</v>
      </c>
      <c r="L4956" s="115">
        <f>VLOOKUP(B4956,辅助信息!E:J,6,FALSE)</f>
        <v>0</v>
      </c>
      <c r="M4956" s="84">
        <v>45950</v>
      </c>
      <c r="O4956" s="55">
        <f ca="1" t="shared" si="236"/>
        <v>0</v>
      </c>
      <c r="P4956" s="55">
        <f ca="1" t="shared" si="237"/>
        <v>7</v>
      </c>
      <c r="Q4956" s="22" t="str">
        <f>VLOOKUP(B4956,辅助信息!E:M,9,FALSE)</f>
        <v>ZTWM-CDGS-XS-2025-0156-五冶钢构-2025年九月第一批次钢筋采购合同(三圣乡项目)-中铁物贸成都公司</v>
      </c>
      <c r="R4956" s="22" t="str">
        <f>_xlfn._xlws.FILTER(辅助信息!D:D,辅助信息!E:E=B4956)</f>
        <v>五冶钢构龙泉东洪片区85亩住宅、商业及配套工程项目三标段</v>
      </c>
    </row>
    <row r="4957" hidden="1" spans="2:18">
      <c r="B4957" s="129" t="s">
        <v>229</v>
      </c>
      <c r="C4957" s="97">
        <v>45954</v>
      </c>
      <c r="D4957" s="113" t="str">
        <f>VLOOKUP(B4957,辅助信息!E:K,7,FALSE)</f>
        <v>JWDDCD2025092400212</v>
      </c>
      <c r="E4957" s="113" t="str">
        <f>VLOOKUP(F4957,辅助信息!A:B,2,FALSE)</f>
        <v>螺纹钢</v>
      </c>
      <c r="F4957" s="113" t="s">
        <v>22</v>
      </c>
      <c r="G4957" s="114">
        <v>21</v>
      </c>
      <c r="H4957" s="127"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49" t="str">
        <f>VLOOKUP(B4957,辅助信息!E:I,3,FALSE)</f>
        <v>(五冶钢构龙泉东洪片区85亩住宅、商业及配套工程项目三标段)成都市龙泉驿外东洪路地铁2号线惠王陵地铁C口</v>
      </c>
      <c r="J4957" s="113" t="str">
        <f>VLOOKUP(B4957,辅助信息!E:I,4,FALSE)</f>
        <v>王军宝</v>
      </c>
      <c r="K4957" s="113">
        <f>VLOOKUP(J4957,辅助信息!H:I,2,FALSE)</f>
        <v>13889142392</v>
      </c>
      <c r="L4957" s="115">
        <f>VLOOKUP(B4957,辅助信息!E:J,6,FALSE)</f>
        <v>0</v>
      </c>
      <c r="M4957" s="84">
        <v>45950</v>
      </c>
      <c r="O4957" s="55">
        <f ca="1" t="shared" si="236"/>
        <v>0</v>
      </c>
      <c r="P4957" s="55">
        <f ca="1" t="shared" si="237"/>
        <v>7</v>
      </c>
      <c r="Q4957" s="22" t="str">
        <f>VLOOKUP(B4957,辅助信息!E:M,9,FALSE)</f>
        <v>ZTWM-CDGS-XS-2025-0156-五冶钢构-2025年九月第一批次钢筋采购合同(三圣乡项目)-中铁物贸成都公司</v>
      </c>
      <c r="R4957" s="22" t="str">
        <f>_xlfn._xlws.FILTER(辅助信息!D:D,辅助信息!E:E=B4957)</f>
        <v>五冶钢构龙泉东洪片区85亩住宅、商业及配套工程项目三标段</v>
      </c>
    </row>
    <row r="4958" hidden="1" spans="2:18">
      <c r="B4958" s="129" t="s">
        <v>228</v>
      </c>
      <c r="C4958" s="97">
        <v>45954</v>
      </c>
      <c r="D4958" s="113" t="str">
        <f>VLOOKUP(B4958,辅助信息!E:K,7,FALSE)</f>
        <v>JWDDCD2025092400190</v>
      </c>
      <c r="E4958" s="113" t="str">
        <f>VLOOKUP(F4958,辅助信息!A:B,2,FALSE)</f>
        <v>高线</v>
      </c>
      <c r="F4958" s="113" t="s">
        <v>53</v>
      </c>
      <c r="G4958" s="114">
        <v>2</v>
      </c>
      <c r="H4958" s="127"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49" t="str">
        <f>VLOOKUP(B4958,辅助信息!E:I,3,FALSE)</f>
        <v>(五冶钢构龙泉东洪片区70亩住宅、商业及配套工程项目二标段)成都市龙泉驿外东洪路地铁2号线惠王陵地铁C口</v>
      </c>
      <c r="J4958" s="113" t="str">
        <f>VLOOKUP(B4958,辅助信息!E:I,4,FALSE)</f>
        <v>蒋嗣伟</v>
      </c>
      <c r="K4958" s="113">
        <f>VLOOKUP(J4958,辅助信息!H:I,2,FALSE)</f>
        <v>15014331252</v>
      </c>
      <c r="L4958" s="115">
        <f>VLOOKUP(B4958,辅助信息!E:J,6,FALSE)</f>
        <v>0</v>
      </c>
      <c r="M4958" s="84">
        <v>45953</v>
      </c>
      <c r="O4958" s="55">
        <f ca="1" t="shared" si="236"/>
        <v>0</v>
      </c>
      <c r="P4958" s="55">
        <f ca="1" t="shared" si="237"/>
        <v>4</v>
      </c>
      <c r="Q4958" s="22" t="str">
        <f>VLOOKUP(B4958,辅助信息!E:M,9,FALSE)</f>
        <v>ZTWM-CDGS-XS-2025-0156-五冶钢构-2025年九月第一批次钢筋采购合同(三圣乡项目)-中铁物贸成都公司</v>
      </c>
      <c r="R4958" s="22" t="str">
        <f>_xlfn._xlws.FILTER(辅助信息!D:D,辅助信息!E:E=B4958)</f>
        <v>五冶钢构龙泉东洪片区70亩住宅、商业及配套工程项目二标段</v>
      </c>
    </row>
    <row r="4959" hidden="1" spans="2:18">
      <c r="B4959" s="129" t="s">
        <v>228</v>
      </c>
      <c r="C4959" s="97">
        <v>45954</v>
      </c>
      <c r="D4959" s="113" t="str">
        <f>VLOOKUP(B4959,辅助信息!E:K,7,FALSE)</f>
        <v>JWDDCD2025092400190</v>
      </c>
      <c r="E4959" s="113" t="str">
        <f>VLOOKUP(F4959,辅助信息!A:B,2,FALSE)</f>
        <v>盘螺</v>
      </c>
      <c r="F4959" s="113" t="s">
        <v>40</v>
      </c>
      <c r="G4959" s="114">
        <v>35</v>
      </c>
      <c r="H4959" s="127">
        <f>IF(SUMIFS('[1]2025年已发货'!$E:$E,'[1]2025年已发货'!$F:$F,C4959,'[1]2025年已发货'!$C:$C,F4959,'[1]2025年已发货'!$G:$G,I4959,'[1]2025年已发货'!$H:$H,J4959)=0,"未发货",SUMIFS('[1]2025年已发货'!$E:$E,'[1]2025年已发货'!$F:$F,C4959,'[1]2025年已发货'!$C:$C,F4959,'[1]2025年已发货'!$G:$G,I4959,'[1]2025年已发货'!$H:$H,J4959))</f>
        <v>35</v>
      </c>
      <c r="I4959" s="149" t="str">
        <f>VLOOKUP(B4959,辅助信息!E:I,3,FALSE)</f>
        <v>(五冶钢构龙泉东洪片区70亩住宅、商业及配套工程项目二标段)成都市龙泉驿外东洪路地铁2号线惠王陵地铁C口</v>
      </c>
      <c r="J4959" s="113" t="str">
        <f>VLOOKUP(B4959,辅助信息!E:I,4,FALSE)</f>
        <v>蒋嗣伟</v>
      </c>
      <c r="K4959" s="113">
        <f>VLOOKUP(J4959,辅助信息!H:I,2,FALSE)</f>
        <v>15014331252</v>
      </c>
      <c r="L4959" s="115">
        <f>VLOOKUP(B4959,辅助信息!E:J,6,FALSE)</f>
        <v>0</v>
      </c>
      <c r="M4959" s="84">
        <v>45953</v>
      </c>
      <c r="O4959" s="55">
        <f ca="1" t="shared" si="236"/>
        <v>0</v>
      </c>
      <c r="P4959" s="55">
        <f ca="1" t="shared" si="237"/>
        <v>4</v>
      </c>
      <c r="Q4959" s="22" t="str">
        <f>VLOOKUP(B4959,辅助信息!E:M,9,FALSE)</f>
        <v>ZTWM-CDGS-XS-2025-0156-五冶钢构-2025年九月第一批次钢筋采购合同(三圣乡项目)-中铁物贸成都公司</v>
      </c>
      <c r="R4959" s="22" t="str">
        <f>_xlfn._xlws.FILTER(辅助信息!D:D,辅助信息!E:E=B4959)</f>
        <v>五冶钢构龙泉东洪片区70亩住宅、商业及配套工程项目二标段</v>
      </c>
    </row>
    <row r="4960" hidden="1" spans="2:18">
      <c r="B4960" s="129" t="s">
        <v>228</v>
      </c>
      <c r="C4960" s="97">
        <v>45954</v>
      </c>
      <c r="D4960" s="113" t="str">
        <f>VLOOKUP(B4960,辅助信息!E:K,7,FALSE)</f>
        <v>JWDDCD2025092400190</v>
      </c>
      <c r="E4960" s="113" t="str">
        <f>VLOOKUP(F4960,辅助信息!A:B,2,FALSE)</f>
        <v>螺纹钢</v>
      </c>
      <c r="F4960" s="113" t="s">
        <v>27</v>
      </c>
      <c r="G4960" s="114">
        <v>35</v>
      </c>
      <c r="H4960" s="127">
        <f>IF(SUMIFS('[1]2025年已发货'!$E:$E,'[1]2025年已发货'!$F:$F,C4960,'[1]2025年已发货'!$C:$C,F4960,'[1]2025年已发货'!$G:$G,I4960,'[1]2025年已发货'!$H:$H,J4960)=0,"未发货",SUMIFS('[1]2025年已发货'!$E:$E,'[1]2025年已发货'!$F:$F,C4960,'[1]2025年已发货'!$C:$C,F4960,'[1]2025年已发货'!$G:$G,I4960,'[1]2025年已发货'!$H:$H,J4960))</f>
        <v>35</v>
      </c>
      <c r="I4960" s="149" t="str">
        <f>VLOOKUP(B4960,辅助信息!E:I,3,FALSE)</f>
        <v>(五冶钢构龙泉东洪片区70亩住宅、商业及配套工程项目二标段)成都市龙泉驿外东洪路地铁2号线惠王陵地铁C口</v>
      </c>
      <c r="J4960" s="113" t="str">
        <f>VLOOKUP(B4960,辅助信息!E:I,4,FALSE)</f>
        <v>蒋嗣伟</v>
      </c>
      <c r="K4960" s="113">
        <f>VLOOKUP(J4960,辅助信息!H:I,2,FALSE)</f>
        <v>15014331252</v>
      </c>
      <c r="L4960" s="115">
        <f>VLOOKUP(B4960,辅助信息!E:J,6,FALSE)</f>
        <v>0</v>
      </c>
      <c r="M4960" s="84">
        <v>45953</v>
      </c>
      <c r="O4960" s="55">
        <f ca="1" t="shared" si="236"/>
        <v>0</v>
      </c>
      <c r="P4960" s="55">
        <f ca="1" t="shared" si="237"/>
        <v>4</v>
      </c>
      <c r="Q4960" s="22" t="str">
        <f>VLOOKUP(B4960,辅助信息!E:M,9,FALSE)</f>
        <v>ZTWM-CDGS-XS-2025-0156-五冶钢构-2025年九月第一批次钢筋采购合同(三圣乡项目)-中铁物贸成都公司</v>
      </c>
      <c r="R4960" s="22" t="str">
        <f>_xlfn._xlws.FILTER(辅助信息!D:D,辅助信息!E:E=B4960)</f>
        <v>五冶钢构龙泉东洪片区70亩住宅、商业及配套工程项目二标段</v>
      </c>
    </row>
    <row r="4961" hidden="1" spans="2:18">
      <c r="B4961" s="129" t="s">
        <v>228</v>
      </c>
      <c r="C4961" s="97">
        <v>45954</v>
      </c>
      <c r="D4961" s="113" t="str">
        <f>VLOOKUP(B4961,辅助信息!E:K,7,FALSE)</f>
        <v>JWDDCD2025092400190</v>
      </c>
      <c r="E4961" s="113" t="str">
        <f>VLOOKUP(F4961,辅助信息!A:B,2,FALSE)</f>
        <v>螺纹钢</v>
      </c>
      <c r="F4961" s="113" t="s">
        <v>19</v>
      </c>
      <c r="G4961" s="114">
        <v>15</v>
      </c>
      <c r="H4961" s="127">
        <f>IF(SUMIFS('[1]2025年已发货'!$E:$E,'[1]2025年已发货'!$F:$F,C4961,'[1]2025年已发货'!$C:$C,F4961,'[1]2025年已发货'!$G:$G,I4961,'[1]2025年已发货'!$H:$H,J4961)=0,"未发货",SUMIFS('[1]2025年已发货'!$E:$E,'[1]2025年已发货'!$F:$F,C4961,'[1]2025年已发货'!$C:$C,F4961,'[1]2025年已发货'!$G:$G,I4961,'[1]2025年已发货'!$H:$H,J4961))</f>
        <v>15</v>
      </c>
      <c r="I4961" s="149" t="str">
        <f>VLOOKUP(B4961,辅助信息!E:I,3,FALSE)</f>
        <v>(五冶钢构龙泉东洪片区70亩住宅、商业及配套工程项目二标段)成都市龙泉驿外东洪路地铁2号线惠王陵地铁C口</v>
      </c>
      <c r="J4961" s="113" t="str">
        <f>VLOOKUP(B4961,辅助信息!E:I,4,FALSE)</f>
        <v>蒋嗣伟</v>
      </c>
      <c r="K4961" s="113">
        <f>VLOOKUP(J4961,辅助信息!H:I,2,FALSE)</f>
        <v>15014331252</v>
      </c>
      <c r="L4961" s="115">
        <f>VLOOKUP(B4961,辅助信息!E:J,6,FALSE)</f>
        <v>0</v>
      </c>
      <c r="M4961" s="84">
        <v>45953</v>
      </c>
      <c r="O4961" s="55">
        <f ca="1" t="shared" si="236"/>
        <v>0</v>
      </c>
      <c r="P4961" s="55">
        <f ca="1" t="shared" si="237"/>
        <v>4</v>
      </c>
      <c r="Q4961" s="22" t="str">
        <f>VLOOKUP(B4961,辅助信息!E:M,9,FALSE)</f>
        <v>ZTWM-CDGS-XS-2025-0156-五冶钢构-2025年九月第一批次钢筋采购合同(三圣乡项目)-中铁物贸成都公司</v>
      </c>
      <c r="R4961" s="22" t="str">
        <f>_xlfn._xlws.FILTER(辅助信息!D:D,辅助信息!E:E=B4961)</f>
        <v>五冶钢构龙泉东洪片区70亩住宅、商业及配套工程项目二标段</v>
      </c>
    </row>
    <row r="4962" hidden="1" spans="2:18">
      <c r="B4962" s="129" t="s">
        <v>228</v>
      </c>
      <c r="C4962" s="97">
        <v>45954</v>
      </c>
      <c r="D4962" s="113" t="str">
        <f>VLOOKUP(B4962,辅助信息!E:K,7,FALSE)</f>
        <v>JWDDCD2025092400190</v>
      </c>
      <c r="E4962" s="113" t="str">
        <f>VLOOKUP(F4962,辅助信息!A:B,2,FALSE)</f>
        <v>螺纹钢</v>
      </c>
      <c r="F4962" s="113" t="s">
        <v>32</v>
      </c>
      <c r="G4962" s="114">
        <v>35</v>
      </c>
      <c r="H4962" s="127">
        <f>IF(SUMIFS('[1]2025年已发货'!$E:$E,'[1]2025年已发货'!$F:$F,C4962,'[1]2025年已发货'!$C:$C,F4962,'[1]2025年已发货'!$G:$G,I4962,'[1]2025年已发货'!$H:$H,J4962)=0,"未发货",SUMIFS('[1]2025年已发货'!$E:$E,'[1]2025年已发货'!$F:$F,C4962,'[1]2025年已发货'!$C:$C,F4962,'[1]2025年已发货'!$G:$G,I4962,'[1]2025年已发货'!$H:$H,J4962))</f>
        <v>35</v>
      </c>
      <c r="I4962" s="149" t="str">
        <f>VLOOKUP(B4962,辅助信息!E:I,3,FALSE)</f>
        <v>(五冶钢构龙泉东洪片区70亩住宅、商业及配套工程项目二标段)成都市龙泉驿外东洪路地铁2号线惠王陵地铁C口</v>
      </c>
      <c r="J4962" s="113" t="str">
        <f>VLOOKUP(B4962,辅助信息!E:I,4,FALSE)</f>
        <v>蒋嗣伟</v>
      </c>
      <c r="K4962" s="113">
        <f>VLOOKUP(J4962,辅助信息!H:I,2,FALSE)</f>
        <v>15014331252</v>
      </c>
      <c r="L4962" s="115">
        <f>VLOOKUP(B4962,辅助信息!E:J,6,FALSE)</f>
        <v>0</v>
      </c>
      <c r="M4962" s="84">
        <v>45953</v>
      </c>
      <c r="O4962" s="55">
        <f ca="1" t="shared" si="236"/>
        <v>0</v>
      </c>
      <c r="P4962" s="55">
        <f ca="1" t="shared" si="237"/>
        <v>4</v>
      </c>
      <c r="Q4962" s="22" t="str">
        <f>VLOOKUP(B4962,辅助信息!E:M,9,FALSE)</f>
        <v>ZTWM-CDGS-XS-2025-0156-五冶钢构-2025年九月第一批次钢筋采购合同(三圣乡项目)-中铁物贸成都公司</v>
      </c>
      <c r="R4962" s="22" t="str">
        <f>_xlfn._xlws.FILTER(辅助信息!D:D,辅助信息!E:E=B4962)</f>
        <v>五冶钢构龙泉东洪片区70亩住宅、商业及配套工程项目二标段</v>
      </c>
    </row>
    <row r="4963" hidden="1" spans="2:18">
      <c r="B4963" s="129" t="s">
        <v>228</v>
      </c>
      <c r="C4963" s="97">
        <v>45954</v>
      </c>
      <c r="D4963" s="113" t="str">
        <f>VLOOKUP(B4963,辅助信息!E:K,7,FALSE)</f>
        <v>JWDDCD2025092400190</v>
      </c>
      <c r="E4963" s="113" t="str">
        <f>VLOOKUP(F4963,辅助信息!A:B,2,FALSE)</f>
        <v>螺纹钢</v>
      </c>
      <c r="F4963" s="113" t="s">
        <v>30</v>
      </c>
      <c r="G4963" s="114">
        <v>10</v>
      </c>
      <c r="H4963" s="127">
        <f>IF(SUMIFS('[1]2025年已发货'!$E:$E,'[1]2025年已发货'!$F:$F,C4963,'[1]2025年已发货'!$C:$C,F4963,'[1]2025年已发货'!$G:$G,I4963,'[1]2025年已发货'!$H:$H,J4963)=0,"未发货",SUMIFS('[1]2025年已发货'!$E:$E,'[1]2025年已发货'!$F:$F,C4963,'[1]2025年已发货'!$C:$C,F4963,'[1]2025年已发货'!$G:$G,I4963,'[1]2025年已发货'!$H:$H,J4963))</f>
        <v>7.5</v>
      </c>
      <c r="I4963" s="149" t="str">
        <f>VLOOKUP(B4963,辅助信息!E:I,3,FALSE)</f>
        <v>(五冶钢构龙泉东洪片区70亩住宅、商业及配套工程项目二标段)成都市龙泉驿外东洪路地铁2号线惠王陵地铁C口</v>
      </c>
      <c r="J4963" s="113" t="str">
        <f>VLOOKUP(B4963,辅助信息!E:I,4,FALSE)</f>
        <v>蒋嗣伟</v>
      </c>
      <c r="K4963" s="113">
        <f>VLOOKUP(J4963,辅助信息!H:I,2,FALSE)</f>
        <v>15014331252</v>
      </c>
      <c r="L4963" s="115">
        <f>VLOOKUP(B4963,辅助信息!E:J,6,FALSE)</f>
        <v>0</v>
      </c>
      <c r="M4963" s="84">
        <v>45953</v>
      </c>
      <c r="O4963" s="55">
        <f ca="1" t="shared" si="236"/>
        <v>0</v>
      </c>
      <c r="P4963" s="55">
        <f ca="1" t="shared" si="237"/>
        <v>4</v>
      </c>
      <c r="Q4963" s="22" t="str">
        <f>VLOOKUP(B4963,辅助信息!E:M,9,FALSE)</f>
        <v>ZTWM-CDGS-XS-2025-0156-五冶钢构-2025年九月第一批次钢筋采购合同(三圣乡项目)-中铁物贸成都公司</v>
      </c>
      <c r="R4963" s="22" t="str">
        <f>_xlfn._xlws.FILTER(辅助信息!D:D,辅助信息!E:E=B4963)</f>
        <v>五冶钢构龙泉东洪片区70亩住宅、商业及配套工程项目二标段</v>
      </c>
    </row>
    <row r="4964" hidden="1" spans="2:18">
      <c r="B4964" s="129" t="s">
        <v>228</v>
      </c>
      <c r="C4964" s="97">
        <v>45954</v>
      </c>
      <c r="D4964" s="113" t="str">
        <f>VLOOKUP(B4964,辅助信息!E:K,7,FALSE)</f>
        <v>JWDDCD2025092400190</v>
      </c>
      <c r="E4964" s="113" t="str">
        <f>VLOOKUP(F4964,辅助信息!A:B,2,FALSE)</f>
        <v>螺纹钢</v>
      </c>
      <c r="F4964" s="113" t="s">
        <v>33</v>
      </c>
      <c r="G4964" s="114">
        <v>12.5</v>
      </c>
      <c r="H4964" s="127">
        <f>IF(SUMIFS('[1]2025年已发货'!$E:$E,'[1]2025年已发货'!$F:$F,C4964,'[1]2025年已发货'!$C:$C,F4964,'[1]2025年已发货'!$G:$G,I4964,'[1]2025年已发货'!$H:$H,J4964)=0,"未发货",SUMIFS('[1]2025年已发货'!$E:$E,'[1]2025年已发货'!$F:$F,C4964,'[1]2025年已发货'!$C:$C,F4964,'[1]2025年已发货'!$G:$G,I4964,'[1]2025年已发货'!$H:$H,J4964))</f>
        <v>12.5</v>
      </c>
      <c r="I4964" s="149" t="str">
        <f>VLOOKUP(B4964,辅助信息!E:I,3,FALSE)</f>
        <v>(五冶钢构龙泉东洪片区70亩住宅、商业及配套工程项目二标段)成都市龙泉驿外东洪路地铁2号线惠王陵地铁C口</v>
      </c>
      <c r="J4964" s="113" t="str">
        <f>VLOOKUP(B4964,辅助信息!E:I,4,FALSE)</f>
        <v>蒋嗣伟</v>
      </c>
      <c r="K4964" s="113">
        <f>VLOOKUP(J4964,辅助信息!H:I,2,FALSE)</f>
        <v>15014331252</v>
      </c>
      <c r="L4964" s="115">
        <f>VLOOKUP(B4964,辅助信息!E:J,6,FALSE)</f>
        <v>0</v>
      </c>
      <c r="M4964" s="84">
        <v>45953</v>
      </c>
      <c r="O4964" s="55">
        <f ca="1" t="shared" ref="O4964:O5027" si="238">IF(OR(M4964="",N4964&lt;&gt;""),"",MAX(M4964-TODAY(),0))</f>
        <v>0</v>
      </c>
      <c r="P4964" s="55">
        <f ca="1" t="shared" ref="P4964:P5027" si="239">IF(M4964="","",IF(N4964&lt;&gt;"",MAX(N4964-M4964,0),IF(TODAY()&gt;M4964,TODAY()-M4964,0)))</f>
        <v>4</v>
      </c>
      <c r="Q4964" s="22" t="str">
        <f>VLOOKUP(B4964,辅助信息!E:M,9,FALSE)</f>
        <v>ZTWM-CDGS-XS-2025-0156-五冶钢构-2025年九月第一批次钢筋采购合同(三圣乡项目)-中铁物贸成都公司</v>
      </c>
      <c r="R4964" s="22" t="str">
        <f>_xlfn._xlws.FILTER(辅助信息!D:D,辅助信息!E:E=B4964)</f>
        <v>五冶钢构龙泉东洪片区70亩住宅、商业及配套工程项目二标段</v>
      </c>
    </row>
    <row r="4965" hidden="1" spans="2:18">
      <c r="B4965" s="129" t="s">
        <v>228</v>
      </c>
      <c r="C4965" s="97">
        <v>45954</v>
      </c>
      <c r="D4965" s="113" t="str">
        <f>VLOOKUP(B4965,辅助信息!E:K,7,FALSE)</f>
        <v>JWDDCD2025092400190</v>
      </c>
      <c r="E4965" s="113" t="str">
        <f>VLOOKUP(F4965,辅助信息!A:B,2,FALSE)</f>
        <v>螺纹钢</v>
      </c>
      <c r="F4965" s="113" t="s">
        <v>28</v>
      </c>
      <c r="G4965" s="114">
        <v>15</v>
      </c>
      <c r="H4965" s="127">
        <f>IF(SUMIFS('[1]2025年已发货'!$E:$E,'[1]2025年已发货'!$F:$F,C4965,'[1]2025年已发货'!$C:$C,F4965,'[1]2025年已发货'!$G:$G,I4965,'[1]2025年已发货'!$H:$H,J4965)=0,"未发货",SUMIFS('[1]2025年已发货'!$E:$E,'[1]2025年已发货'!$F:$F,C4965,'[1]2025年已发货'!$C:$C,F4965,'[1]2025年已发货'!$G:$G,I4965,'[1]2025年已发货'!$H:$H,J4965))</f>
        <v>15</v>
      </c>
      <c r="I4965" s="149" t="str">
        <f>VLOOKUP(B4965,辅助信息!E:I,3,FALSE)</f>
        <v>(五冶钢构龙泉东洪片区70亩住宅、商业及配套工程项目二标段)成都市龙泉驿外东洪路地铁2号线惠王陵地铁C口</v>
      </c>
      <c r="J4965" s="113" t="str">
        <f>VLOOKUP(B4965,辅助信息!E:I,4,FALSE)</f>
        <v>蒋嗣伟</v>
      </c>
      <c r="K4965" s="113">
        <f>VLOOKUP(J4965,辅助信息!H:I,2,FALSE)</f>
        <v>15014331252</v>
      </c>
      <c r="L4965" s="115">
        <f>VLOOKUP(B4965,辅助信息!E:J,6,FALSE)</f>
        <v>0</v>
      </c>
      <c r="M4965" s="84">
        <v>45953</v>
      </c>
      <c r="O4965" s="55">
        <f ca="1" t="shared" si="238"/>
        <v>0</v>
      </c>
      <c r="P4965" s="55">
        <f ca="1" t="shared" si="239"/>
        <v>4</v>
      </c>
      <c r="Q4965" s="22" t="str">
        <f>VLOOKUP(B4965,辅助信息!E:M,9,FALSE)</f>
        <v>ZTWM-CDGS-XS-2025-0156-五冶钢构-2025年九月第一批次钢筋采购合同(三圣乡项目)-中铁物贸成都公司</v>
      </c>
      <c r="R4965" s="22" t="str">
        <f>_xlfn._xlws.FILTER(辅助信息!D:D,辅助信息!E:E=B4965)</f>
        <v>五冶钢构龙泉东洪片区70亩住宅、商业及配套工程项目二标段</v>
      </c>
    </row>
    <row r="4966" hidden="1" spans="2:18">
      <c r="B4966" s="129" t="s">
        <v>228</v>
      </c>
      <c r="C4966" s="97">
        <v>45954</v>
      </c>
      <c r="D4966" s="113" t="str">
        <f>VLOOKUP(B4966,辅助信息!E:K,7,FALSE)</f>
        <v>JWDDCD2025092400190</v>
      </c>
      <c r="E4966" s="113" t="str">
        <f>VLOOKUP(F4966,辅助信息!A:B,2,FALSE)</f>
        <v>螺纹钢</v>
      </c>
      <c r="F4966" s="113" t="s">
        <v>18</v>
      </c>
      <c r="G4966" s="114">
        <v>15</v>
      </c>
      <c r="H4966" s="127">
        <f>IF(SUMIFS('[1]2025年已发货'!$E:$E,'[1]2025年已发货'!$F:$F,C4966,'[1]2025年已发货'!$C:$C,F4966,'[1]2025年已发货'!$G:$G,I4966,'[1]2025年已发货'!$H:$H,J4966)=0,"未发货",SUMIFS('[1]2025年已发货'!$E:$E,'[1]2025年已发货'!$F:$F,C4966,'[1]2025年已发货'!$C:$C,F4966,'[1]2025年已发货'!$G:$G,I4966,'[1]2025年已发货'!$H:$H,J4966))</f>
        <v>15</v>
      </c>
      <c r="I4966" s="149" t="str">
        <f>VLOOKUP(B4966,辅助信息!E:I,3,FALSE)</f>
        <v>(五冶钢构龙泉东洪片区70亩住宅、商业及配套工程项目二标段)成都市龙泉驿外东洪路地铁2号线惠王陵地铁C口</v>
      </c>
      <c r="J4966" s="113" t="str">
        <f>VLOOKUP(B4966,辅助信息!E:I,4,FALSE)</f>
        <v>蒋嗣伟</v>
      </c>
      <c r="K4966" s="113">
        <f>VLOOKUP(J4966,辅助信息!H:I,2,FALSE)</f>
        <v>15014331252</v>
      </c>
      <c r="L4966" s="115">
        <f>VLOOKUP(B4966,辅助信息!E:J,6,FALSE)</f>
        <v>0</v>
      </c>
      <c r="M4966" s="84">
        <v>45953</v>
      </c>
      <c r="O4966" s="55">
        <f ca="1" t="shared" si="238"/>
        <v>0</v>
      </c>
      <c r="P4966" s="55">
        <f ca="1" t="shared" si="239"/>
        <v>4</v>
      </c>
      <c r="Q4966" s="22" t="str">
        <f>VLOOKUP(B4966,辅助信息!E:M,9,FALSE)</f>
        <v>ZTWM-CDGS-XS-2025-0156-五冶钢构-2025年九月第一批次钢筋采购合同(三圣乡项目)-中铁物贸成都公司</v>
      </c>
      <c r="R4966" s="22" t="str">
        <f>_xlfn._xlws.FILTER(辅助信息!D:D,辅助信息!E:E=B4966)</f>
        <v>五冶钢构龙泉东洪片区70亩住宅、商业及配套工程项目二标段</v>
      </c>
    </row>
    <row r="4967" hidden="1" spans="2:18">
      <c r="B4967" s="128" t="s">
        <v>112</v>
      </c>
      <c r="C4967" s="97">
        <v>45954</v>
      </c>
      <c r="D4967" s="33" t="str">
        <f>VLOOKUP(B4967,辅助信息!E:K,7,FALSE)</f>
        <v>JWDDCD2025052800131</v>
      </c>
      <c r="E4967" s="33" t="str">
        <f>VLOOKUP(F4967,辅助信息!A:B,2,FALSE)</f>
        <v>盘螺</v>
      </c>
      <c r="F4967" s="33" t="s">
        <v>49</v>
      </c>
      <c r="G4967" s="29">
        <v>3</v>
      </c>
      <c r="H4967" s="127">
        <f>IF(SUMIFS('[1]2025年已发货'!$E:$E,'[1]2025年已发货'!$F:$F,C4967,'[1]2025年已发货'!$C:$C,F4967,'[1]2025年已发货'!$G:$G,I4967,'[1]2025年已发货'!$H:$H,J4967)=0,"未发货",SUMIFS('[1]2025年已发货'!$E:$E,'[1]2025年已发货'!$F:$F,C4967,'[1]2025年已发货'!$C:$C,F4967,'[1]2025年已发货'!$G:$G,I4967,'[1]2025年已发货'!$H:$H,J4967))</f>
        <v>2.5</v>
      </c>
      <c r="I4967" s="32" t="str">
        <f>VLOOKUP(B4967,辅助信息!E:I,3,FALSE)</f>
        <v>（商投建工达州中医药科技园-4工区-10号楼）达州市通川区达州中医药职业学院犀牛大道北段</v>
      </c>
      <c r="J4967" s="33" t="str">
        <f>VLOOKUP(B4967,辅助信息!E:I,4,FALSE)</f>
        <v>张扬</v>
      </c>
      <c r="K4967" s="33">
        <f>VLOOKUP(J4967,辅助信息!H:I,2,FALSE)</f>
        <v>18381904567</v>
      </c>
      <c r="L4967" s="102" t="str">
        <f>VLOOKUP(B4967,辅助信息!E:J,6,FALSE)</f>
        <v>控制炉批号！多了现场不收！,优先安排达钢,提前联系到场规格及数量</v>
      </c>
      <c r="M4967" s="84">
        <v>45954</v>
      </c>
      <c r="O4967" s="55">
        <f ca="1" t="shared" si="238"/>
        <v>0</v>
      </c>
      <c r="P4967" s="55">
        <f ca="1" t="shared" si="239"/>
        <v>3</v>
      </c>
      <c r="Q4967" s="22" t="str">
        <f>VLOOKUP(B4967,辅助信息!E:M,9,FALSE)</f>
        <v>ZTWM-CDGS-XS-2024-0134-商投建工达州中医药科技成果示范园项目</v>
      </c>
      <c r="R4967" s="22" t="str">
        <f>_xlfn._xlws.FILTER(辅助信息!D:D,辅助信息!E:E=B4967)</f>
        <v>商投建工达州中医药科技园</v>
      </c>
    </row>
    <row r="4968" hidden="1" spans="2:18">
      <c r="B4968" s="128" t="s">
        <v>112</v>
      </c>
      <c r="C4968" s="97">
        <v>45954</v>
      </c>
      <c r="D4968" s="33" t="str">
        <f>VLOOKUP(B4968,辅助信息!E:K,7,FALSE)</f>
        <v>JWDDCD2025052800131</v>
      </c>
      <c r="E4968" s="33" t="str">
        <f>VLOOKUP(F4968,辅助信息!A:B,2,FALSE)</f>
        <v>盘螺</v>
      </c>
      <c r="F4968" s="33" t="s">
        <v>40</v>
      </c>
      <c r="G4968" s="29">
        <v>45</v>
      </c>
      <c r="H4968" s="127">
        <f>IF(SUMIFS('[1]2025年已发货'!$E:$E,'[1]2025年已发货'!$F:$F,C4968,'[1]2025年已发货'!$C:$C,F4968,'[1]2025年已发货'!$G:$G,I4968,'[1]2025年已发货'!$H:$H,J4968)=0,"未发货",SUMIFS('[1]2025年已发货'!$E:$E,'[1]2025年已发货'!$F:$F,C4968,'[1]2025年已发货'!$C:$C,F4968,'[1]2025年已发货'!$G:$G,I4968,'[1]2025年已发货'!$H:$H,J4968))</f>
        <v>17.5</v>
      </c>
      <c r="I4968" s="32" t="str">
        <f>VLOOKUP(B4968,辅助信息!E:I,3,FALSE)</f>
        <v>（商投建工达州中医药科技园-4工区-10号楼）达州市通川区达州中医药职业学院犀牛大道北段</v>
      </c>
      <c r="J4968" s="33" t="str">
        <f>VLOOKUP(B4968,辅助信息!E:I,4,FALSE)</f>
        <v>张扬</v>
      </c>
      <c r="K4968" s="33">
        <f>VLOOKUP(J4968,辅助信息!H:I,2,FALSE)</f>
        <v>18381904567</v>
      </c>
      <c r="L4968" s="102" t="str">
        <f>VLOOKUP(B4968,辅助信息!E:J,6,FALSE)</f>
        <v>控制炉批号！多了现场不收！,优先安排达钢,提前联系到场规格及数量</v>
      </c>
      <c r="M4968" s="84">
        <v>45954</v>
      </c>
      <c r="O4968" s="55">
        <f ca="1" t="shared" si="238"/>
        <v>0</v>
      </c>
      <c r="P4968" s="55">
        <f ca="1" t="shared" si="239"/>
        <v>3</v>
      </c>
      <c r="Q4968" s="22" t="str">
        <f>VLOOKUP(B4968,辅助信息!E:M,9,FALSE)</f>
        <v>ZTWM-CDGS-XS-2024-0134-商投建工达州中医药科技成果示范园项目</v>
      </c>
      <c r="R4968" s="22" t="str">
        <f>_xlfn._xlws.FILTER(辅助信息!D:D,辅助信息!E:E=B4968)</f>
        <v>商投建工达州中医药科技园</v>
      </c>
    </row>
    <row r="4969" hidden="1" spans="2:18">
      <c r="B4969" s="128" t="s">
        <v>112</v>
      </c>
      <c r="C4969" s="97">
        <v>45954</v>
      </c>
      <c r="D4969" s="33" t="str">
        <f>VLOOKUP(B4969,辅助信息!E:K,7,FALSE)</f>
        <v>JWDDCD2025052800131</v>
      </c>
      <c r="E4969" s="33" t="str">
        <f>VLOOKUP(F4969,辅助信息!A:B,2,FALSE)</f>
        <v>螺纹钢</v>
      </c>
      <c r="F4969" s="33" t="s">
        <v>32</v>
      </c>
      <c r="G4969" s="29">
        <v>3</v>
      </c>
      <c r="H4969" s="127">
        <f>IF(SUMIFS('[1]2025年已发货'!$E:$E,'[1]2025年已发货'!$F:$F,C4969,'[1]2025年已发货'!$C:$C,F4969,'[1]2025年已发货'!$G:$G,I4969,'[1]2025年已发货'!$H:$H,J4969)=0,"未发货",SUMIFS('[1]2025年已发货'!$E:$E,'[1]2025年已发货'!$F:$F,C4969,'[1]2025年已发货'!$C:$C,F4969,'[1]2025年已发货'!$G:$G,I4969,'[1]2025年已发货'!$H:$H,J4969))</f>
        <v>2.5</v>
      </c>
      <c r="I4969" s="32" t="str">
        <f>VLOOKUP(B4969,辅助信息!E:I,3,FALSE)</f>
        <v>（商投建工达州中医药科技园-4工区-10号楼）达州市通川区达州中医药职业学院犀牛大道北段</v>
      </c>
      <c r="J4969" s="33" t="str">
        <f>VLOOKUP(B4969,辅助信息!E:I,4,FALSE)</f>
        <v>张扬</v>
      </c>
      <c r="K4969" s="33">
        <f>VLOOKUP(J4969,辅助信息!H:I,2,FALSE)</f>
        <v>18381904567</v>
      </c>
      <c r="L4969" s="102" t="str">
        <f>VLOOKUP(B4969,辅助信息!E:J,6,FALSE)</f>
        <v>控制炉批号！多了现场不收！,优先安排达钢,提前联系到场规格及数量</v>
      </c>
      <c r="M4969" s="84">
        <v>45954</v>
      </c>
      <c r="O4969" s="55">
        <f ca="1" t="shared" si="238"/>
        <v>0</v>
      </c>
      <c r="P4969" s="55">
        <f ca="1" t="shared" si="239"/>
        <v>3</v>
      </c>
      <c r="Q4969" s="22" t="str">
        <f>VLOOKUP(B4969,辅助信息!E:M,9,FALSE)</f>
        <v>ZTWM-CDGS-XS-2024-0134-商投建工达州中医药科技成果示范园项目</v>
      </c>
      <c r="R4969" s="22" t="str">
        <f>_xlfn._xlws.FILTER(辅助信息!D:D,辅助信息!E:E=B4969)</f>
        <v>商投建工达州中医药科技园</v>
      </c>
    </row>
    <row r="4970" hidden="1" spans="2:18">
      <c r="B4970" s="128" t="s">
        <v>112</v>
      </c>
      <c r="C4970" s="97">
        <v>45954</v>
      </c>
      <c r="D4970" s="33" t="str">
        <f>VLOOKUP(B4970,辅助信息!E:K,7,FALSE)</f>
        <v>JWDDCD2025052800131</v>
      </c>
      <c r="E4970" s="33" t="str">
        <f>VLOOKUP(F4970,辅助信息!A:B,2,FALSE)</f>
        <v>螺纹钢</v>
      </c>
      <c r="F4970" s="33" t="s">
        <v>21</v>
      </c>
      <c r="G4970" s="29">
        <v>6</v>
      </c>
      <c r="H4970" s="127">
        <f>IF(SUMIFS('[1]2025年已发货'!$E:$E,'[1]2025年已发货'!$F:$F,C4970,'[1]2025年已发货'!$C:$C,F4970,'[1]2025年已发货'!$G:$G,I4970,'[1]2025年已发货'!$H:$H,J4970)=0,"未发货",SUMIFS('[1]2025年已发货'!$E:$E,'[1]2025年已发货'!$F:$F,C4970,'[1]2025年已发货'!$C:$C,F4970,'[1]2025年已发货'!$G:$G,I4970,'[1]2025年已发货'!$H:$H,J4970))</f>
        <v>5</v>
      </c>
      <c r="I4970" s="32" t="str">
        <f>VLOOKUP(B4970,辅助信息!E:I,3,FALSE)</f>
        <v>（商投建工达州中医药科技园-4工区-10号楼）达州市通川区达州中医药职业学院犀牛大道北段</v>
      </c>
      <c r="J4970" s="33" t="str">
        <f>VLOOKUP(B4970,辅助信息!E:I,4,FALSE)</f>
        <v>张扬</v>
      </c>
      <c r="K4970" s="33">
        <f>VLOOKUP(J4970,辅助信息!H:I,2,FALSE)</f>
        <v>18381904567</v>
      </c>
      <c r="L4970" s="102" t="str">
        <f>VLOOKUP(B4970,辅助信息!E:J,6,FALSE)</f>
        <v>控制炉批号！多了现场不收！,优先安排达钢,提前联系到场规格及数量</v>
      </c>
      <c r="M4970" s="84">
        <v>45954</v>
      </c>
      <c r="O4970" s="55">
        <f ca="1" t="shared" si="238"/>
        <v>0</v>
      </c>
      <c r="P4970" s="55">
        <f ca="1" t="shared" si="239"/>
        <v>3</v>
      </c>
      <c r="Q4970" s="22" t="str">
        <f>VLOOKUP(B4970,辅助信息!E:M,9,FALSE)</f>
        <v>ZTWM-CDGS-XS-2024-0134-商投建工达州中医药科技成果示范园项目</v>
      </c>
      <c r="R4970" s="22" t="str">
        <f>_xlfn._xlws.FILTER(辅助信息!D:D,辅助信息!E:E=B4970)</f>
        <v>商投建工达州中医药科技园</v>
      </c>
    </row>
    <row r="4971" hidden="1" spans="2:18">
      <c r="B4971" s="128" t="s">
        <v>112</v>
      </c>
      <c r="C4971" s="97">
        <v>45954</v>
      </c>
      <c r="D4971" s="33" t="str">
        <f>VLOOKUP(B4971,辅助信息!E:K,7,FALSE)</f>
        <v>JWDDCD2025052800131</v>
      </c>
      <c r="E4971" s="33" t="str">
        <f>VLOOKUP(F4971,辅助信息!A:B,2,FALSE)</f>
        <v>螺纹钢</v>
      </c>
      <c r="F4971" s="33" t="s">
        <v>58</v>
      </c>
      <c r="G4971" s="29">
        <v>6</v>
      </c>
      <c r="H4971" s="127">
        <f>IF(SUMIFS('[1]2025年已发货'!$E:$E,'[1]2025年已发货'!$F:$F,C4971,'[1]2025年已发货'!$C:$C,F4971,'[1]2025年已发货'!$G:$G,I4971,'[1]2025年已发货'!$H:$H,J4971)=0,"未发货",SUMIFS('[1]2025年已发货'!$E:$E,'[1]2025年已发货'!$F:$F,C4971,'[1]2025年已发货'!$C:$C,F4971,'[1]2025年已发货'!$G:$G,I4971,'[1]2025年已发货'!$H:$H,J4971))</f>
        <v>5</v>
      </c>
      <c r="I4971" s="32" t="str">
        <f>VLOOKUP(B4971,辅助信息!E:I,3,FALSE)</f>
        <v>（商投建工达州中医药科技园-4工区-10号楼）达州市通川区达州中医药职业学院犀牛大道北段</v>
      </c>
      <c r="J4971" s="33" t="str">
        <f>VLOOKUP(B4971,辅助信息!E:I,4,FALSE)</f>
        <v>张扬</v>
      </c>
      <c r="K4971" s="33">
        <f>VLOOKUP(J4971,辅助信息!H:I,2,FALSE)</f>
        <v>18381904567</v>
      </c>
      <c r="L4971" s="102" t="str">
        <f>VLOOKUP(B4971,辅助信息!E:J,6,FALSE)</f>
        <v>控制炉批号！多了现场不收！,优先安排达钢,提前联系到场规格及数量</v>
      </c>
      <c r="M4971" s="84">
        <v>45954</v>
      </c>
      <c r="O4971" s="55">
        <f ca="1" t="shared" si="238"/>
        <v>0</v>
      </c>
      <c r="P4971" s="55">
        <f ca="1" t="shared" si="239"/>
        <v>3</v>
      </c>
      <c r="Q4971" s="22" t="str">
        <f>VLOOKUP(B4971,辅助信息!E:M,9,FALSE)</f>
        <v>ZTWM-CDGS-XS-2024-0134-商投建工达州中医药科技成果示范园项目</v>
      </c>
      <c r="R4971" s="22" t="str">
        <f>_xlfn._xlws.FILTER(辅助信息!D:D,辅助信息!E:E=B4971)</f>
        <v>商投建工达州中医药科技园</v>
      </c>
    </row>
    <row r="4972" hidden="1" spans="2:18">
      <c r="B4972" s="128" t="s">
        <v>112</v>
      </c>
      <c r="C4972" s="97">
        <v>45954</v>
      </c>
      <c r="D4972" s="33" t="str">
        <f>VLOOKUP(B4972,辅助信息!E:K,7,FALSE)</f>
        <v>JWDDCD2025052800131</v>
      </c>
      <c r="E4972" s="33" t="str">
        <f>VLOOKUP(F4972,辅助信息!A:B,2,FALSE)</f>
        <v>螺纹钢</v>
      </c>
      <c r="F4972" s="33" t="s">
        <v>46</v>
      </c>
      <c r="G4972" s="29">
        <v>3</v>
      </c>
      <c r="H4972" s="127">
        <f>IF(SUMIFS('[1]2025年已发货'!$E:$E,'[1]2025年已发货'!$F:$F,C4972,'[1]2025年已发货'!$C:$C,F4972,'[1]2025年已发货'!$G:$G,I4972,'[1]2025年已发货'!$H:$H,J4972)=0,"未发货",SUMIFS('[1]2025年已发货'!$E:$E,'[1]2025年已发货'!$F:$F,C4972,'[1]2025年已发货'!$C:$C,F4972,'[1]2025年已发货'!$G:$G,I4972,'[1]2025年已发货'!$H:$H,J4972))</f>
        <v>2.5</v>
      </c>
      <c r="I4972" s="32" t="str">
        <f>VLOOKUP(B4972,辅助信息!E:I,3,FALSE)</f>
        <v>（商投建工达州中医药科技园-4工区-10号楼）达州市通川区达州中医药职业学院犀牛大道北段</v>
      </c>
      <c r="J4972" s="33" t="str">
        <f>VLOOKUP(B4972,辅助信息!E:I,4,FALSE)</f>
        <v>张扬</v>
      </c>
      <c r="K4972" s="33">
        <f>VLOOKUP(J4972,辅助信息!H:I,2,FALSE)</f>
        <v>18381904567</v>
      </c>
      <c r="L4972" s="102" t="str">
        <f>VLOOKUP(B4972,辅助信息!E:J,6,FALSE)</f>
        <v>控制炉批号！多了现场不收！,优先安排达钢,提前联系到场规格及数量</v>
      </c>
      <c r="M4972" s="84">
        <v>45954</v>
      </c>
      <c r="O4972" s="55">
        <f ca="1" t="shared" si="238"/>
        <v>0</v>
      </c>
      <c r="P4972" s="55">
        <f ca="1" t="shared" si="239"/>
        <v>3</v>
      </c>
      <c r="Q4972" s="22" t="str">
        <f>VLOOKUP(B4972,辅助信息!E:M,9,FALSE)</f>
        <v>ZTWM-CDGS-XS-2024-0134-商投建工达州中医药科技成果示范园项目</v>
      </c>
      <c r="R4972" s="22" t="str">
        <f>_xlfn._xlws.FILTER(辅助信息!D:D,辅助信息!E:E=B4972)</f>
        <v>商投建工达州中医药科技园</v>
      </c>
    </row>
    <row r="4973" hidden="1" spans="2:18">
      <c r="B4973" s="128" t="s">
        <v>81</v>
      </c>
      <c r="C4973" s="97">
        <v>45954</v>
      </c>
      <c r="D4973" s="33" t="str">
        <f>VLOOKUP(B4973,辅助信息!E:K,7,FALSE)</f>
        <v>JWDDCD2025060900080</v>
      </c>
      <c r="E4973" s="33" t="str">
        <f>VLOOKUP(F4973,辅助信息!A:B,2,FALSE)</f>
        <v>盘螺</v>
      </c>
      <c r="F4973" s="33" t="s">
        <v>40</v>
      </c>
      <c r="G4973" s="29">
        <v>8</v>
      </c>
      <c r="H4973" s="127">
        <f>IF(SUMIFS('[1]2025年已发货'!$E:$E,'[1]2025年已发货'!$F:$F,C4973,'[1]2025年已发货'!$C:$C,F4973,'[1]2025年已发货'!$G:$G,I4973,'[1]2025年已发货'!$H:$H,J4973)=0,"未发货",SUMIFS('[1]2025年已发货'!$E:$E,'[1]2025年已发货'!$F:$F,C4973,'[1]2025年已发货'!$C:$C,F4973,'[1]2025年已发货'!$G:$G,I4973,'[1]2025年已发货'!$H:$H,J4973))</f>
        <v>8</v>
      </c>
      <c r="I4973" s="32" t="str">
        <f>VLOOKUP(B4973,辅助信息!E:I,3,FALSE)</f>
        <v>（华西简阳西城嘉苑）四川省成都市简阳市简城街道高屋村</v>
      </c>
      <c r="J4973" s="33" t="str">
        <f>VLOOKUP(B4973,辅助信息!E:I,4,FALSE)</f>
        <v>张瀚镭</v>
      </c>
      <c r="K4973" s="33">
        <f>VLOOKUP(J4973,辅助信息!H:I,2,FALSE)</f>
        <v>15884666220</v>
      </c>
      <c r="L4973" s="102" t="str">
        <f>VLOOKUP(B4973,辅助信息!E:J,6,FALSE)</f>
        <v>现场禁止使用氢能源挂车！优先威钢发货,我方卸车,新老国标钢厂不加价可直发，因陕钢多次出现磅差，项目拒绝使用</v>
      </c>
      <c r="M4973" s="84" t="s">
        <v>242</v>
      </c>
      <c r="O4973" s="55" t="e">
        <f ca="1" t="shared" si="238"/>
        <v>#VALUE!</v>
      </c>
      <c r="P4973" s="55">
        <f ca="1" t="shared" si="239"/>
        <v>0</v>
      </c>
      <c r="Q4973" s="22" t="str">
        <f>VLOOKUP(B4973,辅助信息!E:M,9,FALSE)</f>
        <v>ZTWM-CDGS-XS-2024-0030-华西集采-简州大道</v>
      </c>
      <c r="R4973" s="22" t="str">
        <f>_xlfn._xlws.FILTER(辅助信息!D:D,辅助信息!E:E=B4973)</f>
        <v>华西简阳西城嘉苑</v>
      </c>
    </row>
    <row r="4974" hidden="1" spans="2:18">
      <c r="B4974" s="128" t="s">
        <v>81</v>
      </c>
      <c r="C4974" s="97">
        <v>45954</v>
      </c>
      <c r="D4974" s="33" t="str">
        <f>VLOOKUP(B4974,辅助信息!E:K,7,FALSE)</f>
        <v>JWDDCD2025060900080</v>
      </c>
      <c r="E4974" s="33" t="str">
        <f>VLOOKUP(F4974,辅助信息!A:B,2,FALSE)</f>
        <v>盘螺</v>
      </c>
      <c r="F4974" s="33" t="s">
        <v>41</v>
      </c>
      <c r="G4974" s="29">
        <v>60</v>
      </c>
      <c r="H4974" s="127">
        <f>IF(SUMIFS('[1]2025年已发货'!$E:$E,'[1]2025年已发货'!$F:$F,C4974,'[1]2025年已发货'!$C:$C,F4974,'[1]2025年已发货'!$G:$G,I4974,'[1]2025年已发货'!$H:$H,J4974)=0,"未发货",SUMIFS('[1]2025年已发货'!$E:$E,'[1]2025年已发货'!$F:$F,C4974,'[1]2025年已发货'!$C:$C,F4974,'[1]2025年已发货'!$G:$G,I4974,'[1]2025年已发货'!$H:$H,J4974))</f>
        <v>60</v>
      </c>
      <c r="I4974" s="32" t="str">
        <f>VLOOKUP(B4974,辅助信息!E:I,3,FALSE)</f>
        <v>（华西简阳西城嘉苑）四川省成都市简阳市简城街道高屋村</v>
      </c>
      <c r="J4974" s="33" t="str">
        <f>VLOOKUP(B4974,辅助信息!E:I,4,FALSE)</f>
        <v>张瀚镭</v>
      </c>
      <c r="K4974" s="33">
        <f>VLOOKUP(J4974,辅助信息!H:I,2,FALSE)</f>
        <v>15884666220</v>
      </c>
      <c r="L4974" s="102" t="str">
        <f>VLOOKUP(B4974,辅助信息!E:J,6,FALSE)</f>
        <v>现场禁止使用氢能源挂车！优先威钢发货,我方卸车,新老国标钢厂不加价可直发，因陕钢多次出现磅差，项目拒绝使用</v>
      </c>
      <c r="M4974" s="84">
        <v>45954</v>
      </c>
      <c r="O4974" s="55">
        <f ca="1" t="shared" si="238"/>
        <v>0</v>
      </c>
      <c r="P4974" s="55">
        <f ca="1" t="shared" si="239"/>
        <v>3</v>
      </c>
      <c r="Q4974" s="22" t="str">
        <f>VLOOKUP(B4974,辅助信息!E:M,9,FALSE)</f>
        <v>ZTWM-CDGS-XS-2024-0030-华西集采-简州大道</v>
      </c>
      <c r="R4974" s="22" t="str">
        <f>_xlfn._xlws.FILTER(辅助信息!D:D,辅助信息!E:E=B4974)</f>
        <v>华西简阳西城嘉苑</v>
      </c>
    </row>
    <row r="4975" hidden="1" spans="2:18">
      <c r="B4975" s="128" t="s">
        <v>81</v>
      </c>
      <c r="C4975" s="97">
        <v>45954</v>
      </c>
      <c r="D4975" s="33" t="str">
        <f>VLOOKUP(B4975,辅助信息!E:K,7,FALSE)</f>
        <v>JWDDCD2025060900080</v>
      </c>
      <c r="E4975" s="33" t="str">
        <f>VLOOKUP(F4975,辅助信息!A:B,2,FALSE)</f>
        <v>盘螺</v>
      </c>
      <c r="F4975" s="33" t="s">
        <v>26</v>
      </c>
      <c r="G4975" s="29">
        <v>5</v>
      </c>
      <c r="H4975" s="127"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2" t="str">
        <f>VLOOKUP(B4975,辅助信息!E:I,3,FALSE)</f>
        <v>（华西简阳西城嘉苑）四川省成都市简阳市简城街道高屋村</v>
      </c>
      <c r="J4975" s="33" t="str">
        <f>VLOOKUP(B4975,辅助信息!E:I,4,FALSE)</f>
        <v>张瀚镭</v>
      </c>
      <c r="K4975" s="33">
        <f>VLOOKUP(J4975,辅助信息!H:I,2,FALSE)</f>
        <v>15884666220</v>
      </c>
      <c r="L4975" s="102" t="str">
        <f>VLOOKUP(B4975,辅助信息!E:J,6,FALSE)</f>
        <v>现场禁止使用氢能源挂车！优先威钢发货,我方卸车,新老国标钢厂不加价可直发，因陕钢多次出现磅差，项目拒绝使用</v>
      </c>
      <c r="M4975" s="84">
        <v>45954</v>
      </c>
      <c r="O4975" s="55">
        <f ca="1" t="shared" si="238"/>
        <v>0</v>
      </c>
      <c r="P4975" s="55">
        <f ca="1" t="shared" si="239"/>
        <v>3</v>
      </c>
      <c r="Q4975" s="22" t="str">
        <f>VLOOKUP(B4975,辅助信息!E:M,9,FALSE)</f>
        <v>ZTWM-CDGS-XS-2024-0030-华西集采-简州大道</v>
      </c>
      <c r="R4975" s="22" t="str">
        <f>_xlfn._xlws.FILTER(辅助信息!D:D,辅助信息!E:E=B4975)</f>
        <v>华西简阳西城嘉苑</v>
      </c>
    </row>
    <row r="4976" hidden="1" spans="2:18">
      <c r="B4976" s="128" t="s">
        <v>81</v>
      </c>
      <c r="C4976" s="97">
        <v>45954</v>
      </c>
      <c r="D4976" s="33" t="str">
        <f>VLOOKUP(B4976,辅助信息!E:K,7,FALSE)</f>
        <v>JWDDCD2025060900080</v>
      </c>
      <c r="E4976" s="33" t="str">
        <f>VLOOKUP(F4976,辅助信息!A:B,2,FALSE)</f>
        <v>螺纹钢</v>
      </c>
      <c r="F4976" s="33" t="s">
        <v>32</v>
      </c>
      <c r="G4976" s="29">
        <v>15</v>
      </c>
      <c r="H4976" s="127">
        <f>IF(SUMIFS('[1]2025年已发货'!$E:$E,'[1]2025年已发货'!$F:$F,C4976,'[1]2025年已发货'!$C:$C,F4976,'[1]2025年已发货'!$G:$G,I4976,'[1]2025年已发货'!$H:$H,J4976)=0,"未发货",SUMIFS('[1]2025年已发货'!$E:$E,'[1]2025年已发货'!$F:$F,C4976,'[1]2025年已发货'!$C:$C,F4976,'[1]2025年已发货'!$G:$G,I4976,'[1]2025年已发货'!$H:$H,J4976))</f>
        <v>15</v>
      </c>
      <c r="I4976" s="32" t="str">
        <f>VLOOKUP(B4976,辅助信息!E:I,3,FALSE)</f>
        <v>（华西简阳西城嘉苑）四川省成都市简阳市简城街道高屋村</v>
      </c>
      <c r="J4976" s="33" t="str">
        <f>VLOOKUP(B4976,辅助信息!E:I,4,FALSE)</f>
        <v>张瀚镭</v>
      </c>
      <c r="K4976" s="33">
        <f>VLOOKUP(J4976,辅助信息!H:I,2,FALSE)</f>
        <v>15884666220</v>
      </c>
      <c r="L4976" s="102" t="str">
        <f>VLOOKUP(B4976,辅助信息!E:J,6,FALSE)</f>
        <v>现场禁止使用氢能源挂车！优先威钢发货,我方卸车,新老国标钢厂不加价可直发，因陕钢多次出现磅差，项目拒绝使用</v>
      </c>
      <c r="M4976" s="84">
        <v>45954</v>
      </c>
      <c r="O4976" s="55">
        <f ca="1" t="shared" si="238"/>
        <v>0</v>
      </c>
      <c r="P4976" s="55">
        <f ca="1" t="shared" si="239"/>
        <v>3</v>
      </c>
      <c r="Q4976" s="22" t="str">
        <f>VLOOKUP(B4976,辅助信息!E:M,9,FALSE)</f>
        <v>ZTWM-CDGS-XS-2024-0030-华西集采-简州大道</v>
      </c>
      <c r="R4976" s="22" t="str">
        <f>_xlfn._xlws.FILTER(辅助信息!D:D,辅助信息!E:E=B4976)</f>
        <v>华西简阳西城嘉苑</v>
      </c>
    </row>
    <row r="4977" hidden="1" spans="2:18">
      <c r="B4977" s="128" t="s">
        <v>81</v>
      </c>
      <c r="C4977" s="97">
        <v>45954</v>
      </c>
      <c r="D4977" s="33" t="str">
        <f>VLOOKUP(B4977,辅助信息!E:K,7,FALSE)</f>
        <v>JWDDCD2025060900080</v>
      </c>
      <c r="E4977" s="33" t="str">
        <f>VLOOKUP(F4977,辅助信息!A:B,2,FALSE)</f>
        <v>螺纹钢</v>
      </c>
      <c r="F4977" s="33" t="s">
        <v>58</v>
      </c>
      <c r="G4977" s="29">
        <v>5</v>
      </c>
      <c r="H4977" s="127">
        <f>IF(SUMIFS('[1]2025年已发货'!$E:$E,'[1]2025年已发货'!$F:$F,C4977,'[1]2025年已发货'!$C:$C,F4977,'[1]2025年已发货'!$G:$G,I4977,'[1]2025年已发货'!$H:$H,J4977)=0,"未发货",SUMIFS('[1]2025年已发货'!$E:$E,'[1]2025年已发货'!$F:$F,C4977,'[1]2025年已发货'!$C:$C,F4977,'[1]2025年已发货'!$G:$G,I4977,'[1]2025年已发货'!$H:$H,J4977))</f>
        <v>5</v>
      </c>
      <c r="I4977" s="32" t="str">
        <f>VLOOKUP(B4977,辅助信息!E:I,3,FALSE)</f>
        <v>（华西简阳西城嘉苑）四川省成都市简阳市简城街道高屋村</v>
      </c>
      <c r="J4977" s="33" t="str">
        <f>VLOOKUP(B4977,辅助信息!E:I,4,FALSE)</f>
        <v>张瀚镭</v>
      </c>
      <c r="K4977" s="33">
        <f>VLOOKUP(J4977,辅助信息!H:I,2,FALSE)</f>
        <v>15884666220</v>
      </c>
      <c r="L4977" s="102" t="str">
        <f>VLOOKUP(B4977,辅助信息!E:J,6,FALSE)</f>
        <v>现场禁止使用氢能源挂车！优先威钢发货,我方卸车,新老国标钢厂不加价可直发，因陕钢多次出现磅差，项目拒绝使用</v>
      </c>
      <c r="M4977" s="84">
        <v>45954</v>
      </c>
      <c r="O4977" s="55">
        <f ca="1" t="shared" si="238"/>
        <v>0</v>
      </c>
      <c r="P4977" s="55">
        <f ca="1" t="shared" si="239"/>
        <v>3</v>
      </c>
      <c r="Q4977" s="22" t="str">
        <f>VLOOKUP(B4977,辅助信息!E:M,9,FALSE)</f>
        <v>ZTWM-CDGS-XS-2024-0030-华西集采-简州大道</v>
      </c>
      <c r="R4977" s="22" t="str">
        <f>_xlfn._xlws.FILTER(辅助信息!D:D,辅助信息!E:E=B4977)</f>
        <v>华西简阳西城嘉苑</v>
      </c>
    </row>
    <row r="4978" hidden="1" spans="2:18">
      <c r="B4978" s="128" t="s">
        <v>81</v>
      </c>
      <c r="C4978" s="97">
        <v>45954</v>
      </c>
      <c r="D4978" s="33" t="str">
        <f>VLOOKUP(B4978,辅助信息!E:K,7,FALSE)</f>
        <v>JWDDCD2025060900080</v>
      </c>
      <c r="E4978" s="33" t="str">
        <f>VLOOKUP(F4978,辅助信息!A:B,2,FALSE)</f>
        <v>螺纹钢</v>
      </c>
      <c r="F4978" s="33" t="s">
        <v>22</v>
      </c>
      <c r="G4978" s="29">
        <v>14</v>
      </c>
      <c r="H4978" s="127">
        <f>IF(SUMIFS('[1]2025年已发货'!$E:$E,'[1]2025年已发货'!$F:$F,C4978,'[1]2025年已发货'!$C:$C,F4978,'[1]2025年已发货'!$G:$G,I4978,'[1]2025年已发货'!$H:$H,J4978)=0,"未发货",SUMIFS('[1]2025年已发货'!$E:$E,'[1]2025年已发货'!$F:$F,C4978,'[1]2025年已发货'!$C:$C,F4978,'[1]2025年已发货'!$G:$G,I4978,'[1]2025年已发货'!$H:$H,J4978))</f>
        <v>14</v>
      </c>
      <c r="I4978" s="32" t="str">
        <f>VLOOKUP(B4978,辅助信息!E:I,3,FALSE)</f>
        <v>（华西简阳西城嘉苑）四川省成都市简阳市简城街道高屋村</v>
      </c>
      <c r="J4978" s="33" t="str">
        <f>VLOOKUP(B4978,辅助信息!E:I,4,FALSE)</f>
        <v>张瀚镭</v>
      </c>
      <c r="K4978" s="33">
        <f>VLOOKUP(J4978,辅助信息!H:I,2,FALSE)</f>
        <v>15884666220</v>
      </c>
      <c r="L4978" s="102" t="str">
        <f>VLOOKUP(B4978,辅助信息!E:J,6,FALSE)</f>
        <v>现场禁止使用氢能源挂车！优先威钢发货,我方卸车,新老国标钢厂不加价可直发，因陕钢多次出现磅差，项目拒绝使用</v>
      </c>
      <c r="M4978" s="84">
        <v>45954</v>
      </c>
      <c r="O4978" s="55">
        <f ca="1" t="shared" si="238"/>
        <v>0</v>
      </c>
      <c r="P4978" s="55">
        <f ca="1" t="shared" si="239"/>
        <v>3</v>
      </c>
      <c r="Q4978" s="22" t="str">
        <f>VLOOKUP(B4978,辅助信息!E:M,9,FALSE)</f>
        <v>ZTWM-CDGS-XS-2024-0030-华西集采-简州大道</v>
      </c>
      <c r="R4978" s="22" t="str">
        <f>_xlfn._xlws.FILTER(辅助信息!D:D,辅助信息!E:E=B4978)</f>
        <v>华西简阳西城嘉苑</v>
      </c>
    </row>
    <row r="4979" hidden="1" spans="2:18">
      <c r="B4979" s="128" t="s">
        <v>68</v>
      </c>
      <c r="C4979" s="97">
        <v>45954</v>
      </c>
      <c r="D4979" s="33" t="str">
        <f>VLOOKUP(B4979,辅助信息!E:K,7,FALSE)</f>
        <v>JWDDCD2025052800131</v>
      </c>
      <c r="E4979" s="33" t="str">
        <f>VLOOKUP(F4979,辅助信息!A:B,2,FALSE)</f>
        <v>螺纹钢</v>
      </c>
      <c r="F4979" s="33" t="s">
        <v>30</v>
      </c>
      <c r="G4979" s="29">
        <v>12</v>
      </c>
      <c r="H4979" s="127"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2" t="str">
        <f>VLOOKUP(B4979,辅助信息!E:I,3,FALSE)</f>
        <v>（商投建工达州中医药科技园-2工区-景观桥）达州市通川区达州中医药职业学院犀牛大道北段</v>
      </c>
      <c r="J4979" s="33" t="str">
        <f>VLOOKUP(B4979,辅助信息!E:I,4,FALSE)</f>
        <v>李波</v>
      </c>
      <c r="K4979" s="33">
        <f>VLOOKUP(J4979,辅助信息!H:I,2,FALSE)</f>
        <v>18381899787</v>
      </c>
      <c r="L4979" s="102" t="str">
        <f>VLOOKUP(B4979,辅助信息!E:J,6,FALSE)</f>
        <v>控制炉批号！多了现场不收！,优先安排达钢,提前联系到场规格及数量</v>
      </c>
      <c r="M4979" s="84">
        <v>45954</v>
      </c>
      <c r="O4979" s="55">
        <f ca="1" t="shared" si="238"/>
        <v>0</v>
      </c>
      <c r="P4979" s="55">
        <f ca="1" t="shared" si="239"/>
        <v>3</v>
      </c>
      <c r="Q4979" s="22" t="str">
        <f>VLOOKUP(B4979,辅助信息!E:M,9,FALSE)</f>
        <v>ZTWM-CDGS-XS-2024-0134-商投建工达州中医药科技成果示范园项目</v>
      </c>
      <c r="R4979" s="22" t="str">
        <f>_xlfn._xlws.FILTER(辅助信息!D:D,辅助信息!E:E=B4979)</f>
        <v>商投建工达州中医药科技园</v>
      </c>
    </row>
    <row r="4980" hidden="1" spans="2:18">
      <c r="B4980" s="128" t="s">
        <v>68</v>
      </c>
      <c r="C4980" s="97">
        <v>45954</v>
      </c>
      <c r="D4980" s="33" t="str">
        <f>VLOOKUP(B4980,辅助信息!E:K,7,FALSE)</f>
        <v>JWDDCD2025052800131</v>
      </c>
      <c r="E4980" s="33" t="str">
        <f>VLOOKUP(F4980,辅助信息!A:B,2,FALSE)</f>
        <v>螺纹钢</v>
      </c>
      <c r="F4980" s="33" t="s">
        <v>21</v>
      </c>
      <c r="G4980" s="29">
        <v>15</v>
      </c>
      <c r="H4980" s="127"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2" t="str">
        <f>VLOOKUP(B4980,辅助信息!E:I,3,FALSE)</f>
        <v>（商投建工达州中医药科技园-2工区-景观桥）达州市通川区达州中医药职业学院犀牛大道北段</v>
      </c>
      <c r="J4980" s="33" t="str">
        <f>VLOOKUP(B4980,辅助信息!E:I,4,FALSE)</f>
        <v>李波</v>
      </c>
      <c r="K4980" s="33">
        <f>VLOOKUP(J4980,辅助信息!H:I,2,FALSE)</f>
        <v>18381899787</v>
      </c>
      <c r="L4980" s="102" t="str">
        <f>VLOOKUP(B4980,辅助信息!E:J,6,FALSE)</f>
        <v>控制炉批号！多了现场不收！,优先安排达钢,提前联系到场规格及数量</v>
      </c>
      <c r="M4980" s="84">
        <v>45954</v>
      </c>
      <c r="O4980" s="55">
        <f ca="1" t="shared" si="238"/>
        <v>0</v>
      </c>
      <c r="P4980" s="55">
        <f ca="1" t="shared" si="239"/>
        <v>3</v>
      </c>
      <c r="Q4980" s="22" t="str">
        <f>VLOOKUP(B4980,辅助信息!E:M,9,FALSE)</f>
        <v>ZTWM-CDGS-XS-2024-0134-商投建工达州中医药科技成果示范园项目</v>
      </c>
      <c r="R4980" s="22" t="str">
        <f>_xlfn._xlws.FILTER(辅助信息!D:D,辅助信息!E:E=B4980)</f>
        <v>商投建工达州中医药科技园</v>
      </c>
    </row>
    <row r="4981" hidden="1" spans="2:18">
      <c r="B4981" s="128" t="s">
        <v>68</v>
      </c>
      <c r="C4981" s="97">
        <v>45954</v>
      </c>
      <c r="D4981" s="33" t="str">
        <f>VLOOKUP(B4981,辅助信息!E:K,7,FALSE)</f>
        <v>JWDDCD2025052800131</v>
      </c>
      <c r="E4981" s="33" t="str">
        <f>VLOOKUP(F4981,辅助信息!A:B,2,FALSE)</f>
        <v>螺纹钢</v>
      </c>
      <c r="F4981" s="33" t="s">
        <v>58</v>
      </c>
      <c r="G4981" s="29">
        <v>3</v>
      </c>
      <c r="H4981" s="127"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2" t="str">
        <f>VLOOKUP(B4981,辅助信息!E:I,3,FALSE)</f>
        <v>（商投建工达州中医药科技园-2工区-景观桥）达州市通川区达州中医药职业学院犀牛大道北段</v>
      </c>
      <c r="J4981" s="33" t="str">
        <f>VLOOKUP(B4981,辅助信息!E:I,4,FALSE)</f>
        <v>李波</v>
      </c>
      <c r="K4981" s="33">
        <f>VLOOKUP(J4981,辅助信息!H:I,2,FALSE)</f>
        <v>18381899787</v>
      </c>
      <c r="L4981" s="102" t="str">
        <f>VLOOKUP(B4981,辅助信息!E:J,6,FALSE)</f>
        <v>控制炉批号！多了现场不收！,优先安排达钢,提前联系到场规格及数量</v>
      </c>
      <c r="M4981" s="84">
        <v>45954</v>
      </c>
      <c r="O4981" s="55">
        <f ca="1" t="shared" si="238"/>
        <v>0</v>
      </c>
      <c r="P4981" s="55">
        <f ca="1" t="shared" si="239"/>
        <v>3</v>
      </c>
      <c r="Q4981" s="22" t="str">
        <f>VLOOKUP(B4981,辅助信息!E:M,9,FALSE)</f>
        <v>ZTWM-CDGS-XS-2024-0134-商投建工达州中医药科技成果示范园项目</v>
      </c>
      <c r="R4981" s="22" t="str">
        <f>_xlfn._xlws.FILTER(辅助信息!D:D,辅助信息!E:E=B4981)</f>
        <v>商投建工达州中医药科技园</v>
      </c>
    </row>
    <row r="4982" hidden="1" spans="2:18">
      <c r="B4982" s="128" t="s">
        <v>167</v>
      </c>
      <c r="C4982" s="97">
        <v>45954</v>
      </c>
      <c r="D4982" s="33" t="str">
        <f>VLOOKUP(B4982,辅助信息!E:K,7,FALSE)</f>
        <v>JWDDCD2025102100473</v>
      </c>
      <c r="E4982" s="33" t="str">
        <f>VLOOKUP(F4982,辅助信息!A:B,2,FALSE)</f>
        <v>盘螺</v>
      </c>
      <c r="F4982" s="33" t="s">
        <v>40</v>
      </c>
      <c r="G4982" s="29">
        <v>8</v>
      </c>
      <c r="H4982" s="127"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2" t="str">
        <f>VLOOKUP(B4982,辅助信息!E:I,3,FALSE)</f>
        <v>(五冶建设扩建艺体中学二期工程)四川省成都市双流区光荣路成都艺体中学南200米</v>
      </c>
      <c r="J4982" s="33" t="str">
        <f>VLOOKUP(B4982,辅助信息!E:I,4,FALSE)</f>
        <v>谢序强</v>
      </c>
      <c r="K4982" s="33">
        <f>VLOOKUP(J4982,辅助信息!H:I,2,FALSE)</f>
        <v>13458588232</v>
      </c>
      <c r="L4982" s="102"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55" t="str">
        <f ca="1" t="shared" si="238"/>
        <v/>
      </c>
      <c r="P4982" s="55" t="str">
        <f ca="1" t="shared" si="239"/>
        <v/>
      </c>
      <c r="Q4982" s="22" t="str">
        <f>VLOOKUP(B4982,辅助信息!E:M,9,FALSE)</f>
        <v>ZTWM-CDGS-XS-2025-0073-五冶天府-成都怡心湖片区及龙泉驿医院等项目</v>
      </c>
      <c r="R4982" s="22" t="str">
        <f>_xlfn._xlws.FILTER(辅助信息!D:D,辅助信息!E:E=B4982)</f>
        <v>五冶建设扩建艺体中学二期工程</v>
      </c>
    </row>
    <row r="4983" hidden="1" spans="2:18">
      <c r="B4983" s="128" t="s">
        <v>167</v>
      </c>
      <c r="C4983" s="97">
        <v>45954</v>
      </c>
      <c r="D4983" s="33" t="str">
        <f>VLOOKUP(B4983,辅助信息!E:K,7,FALSE)</f>
        <v>JWDDCD2025102100473</v>
      </c>
      <c r="E4983" s="33" t="str">
        <f>VLOOKUP(F4983,辅助信息!A:B,2,FALSE)</f>
        <v>盘螺</v>
      </c>
      <c r="F4983" s="33" t="s">
        <v>41</v>
      </c>
      <c r="G4983" s="29">
        <v>8</v>
      </c>
      <c r="H4983" s="127"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2" t="str">
        <f>VLOOKUP(B4983,辅助信息!E:I,3,FALSE)</f>
        <v>(五冶建设扩建艺体中学二期工程)四川省成都市双流区光荣路成都艺体中学南200米</v>
      </c>
      <c r="J4983" s="33" t="str">
        <f>VLOOKUP(B4983,辅助信息!E:I,4,FALSE)</f>
        <v>谢序强</v>
      </c>
      <c r="K4983" s="33">
        <f>VLOOKUP(J4983,辅助信息!H:I,2,FALSE)</f>
        <v>13458588232</v>
      </c>
      <c r="L4983" s="102"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55" t="str">
        <f ca="1" t="shared" si="238"/>
        <v/>
      </c>
      <c r="P4983" s="55" t="str">
        <f ca="1" t="shared" si="239"/>
        <v/>
      </c>
      <c r="Q4983" s="22" t="str">
        <f>VLOOKUP(B4983,辅助信息!E:M,9,FALSE)</f>
        <v>ZTWM-CDGS-XS-2025-0073-五冶天府-成都怡心湖片区及龙泉驿医院等项目</v>
      </c>
      <c r="R4983" s="22" t="str">
        <f>_xlfn._xlws.FILTER(辅助信息!D:D,辅助信息!E:E=B4983)</f>
        <v>五冶建设扩建艺体中学二期工程</v>
      </c>
    </row>
    <row r="4984" hidden="1" spans="2:18">
      <c r="B4984" s="128" t="s">
        <v>167</v>
      </c>
      <c r="C4984" s="97">
        <v>45954</v>
      </c>
      <c r="D4984" s="33" t="str">
        <f>VLOOKUP(B4984,辅助信息!E:K,7,FALSE)</f>
        <v>JWDDCD2025102100473</v>
      </c>
      <c r="E4984" s="33" t="str">
        <f>VLOOKUP(F4984,辅助信息!A:B,2,FALSE)</f>
        <v>螺纹钢</v>
      </c>
      <c r="F4984" s="33" t="s">
        <v>27</v>
      </c>
      <c r="G4984" s="29">
        <v>66</v>
      </c>
      <c r="H4984" s="127">
        <f>IF(SUMIFS('[1]2025年已发货'!$E:$E,'[1]2025年已发货'!$F:$F,C4984,'[1]2025年已发货'!$C:$C,F4984,'[1]2025年已发货'!$G:$G,I4984,'[1]2025年已发货'!$H:$H,J4984)=0,"未发货",SUMIFS('[1]2025年已发货'!$E:$E,'[1]2025年已发货'!$F:$F,C4984,'[1]2025年已发货'!$C:$C,F4984,'[1]2025年已发货'!$G:$G,I4984,'[1]2025年已发货'!$H:$H,J4984))</f>
        <v>35</v>
      </c>
      <c r="I4984" s="32" t="str">
        <f>VLOOKUP(B4984,辅助信息!E:I,3,FALSE)</f>
        <v>(五冶建设扩建艺体中学二期工程)四川省成都市双流区光荣路成都艺体中学南200米</v>
      </c>
      <c r="J4984" s="33" t="str">
        <f>VLOOKUP(B4984,辅助信息!E:I,4,FALSE)</f>
        <v>谢序强</v>
      </c>
      <c r="K4984" s="33">
        <f>VLOOKUP(J4984,辅助信息!H:I,2,FALSE)</f>
        <v>13458588232</v>
      </c>
      <c r="L4984" s="102"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55" t="str">
        <f ca="1" t="shared" si="238"/>
        <v/>
      </c>
      <c r="P4984" s="55" t="str">
        <f ca="1" t="shared" si="239"/>
        <v/>
      </c>
      <c r="Q4984" s="22" t="str">
        <f>VLOOKUP(B4984,辅助信息!E:M,9,FALSE)</f>
        <v>ZTWM-CDGS-XS-2025-0073-五冶天府-成都怡心湖片区及龙泉驿医院等项目</v>
      </c>
      <c r="R4984" s="22" t="str">
        <f>_xlfn._xlws.FILTER(辅助信息!D:D,辅助信息!E:E=B4984)</f>
        <v>五冶建设扩建艺体中学二期工程</v>
      </c>
    </row>
    <row r="4985" hidden="1" spans="2:18">
      <c r="B4985" s="128" t="s">
        <v>167</v>
      </c>
      <c r="C4985" s="97">
        <v>45954</v>
      </c>
      <c r="D4985" s="33" t="str">
        <f>VLOOKUP(B4985,辅助信息!E:K,7,FALSE)</f>
        <v>JWDDCD2025102100473</v>
      </c>
      <c r="E4985" s="33" t="str">
        <f>VLOOKUP(F4985,辅助信息!A:B,2,FALSE)</f>
        <v>螺纹钢</v>
      </c>
      <c r="F4985" s="33" t="s">
        <v>30</v>
      </c>
      <c r="G4985" s="29">
        <v>3</v>
      </c>
      <c r="H4985" s="127"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2" t="str">
        <f>VLOOKUP(B4985,辅助信息!E:I,3,FALSE)</f>
        <v>(五冶建设扩建艺体中学二期工程)四川省成都市双流区光荣路成都艺体中学南200米</v>
      </c>
      <c r="J4985" s="33" t="str">
        <f>VLOOKUP(B4985,辅助信息!E:I,4,FALSE)</f>
        <v>谢序强</v>
      </c>
      <c r="K4985" s="33">
        <f>VLOOKUP(J4985,辅助信息!H:I,2,FALSE)</f>
        <v>13458588232</v>
      </c>
      <c r="L4985" s="102"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55" t="str">
        <f ca="1" t="shared" si="238"/>
        <v/>
      </c>
      <c r="P4985" s="55" t="str">
        <f ca="1" t="shared" si="239"/>
        <v/>
      </c>
      <c r="Q4985" s="22" t="str">
        <f>VLOOKUP(B4985,辅助信息!E:M,9,FALSE)</f>
        <v>ZTWM-CDGS-XS-2025-0073-五冶天府-成都怡心湖片区及龙泉驿医院等项目</v>
      </c>
      <c r="R4985" s="22" t="str">
        <f>_xlfn._xlws.FILTER(辅助信息!D:D,辅助信息!E:E=B4985)</f>
        <v>五冶建设扩建艺体中学二期工程</v>
      </c>
    </row>
    <row r="4986" hidden="1" spans="2:18">
      <c r="B4986" s="128" t="s">
        <v>167</v>
      </c>
      <c r="C4986" s="97">
        <v>45954</v>
      </c>
      <c r="D4986" s="33" t="str">
        <f>VLOOKUP(B4986,辅助信息!E:K,7,FALSE)</f>
        <v>JWDDCD2025102100473</v>
      </c>
      <c r="E4986" s="33" t="str">
        <f>VLOOKUP(F4986,辅助信息!A:B,2,FALSE)</f>
        <v>螺纹钢</v>
      </c>
      <c r="F4986" s="33" t="s">
        <v>66</v>
      </c>
      <c r="G4986" s="29">
        <v>6</v>
      </c>
      <c r="H4986" s="127"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2" t="str">
        <f>VLOOKUP(B4986,辅助信息!E:I,3,FALSE)</f>
        <v>(五冶建设扩建艺体中学二期工程)四川省成都市双流区光荣路成都艺体中学南200米</v>
      </c>
      <c r="J4986" s="33" t="str">
        <f>VLOOKUP(B4986,辅助信息!E:I,4,FALSE)</f>
        <v>谢序强</v>
      </c>
      <c r="K4986" s="33">
        <f>VLOOKUP(J4986,辅助信息!H:I,2,FALSE)</f>
        <v>13458588232</v>
      </c>
      <c r="L4986" s="102"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55" t="str">
        <f ca="1" t="shared" si="238"/>
        <v/>
      </c>
      <c r="P4986" s="55" t="str">
        <f ca="1" t="shared" si="239"/>
        <v/>
      </c>
      <c r="Q4986" s="22" t="str">
        <f>VLOOKUP(B4986,辅助信息!E:M,9,FALSE)</f>
        <v>ZTWM-CDGS-XS-2025-0073-五冶天府-成都怡心湖片区及龙泉驿医院等项目</v>
      </c>
      <c r="R4986" s="22" t="str">
        <f>_xlfn._xlws.FILTER(辅助信息!D:D,辅助信息!E:E=B4986)</f>
        <v>五冶建设扩建艺体中学二期工程</v>
      </c>
    </row>
    <row r="4987" hidden="1" spans="2:18">
      <c r="B4987" s="128" t="s">
        <v>167</v>
      </c>
      <c r="C4987" s="97">
        <v>45954</v>
      </c>
      <c r="D4987" s="33" t="str">
        <f>VLOOKUP(B4987,辅助信息!E:K,7,FALSE)</f>
        <v>JWDDCD2025102100473</v>
      </c>
      <c r="E4987" s="33" t="str">
        <f>VLOOKUP(F4987,辅助信息!A:B,2,FALSE)</f>
        <v>螺纹钢</v>
      </c>
      <c r="F4987" s="33" t="s">
        <v>82</v>
      </c>
      <c r="G4987" s="29">
        <v>3</v>
      </c>
      <c r="H4987" s="127"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2" t="str">
        <f>VLOOKUP(B4987,辅助信息!E:I,3,FALSE)</f>
        <v>(五冶建设扩建艺体中学二期工程)四川省成都市双流区光荣路成都艺体中学南200米</v>
      </c>
      <c r="J4987" s="33" t="str">
        <f>VLOOKUP(B4987,辅助信息!E:I,4,FALSE)</f>
        <v>谢序强</v>
      </c>
      <c r="K4987" s="33">
        <f>VLOOKUP(J4987,辅助信息!H:I,2,FALSE)</f>
        <v>13458588232</v>
      </c>
      <c r="L4987" s="102"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55" t="str">
        <f ca="1" t="shared" si="238"/>
        <v/>
      </c>
      <c r="P4987" s="55" t="str">
        <f ca="1" t="shared" si="239"/>
        <v/>
      </c>
      <c r="Q4987" s="22" t="str">
        <f>VLOOKUP(B4987,辅助信息!E:M,9,FALSE)</f>
        <v>ZTWM-CDGS-XS-2025-0073-五冶天府-成都怡心湖片区及龙泉驿医院等项目</v>
      </c>
      <c r="R4987" s="22" t="str">
        <f>_xlfn._xlws.FILTER(辅助信息!D:D,辅助信息!E:E=B4987)</f>
        <v>五冶建设扩建艺体中学二期工程</v>
      </c>
    </row>
    <row r="4988" hidden="1" spans="2:18">
      <c r="B4988" s="128" t="s">
        <v>167</v>
      </c>
      <c r="C4988" s="97">
        <v>45954</v>
      </c>
      <c r="D4988" s="33" t="str">
        <f>VLOOKUP(B4988,辅助信息!E:K,7,FALSE)</f>
        <v>JWDDCD2025102100473</v>
      </c>
      <c r="E4988" s="33" t="str">
        <f>VLOOKUP(F4988,辅助信息!A:B,2,FALSE)</f>
        <v>螺纹钢</v>
      </c>
      <c r="F4988" s="33" t="s">
        <v>45</v>
      </c>
      <c r="G4988" s="29">
        <v>6</v>
      </c>
      <c r="H4988" s="127"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2" t="str">
        <f>VLOOKUP(B4988,辅助信息!E:I,3,FALSE)</f>
        <v>(五冶建设扩建艺体中学二期工程)四川省成都市双流区光荣路成都艺体中学南200米</v>
      </c>
      <c r="J4988" s="33" t="str">
        <f>VLOOKUP(B4988,辅助信息!E:I,4,FALSE)</f>
        <v>谢序强</v>
      </c>
      <c r="K4988" s="33">
        <f>VLOOKUP(J4988,辅助信息!H:I,2,FALSE)</f>
        <v>13458588232</v>
      </c>
      <c r="L4988" s="102"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55" t="str">
        <f ca="1" t="shared" si="238"/>
        <v/>
      </c>
      <c r="P4988" s="55" t="str">
        <f ca="1" t="shared" si="239"/>
        <v/>
      </c>
      <c r="Q4988" s="22" t="str">
        <f>VLOOKUP(B4988,辅助信息!E:M,9,FALSE)</f>
        <v>ZTWM-CDGS-XS-2025-0073-五冶天府-成都怡心湖片区及龙泉驿医院等项目</v>
      </c>
      <c r="R4988" s="22" t="str">
        <f>_xlfn._xlws.FILTER(辅助信息!D:D,辅助信息!E:E=B4988)</f>
        <v>五冶建设扩建艺体中学二期工程</v>
      </c>
    </row>
    <row r="4989" hidden="1" spans="2:18">
      <c r="B4989" s="128" t="s">
        <v>167</v>
      </c>
      <c r="C4989" s="97">
        <v>45954</v>
      </c>
      <c r="D4989" s="33" t="str">
        <f>VLOOKUP(B4989,辅助信息!E:K,7,FALSE)</f>
        <v>JWDDCD2025102100473</v>
      </c>
      <c r="E4989" s="33" t="str">
        <f>VLOOKUP(F4989,辅助信息!A:B,2,FALSE)</f>
        <v>螺纹钢</v>
      </c>
      <c r="F4989" s="33" t="s">
        <v>22</v>
      </c>
      <c r="G4989" s="29">
        <v>40</v>
      </c>
      <c r="H4989" s="127"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2" t="str">
        <f>VLOOKUP(B4989,辅助信息!E:I,3,FALSE)</f>
        <v>(五冶建设扩建艺体中学二期工程)四川省成都市双流区光荣路成都艺体中学南200米</v>
      </c>
      <c r="J4989" s="33" t="str">
        <f>VLOOKUP(B4989,辅助信息!E:I,4,FALSE)</f>
        <v>谢序强</v>
      </c>
      <c r="K4989" s="33">
        <f>VLOOKUP(J4989,辅助信息!H:I,2,FALSE)</f>
        <v>13458588232</v>
      </c>
      <c r="L4989" s="102"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55" t="str">
        <f ca="1" t="shared" si="238"/>
        <v/>
      </c>
      <c r="P4989" s="55" t="str">
        <f ca="1" t="shared" si="239"/>
        <v/>
      </c>
      <c r="Q4989" s="22" t="str">
        <f>VLOOKUP(B4989,辅助信息!E:M,9,FALSE)</f>
        <v>ZTWM-CDGS-XS-2025-0073-五冶天府-成都怡心湖片区及龙泉驿医院等项目</v>
      </c>
      <c r="R4989" s="22" t="str">
        <f>_xlfn._xlws.FILTER(辅助信息!D:D,辅助信息!E:E=B4989)</f>
        <v>五冶建设扩建艺体中学二期工程</v>
      </c>
    </row>
    <row r="4990" hidden="1" spans="2:18">
      <c r="B4990" s="128" t="s">
        <v>240</v>
      </c>
      <c r="C4990" s="97">
        <v>45954</v>
      </c>
      <c r="D4990" s="33" t="str">
        <f>VLOOKUP(B4990,辅助信息!E:K,7,FALSE)</f>
        <v>JWDDCD2025092400204</v>
      </c>
      <c r="E4990" s="33" t="str">
        <f>VLOOKUP(F4990,辅助信息!A:B,2,FALSE)</f>
        <v>螺纹钢</v>
      </c>
      <c r="F4990" s="33" t="s">
        <v>32</v>
      </c>
      <c r="G4990" s="29">
        <v>30</v>
      </c>
      <c r="H4990" s="127"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2" t="str">
        <f>VLOOKUP(B4990,辅助信息!E:I,3,FALSE)</f>
        <v>(五冶钢构龙泉东洪片区70亩住宅、商业及配套工程项目三标段)成都市龙泉驿外东洪路地铁2号线惠王陵地铁C口</v>
      </c>
      <c r="J4990" s="33" t="str">
        <f>VLOOKUP(B4990,辅助信息!E:I,4,FALSE)</f>
        <v>蒋嗣伟</v>
      </c>
      <c r="K4990" s="33">
        <f>VLOOKUP(J4990,辅助信息!H:I,2,FALSE)</f>
        <v>15014331252</v>
      </c>
      <c r="L4990" s="102">
        <f>VLOOKUP(B4990,辅助信息!E:J,6,FALSE)</f>
        <v>0</v>
      </c>
      <c r="O4990" s="55" t="str">
        <f ca="1" t="shared" si="238"/>
        <v/>
      </c>
      <c r="P4990" s="55" t="str">
        <f ca="1" t="shared" si="239"/>
        <v/>
      </c>
      <c r="Q4990" s="22" t="str">
        <f>VLOOKUP(B4990,辅助信息!E:M,9,FALSE)</f>
        <v>ZTWM-CDGS-XS-2025-0156-五冶钢构-2025年九月第一批次钢筋采购合同(三圣乡项目)-中铁物贸成都公司</v>
      </c>
      <c r="R4990" s="22" t="str">
        <f>_xlfn._xlws.FILTER(辅助信息!D:D,辅助信息!E:E=B4990)</f>
        <v>五冶钢构龙泉东洪片区70亩住宅、商业及配套工程项目三标段</v>
      </c>
    </row>
    <row r="4991" hidden="1" spans="2:18">
      <c r="B4991" s="128" t="s">
        <v>240</v>
      </c>
      <c r="C4991" s="97">
        <v>45954</v>
      </c>
      <c r="D4991" s="33" t="str">
        <f>VLOOKUP(B4991,辅助信息!E:K,7,FALSE)</f>
        <v>JWDDCD2025092400204</v>
      </c>
      <c r="E4991" s="33" t="str">
        <f>VLOOKUP(F4991,辅助信息!A:B,2,FALSE)</f>
        <v>螺纹钢</v>
      </c>
      <c r="F4991" s="33" t="s">
        <v>30</v>
      </c>
      <c r="G4991" s="29">
        <v>6</v>
      </c>
      <c r="H4991" s="127"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2" t="str">
        <f>VLOOKUP(B4991,辅助信息!E:I,3,FALSE)</f>
        <v>(五冶钢构龙泉东洪片区70亩住宅、商业及配套工程项目三标段)成都市龙泉驿外东洪路地铁2号线惠王陵地铁C口</v>
      </c>
      <c r="J4991" s="33" t="str">
        <f>VLOOKUP(B4991,辅助信息!E:I,4,FALSE)</f>
        <v>蒋嗣伟</v>
      </c>
      <c r="K4991" s="33">
        <f>VLOOKUP(J4991,辅助信息!H:I,2,FALSE)</f>
        <v>15014331252</v>
      </c>
      <c r="L4991" s="102">
        <f>VLOOKUP(B4991,辅助信息!E:J,6,FALSE)</f>
        <v>0</v>
      </c>
      <c r="O4991" s="55" t="str">
        <f ca="1" t="shared" si="238"/>
        <v/>
      </c>
      <c r="P4991" s="55" t="str">
        <f ca="1" t="shared" si="239"/>
        <v/>
      </c>
      <c r="Q4991" s="22" t="str">
        <f>VLOOKUP(B4991,辅助信息!E:M,9,FALSE)</f>
        <v>ZTWM-CDGS-XS-2025-0156-五冶钢构-2025年九月第一批次钢筋采购合同(三圣乡项目)-中铁物贸成都公司</v>
      </c>
      <c r="R4991" s="22" t="str">
        <f>_xlfn._xlws.FILTER(辅助信息!D:D,辅助信息!E:E=B4991)</f>
        <v>五冶钢构龙泉东洪片区70亩住宅、商业及配套工程项目三标段</v>
      </c>
    </row>
    <row r="4992" hidden="1" spans="2:18">
      <c r="B4992" s="128" t="s">
        <v>225</v>
      </c>
      <c r="C4992" s="97">
        <v>45954</v>
      </c>
      <c r="D4992" s="33" t="str">
        <f>VLOOKUP(B4992,辅助信息!E:K,7,FALSE)</f>
        <v>JWDDCD2025092400210</v>
      </c>
      <c r="E4992" s="33" t="str">
        <f>VLOOKUP(F4992,辅助信息!A:B,2,FALSE)</f>
        <v>盘螺</v>
      </c>
      <c r="F4992" s="33" t="s">
        <v>40</v>
      </c>
      <c r="G4992" s="29">
        <v>35</v>
      </c>
      <c r="H4992" s="127"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2" t="str">
        <f>VLOOKUP(B4992,辅助信息!E:I,3,FALSE)</f>
        <v>(五冶钢构龙泉东洪片区85亩住宅、商业及配套工程项目一标段)成都市龙泉驿外东洪路地铁2号线惠王陵地铁C口</v>
      </c>
      <c r="J4992" s="33" t="str">
        <f>VLOOKUP(B4992,辅助信息!E:I,4,FALSE)</f>
        <v>岳工</v>
      </c>
      <c r="K4992" s="33">
        <f>VLOOKUP(J4992,辅助信息!H:I,2,FALSE)</f>
        <v>18599951655</v>
      </c>
      <c r="L4992" s="102">
        <f>VLOOKUP(B4992,辅助信息!E:J,6,FALSE)</f>
        <v>0</v>
      </c>
      <c r="O4992" s="55" t="str">
        <f ca="1" t="shared" si="238"/>
        <v/>
      </c>
      <c r="P4992" s="55" t="str">
        <f ca="1" t="shared" si="239"/>
        <v/>
      </c>
      <c r="Q4992" s="22" t="str">
        <f>VLOOKUP(B4992,辅助信息!E:M,9,FALSE)</f>
        <v>ZTWM-CDGS-XS-2025-0156-五冶钢构-2025年九月第一批次钢筋采购合同(三圣乡项目)-中铁物贸成都公司</v>
      </c>
      <c r="R4992" s="22" t="str">
        <f>_xlfn._xlws.FILTER(辅助信息!D:D,辅助信息!E:E=B4992)</f>
        <v>五冶钢构龙泉东洪片区85亩住宅、商业及配套工程项目一标段</v>
      </c>
    </row>
    <row r="4993" spans="2:18">
      <c r="B4993" s="129" t="s">
        <v>229</v>
      </c>
      <c r="C4993" s="63">
        <v>45957</v>
      </c>
      <c r="D4993" s="113" t="str">
        <f>VLOOKUP(B4993,辅助信息!E:K,7,FALSE)</f>
        <v>JWDDCD2025092400212</v>
      </c>
      <c r="E4993" s="113" t="str">
        <f>VLOOKUP(F4993,辅助信息!A:B,2,FALSE)</f>
        <v>盘螺</v>
      </c>
      <c r="F4993" s="113" t="s">
        <v>40</v>
      </c>
      <c r="G4993" s="114">
        <f>75-34</f>
        <v>41</v>
      </c>
      <c r="H4993" s="127" t="str">
        <f>IF(SUMIFS('[1]2025年已发货'!$E:$E,'[1]2025年已发货'!$F:$F,C4993,'[1]2025年已发货'!$C:$C,F4993,'[1]2025年已发货'!$G:$G,I4993,'[1]2025年已发货'!$H:$H,J4993)=0,"未发货",SUMIFS('[1]2025年已发货'!$E:$E,'[1]2025年已发货'!$F:$F,C4993,'[1]2025年已发货'!$C:$C,F4993,'[1]2025年已发货'!$G:$G,I4993,'[1]2025年已发货'!$H:$H,J4993))</f>
        <v>未发货</v>
      </c>
      <c r="I4993" s="149" t="str">
        <f>VLOOKUP(B4993,辅助信息!E:I,3,FALSE)</f>
        <v>(五冶钢构龙泉东洪片区85亩住宅、商业及配套工程项目三标段)成都市龙泉驿外东洪路地铁2号线惠王陵地铁C口</v>
      </c>
      <c r="J4993" s="113" t="str">
        <f>VLOOKUP(B4993,辅助信息!E:I,4,FALSE)</f>
        <v>王军宝</v>
      </c>
      <c r="K4993" s="113">
        <f>VLOOKUP(J4993,辅助信息!H:I,2,FALSE)</f>
        <v>13889142392</v>
      </c>
      <c r="L4993" s="115">
        <f>VLOOKUP(B4993,辅助信息!E:J,6,FALSE)</f>
        <v>0</v>
      </c>
      <c r="M4993" s="84">
        <v>45948</v>
      </c>
      <c r="O4993" s="55">
        <f ca="1">IF(OR(M4993="",N4993&lt;&gt;""),"",MAX(M4993-TODAY(),0))</f>
        <v>0</v>
      </c>
      <c r="P4993" s="55">
        <f ca="1">IF(M4993="","",IF(N4993&lt;&gt;"",MAX(N4993-M4993,0),IF(TODAY()&gt;M4993,TODAY()-M4993,0)))</f>
        <v>9</v>
      </c>
      <c r="Q4993" s="22" t="str">
        <f>VLOOKUP(B4993,辅助信息!E:M,9,FALSE)</f>
        <v>ZTWM-CDGS-XS-2025-0156-五冶钢构-2025年九月第一批次钢筋采购合同(三圣乡项目)-中铁物贸成都公司</v>
      </c>
      <c r="R4993" s="22" t="str">
        <f>_xlfn._xlws.FILTER(辅助信息!D:D,辅助信息!E:E=B4993)</f>
        <v>五冶钢构龙泉东洪片区85亩住宅、商业及配套工程项目三标段</v>
      </c>
    </row>
    <row r="4994" spans="2:18">
      <c r="B4994" s="129" t="s">
        <v>228</v>
      </c>
      <c r="C4994" s="63">
        <v>45957</v>
      </c>
      <c r="D4994" s="113" t="str">
        <f>VLOOKUP(B4994,辅助信息!E:K,7,FALSE)</f>
        <v>JWDDCD2025092400190</v>
      </c>
      <c r="E4994" s="113" t="str">
        <f>VLOOKUP(F4994,辅助信息!A:B,2,FALSE)</f>
        <v>盘螺</v>
      </c>
      <c r="F4994" s="113" t="s">
        <v>41</v>
      </c>
      <c r="G4994" s="114">
        <v>16</v>
      </c>
      <c r="H4994" s="127" t="str">
        <f>IF(SUMIFS('[1]2025年已发货'!$E:$E,'[1]2025年已发货'!$F:$F,C4994,'[1]2025年已发货'!$C:$C,F4994,'[1]2025年已发货'!$G:$G,I4994,'[1]2025年已发货'!$H:$H,J4994)=0,"未发货",SUMIFS('[1]2025年已发货'!$E:$E,'[1]2025年已发货'!$F:$F,C4994,'[1]2025年已发货'!$C:$C,F4994,'[1]2025年已发货'!$G:$G,I4994,'[1]2025年已发货'!$H:$H,J4994))</f>
        <v>未发货</v>
      </c>
      <c r="I4994" s="149" t="str">
        <f>VLOOKUP(B4994,辅助信息!E:I,3,FALSE)</f>
        <v>(五冶钢构龙泉东洪片区70亩住宅、商业及配套工程项目二标段)成都市龙泉驿外东洪路地铁2号线惠王陵地铁C口</v>
      </c>
      <c r="J4994" s="113" t="str">
        <f>VLOOKUP(B4994,辅助信息!E:I,4,FALSE)</f>
        <v>蒋嗣伟</v>
      </c>
      <c r="K4994" s="113">
        <f>VLOOKUP(J4994,辅助信息!H:I,2,FALSE)</f>
        <v>15014331252</v>
      </c>
      <c r="L4994" s="115">
        <f>VLOOKUP(B4994,辅助信息!E:J,6,FALSE)</f>
        <v>0</v>
      </c>
      <c r="M4994" s="84">
        <v>45948</v>
      </c>
      <c r="O4994" s="55">
        <f ca="1">IF(OR(M4994="",N4994&lt;&gt;""),"",MAX(M4994-TODAY(),0))</f>
        <v>0</v>
      </c>
      <c r="P4994" s="55">
        <f ca="1">IF(M4994="","",IF(N4994&lt;&gt;"",MAX(N4994-M4994,0),IF(TODAY()&gt;M4994,TODAY()-M4994,0)))</f>
        <v>9</v>
      </c>
      <c r="Q4994" s="22" t="str">
        <f>VLOOKUP(B4994,辅助信息!E:M,9,FALSE)</f>
        <v>ZTWM-CDGS-XS-2025-0156-五冶钢构-2025年九月第一批次钢筋采购合同(三圣乡项目)-中铁物贸成都公司</v>
      </c>
      <c r="R4994" s="22" t="str">
        <f>_xlfn._xlws.FILTER(辅助信息!D:D,辅助信息!E:E=B4994)</f>
        <v>五冶钢构龙泉东洪片区70亩住宅、商业及配套工程项目二标段</v>
      </c>
    </row>
    <row r="4995" spans="2:18">
      <c r="B4995" s="129" t="s">
        <v>229</v>
      </c>
      <c r="C4995" s="63">
        <v>45957</v>
      </c>
      <c r="D4995" s="113" t="str">
        <f>VLOOKUP(B4995,辅助信息!E:K,7,FALSE)</f>
        <v>JWDDCD2025092400212</v>
      </c>
      <c r="E4995" s="113" t="str">
        <f>VLOOKUP(F4995,辅助信息!A:B,2,FALSE)</f>
        <v>高线</v>
      </c>
      <c r="F4995" s="113" t="s">
        <v>57</v>
      </c>
      <c r="G4995" s="114">
        <v>2</v>
      </c>
      <c r="H4995" s="127" t="str">
        <f>IF(SUMIFS('[1]2025年已发货'!$E:$E,'[1]2025年已发货'!$F:$F,C4995,'[1]2025年已发货'!$C:$C,F4995,'[1]2025年已发货'!$G:$G,I4995,'[1]2025年已发货'!$H:$H,J4995)=0,"未发货",SUMIFS('[1]2025年已发货'!$E:$E,'[1]2025年已发货'!$F:$F,C4995,'[1]2025年已发货'!$C:$C,F4995,'[1]2025年已发货'!$G:$G,I4995,'[1]2025年已发货'!$H:$H,J4995))</f>
        <v>未发货</v>
      </c>
      <c r="I4995" s="149" t="str">
        <f>VLOOKUP(B4995,辅助信息!E:I,3,FALSE)</f>
        <v>(五冶钢构龙泉东洪片区85亩住宅、商业及配套工程项目三标段)成都市龙泉驿外东洪路地铁2号线惠王陵地铁C口</v>
      </c>
      <c r="J4995" s="113" t="str">
        <f>VLOOKUP(B4995,辅助信息!E:I,4,FALSE)</f>
        <v>王军宝</v>
      </c>
      <c r="K4995" s="113">
        <f>VLOOKUP(J4995,辅助信息!H:I,2,FALSE)</f>
        <v>13889142392</v>
      </c>
      <c r="L4995" s="115">
        <f>VLOOKUP(B4995,辅助信息!E:J,6,FALSE)</f>
        <v>0</v>
      </c>
      <c r="M4995" s="84">
        <v>45950</v>
      </c>
      <c r="O4995" s="55">
        <f ca="1">IF(OR(M4995="",N4995&lt;&gt;""),"",MAX(M4995-TODAY(),0))</f>
        <v>0</v>
      </c>
      <c r="P4995" s="55">
        <f ca="1">IF(M4995="","",IF(N4995&lt;&gt;"",MAX(N4995-M4995,0),IF(TODAY()&gt;M4995,TODAY()-M4995,0)))</f>
        <v>7</v>
      </c>
      <c r="Q4995" s="22" t="str">
        <f>VLOOKUP(B4995,辅助信息!E:M,9,FALSE)</f>
        <v>ZTWM-CDGS-XS-2025-0156-五冶钢构-2025年九月第一批次钢筋采购合同(三圣乡项目)-中铁物贸成都公司</v>
      </c>
      <c r="R4995" s="22" t="str">
        <f>_xlfn._xlws.FILTER(辅助信息!D:D,辅助信息!E:E=B4995)</f>
        <v>五冶钢构龙泉东洪片区85亩住宅、商业及配套工程项目三标段</v>
      </c>
    </row>
    <row r="4996" spans="2:18">
      <c r="B4996" s="129" t="s">
        <v>229</v>
      </c>
      <c r="C4996" s="63">
        <v>45957</v>
      </c>
      <c r="D4996" s="113" t="str">
        <f>VLOOKUP(B4996,辅助信息!E:K,7,FALSE)</f>
        <v>JWDDCD2025092400212</v>
      </c>
      <c r="E4996" s="113" t="str">
        <f>VLOOKUP(F4996,辅助信息!A:B,2,FALSE)</f>
        <v>高线</v>
      </c>
      <c r="F4996" s="113" t="s">
        <v>53</v>
      </c>
      <c r="G4996" s="114">
        <v>2</v>
      </c>
      <c r="H4996" s="127" t="str">
        <f>IF(SUMIFS('[1]2025年已发货'!$E:$E,'[1]2025年已发货'!$F:$F,C4996,'[1]2025年已发货'!$C:$C,F4996,'[1]2025年已发货'!$G:$G,I4996,'[1]2025年已发货'!$H:$H,J4996)=0,"未发货",SUMIFS('[1]2025年已发货'!$E:$E,'[1]2025年已发货'!$F:$F,C4996,'[1]2025年已发货'!$C:$C,F4996,'[1]2025年已发货'!$G:$G,I4996,'[1]2025年已发货'!$H:$H,J4996))</f>
        <v>未发货</v>
      </c>
      <c r="I4996" s="149" t="str">
        <f>VLOOKUP(B4996,辅助信息!E:I,3,FALSE)</f>
        <v>(五冶钢构龙泉东洪片区85亩住宅、商业及配套工程项目三标段)成都市龙泉驿外东洪路地铁2号线惠王陵地铁C口</v>
      </c>
      <c r="J4996" s="113" t="str">
        <f>VLOOKUP(B4996,辅助信息!E:I,4,FALSE)</f>
        <v>王军宝</v>
      </c>
      <c r="K4996" s="113">
        <f>VLOOKUP(J4996,辅助信息!H:I,2,FALSE)</f>
        <v>13889142392</v>
      </c>
      <c r="L4996" s="115">
        <f>VLOOKUP(B4996,辅助信息!E:J,6,FALSE)</f>
        <v>0</v>
      </c>
      <c r="M4996" s="84">
        <v>45950</v>
      </c>
      <c r="O4996" s="55">
        <f ca="1">IF(OR(M4996="",N4996&lt;&gt;""),"",MAX(M4996-TODAY(),0))</f>
        <v>0</v>
      </c>
      <c r="P4996" s="55">
        <f ca="1">IF(M4996="","",IF(N4996&lt;&gt;"",MAX(N4996-M4996,0),IF(TODAY()&gt;M4996,TODAY()-M4996,0)))</f>
        <v>7</v>
      </c>
      <c r="Q4996" s="22" t="str">
        <f>VLOOKUP(B4996,辅助信息!E:M,9,FALSE)</f>
        <v>ZTWM-CDGS-XS-2025-0156-五冶钢构-2025年九月第一批次钢筋采购合同(三圣乡项目)-中铁物贸成都公司</v>
      </c>
      <c r="R4996" s="22" t="str">
        <f>_xlfn._xlws.FILTER(辅助信息!D:D,辅助信息!E:E=B4996)</f>
        <v>五冶钢构龙泉东洪片区85亩住宅、商业及配套工程项目三标段</v>
      </c>
    </row>
    <row r="4997" spans="2:18">
      <c r="B4997" s="129" t="s">
        <v>229</v>
      </c>
      <c r="C4997" s="63">
        <v>45957</v>
      </c>
      <c r="D4997" s="113" t="str">
        <f>VLOOKUP(B4997,辅助信息!E:K,7,FALSE)</f>
        <v>JWDDCD2025092400212</v>
      </c>
      <c r="E4997" s="113" t="str">
        <f>VLOOKUP(F4997,辅助信息!A:B,2,FALSE)</f>
        <v>盘螺</v>
      </c>
      <c r="F4997" s="113" t="s">
        <v>49</v>
      </c>
      <c r="G4997" s="114">
        <v>2</v>
      </c>
      <c r="H4997" s="127" t="str">
        <f>IF(SUMIFS('[1]2025年已发货'!$E:$E,'[1]2025年已发货'!$F:$F,C4997,'[1]2025年已发货'!$C:$C,F4997,'[1]2025年已发货'!$G:$G,I4997,'[1]2025年已发货'!$H:$H,J4997)=0,"未发货",SUMIFS('[1]2025年已发货'!$E:$E,'[1]2025年已发货'!$F:$F,C4997,'[1]2025年已发货'!$C:$C,F4997,'[1]2025年已发货'!$G:$G,I4997,'[1]2025年已发货'!$H:$H,J4997))</f>
        <v>未发货</v>
      </c>
      <c r="I4997" s="149" t="str">
        <f>VLOOKUP(B4997,辅助信息!E:I,3,FALSE)</f>
        <v>(五冶钢构龙泉东洪片区85亩住宅、商业及配套工程项目三标段)成都市龙泉驿外东洪路地铁2号线惠王陵地铁C口</v>
      </c>
      <c r="J4997" s="113" t="str">
        <f>VLOOKUP(B4997,辅助信息!E:I,4,FALSE)</f>
        <v>王军宝</v>
      </c>
      <c r="K4997" s="113">
        <f>VLOOKUP(J4997,辅助信息!H:I,2,FALSE)</f>
        <v>13889142392</v>
      </c>
      <c r="L4997" s="115">
        <f>VLOOKUP(B4997,辅助信息!E:J,6,FALSE)</f>
        <v>0</v>
      </c>
      <c r="M4997" s="84">
        <v>45950</v>
      </c>
      <c r="O4997" s="55">
        <f ca="1">IF(OR(M4997="",N4997&lt;&gt;""),"",MAX(M4997-TODAY(),0))</f>
        <v>0</v>
      </c>
      <c r="P4997" s="55">
        <f ca="1">IF(M4997="","",IF(N4997&lt;&gt;"",MAX(N4997-M4997,0),IF(TODAY()&gt;M4997,TODAY()-M4997,0)))</f>
        <v>7</v>
      </c>
      <c r="Q4997" s="22" t="str">
        <f>VLOOKUP(B4997,辅助信息!E:M,9,FALSE)</f>
        <v>ZTWM-CDGS-XS-2025-0156-五冶钢构-2025年九月第一批次钢筋采购合同(三圣乡项目)-中铁物贸成都公司</v>
      </c>
      <c r="R4997" s="22" t="str">
        <f>_xlfn._xlws.FILTER(辅助信息!D:D,辅助信息!E:E=B4997)</f>
        <v>五冶钢构龙泉东洪片区85亩住宅、商业及配套工程项目三标段</v>
      </c>
    </row>
    <row r="4998" spans="2:18">
      <c r="B4998" s="129" t="s">
        <v>229</v>
      </c>
      <c r="C4998" s="63">
        <v>45957</v>
      </c>
      <c r="D4998" s="113" t="str">
        <f>VLOOKUP(B4998,辅助信息!E:K,7,FALSE)</f>
        <v>JWDDCD2025092400212</v>
      </c>
      <c r="E4998" s="113" t="str">
        <f>VLOOKUP(F4998,辅助信息!A:B,2,FALSE)</f>
        <v>盘螺</v>
      </c>
      <c r="F4998" s="113" t="s">
        <v>40</v>
      </c>
      <c r="G4998" s="114">
        <v>8</v>
      </c>
      <c r="H4998" s="127" t="str">
        <f>IF(SUMIFS('[1]2025年已发货'!$E:$E,'[1]2025年已发货'!$F:$F,C4998,'[1]2025年已发货'!$C:$C,F4998,'[1]2025年已发货'!$G:$G,I4998,'[1]2025年已发货'!$H:$H,J4998)=0,"未发货",SUMIFS('[1]2025年已发货'!$E:$E,'[1]2025年已发货'!$F:$F,C4998,'[1]2025年已发货'!$C:$C,F4998,'[1]2025年已发货'!$G:$G,I4998,'[1]2025年已发货'!$H:$H,J4998))</f>
        <v>未发货</v>
      </c>
      <c r="I4998" s="149" t="str">
        <f>VLOOKUP(B4998,辅助信息!E:I,3,FALSE)</f>
        <v>(五冶钢构龙泉东洪片区85亩住宅、商业及配套工程项目三标段)成都市龙泉驿外东洪路地铁2号线惠王陵地铁C口</v>
      </c>
      <c r="J4998" s="113" t="str">
        <f>VLOOKUP(B4998,辅助信息!E:I,4,FALSE)</f>
        <v>王军宝</v>
      </c>
      <c r="K4998" s="113">
        <f>VLOOKUP(J4998,辅助信息!H:I,2,FALSE)</f>
        <v>13889142392</v>
      </c>
      <c r="L4998" s="115">
        <f>VLOOKUP(B4998,辅助信息!E:J,6,FALSE)</f>
        <v>0</v>
      </c>
      <c r="M4998" s="84">
        <v>45950</v>
      </c>
      <c r="O4998" s="55">
        <f ca="1">IF(OR(M4998="",N4998&lt;&gt;""),"",MAX(M4998-TODAY(),0))</f>
        <v>0</v>
      </c>
      <c r="P4998" s="55">
        <f ca="1">IF(M4998="","",IF(N4998&lt;&gt;"",MAX(N4998-M4998,0),IF(TODAY()&gt;M4998,TODAY()-M4998,0)))</f>
        <v>7</v>
      </c>
      <c r="Q4998" s="22" t="str">
        <f>VLOOKUP(B4998,辅助信息!E:M,9,FALSE)</f>
        <v>ZTWM-CDGS-XS-2025-0156-五冶钢构-2025年九月第一批次钢筋采购合同(三圣乡项目)-中铁物贸成都公司</v>
      </c>
      <c r="R4998" s="22" t="str">
        <f>_xlfn._xlws.FILTER(辅助信息!D:D,辅助信息!E:E=B4998)</f>
        <v>五冶钢构龙泉东洪片区85亩住宅、商业及配套工程项目三标段</v>
      </c>
    </row>
    <row r="4999" spans="2:18">
      <c r="B4999" s="129" t="s">
        <v>229</v>
      </c>
      <c r="C4999" s="63">
        <v>45957</v>
      </c>
      <c r="D4999" s="113" t="str">
        <f>VLOOKUP(B4999,辅助信息!E:K,7,FALSE)</f>
        <v>JWDDCD2025092400212</v>
      </c>
      <c r="E4999" s="113" t="str">
        <f>VLOOKUP(F4999,辅助信息!A:B,2,FALSE)</f>
        <v>盘螺</v>
      </c>
      <c r="F4999" s="113" t="s">
        <v>41</v>
      </c>
      <c r="G4999" s="114">
        <v>20</v>
      </c>
      <c r="H4999" s="127" t="str">
        <f>IF(SUMIFS('[1]2025年已发货'!$E:$E,'[1]2025年已发货'!$F:$F,C4999,'[1]2025年已发货'!$C:$C,F4999,'[1]2025年已发货'!$G:$G,I4999,'[1]2025年已发货'!$H:$H,J4999)=0,"未发货",SUMIFS('[1]2025年已发货'!$E:$E,'[1]2025年已发货'!$F:$F,C4999,'[1]2025年已发货'!$C:$C,F4999,'[1]2025年已发货'!$G:$G,I4999,'[1]2025年已发货'!$H:$H,J4999))</f>
        <v>未发货</v>
      </c>
      <c r="I4999" s="149" t="str">
        <f>VLOOKUP(B4999,辅助信息!E:I,3,FALSE)</f>
        <v>(五冶钢构龙泉东洪片区85亩住宅、商业及配套工程项目三标段)成都市龙泉驿外东洪路地铁2号线惠王陵地铁C口</v>
      </c>
      <c r="J4999" s="113" t="str">
        <f>VLOOKUP(B4999,辅助信息!E:I,4,FALSE)</f>
        <v>王军宝</v>
      </c>
      <c r="K4999" s="113">
        <f>VLOOKUP(J4999,辅助信息!H:I,2,FALSE)</f>
        <v>13889142392</v>
      </c>
      <c r="L4999" s="115">
        <f>VLOOKUP(B4999,辅助信息!E:J,6,FALSE)</f>
        <v>0</v>
      </c>
      <c r="M4999" s="84">
        <v>45950</v>
      </c>
      <c r="O4999" s="55">
        <f ca="1">IF(OR(M4999="",N4999&lt;&gt;""),"",MAX(M4999-TODAY(),0))</f>
        <v>0</v>
      </c>
      <c r="P4999" s="55">
        <f ca="1">IF(M4999="","",IF(N4999&lt;&gt;"",MAX(N4999-M4999,0),IF(TODAY()&gt;M4999,TODAY()-M4999,0)))</f>
        <v>7</v>
      </c>
      <c r="Q4999" s="22" t="str">
        <f>VLOOKUP(B4999,辅助信息!E:M,9,FALSE)</f>
        <v>ZTWM-CDGS-XS-2025-0156-五冶钢构-2025年九月第一批次钢筋采购合同(三圣乡项目)-中铁物贸成都公司</v>
      </c>
      <c r="R4999" s="22" t="str">
        <f>_xlfn._xlws.FILTER(辅助信息!D:D,辅助信息!E:E=B4999)</f>
        <v>五冶钢构龙泉东洪片区85亩住宅、商业及配套工程项目三标段</v>
      </c>
    </row>
    <row r="5000" spans="2:18">
      <c r="B5000" s="129" t="s">
        <v>229</v>
      </c>
      <c r="C5000" s="63">
        <v>45957</v>
      </c>
      <c r="D5000" s="113" t="str">
        <f>VLOOKUP(B5000,辅助信息!E:K,7,FALSE)</f>
        <v>JWDDCD2025092400212</v>
      </c>
      <c r="E5000" s="113" t="str">
        <f>VLOOKUP(F5000,辅助信息!A:B,2,FALSE)</f>
        <v>螺纹钢</v>
      </c>
      <c r="F5000" s="113" t="s">
        <v>27</v>
      </c>
      <c r="G5000" s="114">
        <v>30</v>
      </c>
      <c r="H5000" s="127" t="str">
        <f>IF(SUMIFS('[1]2025年已发货'!$E:$E,'[1]2025年已发货'!$F:$F,C5000,'[1]2025年已发货'!$C:$C,F5000,'[1]2025年已发货'!$G:$G,I5000,'[1]2025年已发货'!$H:$H,J5000)=0,"未发货",SUMIFS('[1]2025年已发货'!$E:$E,'[1]2025年已发货'!$F:$F,C5000,'[1]2025年已发货'!$C:$C,F5000,'[1]2025年已发货'!$G:$G,I5000,'[1]2025年已发货'!$H:$H,J5000))</f>
        <v>未发货</v>
      </c>
      <c r="I5000" s="149" t="str">
        <f>VLOOKUP(B5000,辅助信息!E:I,3,FALSE)</f>
        <v>(五冶钢构龙泉东洪片区85亩住宅、商业及配套工程项目三标段)成都市龙泉驿外东洪路地铁2号线惠王陵地铁C口</v>
      </c>
      <c r="J5000" s="113" t="str">
        <f>VLOOKUP(B5000,辅助信息!E:I,4,FALSE)</f>
        <v>王军宝</v>
      </c>
      <c r="K5000" s="113">
        <f>VLOOKUP(J5000,辅助信息!H:I,2,FALSE)</f>
        <v>13889142392</v>
      </c>
      <c r="L5000" s="115">
        <f>VLOOKUP(B5000,辅助信息!E:J,6,FALSE)</f>
        <v>0</v>
      </c>
      <c r="M5000" s="84">
        <v>45950</v>
      </c>
      <c r="O5000" s="55">
        <f ca="1">IF(OR(M5000="",N5000&lt;&gt;""),"",MAX(M5000-TODAY(),0))</f>
        <v>0</v>
      </c>
      <c r="P5000" s="55">
        <f ca="1">IF(M5000="","",IF(N5000&lt;&gt;"",MAX(N5000-M5000,0),IF(TODAY()&gt;M5000,TODAY()-M5000,0)))</f>
        <v>7</v>
      </c>
      <c r="Q5000" s="22" t="str">
        <f>VLOOKUP(B5000,辅助信息!E:M,9,FALSE)</f>
        <v>ZTWM-CDGS-XS-2025-0156-五冶钢构-2025年九月第一批次钢筋采购合同(三圣乡项目)-中铁物贸成都公司</v>
      </c>
      <c r="R5000" s="22" t="str">
        <f>_xlfn._xlws.FILTER(辅助信息!D:D,辅助信息!E:E=B5000)</f>
        <v>五冶钢构龙泉东洪片区85亩住宅、商业及配套工程项目三标段</v>
      </c>
    </row>
    <row r="5001" spans="2:18">
      <c r="B5001" s="129" t="s">
        <v>229</v>
      </c>
      <c r="C5001" s="63">
        <v>45957</v>
      </c>
      <c r="D5001" s="113" t="str">
        <f>VLOOKUP(B5001,辅助信息!E:K,7,FALSE)</f>
        <v>JWDDCD2025092400212</v>
      </c>
      <c r="E5001" s="113" t="str">
        <f>VLOOKUP(F5001,辅助信息!A:B,2,FALSE)</f>
        <v>盘螺</v>
      </c>
      <c r="F5001" s="113" t="s">
        <v>49</v>
      </c>
      <c r="G5001" s="114">
        <v>6</v>
      </c>
      <c r="H5001" s="127" t="str">
        <f>IF(SUMIFS('[1]2025年已发货'!$E:$E,'[1]2025年已发货'!$F:$F,C5001,'[1]2025年已发货'!$C:$C,F5001,'[1]2025年已发货'!$G:$G,I5001,'[1]2025年已发货'!$H:$H,J5001)=0,"未发货",SUMIFS('[1]2025年已发货'!$E:$E,'[1]2025年已发货'!$F:$F,C5001,'[1]2025年已发货'!$C:$C,F5001,'[1]2025年已发货'!$G:$G,I5001,'[1]2025年已发货'!$H:$H,J5001))</f>
        <v>未发货</v>
      </c>
      <c r="I5001" s="149" t="str">
        <f>VLOOKUP(B5001,辅助信息!E:I,3,FALSE)</f>
        <v>(五冶钢构龙泉东洪片区85亩住宅、商业及配套工程项目三标段)成都市龙泉驿外东洪路地铁2号线惠王陵地铁C口</v>
      </c>
      <c r="J5001" s="113" t="str">
        <f>VLOOKUP(B5001,辅助信息!E:I,4,FALSE)</f>
        <v>王军宝</v>
      </c>
      <c r="K5001" s="113">
        <f>VLOOKUP(J5001,辅助信息!H:I,2,FALSE)</f>
        <v>13889142392</v>
      </c>
      <c r="L5001" s="115">
        <f>VLOOKUP(B5001,辅助信息!E:J,6,FALSE)</f>
        <v>0</v>
      </c>
      <c r="M5001" s="84">
        <v>45950</v>
      </c>
      <c r="O5001" s="55">
        <f ca="1">IF(OR(M5001="",N5001&lt;&gt;""),"",MAX(M5001-TODAY(),0))</f>
        <v>0</v>
      </c>
      <c r="P5001" s="55">
        <f ca="1">IF(M5001="","",IF(N5001&lt;&gt;"",MAX(N5001-M5001,0),IF(TODAY()&gt;M5001,TODAY()-M5001,0)))</f>
        <v>7</v>
      </c>
      <c r="Q5001" s="22" t="str">
        <f>VLOOKUP(B5001,辅助信息!E:M,9,FALSE)</f>
        <v>ZTWM-CDGS-XS-2025-0156-五冶钢构-2025年九月第一批次钢筋采购合同(三圣乡项目)-中铁物贸成都公司</v>
      </c>
      <c r="R5001" s="22" t="str">
        <f>_xlfn._xlws.FILTER(辅助信息!D:D,辅助信息!E:E=B5001)</f>
        <v>五冶钢构龙泉东洪片区85亩住宅、商业及配套工程项目三标段</v>
      </c>
    </row>
    <row r="5002" spans="2:18">
      <c r="B5002" s="129" t="s">
        <v>229</v>
      </c>
      <c r="C5002" s="63">
        <v>45957</v>
      </c>
      <c r="D5002" s="113" t="str">
        <f>VLOOKUP(B5002,辅助信息!E:K,7,FALSE)</f>
        <v>JWDDCD2025092400212</v>
      </c>
      <c r="E5002" s="113" t="str">
        <f>VLOOKUP(F5002,辅助信息!A:B,2,FALSE)</f>
        <v>盘螺</v>
      </c>
      <c r="F5002" s="113" t="s">
        <v>40</v>
      </c>
      <c r="G5002" s="114">
        <v>20</v>
      </c>
      <c r="H5002" s="127" t="str">
        <f>IF(SUMIFS('[1]2025年已发货'!$E:$E,'[1]2025年已发货'!$F:$F,C5002,'[1]2025年已发货'!$C:$C,F5002,'[1]2025年已发货'!$G:$G,I5002,'[1]2025年已发货'!$H:$H,J5002)=0,"未发货",SUMIFS('[1]2025年已发货'!$E:$E,'[1]2025年已发货'!$F:$F,C5002,'[1]2025年已发货'!$C:$C,F5002,'[1]2025年已发货'!$G:$G,I5002,'[1]2025年已发货'!$H:$H,J5002))</f>
        <v>未发货</v>
      </c>
      <c r="I5002" s="149" t="str">
        <f>VLOOKUP(B5002,辅助信息!E:I,3,FALSE)</f>
        <v>(五冶钢构龙泉东洪片区85亩住宅、商业及配套工程项目三标段)成都市龙泉驿外东洪路地铁2号线惠王陵地铁C口</v>
      </c>
      <c r="J5002" s="113" t="str">
        <f>VLOOKUP(B5002,辅助信息!E:I,4,FALSE)</f>
        <v>王军宝</v>
      </c>
      <c r="K5002" s="113">
        <f>VLOOKUP(J5002,辅助信息!H:I,2,FALSE)</f>
        <v>13889142392</v>
      </c>
      <c r="L5002" s="115">
        <f>VLOOKUP(B5002,辅助信息!E:J,6,FALSE)</f>
        <v>0</v>
      </c>
      <c r="M5002" s="84">
        <v>45950</v>
      </c>
      <c r="O5002" s="55">
        <f ca="1">IF(OR(M5002="",N5002&lt;&gt;""),"",MAX(M5002-TODAY(),0))</f>
        <v>0</v>
      </c>
      <c r="P5002" s="55">
        <f ca="1">IF(M5002="","",IF(N5002&lt;&gt;"",MAX(N5002-M5002,0),IF(TODAY()&gt;M5002,TODAY()-M5002,0)))</f>
        <v>7</v>
      </c>
      <c r="Q5002" s="22" t="str">
        <f>VLOOKUP(B5002,辅助信息!E:M,9,FALSE)</f>
        <v>ZTWM-CDGS-XS-2025-0156-五冶钢构-2025年九月第一批次钢筋采购合同(三圣乡项目)-中铁物贸成都公司</v>
      </c>
      <c r="R5002" s="22" t="str">
        <f>_xlfn._xlws.FILTER(辅助信息!D:D,辅助信息!E:E=B5002)</f>
        <v>五冶钢构龙泉东洪片区85亩住宅、商业及配套工程项目三标段</v>
      </c>
    </row>
    <row r="5003" spans="2:18">
      <c r="B5003" s="129" t="s">
        <v>229</v>
      </c>
      <c r="C5003" s="63">
        <v>45957</v>
      </c>
      <c r="D5003" s="113" t="str">
        <f>VLOOKUP(B5003,辅助信息!E:K,7,FALSE)</f>
        <v>JWDDCD2025092400212</v>
      </c>
      <c r="E5003" s="113" t="str">
        <f>VLOOKUP(F5003,辅助信息!A:B,2,FALSE)</f>
        <v>盘螺</v>
      </c>
      <c r="F5003" s="113" t="s">
        <v>41</v>
      </c>
      <c r="G5003" s="114">
        <v>40</v>
      </c>
      <c r="H5003" s="127" t="str">
        <f>IF(SUMIFS('[1]2025年已发货'!$E:$E,'[1]2025年已发货'!$F:$F,C5003,'[1]2025年已发货'!$C:$C,F5003,'[1]2025年已发货'!$G:$G,I5003,'[1]2025年已发货'!$H:$H,J5003)=0,"未发货",SUMIFS('[1]2025年已发货'!$E:$E,'[1]2025年已发货'!$F:$F,C5003,'[1]2025年已发货'!$C:$C,F5003,'[1]2025年已发货'!$G:$G,I5003,'[1]2025年已发货'!$H:$H,J5003))</f>
        <v>未发货</v>
      </c>
      <c r="I5003" s="149" t="str">
        <f>VLOOKUP(B5003,辅助信息!E:I,3,FALSE)</f>
        <v>(五冶钢构龙泉东洪片区85亩住宅、商业及配套工程项目三标段)成都市龙泉驿外东洪路地铁2号线惠王陵地铁C口</v>
      </c>
      <c r="J5003" s="113" t="str">
        <f>VLOOKUP(B5003,辅助信息!E:I,4,FALSE)</f>
        <v>王军宝</v>
      </c>
      <c r="K5003" s="113">
        <f>VLOOKUP(J5003,辅助信息!H:I,2,FALSE)</f>
        <v>13889142392</v>
      </c>
      <c r="L5003" s="115">
        <f>VLOOKUP(B5003,辅助信息!E:J,6,FALSE)</f>
        <v>0</v>
      </c>
      <c r="M5003" s="84">
        <v>45950</v>
      </c>
      <c r="O5003" s="55">
        <f ca="1">IF(OR(M5003="",N5003&lt;&gt;""),"",MAX(M5003-TODAY(),0))</f>
        <v>0</v>
      </c>
      <c r="P5003" s="55">
        <f ca="1">IF(M5003="","",IF(N5003&lt;&gt;"",MAX(N5003-M5003,0),IF(TODAY()&gt;M5003,TODAY()-M5003,0)))</f>
        <v>7</v>
      </c>
      <c r="Q5003" s="22" t="str">
        <f>VLOOKUP(B5003,辅助信息!E:M,9,FALSE)</f>
        <v>ZTWM-CDGS-XS-2025-0156-五冶钢构-2025年九月第一批次钢筋采购合同(三圣乡项目)-中铁物贸成都公司</v>
      </c>
      <c r="R5003" s="22" t="str">
        <f>_xlfn._xlws.FILTER(辅助信息!D:D,辅助信息!E:E=B5003)</f>
        <v>五冶钢构龙泉东洪片区85亩住宅、商业及配套工程项目三标段</v>
      </c>
    </row>
    <row r="5004" spans="2:18">
      <c r="B5004" s="129" t="s">
        <v>229</v>
      </c>
      <c r="C5004" s="63">
        <v>45957</v>
      </c>
      <c r="D5004" s="113" t="str">
        <f>VLOOKUP(B5004,辅助信息!E:K,7,FALSE)</f>
        <v>JWDDCD2025092400212</v>
      </c>
      <c r="E5004" s="113" t="str">
        <f>VLOOKUP(F5004,辅助信息!A:B,2,FALSE)</f>
        <v>螺纹钢</v>
      </c>
      <c r="F5004" s="113" t="s">
        <v>27</v>
      </c>
      <c r="G5004" s="114">
        <v>57</v>
      </c>
      <c r="H5004" s="127" t="str">
        <f>IF(SUMIFS('[1]2025年已发货'!$E:$E,'[1]2025年已发货'!$F:$F,C5004,'[1]2025年已发货'!$C:$C,F5004,'[1]2025年已发货'!$G:$G,I5004,'[1]2025年已发货'!$H:$H,J5004)=0,"未发货",SUMIFS('[1]2025年已发货'!$E:$E,'[1]2025年已发货'!$F:$F,C5004,'[1]2025年已发货'!$C:$C,F5004,'[1]2025年已发货'!$G:$G,I5004,'[1]2025年已发货'!$H:$H,J5004))</f>
        <v>未发货</v>
      </c>
      <c r="I5004" s="149" t="str">
        <f>VLOOKUP(B5004,辅助信息!E:I,3,FALSE)</f>
        <v>(五冶钢构龙泉东洪片区85亩住宅、商业及配套工程项目三标段)成都市龙泉驿外东洪路地铁2号线惠王陵地铁C口</v>
      </c>
      <c r="J5004" s="113" t="str">
        <f>VLOOKUP(B5004,辅助信息!E:I,4,FALSE)</f>
        <v>王军宝</v>
      </c>
      <c r="K5004" s="113">
        <f>VLOOKUP(J5004,辅助信息!H:I,2,FALSE)</f>
        <v>13889142392</v>
      </c>
      <c r="L5004" s="115">
        <f>VLOOKUP(B5004,辅助信息!E:J,6,FALSE)</f>
        <v>0</v>
      </c>
      <c r="M5004" s="84">
        <v>45950</v>
      </c>
      <c r="O5004" s="55">
        <f ca="1">IF(OR(M5004="",N5004&lt;&gt;""),"",MAX(M5004-TODAY(),0))</f>
        <v>0</v>
      </c>
      <c r="P5004" s="55">
        <f ca="1">IF(M5004="","",IF(N5004&lt;&gt;"",MAX(N5004-M5004,0),IF(TODAY()&gt;M5004,TODAY()-M5004,0)))</f>
        <v>7</v>
      </c>
      <c r="Q5004" s="22" t="str">
        <f>VLOOKUP(B5004,辅助信息!E:M,9,FALSE)</f>
        <v>ZTWM-CDGS-XS-2025-0156-五冶钢构-2025年九月第一批次钢筋采购合同(三圣乡项目)-中铁物贸成都公司</v>
      </c>
      <c r="R5004" s="22" t="str">
        <f>_xlfn._xlws.FILTER(辅助信息!D:D,辅助信息!E:E=B5004)</f>
        <v>五冶钢构龙泉东洪片区85亩住宅、商业及配套工程项目三标段</v>
      </c>
    </row>
    <row r="5005" spans="2:18">
      <c r="B5005" s="129" t="s">
        <v>229</v>
      </c>
      <c r="C5005" s="63">
        <v>45957</v>
      </c>
      <c r="D5005" s="113" t="str">
        <f>VLOOKUP(B5005,辅助信息!E:K,7,FALSE)</f>
        <v>JWDDCD2025092400212</v>
      </c>
      <c r="E5005" s="113" t="str">
        <f>VLOOKUP(F5005,辅助信息!A:B,2,FALSE)</f>
        <v>螺纹钢</v>
      </c>
      <c r="F5005" s="113" t="s">
        <v>19</v>
      </c>
      <c r="G5005" s="114">
        <v>9</v>
      </c>
      <c r="H5005" s="127" t="str">
        <f>IF(SUMIFS('[1]2025年已发货'!$E:$E,'[1]2025年已发货'!$F:$F,C5005,'[1]2025年已发货'!$C:$C,F5005,'[1]2025年已发货'!$G:$G,I5005,'[1]2025年已发货'!$H:$H,J5005)=0,"未发货",SUMIFS('[1]2025年已发货'!$E:$E,'[1]2025年已发货'!$F:$F,C5005,'[1]2025年已发货'!$C:$C,F5005,'[1]2025年已发货'!$G:$G,I5005,'[1]2025年已发货'!$H:$H,J5005))</f>
        <v>未发货</v>
      </c>
      <c r="I5005" s="149" t="str">
        <f>VLOOKUP(B5005,辅助信息!E:I,3,FALSE)</f>
        <v>(五冶钢构龙泉东洪片区85亩住宅、商业及配套工程项目三标段)成都市龙泉驿外东洪路地铁2号线惠王陵地铁C口</v>
      </c>
      <c r="J5005" s="113" t="str">
        <f>VLOOKUP(B5005,辅助信息!E:I,4,FALSE)</f>
        <v>王军宝</v>
      </c>
      <c r="K5005" s="113">
        <f>VLOOKUP(J5005,辅助信息!H:I,2,FALSE)</f>
        <v>13889142392</v>
      </c>
      <c r="L5005" s="115">
        <f>VLOOKUP(B5005,辅助信息!E:J,6,FALSE)</f>
        <v>0</v>
      </c>
      <c r="M5005" s="84">
        <v>45950</v>
      </c>
      <c r="O5005" s="55">
        <f ca="1">IF(OR(M5005="",N5005&lt;&gt;""),"",MAX(M5005-TODAY(),0))</f>
        <v>0</v>
      </c>
      <c r="P5005" s="55">
        <f ca="1">IF(M5005="","",IF(N5005&lt;&gt;"",MAX(N5005-M5005,0),IF(TODAY()&gt;M5005,TODAY()-M5005,0)))</f>
        <v>7</v>
      </c>
      <c r="Q5005" s="22" t="str">
        <f>VLOOKUP(B5005,辅助信息!E:M,9,FALSE)</f>
        <v>ZTWM-CDGS-XS-2025-0156-五冶钢构-2025年九月第一批次钢筋采购合同(三圣乡项目)-中铁物贸成都公司</v>
      </c>
      <c r="R5005" s="22" t="str">
        <f>_xlfn._xlws.FILTER(辅助信息!D:D,辅助信息!E:E=B5005)</f>
        <v>五冶钢构龙泉东洪片区85亩住宅、商业及配套工程项目三标段</v>
      </c>
    </row>
    <row r="5006" spans="2:18">
      <c r="B5006" s="129" t="s">
        <v>229</v>
      </c>
      <c r="C5006" s="63">
        <v>45957</v>
      </c>
      <c r="D5006" s="113" t="str">
        <f>VLOOKUP(B5006,辅助信息!E:K,7,FALSE)</f>
        <v>JWDDCD2025092400212</v>
      </c>
      <c r="E5006" s="113" t="str">
        <f>VLOOKUP(F5006,辅助信息!A:B,2,FALSE)</f>
        <v>螺纹钢</v>
      </c>
      <c r="F5006" s="113" t="s">
        <v>32</v>
      </c>
      <c r="G5006" s="114">
        <v>6</v>
      </c>
      <c r="H5006" s="127" t="str">
        <f>IF(SUMIFS('[1]2025年已发货'!$E:$E,'[1]2025年已发货'!$F:$F,C5006,'[1]2025年已发货'!$C:$C,F5006,'[1]2025年已发货'!$G:$G,I5006,'[1]2025年已发货'!$H:$H,J5006)=0,"未发货",SUMIFS('[1]2025年已发货'!$E:$E,'[1]2025年已发货'!$F:$F,C5006,'[1]2025年已发货'!$C:$C,F5006,'[1]2025年已发货'!$G:$G,I5006,'[1]2025年已发货'!$H:$H,J5006))</f>
        <v>未发货</v>
      </c>
      <c r="I5006" s="149" t="str">
        <f>VLOOKUP(B5006,辅助信息!E:I,3,FALSE)</f>
        <v>(五冶钢构龙泉东洪片区85亩住宅、商业及配套工程项目三标段)成都市龙泉驿外东洪路地铁2号线惠王陵地铁C口</v>
      </c>
      <c r="J5006" s="113" t="str">
        <f>VLOOKUP(B5006,辅助信息!E:I,4,FALSE)</f>
        <v>王军宝</v>
      </c>
      <c r="K5006" s="113">
        <f>VLOOKUP(J5006,辅助信息!H:I,2,FALSE)</f>
        <v>13889142392</v>
      </c>
      <c r="L5006" s="115">
        <f>VLOOKUP(B5006,辅助信息!E:J,6,FALSE)</f>
        <v>0</v>
      </c>
      <c r="M5006" s="84">
        <v>45950</v>
      </c>
      <c r="O5006" s="55">
        <f ca="1">IF(OR(M5006="",N5006&lt;&gt;""),"",MAX(M5006-TODAY(),0))</f>
        <v>0</v>
      </c>
      <c r="P5006" s="55">
        <f ca="1">IF(M5006="","",IF(N5006&lt;&gt;"",MAX(N5006-M5006,0),IF(TODAY()&gt;M5006,TODAY()-M5006,0)))</f>
        <v>7</v>
      </c>
      <c r="Q5006" s="22" t="str">
        <f>VLOOKUP(B5006,辅助信息!E:M,9,FALSE)</f>
        <v>ZTWM-CDGS-XS-2025-0156-五冶钢构-2025年九月第一批次钢筋采购合同(三圣乡项目)-中铁物贸成都公司</v>
      </c>
      <c r="R5006" s="22" t="str">
        <f>_xlfn._xlws.FILTER(辅助信息!D:D,辅助信息!E:E=B5006)</f>
        <v>五冶钢构龙泉东洪片区85亩住宅、商业及配套工程项目三标段</v>
      </c>
    </row>
    <row r="5007" spans="2:18">
      <c r="B5007" s="129" t="s">
        <v>229</v>
      </c>
      <c r="C5007" s="63">
        <v>45957</v>
      </c>
      <c r="D5007" s="113" t="str">
        <f>VLOOKUP(B5007,辅助信息!E:K,7,FALSE)</f>
        <v>JWDDCD2025092400212</v>
      </c>
      <c r="E5007" s="113" t="str">
        <f>VLOOKUP(F5007,辅助信息!A:B,2,FALSE)</f>
        <v>螺纹钢</v>
      </c>
      <c r="F5007" s="113" t="s">
        <v>30</v>
      </c>
      <c r="G5007" s="114">
        <v>9</v>
      </c>
      <c r="H5007" s="127" t="str">
        <f>IF(SUMIFS('[1]2025年已发货'!$E:$E,'[1]2025年已发货'!$F:$F,C5007,'[1]2025年已发货'!$C:$C,F5007,'[1]2025年已发货'!$G:$G,I5007,'[1]2025年已发货'!$H:$H,J5007)=0,"未发货",SUMIFS('[1]2025年已发货'!$E:$E,'[1]2025年已发货'!$F:$F,C5007,'[1]2025年已发货'!$C:$C,F5007,'[1]2025年已发货'!$G:$G,I5007,'[1]2025年已发货'!$H:$H,J5007))</f>
        <v>未发货</v>
      </c>
      <c r="I5007" s="149" t="str">
        <f>VLOOKUP(B5007,辅助信息!E:I,3,FALSE)</f>
        <v>(五冶钢构龙泉东洪片区85亩住宅、商业及配套工程项目三标段)成都市龙泉驿外东洪路地铁2号线惠王陵地铁C口</v>
      </c>
      <c r="J5007" s="113" t="str">
        <f>VLOOKUP(B5007,辅助信息!E:I,4,FALSE)</f>
        <v>王军宝</v>
      </c>
      <c r="K5007" s="113">
        <f>VLOOKUP(J5007,辅助信息!H:I,2,FALSE)</f>
        <v>13889142392</v>
      </c>
      <c r="L5007" s="115">
        <f>VLOOKUP(B5007,辅助信息!E:J,6,FALSE)</f>
        <v>0</v>
      </c>
      <c r="M5007" s="84">
        <v>45950</v>
      </c>
      <c r="O5007" s="55">
        <f ca="1">IF(OR(M5007="",N5007&lt;&gt;""),"",MAX(M5007-TODAY(),0))</f>
        <v>0</v>
      </c>
      <c r="P5007" s="55">
        <f ca="1">IF(M5007="","",IF(N5007&lt;&gt;"",MAX(N5007-M5007,0),IF(TODAY()&gt;M5007,TODAY()-M5007,0)))</f>
        <v>7</v>
      </c>
      <c r="Q5007" s="22" t="str">
        <f>VLOOKUP(B5007,辅助信息!E:M,9,FALSE)</f>
        <v>ZTWM-CDGS-XS-2025-0156-五冶钢构-2025年九月第一批次钢筋采购合同(三圣乡项目)-中铁物贸成都公司</v>
      </c>
      <c r="R5007" s="22" t="str">
        <f>_xlfn._xlws.FILTER(辅助信息!D:D,辅助信息!E:E=B5007)</f>
        <v>五冶钢构龙泉东洪片区85亩住宅、商业及配套工程项目三标段</v>
      </c>
    </row>
    <row r="5008" spans="2:18">
      <c r="B5008" s="129" t="s">
        <v>229</v>
      </c>
      <c r="C5008" s="63">
        <v>45957</v>
      </c>
      <c r="D5008" s="113" t="str">
        <f>VLOOKUP(B5008,辅助信息!E:K,7,FALSE)</f>
        <v>JWDDCD2025092400212</v>
      </c>
      <c r="E5008" s="113" t="str">
        <f>VLOOKUP(F5008,辅助信息!A:B,2,FALSE)</f>
        <v>螺纹钢</v>
      </c>
      <c r="F5008" s="113" t="s">
        <v>18</v>
      </c>
      <c r="G5008" s="114">
        <v>6</v>
      </c>
      <c r="H5008" s="127" t="str">
        <f>IF(SUMIFS('[1]2025年已发货'!$E:$E,'[1]2025年已发货'!$F:$F,C5008,'[1]2025年已发货'!$C:$C,F5008,'[1]2025年已发货'!$G:$G,I5008,'[1]2025年已发货'!$H:$H,J5008)=0,"未发货",SUMIFS('[1]2025年已发货'!$E:$E,'[1]2025年已发货'!$F:$F,C5008,'[1]2025年已发货'!$C:$C,F5008,'[1]2025年已发货'!$G:$G,I5008,'[1]2025年已发货'!$H:$H,J5008))</f>
        <v>未发货</v>
      </c>
      <c r="I5008" s="149" t="str">
        <f>VLOOKUP(B5008,辅助信息!E:I,3,FALSE)</f>
        <v>(五冶钢构龙泉东洪片区85亩住宅、商业及配套工程项目三标段)成都市龙泉驿外东洪路地铁2号线惠王陵地铁C口</v>
      </c>
      <c r="J5008" s="113" t="str">
        <f>VLOOKUP(B5008,辅助信息!E:I,4,FALSE)</f>
        <v>王军宝</v>
      </c>
      <c r="K5008" s="113">
        <f>VLOOKUP(J5008,辅助信息!H:I,2,FALSE)</f>
        <v>13889142392</v>
      </c>
      <c r="L5008" s="115">
        <f>VLOOKUP(B5008,辅助信息!E:J,6,FALSE)</f>
        <v>0</v>
      </c>
      <c r="M5008" s="84">
        <v>45950</v>
      </c>
      <c r="O5008" s="55">
        <f ca="1">IF(OR(M5008="",N5008&lt;&gt;""),"",MAX(M5008-TODAY(),0))</f>
        <v>0</v>
      </c>
      <c r="P5008" s="55">
        <f ca="1">IF(M5008="","",IF(N5008&lt;&gt;"",MAX(N5008-M5008,0),IF(TODAY()&gt;M5008,TODAY()-M5008,0)))</f>
        <v>7</v>
      </c>
      <c r="Q5008" s="22" t="str">
        <f>VLOOKUP(B5008,辅助信息!E:M,9,FALSE)</f>
        <v>ZTWM-CDGS-XS-2025-0156-五冶钢构-2025年九月第一批次钢筋采购合同(三圣乡项目)-中铁物贸成都公司</v>
      </c>
      <c r="R5008" s="22" t="str">
        <f>_xlfn._xlws.FILTER(辅助信息!D:D,辅助信息!E:E=B5008)</f>
        <v>五冶钢构龙泉东洪片区85亩住宅、商业及配套工程项目三标段</v>
      </c>
    </row>
    <row r="5009" spans="2:18">
      <c r="B5009" s="129" t="s">
        <v>229</v>
      </c>
      <c r="C5009" s="63">
        <v>45957</v>
      </c>
      <c r="D5009" s="113" t="str">
        <f>VLOOKUP(B5009,辅助信息!E:K,7,FALSE)</f>
        <v>JWDDCD2025092400212</v>
      </c>
      <c r="E5009" s="113" t="str">
        <f>VLOOKUP(F5009,辅助信息!A:B,2,FALSE)</f>
        <v>螺纹钢</v>
      </c>
      <c r="F5009" s="113" t="s">
        <v>66</v>
      </c>
      <c r="G5009" s="114">
        <v>6</v>
      </c>
      <c r="H5009" s="127" t="str">
        <f>IF(SUMIFS('[1]2025年已发货'!$E:$E,'[1]2025年已发货'!$F:$F,C5009,'[1]2025年已发货'!$C:$C,F5009,'[1]2025年已发货'!$G:$G,I5009,'[1]2025年已发货'!$H:$H,J5009)=0,"未发货",SUMIFS('[1]2025年已发货'!$E:$E,'[1]2025年已发货'!$F:$F,C5009,'[1]2025年已发货'!$C:$C,F5009,'[1]2025年已发货'!$G:$G,I5009,'[1]2025年已发货'!$H:$H,J5009))</f>
        <v>未发货</v>
      </c>
      <c r="I5009" s="149" t="str">
        <f>VLOOKUP(B5009,辅助信息!E:I,3,FALSE)</f>
        <v>(五冶钢构龙泉东洪片区85亩住宅、商业及配套工程项目三标段)成都市龙泉驿外东洪路地铁2号线惠王陵地铁C口</v>
      </c>
      <c r="J5009" s="113" t="str">
        <f>VLOOKUP(B5009,辅助信息!E:I,4,FALSE)</f>
        <v>王军宝</v>
      </c>
      <c r="K5009" s="113">
        <f>VLOOKUP(J5009,辅助信息!H:I,2,FALSE)</f>
        <v>13889142392</v>
      </c>
      <c r="L5009" s="115">
        <f>VLOOKUP(B5009,辅助信息!E:J,6,FALSE)</f>
        <v>0</v>
      </c>
      <c r="M5009" s="84">
        <v>45950</v>
      </c>
      <c r="O5009" s="55">
        <f ca="1">IF(OR(M5009="",N5009&lt;&gt;""),"",MAX(M5009-TODAY(),0))</f>
        <v>0</v>
      </c>
      <c r="P5009" s="55">
        <f ca="1">IF(M5009="","",IF(N5009&lt;&gt;"",MAX(N5009-M5009,0),IF(TODAY()&gt;M5009,TODAY()-M5009,0)))</f>
        <v>7</v>
      </c>
      <c r="Q5009" s="22" t="str">
        <f>VLOOKUP(B5009,辅助信息!E:M,9,FALSE)</f>
        <v>ZTWM-CDGS-XS-2025-0156-五冶钢构-2025年九月第一批次钢筋采购合同(三圣乡项目)-中铁物贸成都公司</v>
      </c>
      <c r="R5009" s="22" t="str">
        <f>_xlfn._xlws.FILTER(辅助信息!D:D,辅助信息!E:E=B5009)</f>
        <v>五冶钢构龙泉东洪片区85亩住宅、商业及配套工程项目三标段</v>
      </c>
    </row>
    <row r="5010" spans="2:18">
      <c r="B5010" s="129" t="s">
        <v>229</v>
      </c>
      <c r="C5010" s="63">
        <v>45957</v>
      </c>
      <c r="D5010" s="113" t="str">
        <f>VLOOKUP(B5010,辅助信息!E:K,7,FALSE)</f>
        <v>JWDDCD2025092400212</v>
      </c>
      <c r="E5010" s="113" t="str">
        <f>VLOOKUP(F5010,辅助信息!A:B,2,FALSE)</f>
        <v>螺纹钢</v>
      </c>
      <c r="F5010" s="113" t="s">
        <v>58</v>
      </c>
      <c r="G5010" s="114">
        <v>6</v>
      </c>
      <c r="H5010" s="127" t="str">
        <f>IF(SUMIFS('[1]2025年已发货'!$E:$E,'[1]2025年已发货'!$F:$F,C5010,'[1]2025年已发货'!$C:$C,F5010,'[1]2025年已发货'!$G:$G,I5010,'[1]2025年已发货'!$H:$H,J5010)=0,"未发货",SUMIFS('[1]2025年已发货'!$E:$E,'[1]2025年已发货'!$F:$F,C5010,'[1]2025年已发货'!$C:$C,F5010,'[1]2025年已发货'!$G:$G,I5010,'[1]2025年已发货'!$H:$H,J5010))</f>
        <v>未发货</v>
      </c>
      <c r="I5010" s="149" t="str">
        <f>VLOOKUP(B5010,辅助信息!E:I,3,FALSE)</f>
        <v>(五冶钢构龙泉东洪片区85亩住宅、商业及配套工程项目三标段)成都市龙泉驿外东洪路地铁2号线惠王陵地铁C口</v>
      </c>
      <c r="J5010" s="113" t="str">
        <f>VLOOKUP(B5010,辅助信息!E:I,4,FALSE)</f>
        <v>王军宝</v>
      </c>
      <c r="K5010" s="113">
        <f>VLOOKUP(J5010,辅助信息!H:I,2,FALSE)</f>
        <v>13889142392</v>
      </c>
      <c r="L5010" s="115">
        <f>VLOOKUP(B5010,辅助信息!E:J,6,FALSE)</f>
        <v>0</v>
      </c>
      <c r="M5010" s="84">
        <v>45950</v>
      </c>
      <c r="O5010" s="55">
        <f ca="1">IF(OR(M5010="",N5010&lt;&gt;""),"",MAX(M5010-TODAY(),0))</f>
        <v>0</v>
      </c>
      <c r="P5010" s="55">
        <f ca="1">IF(M5010="","",IF(N5010&lt;&gt;"",MAX(N5010-M5010,0),IF(TODAY()&gt;M5010,TODAY()-M5010,0)))</f>
        <v>7</v>
      </c>
      <c r="Q5010" s="22" t="str">
        <f>VLOOKUP(B5010,辅助信息!E:M,9,FALSE)</f>
        <v>ZTWM-CDGS-XS-2025-0156-五冶钢构-2025年九月第一批次钢筋采购合同(三圣乡项目)-中铁物贸成都公司</v>
      </c>
      <c r="R5010" s="22" t="str">
        <f>_xlfn._xlws.FILTER(辅助信息!D:D,辅助信息!E:E=B5010)</f>
        <v>五冶钢构龙泉东洪片区85亩住宅、商业及配套工程项目三标段</v>
      </c>
    </row>
    <row r="5011" spans="2:18">
      <c r="B5011" s="129" t="s">
        <v>229</v>
      </c>
      <c r="C5011" s="63">
        <v>45957</v>
      </c>
      <c r="D5011" s="113" t="str">
        <f>VLOOKUP(B5011,辅助信息!E:K,7,FALSE)</f>
        <v>JWDDCD2025092400212</v>
      </c>
      <c r="E5011" s="113" t="str">
        <f>VLOOKUP(F5011,辅助信息!A:B,2,FALSE)</f>
        <v>螺纹钢</v>
      </c>
      <c r="F5011" s="113" t="s">
        <v>46</v>
      </c>
      <c r="G5011" s="114">
        <v>9</v>
      </c>
      <c r="H5011" s="127" t="str">
        <f>IF(SUMIFS('[1]2025年已发货'!$E:$E,'[1]2025年已发货'!$F:$F,C5011,'[1]2025年已发货'!$C:$C,F5011,'[1]2025年已发货'!$G:$G,I5011,'[1]2025年已发货'!$H:$H,J5011)=0,"未发货",SUMIFS('[1]2025年已发货'!$E:$E,'[1]2025年已发货'!$F:$F,C5011,'[1]2025年已发货'!$C:$C,F5011,'[1]2025年已发货'!$G:$G,I5011,'[1]2025年已发货'!$H:$H,J5011))</f>
        <v>未发货</v>
      </c>
      <c r="I5011" s="149" t="str">
        <f>VLOOKUP(B5011,辅助信息!E:I,3,FALSE)</f>
        <v>(五冶钢构龙泉东洪片区85亩住宅、商业及配套工程项目三标段)成都市龙泉驿外东洪路地铁2号线惠王陵地铁C口</v>
      </c>
      <c r="J5011" s="113" t="str">
        <f>VLOOKUP(B5011,辅助信息!E:I,4,FALSE)</f>
        <v>王军宝</v>
      </c>
      <c r="K5011" s="113">
        <f>VLOOKUP(J5011,辅助信息!H:I,2,FALSE)</f>
        <v>13889142392</v>
      </c>
      <c r="L5011" s="115">
        <f>VLOOKUP(B5011,辅助信息!E:J,6,FALSE)</f>
        <v>0</v>
      </c>
      <c r="M5011" s="84">
        <v>45950</v>
      </c>
      <c r="O5011" s="55">
        <f ca="1">IF(OR(M5011="",N5011&lt;&gt;""),"",MAX(M5011-TODAY(),0))</f>
        <v>0</v>
      </c>
      <c r="P5011" s="55">
        <f ca="1">IF(M5011="","",IF(N5011&lt;&gt;"",MAX(N5011-M5011,0),IF(TODAY()&gt;M5011,TODAY()-M5011,0)))</f>
        <v>7</v>
      </c>
      <c r="Q5011" s="22" t="str">
        <f>VLOOKUP(B5011,辅助信息!E:M,9,FALSE)</f>
        <v>ZTWM-CDGS-XS-2025-0156-五冶钢构-2025年九月第一批次钢筋采购合同(三圣乡项目)-中铁物贸成都公司</v>
      </c>
      <c r="R5011" s="22" t="str">
        <f>_xlfn._xlws.FILTER(辅助信息!D:D,辅助信息!E:E=B5011)</f>
        <v>五冶钢构龙泉东洪片区85亩住宅、商业及配套工程项目三标段</v>
      </c>
    </row>
    <row r="5012" spans="2:18">
      <c r="B5012" s="129" t="s">
        <v>229</v>
      </c>
      <c r="C5012" s="63">
        <v>45957</v>
      </c>
      <c r="D5012" s="113" t="str">
        <f>VLOOKUP(B5012,辅助信息!E:K,7,FALSE)</f>
        <v>JWDDCD2025092400212</v>
      </c>
      <c r="E5012" s="113" t="str">
        <f>VLOOKUP(F5012,辅助信息!A:B,2,FALSE)</f>
        <v>螺纹钢</v>
      </c>
      <c r="F5012" s="113" t="s">
        <v>22</v>
      </c>
      <c r="G5012" s="114">
        <v>21</v>
      </c>
      <c r="H5012" s="127" t="str">
        <f>IF(SUMIFS('[1]2025年已发货'!$E:$E,'[1]2025年已发货'!$F:$F,C5012,'[1]2025年已发货'!$C:$C,F5012,'[1]2025年已发货'!$G:$G,I5012,'[1]2025年已发货'!$H:$H,J5012)=0,"未发货",SUMIFS('[1]2025年已发货'!$E:$E,'[1]2025年已发货'!$F:$F,C5012,'[1]2025年已发货'!$C:$C,F5012,'[1]2025年已发货'!$G:$G,I5012,'[1]2025年已发货'!$H:$H,J5012))</f>
        <v>未发货</v>
      </c>
      <c r="I5012" s="149" t="str">
        <f>VLOOKUP(B5012,辅助信息!E:I,3,FALSE)</f>
        <v>(五冶钢构龙泉东洪片区85亩住宅、商业及配套工程项目三标段)成都市龙泉驿外东洪路地铁2号线惠王陵地铁C口</v>
      </c>
      <c r="J5012" s="113" t="str">
        <f>VLOOKUP(B5012,辅助信息!E:I,4,FALSE)</f>
        <v>王军宝</v>
      </c>
      <c r="K5012" s="113">
        <f>VLOOKUP(J5012,辅助信息!H:I,2,FALSE)</f>
        <v>13889142392</v>
      </c>
      <c r="L5012" s="115">
        <f>VLOOKUP(B5012,辅助信息!E:J,6,FALSE)</f>
        <v>0</v>
      </c>
      <c r="M5012" s="84">
        <v>45950</v>
      </c>
      <c r="O5012" s="55">
        <f ca="1">IF(OR(M5012="",N5012&lt;&gt;""),"",MAX(M5012-TODAY(),0))</f>
        <v>0</v>
      </c>
      <c r="P5012" s="55">
        <f ca="1">IF(M5012="","",IF(N5012&lt;&gt;"",MAX(N5012-M5012,0),IF(TODAY()&gt;M5012,TODAY()-M5012,0)))</f>
        <v>7</v>
      </c>
      <c r="Q5012" s="22" t="str">
        <f>VLOOKUP(B5012,辅助信息!E:M,9,FALSE)</f>
        <v>ZTWM-CDGS-XS-2025-0156-五冶钢构-2025年九月第一批次钢筋采购合同(三圣乡项目)-中铁物贸成都公司</v>
      </c>
      <c r="R5012" s="22" t="str">
        <f>_xlfn._xlws.FILTER(辅助信息!D:D,辅助信息!E:E=B5012)</f>
        <v>五冶钢构龙泉东洪片区85亩住宅、商业及配套工程项目三标段</v>
      </c>
    </row>
    <row r="5013" spans="2:18">
      <c r="B5013" s="129" t="s">
        <v>228</v>
      </c>
      <c r="C5013" s="63">
        <v>45957</v>
      </c>
      <c r="D5013" s="113" t="str">
        <f>VLOOKUP(B5013,辅助信息!E:K,7,FALSE)</f>
        <v>JWDDCD2025092400190</v>
      </c>
      <c r="E5013" s="113" t="str">
        <f>VLOOKUP(F5013,辅助信息!A:B,2,FALSE)</f>
        <v>高线</v>
      </c>
      <c r="F5013" s="113" t="s">
        <v>53</v>
      </c>
      <c r="G5013" s="114">
        <v>2</v>
      </c>
      <c r="H5013" s="127" t="str">
        <f>IF(SUMIFS('[1]2025年已发货'!$E:$E,'[1]2025年已发货'!$F:$F,C5013,'[1]2025年已发货'!$C:$C,F5013,'[1]2025年已发货'!$G:$G,I5013,'[1]2025年已发货'!$H:$H,J5013)=0,"未发货",SUMIFS('[1]2025年已发货'!$E:$E,'[1]2025年已发货'!$F:$F,C5013,'[1]2025年已发货'!$C:$C,F5013,'[1]2025年已发货'!$G:$G,I5013,'[1]2025年已发货'!$H:$H,J5013))</f>
        <v>未发货</v>
      </c>
      <c r="I5013" s="149" t="str">
        <f>VLOOKUP(B5013,辅助信息!E:I,3,FALSE)</f>
        <v>(五冶钢构龙泉东洪片区70亩住宅、商业及配套工程项目二标段)成都市龙泉驿外东洪路地铁2号线惠王陵地铁C口</v>
      </c>
      <c r="J5013" s="113" t="str">
        <f>VLOOKUP(B5013,辅助信息!E:I,4,FALSE)</f>
        <v>蒋嗣伟</v>
      </c>
      <c r="K5013" s="113">
        <f>VLOOKUP(J5013,辅助信息!H:I,2,FALSE)</f>
        <v>15014331252</v>
      </c>
      <c r="L5013" s="115">
        <f>VLOOKUP(B5013,辅助信息!E:J,6,FALSE)</f>
        <v>0</v>
      </c>
      <c r="M5013" s="84">
        <v>45953</v>
      </c>
      <c r="O5013" s="55">
        <f ca="1">IF(OR(M5013="",N5013&lt;&gt;""),"",MAX(M5013-TODAY(),0))</f>
        <v>0</v>
      </c>
      <c r="P5013" s="55">
        <f ca="1">IF(M5013="","",IF(N5013&lt;&gt;"",MAX(N5013-M5013,0),IF(TODAY()&gt;M5013,TODAY()-M5013,0)))</f>
        <v>4</v>
      </c>
      <c r="Q5013" s="22" t="str">
        <f>VLOOKUP(B5013,辅助信息!E:M,9,FALSE)</f>
        <v>ZTWM-CDGS-XS-2025-0156-五冶钢构-2025年九月第一批次钢筋采购合同(三圣乡项目)-中铁物贸成都公司</v>
      </c>
      <c r="R5013" s="22" t="str">
        <f>_xlfn._xlws.FILTER(辅助信息!D:D,辅助信息!E:E=B5013)</f>
        <v>五冶钢构龙泉东洪片区70亩住宅、商业及配套工程项目二标段</v>
      </c>
    </row>
    <row r="5014" spans="2:18">
      <c r="B5014" s="129" t="s">
        <v>240</v>
      </c>
      <c r="C5014" s="63">
        <v>45957</v>
      </c>
      <c r="D5014" s="113" t="str">
        <f>VLOOKUP(B5014,辅助信息!E:K,7,FALSE)</f>
        <v>JWDDCD2025092400204</v>
      </c>
      <c r="E5014" s="113" t="str">
        <f>VLOOKUP(F5014,辅助信息!A:B,2,FALSE)</f>
        <v>螺纹钢</v>
      </c>
      <c r="F5014" s="113" t="s">
        <v>32</v>
      </c>
      <c r="G5014" s="114">
        <v>30</v>
      </c>
      <c r="H5014" s="127" t="str">
        <f>IF(SUMIFS('[1]2025年已发货'!$E:$E,'[1]2025年已发货'!$F:$F,C5014,'[1]2025年已发货'!$C:$C,F5014,'[1]2025年已发货'!$G:$G,I5014,'[1]2025年已发货'!$H:$H,J5014)=0,"未发货",SUMIFS('[1]2025年已发货'!$E:$E,'[1]2025年已发货'!$F:$F,C5014,'[1]2025年已发货'!$C:$C,F5014,'[1]2025年已发货'!$G:$G,I5014,'[1]2025年已发货'!$H:$H,J5014))</f>
        <v>未发货</v>
      </c>
      <c r="I5014" s="149" t="str">
        <f>VLOOKUP(B5014,辅助信息!E:I,3,FALSE)</f>
        <v>(五冶钢构龙泉东洪片区70亩住宅、商业及配套工程项目三标段)成都市龙泉驿外东洪路地铁2号线惠王陵地铁C口</v>
      </c>
      <c r="J5014" s="113" t="str">
        <f>VLOOKUP(B5014,辅助信息!E:I,4,FALSE)</f>
        <v>蒋嗣伟</v>
      </c>
      <c r="K5014" s="113">
        <f>VLOOKUP(J5014,辅助信息!H:I,2,FALSE)</f>
        <v>15014331252</v>
      </c>
      <c r="L5014" s="115">
        <f>VLOOKUP(B5014,辅助信息!E:J,6,FALSE)</f>
        <v>0</v>
      </c>
      <c r="M5014" s="84">
        <v>45954</v>
      </c>
      <c r="O5014" s="55">
        <f ca="1">IF(OR(M5014="",N5014&lt;&gt;""),"",MAX(M5014-TODAY(),0))</f>
        <v>0</v>
      </c>
      <c r="P5014" s="55">
        <f ca="1">IF(M5014="","",IF(N5014&lt;&gt;"",MAX(N5014-M5014,0),IF(TODAY()&gt;M5014,TODAY()-M5014,0)))</f>
        <v>3</v>
      </c>
      <c r="Q5014" s="22" t="str">
        <f>VLOOKUP(B5014,辅助信息!E:M,9,FALSE)</f>
        <v>ZTWM-CDGS-XS-2025-0156-五冶钢构-2025年九月第一批次钢筋采购合同(三圣乡项目)-中铁物贸成都公司</v>
      </c>
      <c r="R5014" s="22" t="str">
        <f>_xlfn._xlws.FILTER(辅助信息!D:D,辅助信息!E:E=B5014)</f>
        <v>五冶钢构龙泉东洪片区70亩住宅、商业及配套工程项目三标段</v>
      </c>
    </row>
    <row r="5015" spans="2:18">
      <c r="B5015" s="129" t="s">
        <v>240</v>
      </c>
      <c r="C5015" s="63">
        <v>45957</v>
      </c>
      <c r="D5015" s="113" t="str">
        <f>VLOOKUP(B5015,辅助信息!E:K,7,FALSE)</f>
        <v>JWDDCD2025092400204</v>
      </c>
      <c r="E5015" s="113" t="str">
        <f>VLOOKUP(F5015,辅助信息!A:B,2,FALSE)</f>
        <v>螺纹钢</v>
      </c>
      <c r="F5015" s="113" t="s">
        <v>30</v>
      </c>
      <c r="G5015" s="114">
        <v>6</v>
      </c>
      <c r="H5015" s="127" t="str">
        <f>IF(SUMIFS('[1]2025年已发货'!$E:$E,'[1]2025年已发货'!$F:$F,C5015,'[1]2025年已发货'!$C:$C,F5015,'[1]2025年已发货'!$G:$G,I5015,'[1]2025年已发货'!$H:$H,J5015)=0,"未发货",SUMIFS('[1]2025年已发货'!$E:$E,'[1]2025年已发货'!$F:$F,C5015,'[1]2025年已发货'!$C:$C,F5015,'[1]2025年已发货'!$G:$G,I5015,'[1]2025年已发货'!$H:$H,J5015))</f>
        <v>未发货</v>
      </c>
      <c r="I5015" s="149" t="str">
        <f>VLOOKUP(B5015,辅助信息!E:I,3,FALSE)</f>
        <v>(五冶钢构龙泉东洪片区70亩住宅、商业及配套工程项目三标段)成都市龙泉驿外东洪路地铁2号线惠王陵地铁C口</v>
      </c>
      <c r="J5015" s="113" t="str">
        <f>VLOOKUP(B5015,辅助信息!E:I,4,FALSE)</f>
        <v>蒋嗣伟</v>
      </c>
      <c r="K5015" s="113">
        <f>VLOOKUP(J5015,辅助信息!H:I,2,FALSE)</f>
        <v>15014331252</v>
      </c>
      <c r="L5015" s="115">
        <f>VLOOKUP(B5015,辅助信息!E:J,6,FALSE)</f>
        <v>0</v>
      </c>
      <c r="M5015" s="84">
        <v>45954</v>
      </c>
      <c r="O5015" s="55">
        <f ca="1">IF(OR(M5015="",N5015&lt;&gt;""),"",MAX(M5015-TODAY(),0))</f>
        <v>0</v>
      </c>
      <c r="P5015" s="55">
        <f ca="1">IF(M5015="","",IF(N5015&lt;&gt;"",MAX(N5015-M5015,0),IF(TODAY()&gt;M5015,TODAY()-M5015,0)))</f>
        <v>3</v>
      </c>
      <c r="Q5015" s="22" t="str">
        <f>VLOOKUP(B5015,辅助信息!E:M,9,FALSE)</f>
        <v>ZTWM-CDGS-XS-2025-0156-五冶钢构-2025年九月第一批次钢筋采购合同(三圣乡项目)-中铁物贸成都公司</v>
      </c>
      <c r="R5015" s="22" t="str">
        <f>_xlfn._xlws.FILTER(辅助信息!D:D,辅助信息!E:E=B5015)</f>
        <v>五冶钢构龙泉东洪片区70亩住宅、商业及配套工程项目三标段</v>
      </c>
    </row>
    <row r="5016" spans="2:18">
      <c r="B5016" s="129" t="s">
        <v>225</v>
      </c>
      <c r="C5016" s="63">
        <v>45957</v>
      </c>
      <c r="D5016" s="113" t="str">
        <f>VLOOKUP(B5016,辅助信息!E:K,7,FALSE)</f>
        <v>JWDDCD2025092400210</v>
      </c>
      <c r="E5016" s="113" t="str">
        <f>VLOOKUP(F5016,辅助信息!A:B,2,FALSE)</f>
        <v>盘螺</v>
      </c>
      <c r="F5016" s="113" t="s">
        <v>40</v>
      </c>
      <c r="G5016" s="114">
        <v>35</v>
      </c>
      <c r="H5016" s="127" t="str">
        <f>IF(SUMIFS('[1]2025年已发货'!$E:$E,'[1]2025年已发货'!$F:$F,C5016,'[1]2025年已发货'!$C:$C,F5016,'[1]2025年已发货'!$G:$G,I5016,'[1]2025年已发货'!$H:$H,J5016)=0,"未发货",SUMIFS('[1]2025年已发货'!$E:$E,'[1]2025年已发货'!$F:$F,C5016,'[1]2025年已发货'!$C:$C,F5016,'[1]2025年已发货'!$G:$G,I5016,'[1]2025年已发货'!$H:$H,J5016))</f>
        <v>未发货</v>
      </c>
      <c r="I5016" s="149" t="str">
        <f>VLOOKUP(B5016,辅助信息!E:I,3,FALSE)</f>
        <v>(五冶钢构龙泉东洪片区85亩住宅、商业及配套工程项目一标段)成都市龙泉驿外东洪路地铁2号线惠王陵地铁C口</v>
      </c>
      <c r="J5016" s="113" t="str">
        <f>VLOOKUP(B5016,辅助信息!E:I,4,FALSE)</f>
        <v>岳工</v>
      </c>
      <c r="K5016" s="113">
        <f>VLOOKUP(J5016,辅助信息!H:I,2,FALSE)</f>
        <v>18599951655</v>
      </c>
      <c r="L5016" s="115">
        <f>VLOOKUP(B5016,辅助信息!E:J,6,FALSE)</f>
        <v>0</v>
      </c>
      <c r="M5016" s="84">
        <v>45954</v>
      </c>
      <c r="O5016" s="55">
        <f ca="1">IF(OR(M5016="",N5016&lt;&gt;""),"",MAX(M5016-TODAY(),0))</f>
        <v>0</v>
      </c>
      <c r="P5016" s="55">
        <f ca="1">IF(M5016="","",IF(N5016&lt;&gt;"",MAX(N5016-M5016,0),IF(TODAY()&gt;M5016,TODAY()-M5016,0)))</f>
        <v>3</v>
      </c>
      <c r="Q5016" s="22" t="str">
        <f>VLOOKUP(B5016,辅助信息!E:M,9,FALSE)</f>
        <v>ZTWM-CDGS-XS-2025-0156-五冶钢构-2025年九月第一批次钢筋采购合同(三圣乡项目)-中铁物贸成都公司</v>
      </c>
      <c r="R5016" s="22" t="str">
        <f>_xlfn._xlws.FILTER(辅助信息!D:D,辅助信息!E:E=B5016)</f>
        <v>五冶钢构龙泉东洪片区85亩住宅、商业及配套工程项目一标段</v>
      </c>
    </row>
    <row r="5017" spans="2:18">
      <c r="B5017" s="128" t="s">
        <v>150</v>
      </c>
      <c r="C5017" s="63">
        <v>45957</v>
      </c>
      <c r="D5017" s="33" t="str">
        <f>VLOOKUP(B5017,辅助信息!E:K,7,FALSE)</f>
        <v>JWDDCD2025050800101</v>
      </c>
      <c r="E5017" s="33" t="str">
        <f>VLOOKUP(F5017,辅助信息!A:B,2,FALSE)</f>
        <v>盘螺</v>
      </c>
      <c r="F5017" s="33" t="s">
        <v>41</v>
      </c>
      <c r="G5017" s="29">
        <v>20</v>
      </c>
      <c r="H5017" s="127" t="str">
        <f>IF(SUMIFS('[1]2025年已发货'!$E:$E,'[1]2025年已发货'!$F:$F,C5017,'[1]2025年已发货'!$C:$C,F5017,'[1]2025年已发货'!$G:$G,I5017,'[1]2025年已发货'!$H:$H,J5017)=0,"未发货",SUMIFS('[1]2025年已发货'!$E:$E,'[1]2025年已发货'!$F:$F,C5017,'[1]2025年已发货'!$C:$C,F5017,'[1]2025年已发货'!$G:$G,I5017,'[1]2025年已发货'!$H:$H,J5017))</f>
        <v>未发货</v>
      </c>
      <c r="I5017" s="32" t="str">
        <f>VLOOKUP(B5017,辅助信息!E:I,3,FALSE)</f>
        <v>(中铁科研院宜宾泥溪项目)中铁科研院集团有限公司宜宾市泥溪东互通式立交下穿成贵客专铁路工程项目钢筋加工厂</v>
      </c>
      <c r="J5017" s="33" t="str">
        <f>VLOOKUP(B5017,辅助信息!E:I,4,FALSE)</f>
        <v>蔡鹏</v>
      </c>
      <c r="K5017" s="33">
        <f>VLOOKUP(J5017,辅助信息!H:I,2,FALSE)</f>
        <v>19130850820</v>
      </c>
      <c r="L5017" s="102" t="str">
        <f>VLOOKUP(B5017,辅助信息!E:J,6,FALSE)</f>
        <v>装货前联系收货人核实到场规格，货物最下面用方木垫下方便卸货</v>
      </c>
      <c r="M5017" s="84">
        <v>45954</v>
      </c>
      <c r="O5017" s="55">
        <f ca="1">IF(OR(M5017="",N5017&lt;&gt;""),"",MAX(M5017-TODAY(),0))</f>
        <v>0</v>
      </c>
      <c r="P5017" s="55">
        <f ca="1">IF(M5017="","",IF(N5017&lt;&gt;"",MAX(N5017-M5017,0),IF(TODAY()&gt;M5017,TODAY()-M5017,0)))</f>
        <v>3</v>
      </c>
      <c r="Q5017" s="22" t="str">
        <f>VLOOKUP(B5017,辅助信息!E:M,9,FALSE)</f>
        <v>ZTWM-CDGS-XS-2025-0050-中铁科研院-宜宾泥溪项目</v>
      </c>
      <c r="R5017" s="22" t="str">
        <f>_xlfn._xlws.FILTER(辅助信息!D:D,辅助信息!E:E=B5017)</f>
        <v>中铁科研院宜宾泥溪项目</v>
      </c>
    </row>
    <row r="5018" spans="2:18">
      <c r="B5018" s="128" t="s">
        <v>150</v>
      </c>
      <c r="C5018" s="63">
        <v>45957</v>
      </c>
      <c r="D5018" s="33" t="str">
        <f>VLOOKUP(B5018,辅助信息!E:K,7,FALSE)</f>
        <v>JWDDCD2025050800101</v>
      </c>
      <c r="E5018" s="33" t="str">
        <f>VLOOKUP(F5018,辅助信息!A:B,2,FALSE)</f>
        <v>盘螺</v>
      </c>
      <c r="F5018" s="33" t="s">
        <v>26</v>
      </c>
      <c r="G5018" s="29">
        <v>40</v>
      </c>
      <c r="H5018" s="127" t="str">
        <f>IF(SUMIFS('[1]2025年已发货'!$E:$E,'[1]2025年已发货'!$F:$F,C5018,'[1]2025年已发货'!$C:$C,F5018,'[1]2025年已发货'!$G:$G,I5018,'[1]2025年已发货'!$H:$H,J5018)=0,"未发货",SUMIFS('[1]2025年已发货'!$E:$E,'[1]2025年已发货'!$F:$F,C5018,'[1]2025年已发货'!$C:$C,F5018,'[1]2025年已发货'!$G:$G,I5018,'[1]2025年已发货'!$H:$H,J5018))</f>
        <v>未发货</v>
      </c>
      <c r="I5018" s="32" t="str">
        <f>VLOOKUP(B5018,辅助信息!E:I,3,FALSE)</f>
        <v>(中铁科研院宜宾泥溪项目)中铁科研院集团有限公司宜宾市泥溪东互通式立交下穿成贵客专铁路工程项目钢筋加工厂</v>
      </c>
      <c r="J5018" s="33" t="str">
        <f>VLOOKUP(B5018,辅助信息!E:I,4,FALSE)</f>
        <v>蔡鹏</v>
      </c>
      <c r="K5018" s="33">
        <f>VLOOKUP(J5018,辅助信息!H:I,2,FALSE)</f>
        <v>19130850820</v>
      </c>
      <c r="L5018" s="102" t="str">
        <f>VLOOKUP(B5018,辅助信息!E:J,6,FALSE)</f>
        <v>装货前联系收货人核实到场规格，货物最下面用方木垫下方便卸货</v>
      </c>
      <c r="M5018" s="84">
        <v>45954</v>
      </c>
      <c r="O5018" s="55">
        <f ca="1">IF(OR(M5018="",N5018&lt;&gt;""),"",MAX(M5018-TODAY(),0))</f>
        <v>0</v>
      </c>
      <c r="P5018" s="55">
        <f ca="1">IF(M5018="","",IF(N5018&lt;&gt;"",MAX(N5018-M5018,0),IF(TODAY()&gt;M5018,TODAY()-M5018,0)))</f>
        <v>3</v>
      </c>
      <c r="Q5018" s="22" t="str">
        <f>VLOOKUP(B5018,辅助信息!E:M,9,FALSE)</f>
        <v>ZTWM-CDGS-XS-2025-0050-中铁科研院-宜宾泥溪项目</v>
      </c>
      <c r="R5018" s="22" t="str">
        <f>_xlfn._xlws.FILTER(辅助信息!D:D,辅助信息!E:E=B5018)</f>
        <v>中铁科研院宜宾泥溪项目</v>
      </c>
    </row>
    <row r="5019" spans="2:18">
      <c r="B5019" s="128" t="s">
        <v>150</v>
      </c>
      <c r="C5019" s="63">
        <v>45957</v>
      </c>
      <c r="D5019" s="33" t="str">
        <f>VLOOKUP(B5019,辅助信息!E:K,7,FALSE)</f>
        <v>JWDDCD2025050800101</v>
      </c>
      <c r="E5019" s="33" t="str">
        <f>VLOOKUP(F5019,辅助信息!A:B,2,FALSE)</f>
        <v>螺纹钢</v>
      </c>
      <c r="F5019" s="33" t="s">
        <v>32</v>
      </c>
      <c r="G5019" s="29">
        <v>11</v>
      </c>
      <c r="H5019" s="127" t="str">
        <f>IF(SUMIFS('[1]2025年已发货'!$E:$E,'[1]2025年已发货'!$F:$F,C5019,'[1]2025年已发货'!$C:$C,F5019,'[1]2025年已发货'!$G:$G,I5019,'[1]2025年已发货'!$H:$H,J5019)=0,"未发货",SUMIFS('[1]2025年已发货'!$E:$E,'[1]2025年已发货'!$F:$F,C5019,'[1]2025年已发货'!$C:$C,F5019,'[1]2025年已发货'!$G:$G,I5019,'[1]2025年已发货'!$H:$H,J5019))</f>
        <v>未发货</v>
      </c>
      <c r="I5019" s="32" t="str">
        <f>VLOOKUP(B5019,辅助信息!E:I,3,FALSE)</f>
        <v>(中铁科研院宜宾泥溪项目)中铁科研院集团有限公司宜宾市泥溪东互通式立交下穿成贵客专铁路工程项目钢筋加工厂</v>
      </c>
      <c r="J5019" s="33" t="str">
        <f>VLOOKUP(B5019,辅助信息!E:I,4,FALSE)</f>
        <v>蔡鹏</v>
      </c>
      <c r="K5019" s="33">
        <f>VLOOKUP(J5019,辅助信息!H:I,2,FALSE)</f>
        <v>19130850820</v>
      </c>
      <c r="L5019" s="102" t="str">
        <f>VLOOKUP(B5019,辅助信息!E:J,6,FALSE)</f>
        <v>装货前联系收货人核实到场规格，货物最下面用方木垫下方便卸货</v>
      </c>
      <c r="M5019" s="84">
        <v>45954</v>
      </c>
      <c r="O5019" s="55">
        <f ca="1">IF(OR(M5019="",N5019&lt;&gt;""),"",MAX(M5019-TODAY(),0))</f>
        <v>0</v>
      </c>
      <c r="P5019" s="55">
        <f ca="1">IF(M5019="","",IF(N5019&lt;&gt;"",MAX(N5019-M5019,0),IF(TODAY()&gt;M5019,TODAY()-M5019,0)))</f>
        <v>3</v>
      </c>
      <c r="Q5019" s="22" t="str">
        <f>VLOOKUP(B5019,辅助信息!E:M,9,FALSE)</f>
        <v>ZTWM-CDGS-XS-2025-0050-中铁科研院-宜宾泥溪项目</v>
      </c>
      <c r="R5019" s="22" t="str">
        <f>_xlfn._xlws.FILTER(辅助信息!D:D,辅助信息!E:E=B5019)</f>
        <v>中铁科研院宜宾泥溪项目</v>
      </c>
    </row>
    <row r="5020" spans="2:18">
      <c r="B5020" s="128" t="s">
        <v>224</v>
      </c>
      <c r="C5020" s="63">
        <v>45957</v>
      </c>
      <c r="D5020" s="33" t="str">
        <f>VLOOKUP(B5020,辅助信息!E:K,7,FALSE)</f>
        <v>JWDDCD2025092400188</v>
      </c>
      <c r="E5020" s="33" t="str">
        <f>VLOOKUP(F5020,辅助信息!A:B,2,FALSE)</f>
        <v>盘螺</v>
      </c>
      <c r="F5020" s="33" t="s">
        <v>26</v>
      </c>
      <c r="G5020" s="29">
        <v>35</v>
      </c>
      <c r="H5020" s="127" t="str">
        <f>IF(SUMIFS('[1]2025年已发货'!$E:$E,'[1]2025年已发货'!$F:$F,C5020,'[1]2025年已发货'!$C:$C,F5020,'[1]2025年已发货'!$G:$G,I5020,'[1]2025年已发货'!$H:$H,J5020)=0,"未发货",SUMIFS('[1]2025年已发货'!$E:$E,'[1]2025年已发货'!$F:$F,C5020,'[1]2025年已发货'!$C:$C,F5020,'[1]2025年已发货'!$G:$G,I5020,'[1]2025年已发货'!$H:$H,J5020))</f>
        <v>未发货</v>
      </c>
      <c r="I5020" s="32" t="str">
        <f>VLOOKUP(B5020,辅助信息!E:I,3,FALSE)</f>
        <v>(五冶钢构龙泉东洪片区70亩住宅、商业及配套工程项目一标段)成都市龙泉驿外东洪路地铁2号线惠王陵地铁C口</v>
      </c>
      <c r="J5020" s="33" t="str">
        <f>VLOOKUP(B5020,辅助信息!E:I,4,FALSE)</f>
        <v>邹爱国</v>
      </c>
      <c r="K5020" s="33">
        <f>VLOOKUP(J5020,辅助信息!H:I,2,FALSE)</f>
        <v>13540231225</v>
      </c>
      <c r="L5020" s="102">
        <f>VLOOKUP(B5020,辅助信息!E:J,6,FALSE)</f>
        <v>0</v>
      </c>
      <c r="M5020" s="84">
        <v>45954</v>
      </c>
      <c r="O5020" s="55">
        <f ca="1">IF(OR(M5020="",N5020&lt;&gt;""),"",MAX(M5020-TODAY(),0))</f>
        <v>0</v>
      </c>
      <c r="P5020" s="55">
        <f ca="1">IF(M5020="","",IF(N5020&lt;&gt;"",MAX(N5020-M5020,0),IF(TODAY()&gt;M5020,TODAY()-M5020,0)))</f>
        <v>3</v>
      </c>
      <c r="Q5020" s="22" t="str">
        <f>VLOOKUP(B5020,辅助信息!E:M,9,FALSE)</f>
        <v>ZTWM-CDGS-XS-2025-0156-五冶钢构-2025年九月第一批次钢筋采购合同(三圣乡项目)-中铁物贸成都公司</v>
      </c>
      <c r="R5020" s="22" t="str">
        <f>_xlfn._xlws.FILTER(辅助信息!D:D,辅助信息!E:E=B5020)</f>
        <v>五冶钢构龙泉东洪片区70亩住宅、商业及配套工程项目一标段</v>
      </c>
    </row>
    <row r="5021" spans="2:18">
      <c r="B5021" s="128" t="s">
        <v>224</v>
      </c>
      <c r="C5021" s="63">
        <v>45957</v>
      </c>
      <c r="D5021" s="33" t="str">
        <f>VLOOKUP(B5021,辅助信息!E:K,7,FALSE)</f>
        <v>JWDDCD2025092400188</v>
      </c>
      <c r="E5021" s="33" t="str">
        <f>VLOOKUP(F5021,辅助信息!A:B,2,FALSE)</f>
        <v>螺纹钢</v>
      </c>
      <c r="F5021" s="33" t="s">
        <v>27</v>
      </c>
      <c r="G5021" s="29">
        <v>10</v>
      </c>
      <c r="H5021" s="127" t="str">
        <f>IF(SUMIFS('[1]2025年已发货'!$E:$E,'[1]2025年已发货'!$F:$F,C5021,'[1]2025年已发货'!$C:$C,F5021,'[1]2025年已发货'!$G:$G,I5021,'[1]2025年已发货'!$H:$H,J5021)=0,"未发货",SUMIFS('[1]2025年已发货'!$E:$E,'[1]2025年已发货'!$F:$F,C5021,'[1]2025年已发货'!$C:$C,F5021,'[1]2025年已发货'!$G:$G,I5021,'[1]2025年已发货'!$H:$H,J5021))</f>
        <v>未发货</v>
      </c>
      <c r="I5021" s="32" t="str">
        <f>VLOOKUP(B5021,辅助信息!E:I,3,FALSE)</f>
        <v>(五冶钢构龙泉东洪片区70亩住宅、商业及配套工程项目一标段)成都市龙泉驿外东洪路地铁2号线惠王陵地铁C口</v>
      </c>
      <c r="J5021" s="33" t="str">
        <f>VLOOKUP(B5021,辅助信息!E:I,4,FALSE)</f>
        <v>邹爱国</v>
      </c>
      <c r="K5021" s="33">
        <f>VLOOKUP(J5021,辅助信息!H:I,2,FALSE)</f>
        <v>13540231225</v>
      </c>
      <c r="L5021" s="102">
        <f>VLOOKUP(B5021,辅助信息!E:J,6,FALSE)</f>
        <v>0</v>
      </c>
      <c r="M5021" s="84">
        <v>45954</v>
      </c>
      <c r="O5021" s="55">
        <f ca="1">IF(OR(M5021="",N5021&lt;&gt;""),"",MAX(M5021-TODAY(),0))</f>
        <v>0</v>
      </c>
      <c r="P5021" s="55">
        <f ca="1">IF(M5021="","",IF(N5021&lt;&gt;"",MAX(N5021-M5021,0),IF(TODAY()&gt;M5021,TODAY()-M5021,0)))</f>
        <v>3</v>
      </c>
      <c r="Q5021" s="22" t="str">
        <f>VLOOKUP(B5021,辅助信息!E:M,9,FALSE)</f>
        <v>ZTWM-CDGS-XS-2025-0156-五冶钢构-2025年九月第一批次钢筋采购合同(三圣乡项目)-中铁物贸成都公司</v>
      </c>
      <c r="R5021" s="22" t="str">
        <f>_xlfn._xlws.FILTER(辅助信息!D:D,辅助信息!E:E=B5021)</f>
        <v>五冶钢构龙泉东洪片区70亩住宅、商业及配套工程项目一标段</v>
      </c>
    </row>
    <row r="5022" spans="2:18">
      <c r="B5022" s="128" t="s">
        <v>224</v>
      </c>
      <c r="C5022" s="63">
        <v>45957</v>
      </c>
      <c r="D5022" s="33" t="str">
        <f>VLOOKUP(B5022,辅助信息!E:K,7,FALSE)</f>
        <v>JWDDCD2025092400188</v>
      </c>
      <c r="E5022" s="33" t="str">
        <f>VLOOKUP(F5022,辅助信息!A:B,2,FALSE)</f>
        <v>螺纹钢</v>
      </c>
      <c r="F5022" s="33" t="s">
        <v>19</v>
      </c>
      <c r="G5022" s="29">
        <v>10</v>
      </c>
      <c r="H5022" s="127" t="str">
        <f>IF(SUMIFS('[1]2025年已发货'!$E:$E,'[1]2025年已发货'!$F:$F,C5022,'[1]2025年已发货'!$C:$C,F5022,'[1]2025年已发货'!$G:$G,I5022,'[1]2025年已发货'!$H:$H,J5022)=0,"未发货",SUMIFS('[1]2025年已发货'!$E:$E,'[1]2025年已发货'!$F:$F,C5022,'[1]2025年已发货'!$C:$C,F5022,'[1]2025年已发货'!$G:$G,I5022,'[1]2025年已发货'!$H:$H,J5022))</f>
        <v>未发货</v>
      </c>
      <c r="I5022" s="32" t="str">
        <f>VLOOKUP(B5022,辅助信息!E:I,3,FALSE)</f>
        <v>(五冶钢构龙泉东洪片区70亩住宅、商业及配套工程项目一标段)成都市龙泉驿外东洪路地铁2号线惠王陵地铁C口</v>
      </c>
      <c r="J5022" s="33" t="str">
        <f>VLOOKUP(B5022,辅助信息!E:I,4,FALSE)</f>
        <v>邹爱国</v>
      </c>
      <c r="K5022" s="33">
        <f>VLOOKUP(J5022,辅助信息!H:I,2,FALSE)</f>
        <v>13540231225</v>
      </c>
      <c r="L5022" s="102">
        <f>VLOOKUP(B5022,辅助信息!E:J,6,FALSE)</f>
        <v>0</v>
      </c>
      <c r="M5022" s="84">
        <v>45954</v>
      </c>
      <c r="O5022" s="55">
        <f ca="1">IF(OR(M5022="",N5022&lt;&gt;""),"",MAX(M5022-TODAY(),0))</f>
        <v>0</v>
      </c>
      <c r="P5022" s="55">
        <f ca="1">IF(M5022="","",IF(N5022&lt;&gt;"",MAX(N5022-M5022,0),IF(TODAY()&gt;M5022,TODAY()-M5022,0)))</f>
        <v>3</v>
      </c>
      <c r="Q5022" s="22" t="str">
        <f>VLOOKUP(B5022,辅助信息!E:M,9,FALSE)</f>
        <v>ZTWM-CDGS-XS-2025-0156-五冶钢构-2025年九月第一批次钢筋采购合同(三圣乡项目)-中铁物贸成都公司</v>
      </c>
      <c r="R5022" s="22" t="str">
        <f>_xlfn._xlws.FILTER(辅助信息!D:D,辅助信息!E:E=B5022)</f>
        <v>五冶钢构龙泉东洪片区70亩住宅、商业及配套工程项目一标段</v>
      </c>
    </row>
    <row r="5023" spans="2:18">
      <c r="B5023" s="128" t="s">
        <v>224</v>
      </c>
      <c r="C5023" s="63">
        <v>45957</v>
      </c>
      <c r="D5023" s="33" t="str">
        <f>VLOOKUP(B5023,辅助信息!E:K,7,FALSE)</f>
        <v>JWDDCD2025092400188</v>
      </c>
      <c r="E5023" s="33" t="str">
        <f>VLOOKUP(F5023,辅助信息!A:B,2,FALSE)</f>
        <v>螺纹钢</v>
      </c>
      <c r="F5023" s="33" t="s">
        <v>32</v>
      </c>
      <c r="G5023" s="29">
        <v>10</v>
      </c>
      <c r="H5023" s="127" t="str">
        <f>IF(SUMIFS('[1]2025年已发货'!$E:$E,'[1]2025年已发货'!$F:$F,C5023,'[1]2025年已发货'!$C:$C,F5023,'[1]2025年已发货'!$G:$G,I5023,'[1]2025年已发货'!$H:$H,J5023)=0,"未发货",SUMIFS('[1]2025年已发货'!$E:$E,'[1]2025年已发货'!$F:$F,C5023,'[1]2025年已发货'!$C:$C,F5023,'[1]2025年已发货'!$G:$G,I5023,'[1]2025年已发货'!$H:$H,J5023))</f>
        <v>未发货</v>
      </c>
      <c r="I5023" s="32" t="str">
        <f>VLOOKUP(B5023,辅助信息!E:I,3,FALSE)</f>
        <v>(五冶钢构龙泉东洪片区70亩住宅、商业及配套工程项目一标段)成都市龙泉驿外东洪路地铁2号线惠王陵地铁C口</v>
      </c>
      <c r="J5023" s="33" t="str">
        <f>VLOOKUP(B5023,辅助信息!E:I,4,FALSE)</f>
        <v>邹爱国</v>
      </c>
      <c r="K5023" s="33">
        <f>VLOOKUP(J5023,辅助信息!H:I,2,FALSE)</f>
        <v>13540231225</v>
      </c>
      <c r="L5023" s="102">
        <f>VLOOKUP(B5023,辅助信息!E:J,6,FALSE)</f>
        <v>0</v>
      </c>
      <c r="M5023" s="84">
        <v>45954</v>
      </c>
      <c r="O5023" s="55">
        <f ca="1">IF(OR(M5023="",N5023&lt;&gt;""),"",MAX(M5023-TODAY(),0))</f>
        <v>0</v>
      </c>
      <c r="P5023" s="55">
        <f ca="1">IF(M5023="","",IF(N5023&lt;&gt;"",MAX(N5023-M5023,0),IF(TODAY()&gt;M5023,TODAY()-M5023,0)))</f>
        <v>3</v>
      </c>
      <c r="Q5023" s="22" t="str">
        <f>VLOOKUP(B5023,辅助信息!E:M,9,FALSE)</f>
        <v>ZTWM-CDGS-XS-2025-0156-五冶钢构-2025年九月第一批次钢筋采购合同(三圣乡项目)-中铁物贸成都公司</v>
      </c>
      <c r="R5023" s="22" t="str">
        <f>_xlfn._xlws.FILTER(辅助信息!D:D,辅助信息!E:E=B5023)</f>
        <v>五冶钢构龙泉东洪片区70亩住宅、商业及配套工程项目一标段</v>
      </c>
    </row>
    <row r="5024" spans="2:18">
      <c r="B5024" s="128" t="s">
        <v>224</v>
      </c>
      <c r="C5024" s="63">
        <v>45957</v>
      </c>
      <c r="D5024" s="33" t="str">
        <f>VLOOKUP(B5024,辅助信息!E:K,7,FALSE)</f>
        <v>JWDDCD2025092400188</v>
      </c>
      <c r="E5024" s="33" t="str">
        <f>VLOOKUP(F5024,辅助信息!A:B,2,FALSE)</f>
        <v>螺纹钢</v>
      </c>
      <c r="F5024" s="33" t="s">
        <v>30</v>
      </c>
      <c r="G5024" s="29">
        <v>10</v>
      </c>
      <c r="H5024" s="127" t="str">
        <f>IF(SUMIFS('[1]2025年已发货'!$E:$E,'[1]2025年已发货'!$F:$F,C5024,'[1]2025年已发货'!$C:$C,F5024,'[1]2025年已发货'!$G:$G,I5024,'[1]2025年已发货'!$H:$H,J5024)=0,"未发货",SUMIFS('[1]2025年已发货'!$E:$E,'[1]2025年已发货'!$F:$F,C5024,'[1]2025年已发货'!$C:$C,F5024,'[1]2025年已发货'!$G:$G,I5024,'[1]2025年已发货'!$H:$H,J5024))</f>
        <v>未发货</v>
      </c>
      <c r="I5024" s="32" t="str">
        <f>VLOOKUP(B5024,辅助信息!E:I,3,FALSE)</f>
        <v>(五冶钢构龙泉东洪片区70亩住宅、商业及配套工程项目一标段)成都市龙泉驿外东洪路地铁2号线惠王陵地铁C口</v>
      </c>
      <c r="J5024" s="33" t="str">
        <f>VLOOKUP(B5024,辅助信息!E:I,4,FALSE)</f>
        <v>邹爱国</v>
      </c>
      <c r="K5024" s="33">
        <f>VLOOKUP(J5024,辅助信息!H:I,2,FALSE)</f>
        <v>13540231225</v>
      </c>
      <c r="L5024" s="102">
        <f>VLOOKUP(B5024,辅助信息!E:J,6,FALSE)</f>
        <v>0</v>
      </c>
      <c r="M5024" s="84">
        <v>45954</v>
      </c>
      <c r="O5024" s="55">
        <f ca="1">IF(OR(M5024="",N5024&lt;&gt;""),"",MAX(M5024-TODAY(),0))</f>
        <v>0</v>
      </c>
      <c r="P5024" s="55">
        <f ca="1">IF(M5024="","",IF(N5024&lt;&gt;"",MAX(N5024-M5024,0),IF(TODAY()&gt;M5024,TODAY()-M5024,0)))</f>
        <v>3</v>
      </c>
      <c r="Q5024" s="22" t="str">
        <f>VLOOKUP(B5024,辅助信息!E:M,9,FALSE)</f>
        <v>ZTWM-CDGS-XS-2025-0156-五冶钢构-2025年九月第一批次钢筋采购合同(三圣乡项目)-中铁物贸成都公司</v>
      </c>
      <c r="R5024" s="22" t="str">
        <f>_xlfn._xlws.FILTER(辅助信息!D:D,辅助信息!E:E=B5024)</f>
        <v>五冶钢构龙泉东洪片区70亩住宅、商业及配套工程项目一标段</v>
      </c>
    </row>
    <row r="5025" spans="2:18">
      <c r="B5025" s="128" t="s">
        <v>224</v>
      </c>
      <c r="C5025" s="63">
        <v>45957</v>
      </c>
      <c r="D5025" s="33" t="str">
        <f>VLOOKUP(B5025,辅助信息!E:K,7,FALSE)</f>
        <v>JWDDCD2025092400188</v>
      </c>
      <c r="E5025" s="33" t="str">
        <f>VLOOKUP(F5025,辅助信息!A:B,2,FALSE)</f>
        <v>螺纹钢</v>
      </c>
      <c r="F5025" s="33" t="s">
        <v>33</v>
      </c>
      <c r="G5025" s="29">
        <v>10</v>
      </c>
      <c r="H5025" s="127" t="str">
        <f>IF(SUMIFS('[1]2025年已发货'!$E:$E,'[1]2025年已发货'!$F:$F,C5025,'[1]2025年已发货'!$C:$C,F5025,'[1]2025年已发货'!$G:$G,I5025,'[1]2025年已发货'!$H:$H,J5025)=0,"未发货",SUMIFS('[1]2025年已发货'!$E:$E,'[1]2025年已发货'!$F:$F,C5025,'[1]2025年已发货'!$C:$C,F5025,'[1]2025年已发货'!$G:$G,I5025,'[1]2025年已发货'!$H:$H,J5025))</f>
        <v>未发货</v>
      </c>
      <c r="I5025" s="32" t="str">
        <f>VLOOKUP(B5025,辅助信息!E:I,3,FALSE)</f>
        <v>(五冶钢构龙泉东洪片区70亩住宅、商业及配套工程项目一标段)成都市龙泉驿外东洪路地铁2号线惠王陵地铁C口</v>
      </c>
      <c r="J5025" s="33" t="str">
        <f>VLOOKUP(B5025,辅助信息!E:I,4,FALSE)</f>
        <v>邹爱国</v>
      </c>
      <c r="K5025" s="33">
        <f>VLOOKUP(J5025,辅助信息!H:I,2,FALSE)</f>
        <v>13540231225</v>
      </c>
      <c r="L5025" s="102">
        <f>VLOOKUP(B5025,辅助信息!E:J,6,FALSE)</f>
        <v>0</v>
      </c>
      <c r="M5025" s="84">
        <v>45954</v>
      </c>
      <c r="O5025" s="55">
        <f ca="1">IF(OR(M5025="",N5025&lt;&gt;""),"",MAX(M5025-TODAY(),0))</f>
        <v>0</v>
      </c>
      <c r="P5025" s="55">
        <f ca="1">IF(M5025="","",IF(N5025&lt;&gt;"",MAX(N5025-M5025,0),IF(TODAY()&gt;M5025,TODAY()-M5025,0)))</f>
        <v>3</v>
      </c>
      <c r="Q5025" s="22" t="str">
        <f>VLOOKUP(B5025,辅助信息!E:M,9,FALSE)</f>
        <v>ZTWM-CDGS-XS-2025-0156-五冶钢构-2025年九月第一批次钢筋采购合同(三圣乡项目)-中铁物贸成都公司</v>
      </c>
      <c r="R5025" s="22" t="str">
        <f>_xlfn._xlws.FILTER(辅助信息!D:D,辅助信息!E:E=B5025)</f>
        <v>五冶钢构龙泉东洪片区70亩住宅、商业及配套工程项目一标段</v>
      </c>
    </row>
    <row r="5026" spans="2:18">
      <c r="B5026" s="128" t="s">
        <v>224</v>
      </c>
      <c r="C5026" s="63">
        <v>45957</v>
      </c>
      <c r="D5026" s="33" t="str">
        <f>VLOOKUP(B5026,辅助信息!E:K,7,FALSE)</f>
        <v>JWDDCD2025092400188</v>
      </c>
      <c r="E5026" s="33" t="str">
        <f>VLOOKUP(F5026,辅助信息!A:B,2,FALSE)</f>
        <v>螺纹钢</v>
      </c>
      <c r="F5026" s="33" t="s">
        <v>28</v>
      </c>
      <c r="G5026" s="29">
        <v>10</v>
      </c>
      <c r="H5026" s="127" t="str">
        <f>IF(SUMIFS('[1]2025年已发货'!$E:$E,'[1]2025年已发货'!$F:$F,C5026,'[1]2025年已发货'!$C:$C,F5026,'[1]2025年已发货'!$G:$G,I5026,'[1]2025年已发货'!$H:$H,J5026)=0,"未发货",SUMIFS('[1]2025年已发货'!$E:$E,'[1]2025年已发货'!$F:$F,C5026,'[1]2025年已发货'!$C:$C,F5026,'[1]2025年已发货'!$G:$G,I5026,'[1]2025年已发货'!$H:$H,J5026))</f>
        <v>未发货</v>
      </c>
      <c r="I5026" s="32" t="str">
        <f>VLOOKUP(B5026,辅助信息!E:I,3,FALSE)</f>
        <v>(五冶钢构龙泉东洪片区70亩住宅、商业及配套工程项目一标段)成都市龙泉驿外东洪路地铁2号线惠王陵地铁C口</v>
      </c>
      <c r="J5026" s="33" t="str">
        <f>VLOOKUP(B5026,辅助信息!E:I,4,FALSE)</f>
        <v>邹爱国</v>
      </c>
      <c r="K5026" s="33">
        <f>VLOOKUP(J5026,辅助信息!H:I,2,FALSE)</f>
        <v>13540231225</v>
      </c>
      <c r="L5026" s="102">
        <f>VLOOKUP(B5026,辅助信息!E:J,6,FALSE)</f>
        <v>0</v>
      </c>
      <c r="M5026" s="84">
        <v>45954</v>
      </c>
      <c r="O5026" s="55">
        <f ca="1">IF(OR(M5026="",N5026&lt;&gt;""),"",MAX(M5026-TODAY(),0))</f>
        <v>0</v>
      </c>
      <c r="P5026" s="55">
        <f ca="1">IF(M5026="","",IF(N5026&lt;&gt;"",MAX(N5026-M5026,0),IF(TODAY()&gt;M5026,TODAY()-M5026,0)))</f>
        <v>3</v>
      </c>
      <c r="Q5026" s="22" t="str">
        <f>VLOOKUP(B5026,辅助信息!E:M,9,FALSE)</f>
        <v>ZTWM-CDGS-XS-2025-0156-五冶钢构-2025年九月第一批次钢筋采购合同(三圣乡项目)-中铁物贸成都公司</v>
      </c>
      <c r="R5026" s="22" t="str">
        <f>_xlfn._xlws.FILTER(辅助信息!D:D,辅助信息!E:E=B5026)</f>
        <v>五冶钢构龙泉东洪片区70亩住宅、商业及配套工程项目一标段</v>
      </c>
    </row>
    <row r="5027" spans="2:18">
      <c r="B5027" s="128" t="s">
        <v>224</v>
      </c>
      <c r="C5027" s="63">
        <v>45957</v>
      </c>
      <c r="D5027" s="33" t="str">
        <f>VLOOKUP(B5027,辅助信息!E:K,7,FALSE)</f>
        <v>JWDDCD2025092400188</v>
      </c>
      <c r="E5027" s="33" t="str">
        <f>VLOOKUP(F5027,辅助信息!A:B,2,FALSE)</f>
        <v>螺纹钢</v>
      </c>
      <c r="F5027" s="33" t="s">
        <v>18</v>
      </c>
      <c r="G5027" s="29">
        <v>10</v>
      </c>
      <c r="H5027" s="127" t="str">
        <f>IF(SUMIFS('[1]2025年已发货'!$E:$E,'[1]2025年已发货'!$F:$F,C5027,'[1]2025年已发货'!$C:$C,F5027,'[1]2025年已发货'!$G:$G,I5027,'[1]2025年已发货'!$H:$H,J5027)=0,"未发货",SUMIFS('[1]2025年已发货'!$E:$E,'[1]2025年已发货'!$F:$F,C5027,'[1]2025年已发货'!$C:$C,F5027,'[1]2025年已发货'!$G:$G,I5027,'[1]2025年已发货'!$H:$H,J5027))</f>
        <v>未发货</v>
      </c>
      <c r="I5027" s="32" t="str">
        <f>VLOOKUP(B5027,辅助信息!E:I,3,FALSE)</f>
        <v>(五冶钢构龙泉东洪片区70亩住宅、商业及配套工程项目一标段)成都市龙泉驿外东洪路地铁2号线惠王陵地铁C口</v>
      </c>
      <c r="J5027" s="33" t="str">
        <f>VLOOKUP(B5027,辅助信息!E:I,4,FALSE)</f>
        <v>邹爱国</v>
      </c>
      <c r="K5027" s="33">
        <f>VLOOKUP(J5027,辅助信息!H:I,2,FALSE)</f>
        <v>13540231225</v>
      </c>
      <c r="L5027" s="102">
        <f>VLOOKUP(B5027,辅助信息!E:J,6,FALSE)</f>
        <v>0</v>
      </c>
      <c r="M5027" s="84">
        <v>45954</v>
      </c>
      <c r="O5027" s="55">
        <f ca="1">IF(OR(M5027="",N5027&lt;&gt;""),"",MAX(M5027-TODAY(),0))</f>
        <v>0</v>
      </c>
      <c r="P5027" s="55">
        <f ca="1">IF(M5027="","",IF(N5027&lt;&gt;"",MAX(N5027-M5027,0),IF(TODAY()&gt;M5027,TODAY()-M5027,0)))</f>
        <v>3</v>
      </c>
      <c r="Q5027" s="22" t="str">
        <f>VLOOKUP(B5027,辅助信息!E:M,9,FALSE)</f>
        <v>ZTWM-CDGS-XS-2025-0156-五冶钢构-2025年九月第一批次钢筋采购合同(三圣乡项目)-中铁物贸成都公司</v>
      </c>
      <c r="R5027" s="22" t="str">
        <f>_xlfn._xlws.FILTER(辅助信息!D:D,辅助信息!E:E=B5027)</f>
        <v>五冶钢构龙泉东洪片区70亩住宅、商业及配套工程项目一标段</v>
      </c>
    </row>
    <row r="5028" spans="1:18">
      <c r="A5028" s="64" t="s">
        <v>100</v>
      </c>
      <c r="B5028" s="152" t="s">
        <v>208</v>
      </c>
      <c r="C5028" s="63">
        <v>45957</v>
      </c>
      <c r="D5028" s="153" t="str">
        <f>VLOOKUP(B5028,辅助信息!E:K,7,FALSE)</f>
        <v>JWDDCD2025102100480</v>
      </c>
      <c r="E5028" s="153" t="str">
        <f>VLOOKUP(F5028,辅助信息!A:B,2,FALSE)</f>
        <v>高线</v>
      </c>
      <c r="F5028" s="153" t="s">
        <v>53</v>
      </c>
      <c r="G5028" s="154">
        <v>2.5</v>
      </c>
      <c r="H5028" s="155"/>
      <c r="I5028" s="157" t="str">
        <f>VLOOKUP(B5028,辅助信息!E:I,3,FALSE)</f>
        <v>(五冶建设锦江区林家坝片区20号地块商业项目)锦江区泰昌路锦江28亩项目部</v>
      </c>
      <c r="J5028" s="153" t="str">
        <f>VLOOKUP(B5028,辅助信息!E:I,4,FALSE)</f>
        <v>陶杰</v>
      </c>
      <c r="K5028" s="153">
        <f>VLOOKUP(J5028,辅助信息!H:I,2,FALSE)</f>
        <v>13980247952</v>
      </c>
      <c r="L5028" s="158" t="str">
        <f>VLOOKUP(B5028,辅助信息!E:J,6,FALSE)</f>
        <v>联系实际收货人（陶杰13980247952）五冶建设送货单,6份材质书,锈货不收，装货前联系收货人核实到场规格,没提前告知进场规格现场不给予接收</v>
      </c>
      <c r="M5028" s="84">
        <v>45954</v>
      </c>
      <c r="O5028" s="55">
        <f ca="1">IF(OR(M5028="",N5028&lt;&gt;""),"",MAX(M5028-TODAY(),0))</f>
        <v>0</v>
      </c>
      <c r="P5028" s="55">
        <f ca="1">IF(M5028="","",IF(N5028&lt;&gt;"",MAX(N5028-M5028,0),IF(TODAY()&gt;M5028,TODAY()-M5028,0)))</f>
        <v>3</v>
      </c>
      <c r="Q5028" s="22" t="str">
        <f>VLOOKUP(B5028,辅助信息!E:M,9,FALSE)</f>
        <v>ZTWM-CDGS-XS-2025-0073-五冶天府-成都怡心湖片区及龙泉驿医院等项目</v>
      </c>
      <c r="R5028" s="22" t="str">
        <f>_xlfn._xlws.FILTER(辅助信息!D:D,辅助信息!E:E=B5028)</f>
        <v>五冶建设锦江区林家坝片区20号地块商业项目</v>
      </c>
    </row>
    <row r="5029" spans="1:18">
      <c r="A5029" s="64"/>
      <c r="B5029" s="152" t="s">
        <v>208</v>
      </c>
      <c r="C5029" s="63">
        <v>45957</v>
      </c>
      <c r="D5029" s="153" t="str">
        <f>VLOOKUP(B5029,辅助信息!E:K,7,FALSE)</f>
        <v>JWDDCD2025102100480</v>
      </c>
      <c r="E5029" s="153" t="str">
        <f>VLOOKUP(F5029,辅助信息!A:B,2,FALSE)</f>
        <v>盘螺</v>
      </c>
      <c r="F5029" s="153" t="s">
        <v>40</v>
      </c>
      <c r="G5029" s="154">
        <v>2.5</v>
      </c>
      <c r="H5029" s="156"/>
      <c r="I5029" s="157" t="str">
        <f>VLOOKUP(B5029,辅助信息!E:I,3,FALSE)</f>
        <v>(五冶建设锦江区林家坝片区20号地块商业项目)锦江区泰昌路锦江28亩项目部</v>
      </c>
      <c r="J5029" s="153" t="str">
        <f>VLOOKUP(B5029,辅助信息!E:I,4,FALSE)</f>
        <v>陶杰</v>
      </c>
      <c r="K5029" s="153">
        <f>VLOOKUP(J5029,辅助信息!H:I,2,FALSE)</f>
        <v>13980247952</v>
      </c>
      <c r="L5029" s="158" t="str">
        <f>VLOOKUP(B5029,辅助信息!E:J,6,FALSE)</f>
        <v>联系实际收货人（陶杰13980247952）五冶建设送货单,6份材质书,锈货不收，装货前联系收货人核实到场规格,没提前告知进场规格现场不给予接收</v>
      </c>
      <c r="M5029" s="84">
        <v>45954</v>
      </c>
      <c r="O5029" s="55">
        <f ca="1">IF(OR(M5029="",N5029&lt;&gt;""),"",MAX(M5029-TODAY(),0))</f>
        <v>0</v>
      </c>
      <c r="P5029" s="55">
        <f ca="1">IF(M5029="","",IF(N5029&lt;&gt;"",MAX(N5029-M5029,0),IF(TODAY()&gt;M5029,TODAY()-M5029,0)))</f>
        <v>3</v>
      </c>
      <c r="Q5029" s="22" t="str">
        <f>VLOOKUP(B5029,辅助信息!E:M,9,FALSE)</f>
        <v>ZTWM-CDGS-XS-2025-0073-五冶天府-成都怡心湖片区及龙泉驿医院等项目</v>
      </c>
      <c r="R5029" s="22" t="str">
        <f>_xlfn._xlws.FILTER(辅助信息!D:D,辅助信息!E:E=B5029)</f>
        <v>五冶建设锦江区林家坝片区20号地块商业项目</v>
      </c>
    </row>
    <row r="5030" spans="1:18">
      <c r="A5030" s="64"/>
      <c r="B5030" s="152" t="s">
        <v>208</v>
      </c>
      <c r="C5030" s="63">
        <v>45957</v>
      </c>
      <c r="D5030" s="153" t="str">
        <f>VLOOKUP(B5030,辅助信息!E:K,7,FALSE)</f>
        <v>JWDDCD2025102100480</v>
      </c>
      <c r="E5030" s="153" t="str">
        <f>VLOOKUP(F5030,辅助信息!A:B,2,FALSE)</f>
        <v>盘螺</v>
      </c>
      <c r="F5030" s="153" t="s">
        <v>41</v>
      </c>
      <c r="G5030" s="154">
        <v>2.5</v>
      </c>
      <c r="H5030" s="156"/>
      <c r="I5030" s="157" t="str">
        <f>VLOOKUP(B5030,辅助信息!E:I,3,FALSE)</f>
        <v>(五冶建设锦江区林家坝片区20号地块商业项目)锦江区泰昌路锦江28亩项目部</v>
      </c>
      <c r="J5030" s="153" t="str">
        <f>VLOOKUP(B5030,辅助信息!E:I,4,FALSE)</f>
        <v>陶杰</v>
      </c>
      <c r="K5030" s="153">
        <f>VLOOKUP(J5030,辅助信息!H:I,2,FALSE)</f>
        <v>13980247952</v>
      </c>
      <c r="L5030" s="158" t="str">
        <f>VLOOKUP(B5030,辅助信息!E:J,6,FALSE)</f>
        <v>联系实际收货人（陶杰13980247952）五冶建设送货单,6份材质书,锈货不收，装货前联系收货人核实到场规格,没提前告知进场规格现场不给予接收</v>
      </c>
      <c r="M5030" s="84">
        <v>45954</v>
      </c>
      <c r="O5030" s="55">
        <f ca="1">IF(OR(M5030="",N5030&lt;&gt;""),"",MAX(M5030-TODAY(),0))</f>
        <v>0</v>
      </c>
      <c r="P5030" s="55">
        <f ca="1">IF(M5030="","",IF(N5030&lt;&gt;"",MAX(N5030-M5030,0),IF(TODAY()&gt;M5030,TODAY()-M5030,0)))</f>
        <v>3</v>
      </c>
      <c r="Q5030" s="22" t="str">
        <f>VLOOKUP(B5030,辅助信息!E:M,9,FALSE)</f>
        <v>ZTWM-CDGS-XS-2025-0073-五冶天府-成都怡心湖片区及龙泉驿医院等项目</v>
      </c>
      <c r="R5030" s="22" t="str">
        <f>_xlfn._xlws.FILTER(辅助信息!D:D,辅助信息!E:E=B5030)</f>
        <v>五冶建设锦江区林家坝片区20号地块商业项目</v>
      </c>
    </row>
    <row r="5031" spans="1:18">
      <c r="A5031" s="64"/>
      <c r="B5031" s="152" t="s">
        <v>208</v>
      </c>
      <c r="C5031" s="63">
        <v>45957</v>
      </c>
      <c r="D5031" s="153" t="str">
        <f>VLOOKUP(B5031,辅助信息!E:K,7,FALSE)</f>
        <v>JWDDCD2025102100480</v>
      </c>
      <c r="E5031" s="153" t="str">
        <f>VLOOKUP(F5031,辅助信息!A:B,2,FALSE)</f>
        <v>螺纹钢</v>
      </c>
      <c r="F5031" s="153" t="s">
        <v>27</v>
      </c>
      <c r="G5031" s="154">
        <v>2.5</v>
      </c>
      <c r="H5031" s="156"/>
      <c r="I5031" s="157" t="str">
        <f>VLOOKUP(B5031,辅助信息!E:I,3,FALSE)</f>
        <v>(五冶建设锦江区林家坝片区20号地块商业项目)锦江区泰昌路锦江28亩项目部</v>
      </c>
      <c r="J5031" s="153" t="str">
        <f>VLOOKUP(B5031,辅助信息!E:I,4,FALSE)</f>
        <v>陶杰</v>
      </c>
      <c r="K5031" s="153">
        <f>VLOOKUP(J5031,辅助信息!H:I,2,FALSE)</f>
        <v>13980247952</v>
      </c>
      <c r="L5031" s="158" t="str">
        <f>VLOOKUP(B5031,辅助信息!E:J,6,FALSE)</f>
        <v>联系实际收货人（陶杰13980247952）五冶建设送货单,6份材质书,锈货不收，装货前联系收货人核实到场规格,没提前告知进场规格现场不给予接收</v>
      </c>
      <c r="M5031" s="84">
        <v>45954</v>
      </c>
      <c r="O5031" s="55">
        <f ca="1">IF(OR(M5031="",N5031&lt;&gt;""),"",MAX(M5031-TODAY(),0))</f>
        <v>0</v>
      </c>
      <c r="P5031" s="55">
        <f ca="1">IF(M5031="","",IF(N5031&lt;&gt;"",MAX(N5031-M5031,0),IF(TODAY()&gt;M5031,TODAY()-M5031,0)))</f>
        <v>3</v>
      </c>
      <c r="Q5031" s="22" t="str">
        <f>VLOOKUP(B5031,辅助信息!E:M,9,FALSE)</f>
        <v>ZTWM-CDGS-XS-2025-0073-五冶天府-成都怡心湖片区及龙泉驿医院等项目</v>
      </c>
      <c r="R5031" s="22" t="str">
        <f>_xlfn._xlws.FILTER(辅助信息!D:D,辅助信息!E:E=B5031)</f>
        <v>五冶建设锦江区林家坝片区20号地块商业项目</v>
      </c>
    </row>
    <row r="5032" spans="1:18">
      <c r="A5032" s="64"/>
      <c r="B5032" s="152" t="s">
        <v>208</v>
      </c>
      <c r="C5032" s="63">
        <v>45957</v>
      </c>
      <c r="D5032" s="153" t="str">
        <f>VLOOKUP(B5032,辅助信息!E:K,7,FALSE)</f>
        <v>JWDDCD2025102100480</v>
      </c>
      <c r="E5032" s="153" t="str">
        <f>VLOOKUP(F5032,辅助信息!A:B,2,FALSE)</f>
        <v>螺纹钢</v>
      </c>
      <c r="F5032" s="153" t="s">
        <v>19</v>
      </c>
      <c r="G5032" s="154">
        <v>10</v>
      </c>
      <c r="H5032" s="156"/>
      <c r="I5032" s="157" t="str">
        <f>VLOOKUP(B5032,辅助信息!E:I,3,FALSE)</f>
        <v>(五冶建设锦江区林家坝片区20号地块商业项目)锦江区泰昌路锦江28亩项目部</v>
      </c>
      <c r="J5032" s="153" t="str">
        <f>VLOOKUP(B5032,辅助信息!E:I,4,FALSE)</f>
        <v>陶杰</v>
      </c>
      <c r="K5032" s="153">
        <f>VLOOKUP(J5032,辅助信息!H:I,2,FALSE)</f>
        <v>13980247952</v>
      </c>
      <c r="L5032" s="158" t="str">
        <f>VLOOKUP(B5032,辅助信息!E:J,6,FALSE)</f>
        <v>联系实际收货人（陶杰13980247952）五冶建设送货单,6份材质书,锈货不收，装货前联系收货人核实到场规格,没提前告知进场规格现场不给予接收</v>
      </c>
      <c r="M5032" s="84">
        <v>45954</v>
      </c>
      <c r="O5032" s="55">
        <f ca="1">IF(OR(M5032="",N5032&lt;&gt;""),"",MAX(M5032-TODAY(),0))</f>
        <v>0</v>
      </c>
      <c r="P5032" s="55">
        <f ca="1">IF(M5032="","",IF(N5032&lt;&gt;"",MAX(N5032-M5032,0),IF(TODAY()&gt;M5032,TODAY()-M5032,0)))</f>
        <v>3</v>
      </c>
      <c r="Q5032" s="22" t="str">
        <f>VLOOKUP(B5032,辅助信息!E:M,9,FALSE)</f>
        <v>ZTWM-CDGS-XS-2025-0073-五冶天府-成都怡心湖片区及龙泉驿医院等项目</v>
      </c>
      <c r="R5032" s="22" t="str">
        <f>_xlfn._xlws.FILTER(辅助信息!D:D,辅助信息!E:E=B5032)</f>
        <v>五冶建设锦江区林家坝片区20号地块商业项目</v>
      </c>
    </row>
    <row r="5033" spans="1:18">
      <c r="A5033" s="64"/>
      <c r="B5033" s="152" t="s">
        <v>208</v>
      </c>
      <c r="C5033" s="63">
        <v>45957</v>
      </c>
      <c r="D5033" s="153" t="str">
        <f>VLOOKUP(B5033,辅助信息!E:K,7,FALSE)</f>
        <v>JWDDCD2025102100480</v>
      </c>
      <c r="E5033" s="153" t="str">
        <f>VLOOKUP(F5033,辅助信息!A:B,2,FALSE)</f>
        <v>螺纹钢</v>
      </c>
      <c r="F5033" s="153" t="s">
        <v>32</v>
      </c>
      <c r="G5033" s="154">
        <v>5</v>
      </c>
      <c r="H5033" s="156"/>
      <c r="I5033" s="157" t="str">
        <f>VLOOKUP(B5033,辅助信息!E:I,3,FALSE)</f>
        <v>(五冶建设锦江区林家坝片区20号地块商业项目)锦江区泰昌路锦江28亩项目部</v>
      </c>
      <c r="J5033" s="153" t="str">
        <f>VLOOKUP(B5033,辅助信息!E:I,4,FALSE)</f>
        <v>陶杰</v>
      </c>
      <c r="K5033" s="153">
        <f>VLOOKUP(J5033,辅助信息!H:I,2,FALSE)</f>
        <v>13980247952</v>
      </c>
      <c r="L5033" s="158" t="str">
        <f>VLOOKUP(B5033,辅助信息!E:J,6,FALSE)</f>
        <v>联系实际收货人（陶杰13980247952）五冶建设送货单,6份材质书,锈货不收，装货前联系收货人核实到场规格,没提前告知进场规格现场不给予接收</v>
      </c>
      <c r="M5033" s="84">
        <v>45954</v>
      </c>
      <c r="O5033" s="55">
        <f ca="1">IF(OR(M5033="",N5033&lt;&gt;""),"",MAX(M5033-TODAY(),0))</f>
        <v>0</v>
      </c>
      <c r="P5033" s="55">
        <f ca="1">IF(M5033="","",IF(N5033&lt;&gt;"",MAX(N5033-M5033,0),IF(TODAY()&gt;M5033,TODAY()-M5033,0)))</f>
        <v>3</v>
      </c>
      <c r="Q5033" s="22" t="str">
        <f>VLOOKUP(B5033,辅助信息!E:M,9,FALSE)</f>
        <v>ZTWM-CDGS-XS-2025-0073-五冶天府-成都怡心湖片区及龙泉驿医院等项目</v>
      </c>
      <c r="R5033" s="22" t="str">
        <f>_xlfn._xlws.FILTER(辅助信息!D:D,辅助信息!E:E=B5033)</f>
        <v>五冶建设锦江区林家坝片区20号地块商业项目</v>
      </c>
    </row>
    <row r="5034" spans="1:18">
      <c r="A5034" s="64"/>
      <c r="B5034" s="152" t="s">
        <v>208</v>
      </c>
      <c r="C5034" s="63">
        <v>45957</v>
      </c>
      <c r="D5034" s="153" t="str">
        <f>VLOOKUP(B5034,辅助信息!E:K,7,FALSE)</f>
        <v>JWDDCD2025102100480</v>
      </c>
      <c r="E5034" s="153" t="str">
        <f>VLOOKUP(F5034,辅助信息!A:B,2,FALSE)</f>
        <v>螺纹钢</v>
      </c>
      <c r="F5034" s="153" t="s">
        <v>28</v>
      </c>
      <c r="G5034" s="154">
        <v>2.5</v>
      </c>
      <c r="H5034" s="156"/>
      <c r="I5034" s="157" t="str">
        <f>VLOOKUP(B5034,辅助信息!E:I,3,FALSE)</f>
        <v>(五冶建设锦江区林家坝片区20号地块商业项目)锦江区泰昌路锦江28亩项目部</v>
      </c>
      <c r="J5034" s="153" t="str">
        <f>VLOOKUP(B5034,辅助信息!E:I,4,FALSE)</f>
        <v>陶杰</v>
      </c>
      <c r="K5034" s="153">
        <f>VLOOKUP(J5034,辅助信息!H:I,2,FALSE)</f>
        <v>13980247952</v>
      </c>
      <c r="L5034" s="158" t="str">
        <f>VLOOKUP(B5034,辅助信息!E:J,6,FALSE)</f>
        <v>联系实际收货人（陶杰13980247952）五冶建设送货单,6份材质书,锈货不收，装货前联系收货人核实到场规格,没提前告知进场规格现场不给予接收</v>
      </c>
      <c r="M5034" s="84">
        <v>45954</v>
      </c>
      <c r="O5034" s="55">
        <f ca="1">IF(OR(M5034="",N5034&lt;&gt;""),"",MAX(M5034-TODAY(),0))</f>
        <v>0</v>
      </c>
      <c r="P5034" s="55">
        <f ca="1">IF(M5034="","",IF(N5034&lt;&gt;"",MAX(N5034-M5034,0),IF(TODAY()&gt;M5034,TODAY()-M5034,0)))</f>
        <v>3</v>
      </c>
      <c r="Q5034" s="22" t="str">
        <f>VLOOKUP(B5034,辅助信息!E:M,9,FALSE)</f>
        <v>ZTWM-CDGS-XS-2025-0073-五冶天府-成都怡心湖片区及龙泉驿医院等项目</v>
      </c>
      <c r="R5034" s="22" t="str">
        <f>_xlfn._xlws.FILTER(辅助信息!D:D,辅助信息!E:E=B5034)</f>
        <v>五冶建设锦江区林家坝片区20号地块商业项目</v>
      </c>
    </row>
    <row r="5035" spans="1:18">
      <c r="A5035" s="64"/>
      <c r="B5035" s="152" t="s">
        <v>208</v>
      </c>
      <c r="C5035" s="63">
        <v>45957</v>
      </c>
      <c r="D5035" s="153" t="str">
        <f>VLOOKUP(B5035,辅助信息!E:K,7,FALSE)</f>
        <v>JWDDCD2025102100480</v>
      </c>
      <c r="E5035" s="153" t="str">
        <f>VLOOKUP(F5035,辅助信息!A:B,2,FALSE)</f>
        <v>螺纹钢</v>
      </c>
      <c r="F5035" s="153" t="s">
        <v>18</v>
      </c>
      <c r="G5035" s="154">
        <f>80-2.5</f>
        <v>77.5</v>
      </c>
      <c r="H5035" s="156"/>
      <c r="I5035" s="157" t="str">
        <f>VLOOKUP(B5035,辅助信息!E:I,3,FALSE)</f>
        <v>(五冶建设锦江区林家坝片区20号地块商业项目)锦江区泰昌路锦江28亩项目部</v>
      </c>
      <c r="J5035" s="153" t="str">
        <f>VLOOKUP(B5035,辅助信息!E:I,4,FALSE)</f>
        <v>陶杰</v>
      </c>
      <c r="K5035" s="153">
        <f>VLOOKUP(J5035,辅助信息!H:I,2,FALSE)</f>
        <v>13980247952</v>
      </c>
      <c r="L5035" s="158" t="str">
        <f>VLOOKUP(B5035,辅助信息!E:J,6,FALSE)</f>
        <v>联系实际收货人（陶杰13980247952）五冶建设送货单,6份材质书,锈货不收，装货前联系收货人核实到场规格,没提前告知进场规格现场不给予接收</v>
      </c>
      <c r="M5035" s="84">
        <v>45954</v>
      </c>
      <c r="O5035" s="55">
        <f ca="1">IF(OR(M5035="",N5035&lt;&gt;""),"",MAX(M5035-TODAY(),0))</f>
        <v>0</v>
      </c>
      <c r="P5035" s="55">
        <f ca="1">IF(M5035="","",IF(N5035&lt;&gt;"",MAX(N5035-M5035,0),IF(TODAY()&gt;M5035,TODAY()-M5035,0)))</f>
        <v>3</v>
      </c>
      <c r="Q5035" s="22" t="str">
        <f>VLOOKUP(B5035,辅助信息!E:M,9,FALSE)</f>
        <v>ZTWM-CDGS-XS-2025-0073-五冶天府-成都怡心湖片区及龙泉驿医院等项目</v>
      </c>
      <c r="R5035" s="22" t="str">
        <f>_xlfn._xlws.FILTER(辅助信息!D:D,辅助信息!E:E=B5035)</f>
        <v>五冶建设锦江区林家坝片区20号地块商业项目</v>
      </c>
    </row>
    <row r="5036" spans="2:18">
      <c r="B5036" s="152" t="s">
        <v>231</v>
      </c>
      <c r="C5036" s="63">
        <v>45957</v>
      </c>
      <c r="D5036" s="153" t="str">
        <f>VLOOKUP(B5036,辅助信息!E:K,7,FALSE)</f>
        <v>JWDDCD2025102100481</v>
      </c>
      <c r="E5036" s="153" t="str">
        <f>VLOOKUP(F5036,辅助信息!A:B,2,FALSE)</f>
        <v>盘螺</v>
      </c>
      <c r="F5036" s="153" t="s">
        <v>40</v>
      </c>
      <c r="G5036" s="154">
        <v>4</v>
      </c>
      <c r="H5036" s="156"/>
      <c r="I5036" s="157" t="str">
        <f>VLOOKUP(B5036,辅助信息!E:I,3,FALSE)</f>
        <v>(五冶建设成都盐道街中学初中部改扩建工程-一标)四川省成都市锦江区春熙路街道盐道街4号（盐道街中学初中部）</v>
      </c>
      <c r="J5036" s="153" t="str">
        <f>VLOOKUP(B5036,辅助信息!E:I,4,FALSE)</f>
        <v>谢鑫</v>
      </c>
      <c r="K5036" s="153">
        <f>VLOOKUP(J5036,辅助信息!H:I,2,FALSE)</f>
        <v>18228465067</v>
      </c>
      <c r="L5036" s="158" t="str">
        <f>VLOOKUP(B5036,辅助信息!E:J,6,FALSE)</f>
        <v>联系实际收货人（易前刚18228465067）五冶建设送货单,6份材质书,锈货不收，装货前联系收货人核实到场规格,没提前告知进场规格现场不给予接收</v>
      </c>
      <c r="M5036" s="84">
        <v>45956</v>
      </c>
      <c r="O5036" s="55">
        <f ca="1">IF(OR(M5036="",N5036&lt;&gt;""),"",MAX(M5036-TODAY(),0))</f>
        <v>0</v>
      </c>
      <c r="P5036" s="55">
        <f ca="1">IF(M5036="","",IF(N5036&lt;&gt;"",MAX(N5036-M5036,0),IF(TODAY()&gt;M5036,TODAY()-M5036,0)))</f>
        <v>1</v>
      </c>
      <c r="Q5036" s="22" t="str">
        <f>VLOOKUP(B5036,辅助信息!E:M,9,FALSE)</f>
        <v>ZTWM-CDGS-XS-2025-0073-五冶天府-成都怡心湖片区及龙泉驿医院等项目</v>
      </c>
      <c r="R5036" s="22" t="str">
        <f>_xlfn._xlws.FILTER(辅助信息!D:D,辅助信息!E:E=B5036)</f>
        <v>五冶建设成都盐道街中学初中部改扩建工程-一标</v>
      </c>
    </row>
    <row r="5037" spans="2:18">
      <c r="B5037" s="152" t="s">
        <v>231</v>
      </c>
      <c r="C5037" s="63">
        <v>45957</v>
      </c>
      <c r="D5037" s="153" t="str">
        <f>VLOOKUP(B5037,辅助信息!E:K,7,FALSE)</f>
        <v>JWDDCD2025102100481</v>
      </c>
      <c r="E5037" s="153" t="str">
        <f>VLOOKUP(F5037,辅助信息!A:B,2,FALSE)</f>
        <v>盘螺</v>
      </c>
      <c r="F5037" s="153" t="s">
        <v>41</v>
      </c>
      <c r="G5037" s="154">
        <v>4</v>
      </c>
      <c r="H5037" s="156"/>
      <c r="I5037" s="157" t="str">
        <f>VLOOKUP(B5037,辅助信息!E:I,3,FALSE)</f>
        <v>(五冶建设成都盐道街中学初中部改扩建工程-一标)四川省成都市锦江区春熙路街道盐道街4号（盐道街中学初中部）</v>
      </c>
      <c r="J5037" s="153" t="str">
        <f>VLOOKUP(B5037,辅助信息!E:I,4,FALSE)</f>
        <v>谢鑫</v>
      </c>
      <c r="K5037" s="153">
        <f>VLOOKUP(J5037,辅助信息!H:I,2,FALSE)</f>
        <v>18228465067</v>
      </c>
      <c r="L5037" s="158" t="str">
        <f>VLOOKUP(B5037,辅助信息!E:J,6,FALSE)</f>
        <v>联系实际收货人（易前刚18228465067）五冶建设送货单,6份材质书,锈货不收，装货前联系收货人核实到场规格,没提前告知进场规格现场不给予接收</v>
      </c>
      <c r="M5037" s="84">
        <v>45956</v>
      </c>
      <c r="O5037" s="55">
        <f ca="1">IF(OR(M5037="",N5037&lt;&gt;""),"",MAX(M5037-TODAY(),0))</f>
        <v>0</v>
      </c>
      <c r="P5037" s="55">
        <f ca="1">IF(M5037="","",IF(N5037&lt;&gt;"",MAX(N5037-M5037,0),IF(TODAY()&gt;M5037,TODAY()-M5037,0)))</f>
        <v>1</v>
      </c>
      <c r="Q5037" s="22" t="str">
        <f>VLOOKUP(B5037,辅助信息!E:M,9,FALSE)</f>
        <v>ZTWM-CDGS-XS-2025-0073-五冶天府-成都怡心湖片区及龙泉驿医院等项目</v>
      </c>
      <c r="R5037" s="22" t="str">
        <f>_xlfn._xlws.FILTER(辅助信息!D:D,辅助信息!E:E=B5037)</f>
        <v>五冶建设成都盐道街中学初中部改扩建工程-一标</v>
      </c>
    </row>
    <row r="5038" spans="2:18">
      <c r="B5038" s="152" t="s">
        <v>231</v>
      </c>
      <c r="C5038" s="63">
        <v>45957</v>
      </c>
      <c r="D5038" s="153" t="str">
        <f>VLOOKUP(B5038,辅助信息!E:K,7,FALSE)</f>
        <v>JWDDCD2025102100481</v>
      </c>
      <c r="E5038" s="153" t="str">
        <f>VLOOKUP(F5038,辅助信息!A:B,2,FALSE)</f>
        <v>盘螺</v>
      </c>
      <c r="F5038" s="153" t="s">
        <v>26</v>
      </c>
      <c r="G5038" s="154">
        <v>16</v>
      </c>
      <c r="H5038" s="156"/>
      <c r="I5038" s="157" t="str">
        <f>VLOOKUP(B5038,辅助信息!E:I,3,FALSE)</f>
        <v>(五冶建设成都盐道街中学初中部改扩建工程-一标)四川省成都市锦江区春熙路街道盐道街4号（盐道街中学初中部）</v>
      </c>
      <c r="J5038" s="153" t="str">
        <f>VLOOKUP(B5038,辅助信息!E:I,4,FALSE)</f>
        <v>谢鑫</v>
      </c>
      <c r="K5038" s="153">
        <f>VLOOKUP(J5038,辅助信息!H:I,2,FALSE)</f>
        <v>18228465067</v>
      </c>
      <c r="L5038" s="158" t="str">
        <f>VLOOKUP(B5038,辅助信息!E:J,6,FALSE)</f>
        <v>联系实际收货人（易前刚18228465067）五冶建设送货单,6份材质书,锈货不收，装货前联系收货人核实到场规格,没提前告知进场规格现场不给予接收</v>
      </c>
      <c r="M5038" s="84">
        <v>45956</v>
      </c>
      <c r="O5038" s="55">
        <f ca="1">IF(OR(M5038="",N5038&lt;&gt;""),"",MAX(M5038-TODAY(),0))</f>
        <v>0</v>
      </c>
      <c r="P5038" s="55">
        <f ca="1">IF(M5038="","",IF(N5038&lt;&gt;"",MAX(N5038-M5038,0),IF(TODAY()&gt;M5038,TODAY()-M5038,0)))</f>
        <v>1</v>
      </c>
      <c r="Q5038" s="22" t="str">
        <f>VLOOKUP(B5038,辅助信息!E:M,9,FALSE)</f>
        <v>ZTWM-CDGS-XS-2025-0073-五冶天府-成都怡心湖片区及龙泉驿医院等项目</v>
      </c>
      <c r="R5038" s="22" t="str">
        <f>_xlfn._xlws.FILTER(辅助信息!D:D,辅助信息!E:E=B5038)</f>
        <v>五冶建设成都盐道街中学初中部改扩建工程-一标</v>
      </c>
    </row>
    <row r="5039" spans="2:18">
      <c r="B5039" s="152" t="s">
        <v>231</v>
      </c>
      <c r="C5039" s="63">
        <v>45957</v>
      </c>
      <c r="D5039" s="153" t="str">
        <f>VLOOKUP(B5039,辅助信息!E:K,7,FALSE)</f>
        <v>JWDDCD2025102100481</v>
      </c>
      <c r="E5039" s="153" t="str">
        <f>VLOOKUP(F5039,辅助信息!A:B,2,FALSE)</f>
        <v>螺纹钢</v>
      </c>
      <c r="F5039" s="153" t="s">
        <v>18</v>
      </c>
      <c r="G5039" s="154">
        <v>5</v>
      </c>
      <c r="H5039" s="156"/>
      <c r="I5039" s="157" t="str">
        <f>VLOOKUP(B5039,辅助信息!E:I,3,FALSE)</f>
        <v>(五冶建设成都盐道街中学初中部改扩建工程-一标)四川省成都市锦江区春熙路街道盐道街4号（盐道街中学初中部）</v>
      </c>
      <c r="J5039" s="153" t="str">
        <f>VLOOKUP(B5039,辅助信息!E:I,4,FALSE)</f>
        <v>谢鑫</v>
      </c>
      <c r="K5039" s="153">
        <f>VLOOKUP(J5039,辅助信息!H:I,2,FALSE)</f>
        <v>18228465067</v>
      </c>
      <c r="L5039" s="158" t="str">
        <f>VLOOKUP(B5039,辅助信息!E:J,6,FALSE)</f>
        <v>联系实际收货人（易前刚18228465067）五冶建设送货单,6份材质书,锈货不收，装货前联系收货人核实到场规格,没提前告知进场规格现场不给予接收</v>
      </c>
      <c r="M5039" s="84">
        <v>45956</v>
      </c>
      <c r="O5039" s="55">
        <f ca="1">IF(OR(M5039="",N5039&lt;&gt;""),"",MAX(M5039-TODAY(),0))</f>
        <v>0</v>
      </c>
      <c r="P5039" s="55">
        <f ca="1">IF(M5039="","",IF(N5039&lt;&gt;"",MAX(N5039-M5039,0),IF(TODAY()&gt;M5039,TODAY()-M5039,0)))</f>
        <v>1</v>
      </c>
      <c r="Q5039" s="22" t="str">
        <f>VLOOKUP(B5039,辅助信息!E:M,9,FALSE)</f>
        <v>ZTWM-CDGS-XS-2025-0073-五冶天府-成都怡心湖片区及龙泉驿医院等项目</v>
      </c>
      <c r="R5039" s="22" t="str">
        <f>_xlfn._xlws.FILTER(辅助信息!D:D,辅助信息!E:E=B5039)</f>
        <v>五冶建设成都盐道街中学初中部改扩建工程-一标</v>
      </c>
    </row>
    <row r="5040" spans="2:18">
      <c r="B5040" s="152" t="s">
        <v>231</v>
      </c>
      <c r="C5040" s="63">
        <v>45957</v>
      </c>
      <c r="D5040" s="153" t="str">
        <f>VLOOKUP(B5040,辅助信息!E:K,7,FALSE)</f>
        <v>JWDDCD2025102100481</v>
      </c>
      <c r="E5040" s="153" t="str">
        <f>VLOOKUP(F5040,辅助信息!A:B,2,FALSE)</f>
        <v>螺纹钢</v>
      </c>
      <c r="F5040" s="153" t="s">
        <v>65</v>
      </c>
      <c r="G5040" s="154">
        <v>6</v>
      </c>
      <c r="H5040" s="156"/>
      <c r="I5040" s="157" t="str">
        <f>VLOOKUP(B5040,辅助信息!E:I,3,FALSE)</f>
        <v>(五冶建设成都盐道街中学初中部改扩建工程-一标)四川省成都市锦江区春熙路街道盐道街4号（盐道街中学初中部）</v>
      </c>
      <c r="J5040" s="153" t="str">
        <f>VLOOKUP(B5040,辅助信息!E:I,4,FALSE)</f>
        <v>谢鑫</v>
      </c>
      <c r="K5040" s="153">
        <f>VLOOKUP(J5040,辅助信息!H:I,2,FALSE)</f>
        <v>18228465067</v>
      </c>
      <c r="L5040" s="158" t="str">
        <f>VLOOKUP(B5040,辅助信息!E:J,6,FALSE)</f>
        <v>联系实际收货人（易前刚18228465067）五冶建设送货单,6份材质书,锈货不收，装货前联系收货人核实到场规格,没提前告知进场规格现场不给予接收</v>
      </c>
      <c r="M5040" s="84">
        <v>45956</v>
      </c>
      <c r="O5040" s="55">
        <f ca="1">IF(OR(M5040="",N5040&lt;&gt;""),"",MAX(M5040-TODAY(),0))</f>
        <v>0</v>
      </c>
      <c r="P5040" s="55">
        <f ca="1">IF(M5040="","",IF(N5040&lt;&gt;"",MAX(N5040-M5040,0),IF(TODAY()&gt;M5040,TODAY()-M5040,0)))</f>
        <v>1</v>
      </c>
      <c r="Q5040" s="22" t="str">
        <f>VLOOKUP(B5040,辅助信息!E:M,9,FALSE)</f>
        <v>ZTWM-CDGS-XS-2025-0073-五冶天府-成都怡心湖片区及龙泉驿医院等项目</v>
      </c>
      <c r="R5040" s="22" t="str">
        <f>_xlfn._xlws.FILTER(辅助信息!D:D,辅助信息!E:E=B5040)</f>
        <v>五冶建设成都盐道街中学初中部改扩建工程-一标</v>
      </c>
    </row>
    <row r="5041" spans="2:18">
      <c r="B5041" s="152" t="s">
        <v>167</v>
      </c>
      <c r="C5041" s="63">
        <v>45957</v>
      </c>
      <c r="D5041" s="153" t="str">
        <f>VLOOKUP(B5041,辅助信息!E:K,7,FALSE)</f>
        <v>JWDDCD2025102100473</v>
      </c>
      <c r="E5041" s="153" t="str">
        <f>VLOOKUP(F5041,辅助信息!A:B,2,FALSE)</f>
        <v>盘螺</v>
      </c>
      <c r="F5041" s="153" t="s">
        <v>49</v>
      </c>
      <c r="G5041" s="154">
        <v>4</v>
      </c>
      <c r="H5041" s="156"/>
      <c r="I5041" s="157" t="str">
        <f>VLOOKUP(B5041,辅助信息!E:I,3,FALSE)</f>
        <v>(五冶建设扩建艺体中学二期工程)四川省成都市双流区光荣路成都艺体中学南200米</v>
      </c>
      <c r="J5041" s="153" t="str">
        <f>VLOOKUP(B5041,辅助信息!E:I,4,FALSE)</f>
        <v>谢序强</v>
      </c>
      <c r="K5041" s="153">
        <f>VLOOKUP(J5041,辅助信息!H:I,2,FALSE)</f>
        <v>13458588232</v>
      </c>
      <c r="L5041" s="158" t="str">
        <f>VLOOKUP(B5041,辅助信息!E:J,6,FALSE)</f>
        <v>联系实际收货人（谢序强13458588232）五冶建设送货单,一式6份材质书,锈货不收，项目名称：扩建艺体中学二期工程，装货前联系收货人核实到场规格,没提前告知进场规格现场不给予接收</v>
      </c>
      <c r="M5041" s="84">
        <v>45957</v>
      </c>
      <c r="O5041" s="55">
        <f ca="1">IF(OR(M5041="",N5041&lt;&gt;""),"",MAX(M5041-TODAY(),0))</f>
        <v>0</v>
      </c>
      <c r="P5041" s="55">
        <f ca="1">IF(M5041="","",IF(N5041&lt;&gt;"",MAX(N5041-M5041,0),IF(TODAY()&gt;M5041,TODAY()-M5041,0)))</f>
        <v>0</v>
      </c>
      <c r="Q5041" s="22" t="str">
        <f>VLOOKUP(B5041,辅助信息!E:M,9,FALSE)</f>
        <v>ZTWM-CDGS-XS-2025-0073-五冶天府-成都怡心湖片区及龙泉驿医院等项目</v>
      </c>
      <c r="R5041" s="22" t="str">
        <f>_xlfn._xlws.FILTER(辅助信息!D:D,辅助信息!E:E=B5041)</f>
        <v>五冶建设扩建艺体中学二期工程</v>
      </c>
    </row>
    <row r="5042" spans="2:18">
      <c r="B5042" s="152" t="s">
        <v>167</v>
      </c>
      <c r="C5042" s="63">
        <v>45957</v>
      </c>
      <c r="D5042" s="153" t="str">
        <f>VLOOKUP(B5042,辅助信息!E:K,7,FALSE)</f>
        <v>JWDDCD2025102100473</v>
      </c>
      <c r="E5042" s="153" t="str">
        <f>VLOOKUP(F5042,辅助信息!A:B,2,FALSE)</f>
        <v>盘螺</v>
      </c>
      <c r="F5042" s="153" t="s">
        <v>40</v>
      </c>
      <c r="G5042" s="154">
        <v>6</v>
      </c>
      <c r="H5042" s="156"/>
      <c r="I5042" s="157" t="str">
        <f>VLOOKUP(B5042,辅助信息!E:I,3,FALSE)</f>
        <v>(五冶建设扩建艺体中学二期工程)四川省成都市双流区光荣路成都艺体中学南200米</v>
      </c>
      <c r="J5042" s="153" t="str">
        <f>VLOOKUP(B5042,辅助信息!E:I,4,FALSE)</f>
        <v>谢序强</v>
      </c>
      <c r="K5042" s="153">
        <f>VLOOKUP(J5042,辅助信息!H:I,2,FALSE)</f>
        <v>13458588232</v>
      </c>
      <c r="L5042" s="158" t="str">
        <f>VLOOKUP(B5042,辅助信息!E:J,6,FALSE)</f>
        <v>联系实际收货人（谢序强13458588232）五冶建设送货单,一式6份材质书,锈货不收，项目名称：扩建艺体中学二期工程，装货前联系收货人核实到场规格,没提前告知进场规格现场不给予接收</v>
      </c>
      <c r="M5042" s="159">
        <v>45957</v>
      </c>
      <c r="O5042" s="55">
        <f ca="1">IF(OR(M5042="",N5042&lt;&gt;""),"",MAX(M5042-TODAY(),0))</f>
        <v>0</v>
      </c>
      <c r="P5042" s="55">
        <f ca="1">IF(M5042="","",IF(N5042&lt;&gt;"",MAX(N5042-M5042,0),IF(TODAY()&gt;M5042,TODAY()-M5042,0)))</f>
        <v>0</v>
      </c>
      <c r="Q5042" s="22" t="str">
        <f>VLOOKUP(B5042,辅助信息!E:M,9,FALSE)</f>
        <v>ZTWM-CDGS-XS-2025-0073-五冶天府-成都怡心湖片区及龙泉驿医院等项目</v>
      </c>
      <c r="R5042" s="22" t="str">
        <f>_xlfn._xlws.FILTER(辅助信息!D:D,辅助信息!E:E=B5042)</f>
        <v>五冶建设扩建艺体中学二期工程</v>
      </c>
    </row>
    <row r="5043" spans="2:18">
      <c r="B5043" s="152" t="s">
        <v>167</v>
      </c>
      <c r="C5043" s="63">
        <v>45957</v>
      </c>
      <c r="D5043" s="153" t="str">
        <f>VLOOKUP(B5043,辅助信息!E:K,7,FALSE)</f>
        <v>JWDDCD2025102100473</v>
      </c>
      <c r="E5043" s="153" t="str">
        <f>VLOOKUP(F5043,辅助信息!A:B,2,FALSE)</f>
        <v>盘螺</v>
      </c>
      <c r="F5043" s="153" t="s">
        <v>41</v>
      </c>
      <c r="G5043" s="154">
        <v>6</v>
      </c>
      <c r="H5043" s="156"/>
      <c r="I5043" s="157" t="str">
        <f>VLOOKUP(B5043,辅助信息!E:I,3,FALSE)</f>
        <v>(五冶建设扩建艺体中学二期工程)四川省成都市双流区光荣路成都艺体中学南200米</v>
      </c>
      <c r="J5043" s="153" t="str">
        <f>VLOOKUP(B5043,辅助信息!E:I,4,FALSE)</f>
        <v>谢序强</v>
      </c>
      <c r="K5043" s="153">
        <f>VLOOKUP(J5043,辅助信息!H:I,2,FALSE)</f>
        <v>13458588232</v>
      </c>
      <c r="L5043" s="158" t="str">
        <f>VLOOKUP(B5043,辅助信息!E:J,6,FALSE)</f>
        <v>联系实际收货人（谢序强13458588232）五冶建设送货单,一式6份材质书,锈货不收，项目名称：扩建艺体中学二期工程，装货前联系收货人核实到场规格,没提前告知进场规格现场不给予接收</v>
      </c>
      <c r="M5043" s="159">
        <v>45957</v>
      </c>
      <c r="O5043" s="55">
        <f ca="1">IF(OR(M5043="",N5043&lt;&gt;""),"",MAX(M5043-TODAY(),0))</f>
        <v>0</v>
      </c>
      <c r="P5043" s="55">
        <f ca="1">IF(M5043="","",IF(N5043&lt;&gt;"",MAX(N5043-M5043,0),IF(TODAY()&gt;M5043,TODAY()-M5043,0)))</f>
        <v>0</v>
      </c>
      <c r="Q5043" s="22" t="str">
        <f>VLOOKUP(B5043,辅助信息!E:M,9,FALSE)</f>
        <v>ZTWM-CDGS-XS-2025-0073-五冶天府-成都怡心湖片区及龙泉驿医院等项目</v>
      </c>
      <c r="R5043" s="22" t="str">
        <f>_xlfn._xlws.FILTER(辅助信息!D:D,辅助信息!E:E=B5043)</f>
        <v>五冶建设扩建艺体中学二期工程</v>
      </c>
    </row>
    <row r="5044" spans="2:18">
      <c r="B5044" s="152" t="s">
        <v>167</v>
      </c>
      <c r="C5044" s="63">
        <v>45957</v>
      </c>
      <c r="D5044" s="153" t="str">
        <f>VLOOKUP(B5044,辅助信息!E:K,7,FALSE)</f>
        <v>JWDDCD2025102100473</v>
      </c>
      <c r="E5044" s="153" t="str">
        <f>VLOOKUP(F5044,辅助信息!A:B,2,FALSE)</f>
        <v>螺纹钢</v>
      </c>
      <c r="F5044" s="153" t="s">
        <v>27</v>
      </c>
      <c r="G5044" s="154">
        <v>45</v>
      </c>
      <c r="H5044" s="156"/>
      <c r="I5044" s="157" t="str">
        <f>VLOOKUP(B5044,辅助信息!E:I,3,FALSE)</f>
        <v>(五冶建设扩建艺体中学二期工程)四川省成都市双流区光荣路成都艺体中学南200米</v>
      </c>
      <c r="J5044" s="153" t="str">
        <f>VLOOKUP(B5044,辅助信息!E:I,4,FALSE)</f>
        <v>谢序强</v>
      </c>
      <c r="K5044" s="153">
        <f>VLOOKUP(J5044,辅助信息!H:I,2,FALSE)</f>
        <v>13458588232</v>
      </c>
      <c r="L5044" s="158" t="str">
        <f>VLOOKUP(B5044,辅助信息!E:J,6,FALSE)</f>
        <v>联系实际收货人（谢序强13458588232）五冶建设送货单,一式6份材质书,锈货不收，项目名称：扩建艺体中学二期工程，装货前联系收货人核实到场规格,没提前告知进场规格现场不给予接收</v>
      </c>
      <c r="M5044" s="159">
        <v>45957</v>
      </c>
      <c r="O5044" s="55">
        <f ca="1">IF(OR(M5044="",N5044&lt;&gt;""),"",MAX(M5044-TODAY(),0))</f>
        <v>0</v>
      </c>
      <c r="P5044" s="55">
        <f ca="1">IF(M5044="","",IF(N5044&lt;&gt;"",MAX(N5044-M5044,0),IF(TODAY()&gt;M5044,TODAY()-M5044,0)))</f>
        <v>0</v>
      </c>
      <c r="Q5044" s="22" t="str">
        <f>VLOOKUP(B5044,辅助信息!E:M,9,FALSE)</f>
        <v>ZTWM-CDGS-XS-2025-0073-五冶天府-成都怡心湖片区及龙泉驿医院等项目</v>
      </c>
      <c r="R5044" s="22" t="str">
        <f>_xlfn._xlws.FILTER(辅助信息!D:D,辅助信息!E:E=B5044)</f>
        <v>五冶建设扩建艺体中学二期工程</v>
      </c>
    </row>
    <row r="5045" spans="2:18">
      <c r="B5045" s="152" t="s">
        <v>167</v>
      </c>
      <c r="C5045" s="63">
        <v>45957</v>
      </c>
      <c r="D5045" s="153" t="str">
        <f>VLOOKUP(B5045,辅助信息!E:K,7,FALSE)</f>
        <v>JWDDCD2025102100473</v>
      </c>
      <c r="E5045" s="153" t="str">
        <f>VLOOKUP(F5045,辅助信息!A:B,2,FALSE)</f>
        <v>螺纹钢</v>
      </c>
      <c r="F5045" s="153" t="s">
        <v>21</v>
      </c>
      <c r="G5045" s="154">
        <v>3</v>
      </c>
      <c r="H5045" s="156"/>
      <c r="I5045" s="157" t="str">
        <f>VLOOKUP(B5045,辅助信息!E:I,3,FALSE)</f>
        <v>(五冶建设扩建艺体中学二期工程)四川省成都市双流区光荣路成都艺体中学南200米</v>
      </c>
      <c r="J5045" s="153" t="str">
        <f>VLOOKUP(B5045,辅助信息!E:I,4,FALSE)</f>
        <v>谢序强</v>
      </c>
      <c r="K5045" s="153">
        <f>VLOOKUP(J5045,辅助信息!H:I,2,FALSE)</f>
        <v>13458588232</v>
      </c>
      <c r="L5045" s="158" t="str">
        <f>VLOOKUP(B5045,辅助信息!E:J,6,FALSE)</f>
        <v>联系实际收货人（谢序强13458588232）五冶建设送货单,一式6份材质书,锈货不收，项目名称：扩建艺体中学二期工程，装货前联系收货人核实到场规格,没提前告知进场规格现场不给予接收</v>
      </c>
      <c r="M5045" s="159">
        <v>45957</v>
      </c>
      <c r="O5045" s="55">
        <f ca="1">IF(OR(M5045="",N5045&lt;&gt;""),"",MAX(M5045-TODAY(),0))</f>
        <v>0</v>
      </c>
      <c r="P5045" s="55">
        <f ca="1">IF(M5045="","",IF(N5045&lt;&gt;"",MAX(N5045-M5045,0),IF(TODAY()&gt;M5045,TODAY()-M5045,0)))</f>
        <v>0</v>
      </c>
      <c r="Q5045" s="22" t="str">
        <f>VLOOKUP(B5045,辅助信息!E:M,9,FALSE)</f>
        <v>ZTWM-CDGS-XS-2025-0073-五冶天府-成都怡心湖片区及龙泉驿医院等项目</v>
      </c>
      <c r="R5045" s="22" t="str">
        <f>_xlfn._xlws.FILTER(辅助信息!D:D,辅助信息!E:E=B5045)</f>
        <v>五冶建设扩建艺体中学二期工程</v>
      </c>
    </row>
    <row r="5046" spans="2:18">
      <c r="B5046" s="152" t="s">
        <v>167</v>
      </c>
      <c r="C5046" s="63">
        <v>45957</v>
      </c>
      <c r="D5046" s="153" t="str">
        <f>VLOOKUP(B5046,辅助信息!E:K,7,FALSE)</f>
        <v>JWDDCD2025102100473</v>
      </c>
      <c r="E5046" s="153" t="str">
        <f>VLOOKUP(F5046,辅助信息!A:B,2,FALSE)</f>
        <v>螺纹钢</v>
      </c>
      <c r="F5046" s="153" t="s">
        <v>22</v>
      </c>
      <c r="G5046" s="154">
        <v>40</v>
      </c>
      <c r="H5046" s="156"/>
      <c r="I5046" s="157" t="str">
        <f>VLOOKUP(B5046,辅助信息!E:I,3,FALSE)</f>
        <v>(五冶建设扩建艺体中学二期工程)四川省成都市双流区光荣路成都艺体中学南200米</v>
      </c>
      <c r="J5046" s="153" t="str">
        <f>VLOOKUP(B5046,辅助信息!E:I,4,FALSE)</f>
        <v>谢序强</v>
      </c>
      <c r="K5046" s="153">
        <f>VLOOKUP(J5046,辅助信息!H:I,2,FALSE)</f>
        <v>13458588232</v>
      </c>
      <c r="L5046" s="158" t="str">
        <f>VLOOKUP(B5046,辅助信息!E:J,6,FALSE)</f>
        <v>联系实际收货人（谢序强13458588232）五冶建设送货单,一式6份材质书,锈货不收，项目名称：扩建艺体中学二期工程，装货前联系收货人核实到场规格,没提前告知进场规格现场不给予接收</v>
      </c>
      <c r="M5046" s="159">
        <v>45957</v>
      </c>
      <c r="O5046" s="55">
        <f ca="1">IF(OR(M5046="",N5046&lt;&gt;""),"",MAX(M5046-TODAY(),0))</f>
        <v>0</v>
      </c>
      <c r="P5046" s="55">
        <f ca="1">IF(M5046="","",IF(N5046&lt;&gt;"",MAX(N5046-M5046,0),IF(TODAY()&gt;M5046,TODAY()-M5046,0)))</f>
        <v>0</v>
      </c>
      <c r="Q5046" s="22" t="str">
        <f>VLOOKUP(B5046,辅助信息!E:M,9,FALSE)</f>
        <v>ZTWM-CDGS-XS-2025-0073-五冶天府-成都怡心湖片区及龙泉驿医院等项目</v>
      </c>
      <c r="R5046" s="22" t="str">
        <f>_xlfn._xlws.FILTER(辅助信息!D:D,辅助信息!E:E=B5046)</f>
        <v>五冶建设扩建艺体中学二期工程</v>
      </c>
    </row>
    <row r="5047" spans="2:18">
      <c r="B5047" s="152" t="s">
        <v>47</v>
      </c>
      <c r="C5047" s="63">
        <v>45957</v>
      </c>
      <c r="D5047" s="153" t="str">
        <f>VLOOKUP(B5047,辅助信息!E:K,7,FALSE)</f>
        <v>JWDDCD2025052800131</v>
      </c>
      <c r="E5047" s="153" t="str">
        <f>VLOOKUP(F5047,辅助信息!A:B,2,FALSE)</f>
        <v>盘螺</v>
      </c>
      <c r="F5047" s="153" t="s">
        <v>40</v>
      </c>
      <c r="G5047" s="154">
        <v>30</v>
      </c>
      <c r="H5047" s="156"/>
      <c r="I5047" s="157" t="str">
        <f>VLOOKUP(B5047,辅助信息!E:I,3,FALSE)</f>
        <v>（商投建工达州中医药科技园-1工区）达州市通川区达州中医药职业学院犀牛大道北段</v>
      </c>
      <c r="J5047" s="153" t="str">
        <f>VLOOKUP(B5047,辅助信息!E:I,4,FALSE)</f>
        <v>程黄刚</v>
      </c>
      <c r="K5047" s="153">
        <f>VLOOKUP(J5047,辅助信息!H:I,2,FALSE)</f>
        <v>15108211617</v>
      </c>
      <c r="L5047" s="158" t="str">
        <f>VLOOKUP(B5047,辅助信息!E:J,6,FALSE)</f>
        <v>控制炉批号！多了现场不收！,优先安排达钢,提前联系到场规格及数量</v>
      </c>
      <c r="M5047" s="159">
        <v>45957</v>
      </c>
      <c r="O5047" s="55">
        <f ca="1">IF(OR(M5047="",N5047&lt;&gt;""),"",MAX(M5047-TODAY(),0))</f>
        <v>0</v>
      </c>
      <c r="P5047" s="55">
        <f ca="1">IF(M5047="","",IF(N5047&lt;&gt;"",MAX(N5047-M5047,0),IF(TODAY()&gt;M5047,TODAY()-M5047,0)))</f>
        <v>0</v>
      </c>
      <c r="Q5047" s="22" t="str">
        <f>VLOOKUP(B5047,辅助信息!E:M,9,FALSE)</f>
        <v>ZTWM-CDGS-XS-2024-0134-商投建工达州中医药科技成果示范园项目</v>
      </c>
      <c r="R5047" s="22" t="str">
        <f>_xlfn._xlws.FILTER(辅助信息!D:D,辅助信息!E:E=B5047)</f>
        <v>商投建工达州中医药科技园</v>
      </c>
    </row>
    <row r="5048" spans="2:18">
      <c r="B5048" s="152" t="s">
        <v>47</v>
      </c>
      <c r="C5048" s="63">
        <v>45957</v>
      </c>
      <c r="D5048" s="153" t="str">
        <f>VLOOKUP(B5048,辅助信息!E:K,7,FALSE)</f>
        <v>JWDDCD2025052800131</v>
      </c>
      <c r="E5048" s="153" t="str">
        <f>VLOOKUP(F5048,辅助信息!A:B,2,FALSE)</f>
        <v>盘螺</v>
      </c>
      <c r="F5048" s="153" t="s">
        <v>41</v>
      </c>
      <c r="G5048" s="154">
        <v>15</v>
      </c>
      <c r="H5048" s="156"/>
      <c r="I5048" s="157" t="str">
        <f>VLOOKUP(B5048,辅助信息!E:I,3,FALSE)</f>
        <v>（商投建工达州中医药科技园-1工区）达州市通川区达州中医药职业学院犀牛大道北段</v>
      </c>
      <c r="J5048" s="153" t="str">
        <f>VLOOKUP(B5048,辅助信息!E:I,4,FALSE)</f>
        <v>程黄刚</v>
      </c>
      <c r="K5048" s="153">
        <f>VLOOKUP(J5048,辅助信息!H:I,2,FALSE)</f>
        <v>15108211617</v>
      </c>
      <c r="L5048" s="158" t="str">
        <f>VLOOKUP(B5048,辅助信息!E:J,6,FALSE)</f>
        <v>控制炉批号！多了现场不收！,优先安排达钢,提前联系到场规格及数量</v>
      </c>
      <c r="M5048" s="159">
        <v>45957</v>
      </c>
      <c r="O5048" s="55">
        <f ca="1">IF(OR(M5048="",N5048&lt;&gt;""),"",MAX(M5048-TODAY(),0))</f>
        <v>0</v>
      </c>
      <c r="P5048" s="55">
        <f ca="1">IF(M5048="","",IF(N5048&lt;&gt;"",MAX(N5048-M5048,0),IF(TODAY()&gt;M5048,TODAY()-M5048,0)))</f>
        <v>0</v>
      </c>
      <c r="Q5048" s="22" t="str">
        <f>VLOOKUP(B5048,辅助信息!E:M,9,FALSE)</f>
        <v>ZTWM-CDGS-XS-2024-0134-商投建工达州中医药科技成果示范园项目</v>
      </c>
      <c r="R5048" s="22" t="str">
        <f>_xlfn._xlws.FILTER(辅助信息!D:D,辅助信息!E:E=B5048)</f>
        <v>商投建工达州中医药科技园</v>
      </c>
    </row>
    <row r="5049" spans="2:18">
      <c r="B5049" s="152" t="s">
        <v>47</v>
      </c>
      <c r="C5049" s="63">
        <v>45957</v>
      </c>
      <c r="D5049" s="153" t="str">
        <f>VLOOKUP(B5049,辅助信息!E:K,7,FALSE)</f>
        <v>JWDDCD2025052800131</v>
      </c>
      <c r="E5049" s="153" t="str">
        <f>VLOOKUP(F5049,辅助信息!A:B,2,FALSE)</f>
        <v>螺纹钢</v>
      </c>
      <c r="F5049" s="153" t="s">
        <v>33</v>
      </c>
      <c r="G5049" s="154">
        <v>6</v>
      </c>
      <c r="H5049" s="156"/>
      <c r="I5049" s="157" t="str">
        <f>VLOOKUP(B5049,辅助信息!E:I,3,FALSE)</f>
        <v>（商投建工达州中医药科技园-1工区）达州市通川区达州中医药职业学院犀牛大道北段</v>
      </c>
      <c r="J5049" s="153" t="str">
        <f>VLOOKUP(B5049,辅助信息!E:I,4,FALSE)</f>
        <v>程黄刚</v>
      </c>
      <c r="K5049" s="153">
        <f>VLOOKUP(J5049,辅助信息!H:I,2,FALSE)</f>
        <v>15108211617</v>
      </c>
      <c r="L5049" s="158" t="str">
        <f>VLOOKUP(B5049,辅助信息!E:J,6,FALSE)</f>
        <v>控制炉批号！多了现场不收！,优先安排达钢,提前联系到场规格及数量</v>
      </c>
      <c r="M5049" s="159">
        <v>45957</v>
      </c>
      <c r="O5049" s="55">
        <f ca="1">IF(OR(M5049="",N5049&lt;&gt;""),"",MAX(M5049-TODAY(),0))</f>
        <v>0</v>
      </c>
      <c r="P5049" s="55">
        <f ca="1">IF(M5049="","",IF(N5049&lt;&gt;"",MAX(N5049-M5049,0),IF(TODAY()&gt;M5049,TODAY()-M5049,0)))</f>
        <v>0</v>
      </c>
      <c r="Q5049" s="22" t="str">
        <f>VLOOKUP(B5049,辅助信息!E:M,9,FALSE)</f>
        <v>ZTWM-CDGS-XS-2024-0134-商投建工达州中医药科技成果示范园项目</v>
      </c>
      <c r="R5049" s="22" t="str">
        <f>_xlfn._xlws.FILTER(辅助信息!D:D,辅助信息!E:E=B5049)</f>
        <v>商投建工达州中医药科技园</v>
      </c>
    </row>
    <row r="5050" spans="2:18">
      <c r="B5050" s="152" t="s">
        <v>47</v>
      </c>
      <c r="C5050" s="63">
        <v>45957</v>
      </c>
      <c r="D5050" s="153" t="str">
        <f>VLOOKUP(B5050,辅助信息!E:K,7,FALSE)</f>
        <v>JWDDCD2025052800131</v>
      </c>
      <c r="E5050" s="153" t="str">
        <f>VLOOKUP(F5050,辅助信息!A:B,2,FALSE)</f>
        <v>螺纹钢</v>
      </c>
      <c r="F5050" s="153" t="s">
        <v>66</v>
      </c>
      <c r="G5050" s="154">
        <v>6</v>
      </c>
      <c r="H5050" s="156"/>
      <c r="I5050" s="157" t="str">
        <f>VLOOKUP(B5050,辅助信息!E:I,3,FALSE)</f>
        <v>（商投建工达州中医药科技园-1工区）达州市通川区达州中医药职业学院犀牛大道北段</v>
      </c>
      <c r="J5050" s="153" t="str">
        <f>VLOOKUP(B5050,辅助信息!E:I,4,FALSE)</f>
        <v>程黄刚</v>
      </c>
      <c r="K5050" s="153">
        <f>VLOOKUP(J5050,辅助信息!H:I,2,FALSE)</f>
        <v>15108211617</v>
      </c>
      <c r="L5050" s="158" t="str">
        <f>VLOOKUP(B5050,辅助信息!E:J,6,FALSE)</f>
        <v>控制炉批号！多了现场不收！,优先安排达钢,提前联系到场规格及数量</v>
      </c>
      <c r="M5050" s="159">
        <v>45957</v>
      </c>
      <c r="O5050" s="55">
        <f ca="1">IF(OR(M5050="",N5050&lt;&gt;""),"",MAX(M5050-TODAY(),0))</f>
        <v>0</v>
      </c>
      <c r="P5050" s="55">
        <f ca="1">IF(M5050="","",IF(N5050&lt;&gt;"",MAX(N5050-M5050,0),IF(TODAY()&gt;M5050,TODAY()-M5050,0)))</f>
        <v>0</v>
      </c>
      <c r="Q5050" s="22" t="str">
        <f>VLOOKUP(B5050,辅助信息!E:M,9,FALSE)</f>
        <v>ZTWM-CDGS-XS-2024-0134-商投建工达州中医药科技成果示范园项目</v>
      </c>
      <c r="R5050" s="22" t="str">
        <f>_xlfn._xlws.FILTER(辅助信息!D:D,辅助信息!E:E=B5050)</f>
        <v>商投建工达州中医药科技园</v>
      </c>
    </row>
    <row r="5051" spans="2:18">
      <c r="B5051" s="152" t="s">
        <v>47</v>
      </c>
      <c r="C5051" s="63">
        <v>45957</v>
      </c>
      <c r="D5051" s="153" t="str">
        <f>VLOOKUP(B5051,辅助信息!E:K,7,FALSE)</f>
        <v>JWDDCD2025052800131</v>
      </c>
      <c r="E5051" s="153" t="str">
        <f>VLOOKUP(F5051,辅助信息!A:B,2,FALSE)</f>
        <v>螺纹钢</v>
      </c>
      <c r="F5051" s="153" t="s">
        <v>45</v>
      </c>
      <c r="G5051" s="154">
        <v>6</v>
      </c>
      <c r="H5051" s="156"/>
      <c r="I5051" s="157" t="str">
        <f>VLOOKUP(B5051,辅助信息!E:I,3,FALSE)</f>
        <v>（商投建工达州中医药科技园-1工区）达州市通川区达州中医药职业学院犀牛大道北段</v>
      </c>
      <c r="J5051" s="153" t="str">
        <f>VLOOKUP(B5051,辅助信息!E:I,4,FALSE)</f>
        <v>程黄刚</v>
      </c>
      <c r="K5051" s="153">
        <f>VLOOKUP(J5051,辅助信息!H:I,2,FALSE)</f>
        <v>15108211617</v>
      </c>
      <c r="L5051" s="158" t="str">
        <f>VLOOKUP(B5051,辅助信息!E:J,6,FALSE)</f>
        <v>控制炉批号！多了现场不收！,优先安排达钢,提前联系到场规格及数量</v>
      </c>
      <c r="M5051" s="159">
        <v>45957</v>
      </c>
      <c r="O5051" s="55">
        <f ca="1">IF(OR(M5051="",N5051&lt;&gt;""),"",MAX(M5051-TODAY(),0))</f>
        <v>0</v>
      </c>
      <c r="P5051" s="55">
        <f ca="1">IF(M5051="","",IF(N5051&lt;&gt;"",MAX(N5051-M5051,0),IF(TODAY()&gt;M5051,TODAY()-M5051,0)))</f>
        <v>0</v>
      </c>
      <c r="Q5051" s="22" t="str">
        <f>VLOOKUP(B5051,辅助信息!E:M,9,FALSE)</f>
        <v>ZTWM-CDGS-XS-2024-0134-商投建工达州中医药科技成果示范园项目</v>
      </c>
      <c r="R5051" s="22" t="str">
        <f>_xlfn._xlws.FILTER(辅助信息!D:D,辅助信息!E:E=B5051)</f>
        <v>商投建工达州中医药科技园</v>
      </c>
    </row>
    <row r="5052" spans="2:18">
      <c r="B5052" s="152" t="s">
        <v>47</v>
      </c>
      <c r="C5052" s="63">
        <v>45957</v>
      </c>
      <c r="D5052" s="153" t="str">
        <f>VLOOKUP(B5052,辅助信息!E:K,7,FALSE)</f>
        <v>JWDDCD2025052800131</v>
      </c>
      <c r="E5052" s="153" t="str">
        <f>VLOOKUP(F5052,辅助信息!A:B,2,FALSE)</f>
        <v>螺纹钢</v>
      </c>
      <c r="F5052" s="153" t="s">
        <v>21</v>
      </c>
      <c r="G5052" s="154">
        <v>6</v>
      </c>
      <c r="H5052" s="156"/>
      <c r="I5052" s="157" t="str">
        <f>VLOOKUP(B5052,辅助信息!E:I,3,FALSE)</f>
        <v>（商投建工达州中医药科技园-1工区）达州市通川区达州中医药职业学院犀牛大道北段</v>
      </c>
      <c r="J5052" s="153" t="str">
        <f>VLOOKUP(B5052,辅助信息!E:I,4,FALSE)</f>
        <v>程黄刚</v>
      </c>
      <c r="K5052" s="153">
        <f>VLOOKUP(J5052,辅助信息!H:I,2,FALSE)</f>
        <v>15108211617</v>
      </c>
      <c r="L5052" s="158" t="str">
        <f>VLOOKUP(B5052,辅助信息!E:J,6,FALSE)</f>
        <v>控制炉批号！多了现场不收！,优先安排达钢,提前联系到场规格及数量</v>
      </c>
      <c r="M5052" s="159">
        <v>45957</v>
      </c>
      <c r="O5052" s="55">
        <f ca="1">IF(OR(M5052="",N5052&lt;&gt;""),"",MAX(M5052-TODAY(),0))</f>
        <v>0</v>
      </c>
      <c r="P5052" s="55">
        <f ca="1">IF(M5052="","",IF(N5052&lt;&gt;"",MAX(N5052-M5052,0),IF(TODAY()&gt;M5052,TODAY()-M5052,0)))</f>
        <v>0</v>
      </c>
      <c r="Q5052" s="22" t="str">
        <f>VLOOKUP(B5052,辅助信息!E:M,9,FALSE)</f>
        <v>ZTWM-CDGS-XS-2024-0134-商投建工达州中医药科技成果示范园项目</v>
      </c>
      <c r="R5052" s="22" t="str">
        <f>_xlfn._xlws.FILTER(辅助信息!D:D,辅助信息!E:E=B5052)</f>
        <v>商投建工达州中医药科技园</v>
      </c>
    </row>
    <row r="5053" spans="2:18">
      <c r="B5053" s="152" t="s">
        <v>47</v>
      </c>
      <c r="C5053" s="63">
        <v>45957</v>
      </c>
      <c r="D5053" s="153" t="str">
        <f>VLOOKUP(B5053,辅助信息!E:K,7,FALSE)</f>
        <v>JWDDCD2025052800131</v>
      </c>
      <c r="E5053" s="153" t="str">
        <f>VLOOKUP(F5053,辅助信息!A:B,2,FALSE)</f>
        <v>螺纹钢</v>
      </c>
      <c r="F5053" s="153" t="s">
        <v>58</v>
      </c>
      <c r="G5053" s="154">
        <v>9</v>
      </c>
      <c r="H5053" s="156"/>
      <c r="I5053" s="157" t="str">
        <f>VLOOKUP(B5053,辅助信息!E:I,3,FALSE)</f>
        <v>（商投建工达州中医药科技园-1工区）达州市通川区达州中医药职业学院犀牛大道北段</v>
      </c>
      <c r="J5053" s="153" t="str">
        <f>VLOOKUP(B5053,辅助信息!E:I,4,FALSE)</f>
        <v>程黄刚</v>
      </c>
      <c r="K5053" s="153">
        <f>VLOOKUP(J5053,辅助信息!H:I,2,FALSE)</f>
        <v>15108211617</v>
      </c>
      <c r="L5053" s="158" t="str">
        <f>VLOOKUP(B5053,辅助信息!E:J,6,FALSE)</f>
        <v>控制炉批号！多了现场不收！,优先安排达钢,提前联系到场规格及数量</v>
      </c>
      <c r="M5053" s="159">
        <v>45957</v>
      </c>
      <c r="O5053" s="55">
        <f ca="1">IF(OR(M5053="",N5053&lt;&gt;""),"",MAX(M5053-TODAY(),0))</f>
        <v>0</v>
      </c>
      <c r="P5053" s="55">
        <f ca="1">IF(M5053="","",IF(N5053&lt;&gt;"",MAX(N5053-M5053,0),IF(TODAY()&gt;M5053,TODAY()-M5053,0)))</f>
        <v>0</v>
      </c>
      <c r="Q5053" s="22" t="str">
        <f>VLOOKUP(B5053,辅助信息!E:M,9,FALSE)</f>
        <v>ZTWM-CDGS-XS-2024-0134-商投建工达州中医药科技成果示范园项目</v>
      </c>
      <c r="R5053" s="22" t="str">
        <f>_xlfn._xlws.FILTER(辅助信息!D:D,辅助信息!E:E=B5053)</f>
        <v>商投建工达州中医药科技园</v>
      </c>
    </row>
    <row r="5054" spans="2:18">
      <c r="B5054" s="152" t="s">
        <v>47</v>
      </c>
      <c r="C5054" s="63">
        <v>45957</v>
      </c>
      <c r="D5054" s="153" t="str">
        <f>VLOOKUP(B5054,辅助信息!E:K,7,FALSE)</f>
        <v>JWDDCD2025052800131</v>
      </c>
      <c r="E5054" s="153" t="str">
        <f>VLOOKUP(F5054,辅助信息!A:B,2,FALSE)</f>
        <v>螺纹钢</v>
      </c>
      <c r="F5054" s="153" t="s">
        <v>46</v>
      </c>
      <c r="G5054" s="154">
        <v>9</v>
      </c>
      <c r="H5054" s="156"/>
      <c r="I5054" s="157" t="str">
        <f>VLOOKUP(B5054,辅助信息!E:I,3,FALSE)</f>
        <v>（商投建工达州中医药科技园-1工区）达州市通川区达州中医药职业学院犀牛大道北段</v>
      </c>
      <c r="J5054" s="153" t="str">
        <f>VLOOKUP(B5054,辅助信息!E:I,4,FALSE)</f>
        <v>程黄刚</v>
      </c>
      <c r="K5054" s="153">
        <f>VLOOKUP(J5054,辅助信息!H:I,2,FALSE)</f>
        <v>15108211617</v>
      </c>
      <c r="L5054" s="158" t="str">
        <f>VLOOKUP(B5054,辅助信息!E:J,6,FALSE)</f>
        <v>控制炉批号！多了现场不收！,优先安排达钢,提前联系到场规格及数量</v>
      </c>
      <c r="M5054" s="159">
        <v>45957</v>
      </c>
      <c r="O5054" s="55">
        <f ca="1">IF(OR(M5054="",N5054&lt;&gt;""),"",MAX(M5054-TODAY(),0))</f>
        <v>0</v>
      </c>
      <c r="P5054" s="55">
        <f ca="1">IF(M5054="","",IF(N5054&lt;&gt;"",MAX(N5054-M5054,0),IF(TODAY()&gt;M5054,TODAY()-M5054,0)))</f>
        <v>0</v>
      </c>
      <c r="Q5054" s="22" t="str">
        <f>VLOOKUP(B5054,辅助信息!E:M,9,FALSE)</f>
        <v>ZTWM-CDGS-XS-2024-0134-商投建工达州中医药科技成果示范园项目</v>
      </c>
      <c r="R5054" s="22" t="str">
        <f>_xlfn._xlws.FILTER(辅助信息!D:D,辅助信息!E:E=B5054)</f>
        <v>商投建工达州中医药科技园</v>
      </c>
    </row>
    <row r="5055" spans="1:18">
      <c r="A5055" s="64" t="s">
        <v>100</v>
      </c>
      <c r="B5055" s="152" t="s">
        <v>167</v>
      </c>
      <c r="C5055" s="63">
        <v>45957</v>
      </c>
      <c r="D5055" s="153" t="str">
        <f>VLOOKUP(B5055,辅助信息!E:K,7,FALSE)</f>
        <v>JWDDCD2025102100473</v>
      </c>
      <c r="E5055" s="153" t="str">
        <f>VLOOKUP(F5055,辅助信息!A:B,2,FALSE)</f>
        <v>螺纹钢</v>
      </c>
      <c r="F5055" s="153" t="s">
        <v>27</v>
      </c>
      <c r="G5055" s="154">
        <v>15</v>
      </c>
      <c r="H5055" s="156"/>
      <c r="I5055" s="157" t="str">
        <f>VLOOKUP(B5055,辅助信息!E:I,3,FALSE)</f>
        <v>(五冶建设扩建艺体中学二期工程)四川省成都市双流区光荣路成都艺体中学南200米</v>
      </c>
      <c r="J5055" s="153" t="str">
        <f>VLOOKUP(B5055,辅助信息!E:I,4,FALSE)</f>
        <v>谢序强</v>
      </c>
      <c r="K5055" s="153">
        <f>VLOOKUP(J5055,辅助信息!H:I,2,FALSE)</f>
        <v>13458588232</v>
      </c>
      <c r="L5055" s="158" t="str">
        <f>VLOOKUP(B5055,辅助信息!E:J,6,FALSE)</f>
        <v>联系实际收货人（谢序强13458588232）五冶建设送货单,一式6份材质书,锈货不收，项目名称：扩建艺体中学二期工程，装货前联系收货人核实到场规格,没提前告知进场规格现场不给予接收</v>
      </c>
      <c r="O5055" s="55" t="str">
        <f ca="1">IF(OR(M5055="",N5055&lt;&gt;""),"",MAX(M5055-TODAY(),0))</f>
        <v/>
      </c>
      <c r="P5055" s="55" t="str">
        <f ca="1">IF(M5055="","",IF(N5055&lt;&gt;"",MAX(N5055-M5055,0),IF(TODAY()&gt;M5055,TODAY()-M5055,0)))</f>
        <v/>
      </c>
      <c r="Q5055" s="22" t="str">
        <f>VLOOKUP(B5055,辅助信息!E:M,9,FALSE)</f>
        <v>ZTWM-CDGS-XS-2025-0073-五冶天府-成都怡心湖片区及龙泉驿医院等项目</v>
      </c>
      <c r="R5055" s="22" t="str">
        <f>_xlfn._xlws.FILTER(辅助信息!D:D,辅助信息!E:E=B5055)</f>
        <v>五冶建设扩建艺体中学二期工程</v>
      </c>
    </row>
    <row r="5056" spans="1:18">
      <c r="A5056" s="64"/>
      <c r="B5056" s="152" t="s">
        <v>167</v>
      </c>
      <c r="C5056" s="63">
        <v>45957</v>
      </c>
      <c r="D5056" s="153" t="str">
        <f>VLOOKUP(B5056,辅助信息!E:K,7,FALSE)</f>
        <v>JWDDCD2025102100473</v>
      </c>
      <c r="E5056" s="153" t="str">
        <f>VLOOKUP(F5056,辅助信息!A:B,2,FALSE)</f>
        <v>螺纹钢</v>
      </c>
      <c r="F5056" s="153" t="s">
        <v>82</v>
      </c>
      <c r="G5056" s="154">
        <v>10</v>
      </c>
      <c r="H5056" s="156"/>
      <c r="I5056" s="157" t="str">
        <f>VLOOKUP(B5056,辅助信息!E:I,3,FALSE)</f>
        <v>(五冶建设扩建艺体中学二期工程)四川省成都市双流区光荣路成都艺体中学南200米</v>
      </c>
      <c r="J5056" s="153" t="str">
        <f>VLOOKUP(B5056,辅助信息!E:I,4,FALSE)</f>
        <v>谢序强</v>
      </c>
      <c r="K5056" s="153">
        <f>VLOOKUP(J5056,辅助信息!H:I,2,FALSE)</f>
        <v>13458588232</v>
      </c>
      <c r="L5056" s="158" t="str">
        <f>VLOOKUP(B5056,辅助信息!E:J,6,FALSE)</f>
        <v>联系实际收货人（谢序强13458588232）五冶建设送货单,一式6份材质书,锈货不收，项目名称：扩建艺体中学二期工程，装货前联系收货人核实到场规格,没提前告知进场规格现场不给予接收</v>
      </c>
      <c r="O5056" s="55" t="str">
        <f ca="1">IF(OR(M5056="",N5056&lt;&gt;""),"",MAX(M5056-TODAY(),0))</f>
        <v/>
      </c>
      <c r="P5056" s="55" t="str">
        <f ca="1">IF(M5056="","",IF(N5056&lt;&gt;"",MAX(N5056-M5056,0),IF(TODAY()&gt;M5056,TODAY()-M5056,0)))</f>
        <v/>
      </c>
      <c r="Q5056" s="22" t="str">
        <f>VLOOKUP(B5056,辅助信息!E:M,9,FALSE)</f>
        <v>ZTWM-CDGS-XS-2025-0073-五冶天府-成都怡心湖片区及龙泉驿医院等项目</v>
      </c>
      <c r="R5056" s="22" t="str">
        <f>_xlfn._xlws.FILTER(辅助信息!D:D,辅助信息!E:E=B5056)</f>
        <v>五冶建设扩建艺体中学二期工程</v>
      </c>
    </row>
    <row r="5057" spans="1:18">
      <c r="A5057" s="64"/>
      <c r="B5057" s="152" t="s">
        <v>167</v>
      </c>
      <c r="C5057" s="63">
        <v>45957</v>
      </c>
      <c r="D5057" s="153" t="str">
        <f>VLOOKUP(B5057,辅助信息!E:K,7,FALSE)</f>
        <v>JWDDCD2025102100473</v>
      </c>
      <c r="E5057" s="153" t="str">
        <f>VLOOKUP(F5057,辅助信息!A:B,2,FALSE)</f>
        <v>螺纹钢</v>
      </c>
      <c r="F5057" s="153" t="s">
        <v>22</v>
      </c>
      <c r="G5057" s="154">
        <v>10</v>
      </c>
      <c r="H5057" s="156"/>
      <c r="I5057" s="157" t="str">
        <f>VLOOKUP(B5057,辅助信息!E:I,3,FALSE)</f>
        <v>(五冶建设扩建艺体中学二期工程)四川省成都市双流区光荣路成都艺体中学南200米</v>
      </c>
      <c r="J5057" s="153" t="str">
        <f>VLOOKUP(B5057,辅助信息!E:I,4,FALSE)</f>
        <v>谢序强</v>
      </c>
      <c r="K5057" s="153">
        <f>VLOOKUP(J5057,辅助信息!H:I,2,FALSE)</f>
        <v>13458588232</v>
      </c>
      <c r="L5057" s="158" t="str">
        <f>VLOOKUP(B5057,辅助信息!E:J,6,FALSE)</f>
        <v>联系实际收货人（谢序强13458588232）五冶建设送货单,一式6份材质书,锈货不收，项目名称：扩建艺体中学二期工程，装货前联系收货人核实到场规格,没提前告知进场规格现场不给予接收</v>
      </c>
      <c r="O5057" s="55" t="str">
        <f ca="1">IF(OR(M5057="",N5057&lt;&gt;""),"",MAX(M5057-TODAY(),0))</f>
        <v/>
      </c>
      <c r="P5057" s="55" t="str">
        <f ca="1">IF(M5057="","",IF(N5057&lt;&gt;"",MAX(N5057-M5057,0),IF(TODAY()&gt;M5057,TODAY()-M5057,0)))</f>
        <v/>
      </c>
      <c r="Q5057" s="22" t="str">
        <f>VLOOKUP(B5057,辅助信息!E:M,9,FALSE)</f>
        <v>ZTWM-CDGS-XS-2025-0073-五冶天府-成都怡心湖片区及龙泉驿医院等项目</v>
      </c>
      <c r="R5057" s="22" t="str">
        <f>_xlfn._xlws.FILTER(辅助信息!D:D,辅助信息!E:E=B5057)</f>
        <v>五冶建设扩建艺体中学二期工程</v>
      </c>
    </row>
  </sheetData>
  <protectedRanges>
    <protectedRange sqref="M3348:M3353" name="区域1"/>
  </protectedRanges>
  <autoFilter ref="A1:Q5046">
    <filterColumn colId="2">
      <filters>
        <dateGroupItem year="2025" month="10" day="27" dateTimeGrouping="day"/>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28:A5035"/>
    <mergeCell ref="A5055:A5057"/>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72" operator="lessThan">
      <formula>TODAY()</formula>
    </cfRule>
  </conditionalFormatting>
  <conditionalFormatting sqref="L32:O32">
    <cfRule type="containsText" dxfId="1" priority="1979" operator="between" text="送货车型9.6米">
      <formula>NOT(ISERROR(SEARCH("送货车型9.6米",L32)))</formula>
    </cfRule>
  </conditionalFormatting>
  <conditionalFormatting sqref="L40:O40">
    <cfRule type="containsText" dxfId="1" priority="1976" operator="between" text="送货车型9.6米">
      <formula>NOT(ISERROR(SEARCH("送货车型9.6米",L40)))</formula>
    </cfRule>
  </conditionalFormatting>
  <conditionalFormatting sqref="L45:O45">
    <cfRule type="containsText" dxfId="1" priority="1978" operator="between" text="送货车型9.6米">
      <formula>NOT(ISERROR(SEARCH("送货车型9.6米",L45)))</formula>
    </cfRule>
  </conditionalFormatting>
  <conditionalFormatting sqref="L50:O50">
    <cfRule type="containsText" dxfId="1" priority="1975" operator="between" text="送货车型9.6米">
      <formula>NOT(ISERROR(SEARCH("送货车型9.6米",L50)))</formula>
    </cfRule>
  </conditionalFormatting>
  <conditionalFormatting sqref="L85:O85">
    <cfRule type="containsText" dxfId="1" priority="1970" operator="between" text="送货车型9.6米">
      <formula>NOT(ISERROR(SEARCH("送货车型9.6米",L85)))</formula>
    </cfRule>
  </conditionalFormatting>
  <conditionalFormatting sqref="L89:O89">
    <cfRule type="containsText" dxfId="1" priority="1969" operator="between" text="送货车型9.6米">
      <formula>NOT(ISERROR(SEARCH("送货车型9.6米",L89)))</formula>
    </cfRule>
  </conditionalFormatting>
  <conditionalFormatting sqref="L166:O166">
    <cfRule type="containsText" dxfId="1" priority="1965" operator="between" text="送货车型9.6米">
      <formula>NOT(ISERROR(SEARCH("送货车型9.6米",L166)))</formula>
    </cfRule>
  </conditionalFormatting>
  <conditionalFormatting sqref="L178:O178">
    <cfRule type="containsText" dxfId="1" priority="1960" operator="between" text="送货车型9.6米">
      <formula>NOT(ISERROR(SEARCH("送货车型9.6米",L178)))</formula>
    </cfRule>
  </conditionalFormatting>
  <conditionalFormatting sqref="L193:O193">
    <cfRule type="containsText" dxfId="1" priority="1957" operator="between" text="送货车型9.6米">
      <formula>NOT(ISERROR(SEARCH("送货车型9.6米",L193)))</formula>
    </cfRule>
  </conditionalFormatting>
  <conditionalFormatting sqref="L197:O197">
    <cfRule type="containsText" dxfId="1" priority="1956" operator="between" text="送货车型9.6米">
      <formula>NOT(ISERROR(SEARCH("送货车型9.6米",L197)))</formula>
    </cfRule>
  </conditionalFormatting>
  <conditionalFormatting sqref="L270:O270">
    <cfRule type="containsText" dxfId="1" priority="1936" operator="between" text="送货车型9.6米">
      <formula>NOT(ISERROR(SEARCH("送货车型9.6米",L270)))</formula>
    </cfRule>
  </conditionalFormatting>
  <conditionalFormatting sqref="L274:O274">
    <cfRule type="containsText" dxfId="1" priority="1935" operator="between" text="送货车型9.6米">
      <formula>NOT(ISERROR(SEARCH("送货车型9.6米",L274)))</formula>
    </cfRule>
  </conditionalFormatting>
  <conditionalFormatting sqref="L278:O278">
    <cfRule type="containsText" dxfId="1" priority="1934" operator="between" text="送货车型9.6米">
      <formula>NOT(ISERROR(SEARCH("送货车型9.6米",L278)))</formula>
    </cfRule>
  </conditionalFormatting>
  <conditionalFormatting sqref="L284:O284">
    <cfRule type="containsText" dxfId="1" priority="1933" operator="between" text="送货车型9.6米">
      <formula>NOT(ISERROR(SEARCH("送货车型9.6米",L284)))</formula>
    </cfRule>
  </conditionalFormatting>
  <conditionalFormatting sqref="L288:O288">
    <cfRule type="containsText" dxfId="1" priority="1932" operator="between" text="送货车型9.6米">
      <formula>NOT(ISERROR(SEARCH("送货车型9.6米",L288)))</formula>
    </cfRule>
  </conditionalFormatting>
  <conditionalFormatting sqref="L290:O290">
    <cfRule type="containsText" dxfId="1" priority="1931" operator="between" text="送货车型9.6米">
      <formula>NOT(ISERROR(SEARCH("送货车型9.6米",L290)))</formula>
    </cfRule>
  </conditionalFormatting>
  <conditionalFormatting sqref="L295:O295">
    <cfRule type="containsText" dxfId="1" priority="1930" operator="between" text="送货车型9.6米">
      <formula>NOT(ISERROR(SEARCH("送货车型9.6米",L295)))</formula>
    </cfRule>
  </conditionalFormatting>
  <conditionalFormatting sqref="L299:O299">
    <cfRule type="containsText" dxfId="1" priority="1929" operator="between" text="送货车型9.6米">
      <formula>NOT(ISERROR(SEARCH("送货车型9.6米",L299)))</formula>
    </cfRule>
  </conditionalFormatting>
  <conditionalFormatting sqref="L307:O307">
    <cfRule type="containsText" dxfId="1" priority="1928" operator="between" text="送货车型9.6米">
      <formula>NOT(ISERROR(SEARCH("送货车型9.6米",L307)))</formula>
    </cfRule>
  </conditionalFormatting>
  <conditionalFormatting sqref="L310:O310">
    <cfRule type="containsText" dxfId="1" priority="1927" operator="between" text="送货车型9.6米">
      <formula>NOT(ISERROR(SEARCH("送货车型9.6米",L310)))</formula>
    </cfRule>
  </conditionalFormatting>
  <conditionalFormatting sqref="L318">
    <cfRule type="containsText" dxfId="1" priority="1926" operator="between" text="送货车型9.6米">
      <formula>NOT(ISERROR(SEARCH("送货车型9.6米",L318)))</formula>
    </cfRule>
  </conditionalFormatting>
  <conditionalFormatting sqref="L328">
    <cfRule type="containsText" dxfId="1" priority="1925" operator="between" text="送货车型9.6米">
      <formula>NOT(ISERROR(SEARCH("送货车型9.6米",L328)))</formula>
    </cfRule>
  </conditionalFormatting>
  <conditionalFormatting sqref="L332">
    <cfRule type="containsText" dxfId="1" priority="1922" operator="between" text="送货车型9.6米">
      <formula>NOT(ISERROR(SEARCH("送货车型9.6米",L332)))</formula>
    </cfRule>
  </conditionalFormatting>
  <conditionalFormatting sqref="L350:O350">
    <cfRule type="containsText" dxfId="1" priority="1920" operator="between" text="送货车型9.6米">
      <formula>NOT(ISERROR(SEARCH("送货车型9.6米",L350)))</formula>
    </cfRule>
  </conditionalFormatting>
  <conditionalFormatting sqref="L353">
    <cfRule type="containsText" dxfId="1" priority="1914" operator="between" text="送货车型9.6米">
      <formula>NOT(ISERROR(SEARCH("送货车型9.6米",L353)))</formula>
    </cfRule>
  </conditionalFormatting>
  <conditionalFormatting sqref="L357">
    <cfRule type="containsText" dxfId="1" priority="1913" operator="between" text="送货车型9.6米">
      <formula>NOT(ISERROR(SEARCH("送货车型9.6米",L357)))</formula>
    </cfRule>
  </conditionalFormatting>
  <conditionalFormatting sqref="L362">
    <cfRule type="containsText" dxfId="1" priority="1912" operator="between" text="送货车型9.6米">
      <formula>NOT(ISERROR(SEARCH("送货车型9.6米",L362)))</formula>
    </cfRule>
  </conditionalFormatting>
  <conditionalFormatting sqref="L365">
    <cfRule type="containsText" dxfId="1" priority="1911" operator="between" text="送货车型9.6米">
      <formula>NOT(ISERROR(SEARCH("送货车型9.6米",L365)))</formula>
    </cfRule>
  </conditionalFormatting>
  <conditionalFormatting sqref="L368">
    <cfRule type="containsText" dxfId="1" priority="1910" operator="between" text="送货车型9.6米">
      <formula>NOT(ISERROR(SEARCH("送货车型9.6米",L368)))</formula>
    </cfRule>
  </conditionalFormatting>
  <conditionalFormatting sqref="L395">
    <cfRule type="containsText" dxfId="1" priority="1881" operator="between" text="送货车型9.6米">
      <formula>NOT(ISERROR(SEARCH("送货车型9.6米",L395)))</formula>
    </cfRule>
  </conditionalFormatting>
  <conditionalFormatting sqref="L417:O417">
    <cfRule type="containsText" dxfId="1" priority="1873" operator="between" text="送货车型9.6米">
      <formula>NOT(ISERROR(SEARCH("送货车型9.6米",L417)))</formula>
    </cfRule>
  </conditionalFormatting>
  <conditionalFormatting sqref="L509">
    <cfRule type="containsText" dxfId="1" priority="1871" operator="between" text="送货车型9.6米">
      <formula>NOT(ISERROR(SEARCH("送货车型9.6米",L509)))</formula>
    </cfRule>
  </conditionalFormatting>
  <conditionalFormatting sqref="L559">
    <cfRule type="containsText" dxfId="1" priority="1870" operator="between" text="送货车型9.6米">
      <formula>NOT(ISERROR(SEARCH("送货车型9.6米",L559)))</formula>
    </cfRule>
  </conditionalFormatting>
  <conditionalFormatting sqref="L702">
    <cfRule type="containsText" dxfId="1" priority="1865" operator="between" text="送货车型9.6米">
      <formula>NOT(ISERROR(SEARCH("送货车型9.6米",L702)))</formula>
    </cfRule>
  </conditionalFormatting>
  <conditionalFormatting sqref="L713">
    <cfRule type="containsText" dxfId="1" priority="1862" operator="between" text="送货车型9.6米">
      <formula>NOT(ISERROR(SEARCH("送货车型9.6米",L713)))</formula>
    </cfRule>
  </conditionalFormatting>
  <conditionalFormatting sqref="L719">
    <cfRule type="containsText" dxfId="1" priority="1855" operator="between" text="送货车型9.6米">
      <formula>NOT(ISERROR(SEARCH("送货车型9.6米",L719)))</formula>
    </cfRule>
  </conditionalFormatting>
  <conditionalFormatting sqref="L726">
    <cfRule type="containsText" dxfId="1" priority="1854" operator="between" text="送货车型9.6米">
      <formula>NOT(ISERROR(SEARCH("送货车型9.6米",L726)))</formula>
    </cfRule>
  </conditionalFormatting>
  <conditionalFormatting sqref="L733">
    <cfRule type="containsText" dxfId="1" priority="1847" operator="between" text="送货车型9.6米">
      <formula>NOT(ISERROR(SEARCH("送货车型9.6米",L733)))</formula>
    </cfRule>
  </conditionalFormatting>
  <conditionalFormatting sqref="L738">
    <cfRule type="containsText" dxfId="1" priority="1851" operator="between" text="送货车型9.6米">
      <formula>NOT(ISERROR(SEARCH("送货车型9.6米",L738)))</formula>
    </cfRule>
  </conditionalFormatting>
  <conditionalFormatting sqref="L740">
    <cfRule type="containsText" dxfId="1" priority="1849" operator="between" text="送货车型9.6米">
      <formula>NOT(ISERROR(SEARCH("送货车型9.6米",L740)))</formula>
    </cfRule>
  </conditionalFormatting>
  <conditionalFormatting sqref="L746">
    <cfRule type="containsText" dxfId="1" priority="1846" operator="between" text="送货车型9.6米">
      <formula>NOT(ISERROR(SEARCH("送货车型9.6米",L746)))</formula>
    </cfRule>
  </conditionalFormatting>
  <conditionalFormatting sqref="L752">
    <cfRule type="containsText" dxfId="1" priority="1800" operator="between" text="送货车型9.6米">
      <formula>NOT(ISERROR(SEARCH("送货车型9.6米",L752)))</formula>
    </cfRule>
  </conditionalFormatting>
  <conditionalFormatting sqref="L755">
    <cfRule type="containsText" dxfId="1" priority="1792" operator="between" text="送货车型9.6米">
      <formula>NOT(ISERROR(SEARCH("送货车型9.6米",L755)))</formula>
    </cfRule>
  </conditionalFormatting>
  <conditionalFormatting sqref="L767">
    <cfRule type="containsText" dxfId="1" priority="1786" operator="between" text="送货车型9.6米">
      <formula>NOT(ISERROR(SEARCH("送货车型9.6米",L767)))</formula>
    </cfRule>
  </conditionalFormatting>
  <conditionalFormatting sqref="L793">
    <cfRule type="containsText" dxfId="1" priority="1770" operator="between" text="送货车型9.6米">
      <formula>NOT(ISERROR(SEARCH("送货车型9.6米",L793)))</formula>
    </cfRule>
  </conditionalFormatting>
  <conditionalFormatting sqref="L795">
    <cfRule type="containsText" dxfId="1" priority="1779" operator="between" text="送货车型9.6米">
      <formula>NOT(ISERROR(SEARCH("送货车型9.6米",L795)))</formula>
    </cfRule>
  </conditionalFormatting>
  <conditionalFormatting sqref="L799">
    <cfRule type="containsText" dxfId="1" priority="1778" operator="between" text="送货车型9.6米">
      <formula>NOT(ISERROR(SEARCH("送货车型9.6米",L799)))</formula>
    </cfRule>
  </conditionalFormatting>
  <conditionalFormatting sqref="L801">
    <cfRule type="containsText" dxfId="1" priority="1774" operator="between" text="送货车型9.6米">
      <formula>NOT(ISERROR(SEARCH("送货车型9.6米",L801)))</formula>
    </cfRule>
  </conditionalFormatting>
  <conditionalFormatting sqref="L803:N803">
    <cfRule type="containsText" dxfId="1" priority="1773" operator="between" text="送货车型9.6米">
      <formula>NOT(ISERROR(SEARCH("送货车型9.6米",L803)))</formula>
    </cfRule>
  </conditionalFormatting>
  <conditionalFormatting sqref="L805">
    <cfRule type="containsText" dxfId="1" priority="1772" operator="between" text="送货车型9.6米">
      <formula>NOT(ISERROR(SEARCH("送货车型9.6米",L805)))</formula>
    </cfRule>
  </conditionalFormatting>
  <conditionalFormatting sqref="L809">
    <cfRule type="containsText" dxfId="1" priority="1771" operator="between" text="送货车型9.6米">
      <formula>NOT(ISERROR(SEARCH("送货车型9.6米",L809)))</formula>
    </cfRule>
  </conditionalFormatting>
  <conditionalFormatting sqref="L820">
    <cfRule type="containsText" dxfId="1" priority="1768" operator="between" text="送货车型9.6米">
      <formula>NOT(ISERROR(SEARCH("送货车型9.6米",L820)))</formula>
    </cfRule>
  </conditionalFormatting>
  <conditionalFormatting sqref="L825">
    <cfRule type="containsText" dxfId="1" priority="1765" operator="between" text="送货车型9.6米">
      <formula>NOT(ISERROR(SEARCH("送货车型9.6米",L825)))</formula>
    </cfRule>
  </conditionalFormatting>
  <conditionalFormatting sqref="L827">
    <cfRule type="containsText" dxfId="1" priority="1764" operator="between" text="送货车型9.6米">
      <formula>NOT(ISERROR(SEARCH("送货车型9.6米",L827)))</formula>
    </cfRule>
  </conditionalFormatting>
  <conditionalFormatting sqref="L883">
    <cfRule type="containsText" dxfId="1" priority="1741" operator="between" text="送货车型9.6米">
      <formula>NOT(ISERROR(SEARCH("送货车型9.6米",L883)))</formula>
    </cfRule>
  </conditionalFormatting>
  <conditionalFormatting sqref="L887">
    <cfRule type="containsText" dxfId="1" priority="1739" operator="between" text="送货车型9.6米">
      <formula>NOT(ISERROR(SEARCH("送货车型9.6米",L887)))</formula>
    </cfRule>
  </conditionalFormatting>
  <conditionalFormatting sqref="N887">
    <cfRule type="expression" dxfId="2" priority="1722">
      <formula>N887&gt;0</formula>
    </cfRule>
  </conditionalFormatting>
  <conditionalFormatting sqref="L894">
    <cfRule type="containsText" dxfId="1" priority="1738" operator="between" text="送货车型9.6米">
      <formula>NOT(ISERROR(SEARCH("送货车型9.6米",L894)))</formula>
    </cfRule>
  </conditionalFormatting>
  <conditionalFormatting sqref="L901">
    <cfRule type="containsText" dxfId="1" priority="1695" operator="between" text="送货车型9.6米">
      <formula>NOT(ISERROR(SEARCH("送货车型9.6米",L901)))</formula>
    </cfRule>
  </conditionalFormatting>
  <conditionalFormatting sqref="L905">
    <cfRule type="containsText" dxfId="1" priority="1693" operator="between" text="送货车型9.6米">
      <formula>NOT(ISERROR(SEARCH("送货车型9.6米",L905)))</formula>
    </cfRule>
  </conditionalFormatting>
  <conditionalFormatting sqref="L908">
    <cfRule type="containsText" dxfId="1" priority="1692" operator="between" text="送货车型9.6米">
      <formula>NOT(ISERROR(SEARCH("送货车型9.6米",L908)))</formula>
    </cfRule>
  </conditionalFormatting>
  <conditionalFormatting sqref="L911">
    <cfRule type="containsText" dxfId="1" priority="1691" operator="between" text="送货车型9.6米">
      <formula>NOT(ISERROR(SEARCH("送货车型9.6米",L911)))</formula>
    </cfRule>
  </conditionalFormatting>
  <conditionalFormatting sqref="L923">
    <cfRule type="containsText" dxfId="1" priority="1688" operator="between" text="送货车型9.6米">
      <formula>NOT(ISERROR(SEARCH("送货车型9.6米",L923)))</formula>
    </cfRule>
  </conditionalFormatting>
  <conditionalFormatting sqref="L951">
    <cfRule type="containsText" dxfId="1" priority="1686" operator="between" text="送货车型9.6米">
      <formula>NOT(ISERROR(SEARCH("送货车型9.6米",L951)))</formula>
    </cfRule>
  </conditionalFormatting>
  <conditionalFormatting sqref="L955">
    <cfRule type="containsText" dxfId="1" priority="1598" operator="between" text="送货车型9.6米">
      <formula>NOT(ISERROR(SEARCH("送货车型9.6米",L955)))</formula>
    </cfRule>
  </conditionalFormatting>
  <conditionalFormatting sqref="L961">
    <cfRule type="containsText" dxfId="1" priority="1597" operator="between" text="送货车型9.6米">
      <formula>NOT(ISERROR(SEARCH("送货车型9.6米",L961)))</formula>
    </cfRule>
  </conditionalFormatting>
  <conditionalFormatting sqref="L964">
    <cfRule type="containsText" dxfId="1" priority="1596" operator="between" text="送货车型9.6米">
      <formula>NOT(ISERROR(SEARCH("送货车型9.6米",L964)))</formula>
    </cfRule>
  </conditionalFormatting>
  <conditionalFormatting sqref="L972">
    <cfRule type="containsText" dxfId="1" priority="1593" operator="between" text="送货车型9.6米">
      <formula>NOT(ISERROR(SEARCH("送货车型9.6米",L972)))</formula>
    </cfRule>
  </conditionalFormatting>
  <conditionalFormatting sqref="L976">
    <cfRule type="containsText" dxfId="1" priority="1592" operator="between" text="送货车型9.6米">
      <formula>NOT(ISERROR(SEARCH("送货车型9.6米",L976)))</formula>
    </cfRule>
  </conditionalFormatting>
  <conditionalFormatting sqref="L981">
    <cfRule type="containsText" dxfId="1" priority="1591" operator="between" text="送货车型9.6米">
      <formula>NOT(ISERROR(SEARCH("送货车型9.6米",L981)))</formula>
    </cfRule>
  </conditionalFormatting>
  <conditionalFormatting sqref="L987">
    <cfRule type="containsText" dxfId="1" priority="1590" operator="between" text="送货车型9.6米">
      <formula>NOT(ISERROR(SEARCH("送货车型9.6米",L987)))</formula>
    </cfRule>
  </conditionalFormatting>
  <conditionalFormatting sqref="L991">
    <cfRule type="containsText" dxfId="1" priority="1589" operator="between" text="送货车型9.6米">
      <formula>NOT(ISERROR(SEARCH("送货车型9.6米",L991)))</formula>
    </cfRule>
  </conditionalFormatting>
  <conditionalFormatting sqref="L998:O998">
    <cfRule type="containsText" dxfId="1" priority="1391" operator="between" text="送货车型9.6米">
      <formula>NOT(ISERROR(SEARCH("送货车型9.6米",L998)))</formula>
    </cfRule>
  </conditionalFormatting>
  <conditionalFormatting sqref="L1004">
    <cfRule type="containsText" dxfId="1" priority="1372" operator="between" text="送货车型9.6米">
      <formula>NOT(ISERROR(SEARCH("送货车型9.6米",L1004)))</formula>
    </cfRule>
  </conditionalFormatting>
  <conditionalFormatting sqref="L1006">
    <cfRule type="containsText" dxfId="1" priority="1376" operator="between" text="送货车型9.6米">
      <formula>NOT(ISERROR(SEARCH("送货车型9.6米",L1006)))</formula>
    </cfRule>
  </conditionalFormatting>
  <conditionalFormatting sqref="L1008">
    <cfRule type="containsText" dxfId="1" priority="1375" operator="between" text="送货车型9.6米">
      <formula>NOT(ISERROR(SEARCH("送货车型9.6米",L1008)))</formula>
    </cfRule>
  </conditionalFormatting>
  <conditionalFormatting sqref="L1012">
    <cfRule type="containsText" dxfId="1" priority="1374" operator="between" text="送货车型9.6米">
      <formula>NOT(ISERROR(SEARCH("送货车型9.6米",L1012)))</formula>
    </cfRule>
  </conditionalFormatting>
  <conditionalFormatting sqref="L1017">
    <cfRule type="containsText" dxfId="1" priority="1373" operator="between" text="送货车型9.6米">
      <formula>NOT(ISERROR(SEARCH("送货车型9.6米",L1017)))</formula>
    </cfRule>
  </conditionalFormatting>
  <conditionalFormatting sqref="L1028">
    <cfRule type="containsText" dxfId="1" priority="1351" operator="between" text="送货车型9.6米">
      <formula>NOT(ISERROR(SEARCH("送货车型9.6米",L1028)))</formula>
    </cfRule>
  </conditionalFormatting>
  <conditionalFormatting sqref="L1032">
    <cfRule type="containsText" dxfId="1" priority="1350" operator="between" text="送货车型9.6米">
      <formula>NOT(ISERROR(SEARCH("送货车型9.6米",L1032)))</formula>
    </cfRule>
  </conditionalFormatting>
  <conditionalFormatting sqref="L1034">
    <cfRule type="containsText" dxfId="1" priority="1349" operator="between" text="送货车型9.6米">
      <formula>NOT(ISERROR(SEARCH("送货车型9.6米",L1034)))</formula>
    </cfRule>
  </conditionalFormatting>
  <conditionalFormatting sqref="L1041">
    <cfRule type="containsText" dxfId="1" priority="1348" operator="between" text="送货车型9.6米">
      <formula>NOT(ISERROR(SEARCH("送货车型9.6米",L1041)))</formula>
    </cfRule>
  </conditionalFormatting>
  <conditionalFormatting sqref="L1045">
    <cfRule type="containsText" dxfId="1" priority="1347" operator="between" text="送货车型9.6米">
      <formula>NOT(ISERROR(SEARCH("送货车型9.6米",L1045)))</formula>
    </cfRule>
  </conditionalFormatting>
  <conditionalFormatting sqref="L1050">
    <cfRule type="containsText" dxfId="1" priority="1346" operator="between" text="送货车型9.6米">
      <formula>NOT(ISERROR(SEARCH("送货车型9.6米",L1050)))</formula>
    </cfRule>
  </conditionalFormatting>
  <conditionalFormatting sqref="L1054">
    <cfRule type="containsText" dxfId="1" priority="1345" operator="between" text="送货车型9.6米">
      <formula>NOT(ISERROR(SEARCH("送货车型9.6米",L1054)))</formula>
    </cfRule>
  </conditionalFormatting>
  <conditionalFormatting sqref="L1056">
    <cfRule type="containsText" dxfId="1" priority="1344" operator="between" text="送货车型9.6米">
      <formula>NOT(ISERROR(SEARCH("送货车型9.6米",L1056)))</formula>
    </cfRule>
  </conditionalFormatting>
  <conditionalFormatting sqref="L1059">
    <cfRule type="containsText" dxfId="1" priority="1343" operator="between" text="送货车型9.6米">
      <formula>NOT(ISERROR(SEARCH("送货车型9.6米",L1059)))</formula>
    </cfRule>
  </conditionalFormatting>
  <conditionalFormatting sqref="L1062">
    <cfRule type="containsText" dxfId="1" priority="1342" operator="between" text="送货车型9.6米">
      <formula>NOT(ISERROR(SEARCH("送货车型9.6米",L1062)))</formula>
    </cfRule>
  </conditionalFormatting>
  <conditionalFormatting sqref="L1066">
    <cfRule type="containsText" dxfId="1" priority="1341" operator="between" text="送货车型9.6米">
      <formula>NOT(ISERROR(SEARCH("送货车型9.6米",L1066)))</formula>
    </cfRule>
  </conditionalFormatting>
  <conditionalFormatting sqref="D1419:E1419">
    <cfRule type="expression" dxfId="3" priority="7707">
      <formula>AND(NOT(HasFormula(XEZ1419)),XEZ1419&lt;&gt;"")</formula>
    </cfRule>
    <cfRule type="expression" dxfId="4" priority="7706">
      <formula>AND(NOT(HasFormula(#REF!)),#REF!&lt;&gt;"")</formula>
    </cfRule>
  </conditionalFormatting>
  <conditionalFormatting sqref="H1419:L1419">
    <cfRule type="expression" dxfId="4" priority="7708">
      <formula>AND(NOT(HasFormula(#REF!)),#REF!&lt;&gt;"")</formula>
    </cfRule>
    <cfRule type="expression" dxfId="3" priority="7709">
      <formula>AND(NOT(HasFormula(XFD1419)),XFD1419&lt;&gt;"")</formula>
    </cfRule>
  </conditionalFormatting>
  <conditionalFormatting sqref="D1420">
    <cfRule type="expression" dxfId="4" priority="7662">
      <formula>AND(NOT(HasFormula(XFD1422)),XFD1422&lt;&gt;"")</formula>
    </cfRule>
    <cfRule type="expression" dxfId="3" priority="7663">
      <formula>AND(NOT(HasFormula(XEZ1420)),XEZ1420&lt;&gt;"")</formula>
    </cfRule>
  </conditionalFormatting>
  <conditionalFormatting sqref="D1421">
    <cfRule type="expression" dxfId="4" priority="7654">
      <formula>AND(NOT(HasFormula(#REF!)),#REF!&lt;&gt;"")</formula>
    </cfRule>
    <cfRule type="expression" dxfId="3" priority="7655">
      <formula>AND(NOT(HasFormula(XEZ1421)),XEZ1421&lt;&gt;"")</formula>
    </cfRule>
  </conditionalFormatting>
  <conditionalFormatting sqref="H1428:L1428">
    <cfRule type="expression" dxfId="4" priority="7678">
      <formula>AND(NOT(HasFormula(D1432)),D1432&lt;&gt;"")</formula>
    </cfRule>
    <cfRule type="expression" dxfId="3" priority="7679">
      <formula>AND(NOT(HasFormula(XFD1428)),XFD1428&lt;&gt;"")</formula>
    </cfRule>
  </conditionalFormatting>
  <conditionalFormatting sqref="H1431:L1431">
    <cfRule type="expression" dxfId="4" priority="7686">
      <formula>AND(NOT(HasFormula(D1435)),D1435&lt;&gt;"")</formula>
    </cfRule>
    <cfRule type="expression" dxfId="3" priority="7687">
      <formula>AND(NOT(HasFormula(XFD1431)),XFD1431&lt;&gt;"")</formula>
    </cfRule>
  </conditionalFormatting>
  <conditionalFormatting sqref="D1487:E1487">
    <cfRule type="expression" dxfId="4" priority="7730">
      <formula>AND(NOT(HasFormula(#REF!)),#REF!&lt;&gt;"")</formula>
    </cfRule>
    <cfRule type="expression" dxfId="3" priority="7731">
      <formula>AND(NOT(HasFormula(XEZ1487)),XEZ1487&lt;&gt;"")</formula>
    </cfRule>
  </conditionalFormatting>
  <conditionalFormatting sqref="H1487:L1487">
    <cfRule type="expression" dxfId="4" priority="7732">
      <formula>AND(NOT(HasFormula(#REF!)),#REF!&lt;&gt;"")</formula>
    </cfRule>
    <cfRule type="expression" dxfId="3" priority="7733">
      <formula>AND(NOT(HasFormula(XFD1487)),XFD1487&lt;&gt;"")</formula>
    </cfRule>
  </conditionalFormatting>
  <conditionalFormatting sqref="D1497:E1497">
    <cfRule type="expression" dxfId="4" priority="7748">
      <formula>AND(NOT(HasFormula(#REF!)),#REF!&lt;&gt;"")</formula>
    </cfRule>
    <cfRule type="expression" dxfId="3" priority="7749">
      <formula>AND(NOT(HasFormula(XEZ1497)),XEZ1497&lt;&gt;"")</formula>
    </cfRule>
  </conditionalFormatting>
  <conditionalFormatting sqref="H1497:L1497">
    <cfRule type="expression" dxfId="4" priority="7750">
      <formula>AND(NOT(HasFormula(#REF!)),#REF!&lt;&gt;"")</formula>
    </cfRule>
    <cfRule type="expression" dxfId="3" priority="7751">
      <formula>AND(NOT(HasFormula(XFD1497)),XFD1497&lt;&gt;"")</formula>
    </cfRule>
  </conditionalFormatting>
  <conditionalFormatting sqref="D1502:E1502">
    <cfRule type="expression" dxfId="4" priority="7736">
      <formula>AND(NOT(HasFormula(#REF!)),#REF!&lt;&gt;"")</formula>
    </cfRule>
    <cfRule type="expression" dxfId="3" priority="7737">
      <formula>AND(NOT(HasFormula(XEZ1502)),XEZ1502&lt;&gt;"")</formula>
    </cfRule>
  </conditionalFormatting>
  <conditionalFormatting sqref="D1503:E1503">
    <cfRule type="expression" dxfId="4" priority="961">
      <formula>AND(NOT(HasFormula(XFD1506)),XFD1506&lt;&gt;"")</formula>
    </cfRule>
    <cfRule type="expression" dxfId="3" priority="962">
      <formula>AND(NOT(HasFormula(XEZ1503)),XEZ1503&lt;&gt;"")</formula>
    </cfRule>
  </conditionalFormatting>
  <conditionalFormatting sqref="D1504:E1504">
    <cfRule type="expression" dxfId="4" priority="991">
      <formula>AND(NOT(HasFormula(XFD1505)),XFD1505&lt;&gt;"")</formula>
    </cfRule>
  </conditionalFormatting>
  <conditionalFormatting sqref="D1505:E1505">
    <cfRule type="expression" dxfId="4" priority="990">
      <formula>AND(NOT(HasFormula(XFD1514)),XFD1514&lt;&gt;"")</formula>
    </cfRule>
  </conditionalFormatting>
  <conditionalFormatting sqref="D1513:E1513">
    <cfRule type="expression" dxfId="4" priority="992">
      <formula>AND(NOT(HasFormula(XFD1504)),XFD1504&lt;&gt;"")</formula>
    </cfRule>
  </conditionalFormatting>
  <conditionalFormatting sqref="D1563">
    <cfRule type="expression" dxfId="4" priority="7756">
      <formula>AND(NOT(HasFormula(#REF!)),#REF!&lt;&gt;"")</formula>
    </cfRule>
  </conditionalFormatting>
  <conditionalFormatting sqref="H1563">
    <cfRule type="expression" dxfId="4" priority="7766">
      <formula>AND(NOT(HasFormula(#REF!)),#REF!&lt;&gt;"")</formula>
    </cfRule>
    <cfRule type="expression" dxfId="3" priority="7767">
      <formula>AND(NOT(HasFormula(XFD1563)),XFD1563&lt;&gt;"")</formula>
    </cfRule>
  </conditionalFormatting>
  <conditionalFormatting sqref="I1563:L1563">
    <cfRule type="expression" dxfId="4" priority="7752">
      <formula>AND(NOT(HasFormula(#REF!)),#REF!&lt;&gt;"")</formula>
    </cfRule>
    <cfRule type="expression" dxfId="3" priority="7753">
      <formula>AND(NOT(HasFormula(A1563)),A1563&lt;&gt;"")</formula>
    </cfRule>
  </conditionalFormatting>
  <conditionalFormatting sqref="D1565">
    <cfRule type="expression" dxfId="4" priority="7771">
      <formula>AND(NOT(HasFormula(#REF!)),#REF!&lt;&gt;"")</formula>
    </cfRule>
  </conditionalFormatting>
  <conditionalFormatting sqref="E1565">
    <cfRule type="expression" dxfId="4" priority="7768">
      <formula>AND(NOT(HasFormula(#REF!)),#REF!&lt;&gt;"")</formula>
    </cfRule>
  </conditionalFormatting>
  <conditionalFormatting sqref="H1565">
    <cfRule type="expression" dxfId="4" priority="7769">
      <formula>AND(NOT(HasFormula(#REF!)),#REF!&lt;&gt;"")</formula>
    </cfRule>
    <cfRule type="expression" dxfId="3" priority="7770">
      <formula>AND(NOT(HasFormula(XFD1565)),XFD1565&lt;&gt;"")</formula>
    </cfRule>
  </conditionalFormatting>
  <conditionalFormatting sqref="I1565:L1565">
    <cfRule type="expression" dxfId="4" priority="7772">
      <formula>AND(NOT(HasFormula(#REF!)),#REF!&lt;&gt;"")</formula>
    </cfRule>
    <cfRule type="expression" dxfId="3" priority="7773">
      <formula>AND(NOT(HasFormula(A1565)),A1565&lt;&gt;"")</formula>
    </cfRule>
  </conditionalFormatting>
  <conditionalFormatting sqref="D1609">
    <cfRule type="expression" dxfId="4" priority="7779">
      <formula>AND(NOT(HasFormula(#REF!)),#REF!&lt;&gt;"")</formula>
    </cfRule>
  </conditionalFormatting>
  <conditionalFormatting sqref="E1609">
    <cfRule type="expression" dxfId="4" priority="7780">
      <formula>AND(NOT(HasFormula(#REF!)),#REF!&lt;&gt;"")</formula>
    </cfRule>
  </conditionalFormatting>
  <conditionalFormatting sqref="H1609">
    <cfRule type="expression" dxfId="4" priority="7777">
      <formula>AND(NOT(HasFormula(#REF!)),#REF!&lt;&gt;"")</formula>
    </cfRule>
    <cfRule type="expression" dxfId="3" priority="7778">
      <formula>AND(NOT(HasFormula(XFD1609)),XFD1609&lt;&gt;"")</formula>
    </cfRule>
  </conditionalFormatting>
  <conditionalFormatting sqref="I1609:L1609">
    <cfRule type="expression" dxfId="4" priority="7781">
      <formula>AND(NOT(HasFormula(#REF!)),#REF!&lt;&gt;"")</formula>
    </cfRule>
    <cfRule type="expression" dxfId="3" priority="7782">
      <formula>AND(NOT(HasFormula(A1609)),A1609&lt;&gt;"")</formula>
    </cfRule>
  </conditionalFormatting>
  <conditionalFormatting sqref="M1630:O1630">
    <cfRule type="containsText" dxfId="1" priority="921" operator="between" text="送货车型9.6米">
      <formula>NOT(ISERROR(SEARCH("送货车型9.6米",M1630)))</formula>
    </cfRule>
  </conditionalFormatting>
  <conditionalFormatting sqref="M1631:O1631">
    <cfRule type="containsText" dxfId="1" priority="890" operator="between" text="送货车型9.6米">
      <formula>NOT(ISERROR(SEARCH("送货车型9.6米",M1631)))</formula>
    </cfRule>
  </conditionalFormatting>
  <conditionalFormatting sqref="M1632:O1632">
    <cfRule type="containsText" dxfId="1" priority="889" operator="between" text="送货车型9.6米">
      <formula>NOT(ISERROR(SEARCH("送货车型9.6米",M1632)))</formula>
    </cfRule>
  </conditionalFormatting>
  <conditionalFormatting sqref="M1633:O1633">
    <cfRule type="containsText" dxfId="1" priority="888" operator="between" text="送货车型9.6米">
      <formula>NOT(ISERROR(SEARCH("送货车型9.6米",M1633)))</formula>
    </cfRule>
  </conditionalFormatting>
  <conditionalFormatting sqref="M1634:O1634">
    <cfRule type="containsText" dxfId="1" priority="887" operator="between" text="送货车型9.6米">
      <formula>NOT(ISERROR(SEARCH("送货车型9.6米",M1634)))</formula>
    </cfRule>
  </conditionalFormatting>
  <conditionalFormatting sqref="D1650:E1650">
    <cfRule type="expression" dxfId="3" priority="874">
      <formula>AND(NOT(HasFormula(XEZ1650)),XEZ1650&lt;&gt;"")</formula>
    </cfRule>
  </conditionalFormatting>
  <conditionalFormatting sqref="D1650">
    <cfRule type="expression" dxfId="2" priority="872">
      <formula>AND(NOT(_xlfn.ISFORMULA(D1650)),D1650&lt;&gt;"")</formula>
    </cfRule>
    <cfRule type="expression" dxfId="4" priority="873">
      <formula>AND(NOT(HasFormula(#REF!)),#REF!&lt;&gt;"")</formula>
    </cfRule>
  </conditionalFormatting>
  <conditionalFormatting sqref="E1650">
    <cfRule type="expression" dxfId="4" priority="881">
      <formula>AND(NOT(HasFormula(#REF!)),#REF!&lt;&gt;"")</formula>
    </cfRule>
  </conditionalFormatting>
  <conditionalFormatting sqref="F1650">
    <cfRule type="containsText" dxfId="5" priority="876" operator="between" text="HRB500E">
      <formula>NOT(ISERROR(SEARCH("HRB500E",F1650)))</formula>
    </cfRule>
    <cfRule type="containsText" dxfId="6" priority="875" operator="between" text="12m">
      <formula>NOT(ISERROR(SEARCH("12m",F1650)))</formula>
    </cfRule>
  </conditionalFormatting>
  <conditionalFormatting sqref="H1650">
    <cfRule type="expression" dxfId="4" priority="877">
      <formula>AND(NOT(HasFormula(#REF!)),#REF!&lt;&gt;"")</formula>
    </cfRule>
    <cfRule type="expression" dxfId="3" priority="878">
      <formula>AND(NOT(HasFormula(XFD1650)),XFD1650&lt;&gt;"")</formula>
    </cfRule>
  </conditionalFormatting>
  <conditionalFormatting sqref="I1650:L1650">
    <cfRule type="expression" dxfId="4" priority="879">
      <formula>AND(NOT(HasFormula(#REF!)),#REF!&lt;&gt;"")</formula>
    </cfRule>
    <cfRule type="expression" dxfId="3" priority="880">
      <formula>AND(NOT(HasFormula(A1650)),A1650&lt;&gt;"")</formula>
    </cfRule>
  </conditionalFormatting>
  <conditionalFormatting sqref="L1650:N1650">
    <cfRule type="containsText" dxfId="1" priority="871" operator="between" text="送货车型9.6米">
      <formula>NOT(ISERROR(SEARCH("送货车型9.6米",L1650)))</formula>
    </cfRule>
  </conditionalFormatting>
  <conditionalFormatting sqref="O1650">
    <cfRule type="containsText" dxfId="1" priority="869" operator="between" text="送货车型9.6米">
      <formula>NOT(ISERROR(SEARCH("送货车型9.6米",O1650)))</formula>
    </cfRule>
  </conditionalFormatting>
  <conditionalFormatting sqref="O1665">
    <cfRule type="containsText" dxfId="1" priority="868" operator="between" text="送货车型9.6米">
      <formula>NOT(ISERROR(SEARCH("送货车型9.6米",O1665)))</formula>
    </cfRule>
  </conditionalFormatting>
  <conditionalFormatting sqref="O1666">
    <cfRule type="containsText" dxfId="1" priority="867" operator="between" text="送货车型9.6米">
      <formula>NOT(ISERROR(SEARCH("送货车型9.6米",O1666)))</formula>
    </cfRule>
  </conditionalFormatting>
  <conditionalFormatting sqref="O1667">
    <cfRule type="containsText" dxfId="1" priority="866" operator="between" text="送货车型9.6米">
      <formula>NOT(ISERROR(SEARCH("送货车型9.6米",O1667)))</formula>
    </cfRule>
  </conditionalFormatting>
  <conditionalFormatting sqref="O1668">
    <cfRule type="containsText" dxfId="1" priority="865" operator="between" text="送货车型9.6米">
      <formula>NOT(ISERROR(SEARCH("送货车型9.6米",O1668)))</formula>
    </cfRule>
  </conditionalFormatting>
  <conditionalFormatting sqref="O1669">
    <cfRule type="containsText" dxfId="1" priority="864" operator="between" text="送货车型9.6米">
      <formula>NOT(ISERROR(SEARCH("送货车型9.6米",O1669)))</formula>
    </cfRule>
  </conditionalFormatting>
  <conditionalFormatting sqref="O1670">
    <cfRule type="containsText" dxfId="1" priority="863" operator="between" text="送货车型9.6米">
      <formula>NOT(ISERROR(SEARCH("送货车型9.6米",O1670)))</formula>
    </cfRule>
  </conditionalFormatting>
  <conditionalFormatting sqref="O1671">
    <cfRule type="containsText" dxfId="1" priority="862" operator="between" text="送货车型9.6米">
      <formula>NOT(ISERROR(SEARCH("送货车型9.6米",O1671)))</formula>
    </cfRule>
  </conditionalFormatting>
  <conditionalFormatting sqref="O1672">
    <cfRule type="containsText" dxfId="1" priority="861" operator="between" text="送货车型9.6米">
      <formula>NOT(ISERROR(SEARCH("送货车型9.6米",O1672)))</formula>
    </cfRule>
  </conditionalFormatting>
  <conditionalFormatting sqref="N1673">
    <cfRule type="containsText" dxfId="1" priority="860" operator="between" text="送货车型9.6米">
      <formula>NOT(ISERROR(SEARCH("送货车型9.6米",N1673)))</formula>
    </cfRule>
  </conditionalFormatting>
  <conditionalFormatting sqref="O1673">
    <cfRule type="containsText" dxfId="1" priority="856" operator="between" text="送货车型9.6米">
      <formula>NOT(ISERROR(SEARCH("送货车型9.6米",O1673)))</formula>
    </cfRule>
  </conditionalFormatting>
  <conditionalFormatting sqref="N1674">
    <cfRule type="containsText" dxfId="1" priority="859" operator="between" text="送货车型9.6米">
      <formula>NOT(ISERROR(SEARCH("送货车型9.6米",N1674)))</formula>
    </cfRule>
  </conditionalFormatting>
  <conditionalFormatting sqref="O1674">
    <cfRule type="containsText" dxfId="1" priority="855" operator="between" text="送货车型9.6米">
      <formula>NOT(ISERROR(SEARCH("送货车型9.6米",O1674)))</formula>
    </cfRule>
  </conditionalFormatting>
  <conditionalFormatting sqref="N1675">
    <cfRule type="containsText" dxfId="1" priority="858" operator="between" text="送货车型9.6米">
      <formula>NOT(ISERROR(SEARCH("送货车型9.6米",N1675)))</formula>
    </cfRule>
  </conditionalFormatting>
  <conditionalFormatting sqref="O1675">
    <cfRule type="containsText" dxfId="1" priority="854" operator="between" text="送货车型9.6米">
      <formula>NOT(ISERROR(SEARCH("送货车型9.6米",O1675)))</formula>
    </cfRule>
  </conditionalFormatting>
  <conditionalFormatting sqref="N1676">
    <cfRule type="containsText" dxfId="1" priority="857" operator="between" text="送货车型9.6米">
      <formula>NOT(ISERROR(SEARCH("送货车型9.6米",N1676)))</formula>
    </cfRule>
  </conditionalFormatting>
  <conditionalFormatting sqref="O1676">
    <cfRule type="containsText" dxfId="1" priority="853" operator="between" text="送货车型9.6米">
      <formula>NOT(ISERROR(SEARCH("送货车型9.6米",O1676)))</formula>
    </cfRule>
  </conditionalFormatting>
  <conditionalFormatting sqref="M1811:O1811">
    <cfRule type="containsText" dxfId="1" priority="848" operator="between" text="送货车型9.6米">
      <formula>NOT(ISERROR(SEARCH("送货车型9.6米",M1811)))</formula>
    </cfRule>
  </conditionalFormatting>
  <conditionalFormatting sqref="D1844">
    <cfRule type="expression" dxfId="4" priority="7821">
      <formula>AND(NOT(HasFormula(XFD1846)),XFD1846&lt;&gt;"")</formula>
    </cfRule>
  </conditionalFormatting>
  <conditionalFormatting sqref="E1844">
    <cfRule type="expression" dxfId="4" priority="7822">
      <formula>AND(NOT(HasFormula(A1846)),A1846&lt;&gt;"")</formula>
    </cfRule>
  </conditionalFormatting>
  <conditionalFormatting sqref="H1844">
    <cfRule type="expression" dxfId="4" priority="7819">
      <formula>AND(NOT(HasFormula(D1846)),D1846&lt;&gt;"")</formula>
    </cfRule>
    <cfRule type="expression" dxfId="3" priority="7820">
      <formula>AND(NOT(HasFormula(XFD1844)),XFD1844&lt;&gt;"")</formula>
    </cfRule>
  </conditionalFormatting>
  <conditionalFormatting sqref="I1844:L1844">
    <cfRule type="expression" dxfId="4" priority="7823">
      <formula>AND(NOT(HasFormula(E1846)),E1846&lt;&gt;"")</formula>
    </cfRule>
    <cfRule type="expression" dxfId="3" priority="7824">
      <formula>AND(NOT(HasFormula(A1844)),A1844&lt;&gt;"")</formula>
    </cfRule>
  </conditionalFormatting>
  <conditionalFormatting sqref="C1845">
    <cfRule type="timePeriod" dxfId="7" priority="835" timePeriod="yesterday">
      <formula>FLOOR(C1845,1)=TODAY()-1</formula>
    </cfRule>
  </conditionalFormatting>
  <conditionalFormatting sqref="D1845:E1845">
    <cfRule type="expression" dxfId="3" priority="840">
      <formula>AND(NOT(HasFormula(XEZ1845)),XEZ1845&lt;&gt;"")</formula>
    </cfRule>
  </conditionalFormatting>
  <conditionalFormatting sqref="D1845">
    <cfRule type="expression" dxfId="4" priority="839">
      <formula>AND(NOT(HasFormula(XFD1846)),XFD1846&lt;&gt;"")</formula>
    </cfRule>
    <cfRule type="expression" dxfId="2" priority="837">
      <formula>AND(NOT(_xlfn.ISFORMULA(D1845)),D1845&lt;&gt;"")</formula>
    </cfRule>
  </conditionalFormatting>
  <conditionalFormatting sqref="E1845">
    <cfRule type="expression" dxfId="4" priority="847">
      <formula>AND(NOT(HasFormula(A1846)),A1846&lt;&gt;"")</formula>
    </cfRule>
  </conditionalFormatting>
  <conditionalFormatting sqref="F1845">
    <cfRule type="containsText" dxfId="5" priority="842" operator="between" text="HRB500E">
      <formula>NOT(ISERROR(SEARCH("HRB500E",F1845)))</formula>
    </cfRule>
    <cfRule type="containsText" dxfId="6" priority="841" operator="between" text="12m">
      <formula>NOT(ISERROR(SEARCH("12m",F1845)))</formula>
    </cfRule>
  </conditionalFormatting>
  <conditionalFormatting sqref="H1845">
    <cfRule type="expression" dxfId="3" priority="844">
      <formula>AND(NOT(HasFormula(XFD1845)),XFD1845&lt;&gt;"")</formula>
    </cfRule>
    <cfRule type="expression" dxfId="4" priority="843">
      <formula>AND(NOT(HasFormula(D1846)),D1846&lt;&gt;"")</formula>
    </cfRule>
  </conditionalFormatting>
  <conditionalFormatting sqref="I1845:L1845">
    <cfRule type="expression" dxfId="3" priority="846">
      <formula>AND(NOT(HasFormula(A1845)),A1845&lt;&gt;"")</formula>
    </cfRule>
    <cfRule type="expression" dxfId="4" priority="845">
      <formula>AND(NOT(HasFormula(E1846)),E1846&lt;&gt;"")</formula>
    </cfRule>
  </conditionalFormatting>
  <conditionalFormatting sqref="L1845:O1845">
    <cfRule type="containsText" dxfId="1" priority="836" operator="between" text="送货车型9.6米">
      <formula>NOT(ISERROR(SEARCH("送货车型9.6米",L1845)))</formula>
    </cfRule>
  </conditionalFormatting>
  <conditionalFormatting sqref="H1846">
    <cfRule type="expression" dxfId="3" priority="834">
      <formula>AND(NOT(HasFormula(XFD1846)),XFD1846&lt;&gt;"")</formula>
    </cfRule>
    <cfRule type="expression" dxfId="4" priority="833">
      <formula>AND(NOT(HasFormula(D1847)),D1847&lt;&gt;"")</formula>
    </cfRule>
  </conditionalFormatting>
  <conditionalFormatting sqref="O1871">
    <cfRule type="containsText" dxfId="1" priority="818" operator="between" text="送货车型9.6米">
      <formula>NOT(ISERROR(SEARCH("送货车型9.6米",O1871)))</formula>
    </cfRule>
  </conditionalFormatting>
  <conditionalFormatting sqref="O1872">
    <cfRule type="containsText" dxfId="1" priority="817" operator="between" text="送货车型9.6米">
      <formula>NOT(ISERROR(SEARCH("送货车型9.6米",O1872)))</formula>
    </cfRule>
  </conditionalFormatting>
  <conditionalFormatting sqref="O1873">
    <cfRule type="containsText" dxfId="1" priority="816" operator="between" text="送货车型9.6米">
      <formula>NOT(ISERROR(SEARCH("送货车型9.6米",O1873)))</formula>
    </cfRule>
  </conditionalFormatting>
  <conditionalFormatting sqref="O1874">
    <cfRule type="containsText" dxfId="1" priority="815" operator="between" text="送货车型9.6米">
      <formula>NOT(ISERROR(SEARCH("送货车型9.6米",O1874)))</formula>
    </cfRule>
  </conditionalFormatting>
  <conditionalFormatting sqref="O1875">
    <cfRule type="containsText" dxfId="1" priority="814" operator="between" text="送货车型9.6米">
      <formula>NOT(ISERROR(SEARCH("送货车型9.6米",O1875)))</formula>
    </cfRule>
  </conditionalFormatting>
  <conditionalFormatting sqref="O1876">
    <cfRule type="containsText" dxfId="1" priority="813" operator="between" text="送货车型9.6米">
      <formula>NOT(ISERROR(SEARCH("送货车型9.6米",O1876)))</formula>
    </cfRule>
  </conditionalFormatting>
  <conditionalFormatting sqref="O1877">
    <cfRule type="containsText" dxfId="1" priority="812" operator="between" text="送货车型9.6米">
      <formula>NOT(ISERROR(SEARCH("送货车型9.6米",O1877)))</formula>
    </cfRule>
  </conditionalFormatting>
  <conditionalFormatting sqref="O1878">
    <cfRule type="containsText" dxfId="1" priority="811" operator="between" text="送货车型9.6米">
      <formula>NOT(ISERROR(SEARCH("送货车型9.6米",O1878)))</formula>
    </cfRule>
  </conditionalFormatting>
  <conditionalFormatting sqref="O1879">
    <cfRule type="containsText" dxfId="1" priority="810" operator="between" text="送货车型9.6米">
      <formula>NOT(ISERROR(SEARCH("送货车型9.6米",O1879)))</formula>
    </cfRule>
  </conditionalFormatting>
  <conditionalFormatting sqref="O1880">
    <cfRule type="containsText" dxfId="1" priority="809" operator="between" text="送货车型9.6米">
      <formula>NOT(ISERROR(SEARCH("送货车型9.6米",O1880)))</formula>
    </cfRule>
  </conditionalFormatting>
  <conditionalFormatting sqref="D1897">
    <cfRule type="expression" dxfId="4" priority="7827">
      <formula>AND(NOT(HasFormula(#REF!)),#REF!&lt;&gt;"")</formula>
    </cfRule>
  </conditionalFormatting>
  <conditionalFormatting sqref="E1897">
    <cfRule type="expression" dxfId="4" priority="7828">
      <formula>AND(NOT(HasFormula(#REF!)),#REF!&lt;&gt;"")</formula>
    </cfRule>
  </conditionalFormatting>
  <conditionalFormatting sqref="H1897">
    <cfRule type="expression" dxfId="4" priority="7825">
      <formula>AND(NOT(HasFormula(#REF!)),#REF!&lt;&gt;"")</formula>
    </cfRule>
    <cfRule type="expression" dxfId="3" priority="7826">
      <formula>AND(NOT(HasFormula(XFD1897)),XFD1897&lt;&gt;"")</formula>
    </cfRule>
  </conditionalFormatting>
  <conditionalFormatting sqref="I1897:L1897">
    <cfRule type="expression" dxfId="4" priority="7829">
      <formula>AND(NOT(HasFormula(#REF!)),#REF!&lt;&gt;"")</formula>
    </cfRule>
    <cfRule type="expression" dxfId="3" priority="7830">
      <formula>AND(NOT(HasFormula(A1897)),A1897&lt;&gt;"")</formula>
    </cfRule>
  </conditionalFormatting>
  <conditionalFormatting sqref="J1907:L1907">
    <cfRule type="expression" dxfId="4" priority="7835">
      <formula>AND(NOT(HasFormula(#REF!)),#REF!&lt;&gt;"")</formula>
    </cfRule>
    <cfRule type="expression" dxfId="3" priority="7836">
      <formula>AND(NOT(HasFormula(B1907)),B1907&lt;&gt;"")</formula>
    </cfRule>
  </conditionalFormatting>
  <conditionalFormatting sqref="J1908:L1908">
    <cfRule type="expression" dxfId="3" priority="776">
      <formula>AND(NOT(HasFormula(B1908)),B1908&lt;&gt;"")</formula>
    </cfRule>
    <cfRule type="expression" dxfId="4" priority="765">
      <formula>AND(NOT(HasFormula(F1909)),F1909&lt;&gt;"")</formula>
    </cfRule>
  </conditionalFormatting>
  <conditionalFormatting sqref="J1909:L1909">
    <cfRule type="expression" dxfId="3" priority="775">
      <formula>AND(NOT(HasFormula(B1909)),B1909&lt;&gt;"")</formula>
    </cfRule>
    <cfRule type="expression" dxfId="4" priority="764">
      <formula>AND(NOT(HasFormula(F1910)),F1910&lt;&gt;"")</formula>
    </cfRule>
  </conditionalFormatting>
  <conditionalFormatting sqref="J1910:L1910">
    <cfRule type="expression" dxfId="3" priority="774">
      <formula>AND(NOT(HasFormula(B1910)),B1910&lt;&gt;"")</formula>
    </cfRule>
    <cfRule type="expression" dxfId="4" priority="763">
      <formula>AND(NOT(HasFormula(F1911)),F1911&lt;&gt;"")</formula>
    </cfRule>
  </conditionalFormatting>
  <conditionalFormatting sqref="J1911:L1911">
    <cfRule type="expression" dxfId="3" priority="773">
      <formula>AND(NOT(HasFormula(B1911)),B1911&lt;&gt;"")</formula>
    </cfRule>
    <cfRule type="expression" dxfId="4" priority="762">
      <formula>AND(NOT(HasFormula(F1912)),F1912&lt;&gt;"")</formula>
    </cfRule>
  </conditionalFormatting>
  <conditionalFormatting sqref="J1912:L1912">
    <cfRule type="expression" dxfId="3" priority="772">
      <formula>AND(NOT(HasFormula(B1912)),B1912&lt;&gt;"")</formula>
    </cfRule>
    <cfRule type="expression" dxfId="4" priority="761">
      <formula>AND(NOT(HasFormula(F1913)),F1913&lt;&gt;"")</formula>
    </cfRule>
  </conditionalFormatting>
  <conditionalFormatting sqref="J1913:L1913">
    <cfRule type="expression" dxfId="3" priority="771">
      <formula>AND(NOT(HasFormula(B1913)),B1913&lt;&gt;"")</formula>
    </cfRule>
    <cfRule type="expression" dxfId="4" priority="760">
      <formula>AND(NOT(HasFormula(F1914)),F1914&lt;&gt;"")</formula>
    </cfRule>
  </conditionalFormatting>
  <conditionalFormatting sqref="J1914:L1914">
    <cfRule type="expression" dxfId="3" priority="770">
      <formula>AND(NOT(HasFormula(B1914)),B1914&lt;&gt;"")</formula>
    </cfRule>
    <cfRule type="expression" dxfId="4" priority="759">
      <formula>AND(NOT(HasFormula(F1915)),F1915&lt;&gt;"")</formula>
    </cfRule>
  </conditionalFormatting>
  <conditionalFormatting sqref="J1915:L1915">
    <cfRule type="expression" dxfId="3" priority="769">
      <formula>AND(NOT(HasFormula(B1915)),B1915&lt;&gt;"")</formula>
    </cfRule>
    <cfRule type="expression" dxfId="4" priority="758">
      <formula>AND(NOT(HasFormula(F1916)),F1916&lt;&gt;"")</formula>
    </cfRule>
  </conditionalFormatting>
  <conditionalFormatting sqref="J1916:L1916">
    <cfRule type="expression" dxfId="3" priority="768">
      <formula>AND(NOT(HasFormula(B1916)),B1916&lt;&gt;"")</formula>
    </cfRule>
    <cfRule type="expression" dxfId="4" priority="757">
      <formula>AND(NOT(HasFormula(F1917)),F1917&lt;&gt;"")</formula>
    </cfRule>
  </conditionalFormatting>
  <conditionalFormatting sqref="J1917:L1917">
    <cfRule type="expression" dxfId="3" priority="767">
      <formula>AND(NOT(HasFormula(B1917)),B1917&lt;&gt;"")</formula>
    </cfRule>
    <cfRule type="expression" dxfId="4" priority="756">
      <formula>AND(NOT(HasFormula(F1918)),F1918&lt;&gt;"")</formula>
    </cfRule>
  </conditionalFormatting>
  <conditionalFormatting sqref="J1918:L1918">
    <cfRule type="expression" dxfId="3" priority="766">
      <formula>AND(NOT(HasFormula(B1918)),B1918&lt;&gt;"")</formula>
    </cfRule>
    <cfRule type="expression" dxfId="4" priority="755">
      <formula>AND(NOT(HasFormula(F1919)),F1919&lt;&gt;"")</formula>
    </cfRule>
  </conditionalFormatting>
  <conditionalFormatting sqref="C1936">
    <cfRule type="timePeriod" dxfId="7" priority="716" timePeriod="yesterday">
      <formula>FLOOR(C1936,1)=TODAY()-1</formula>
    </cfRule>
  </conditionalFormatting>
  <conditionalFormatting sqref="D1936:E1936">
    <cfRule type="expression" dxfId="3" priority="728">
      <formula>AND(NOT(HasFormula(XEZ1936)),XEZ1936&lt;&gt;"")</formula>
    </cfRule>
  </conditionalFormatting>
  <conditionalFormatting sqref="D1936">
    <cfRule type="expression" dxfId="4" priority="724">
      <formula>AND(NOT(HasFormula(XFD1937)),XFD1937&lt;&gt;"")</formula>
    </cfRule>
    <cfRule type="expression" dxfId="2" priority="720">
      <formula>AND(NOT(_xlfn.ISFORMULA(D1936)),D1936&lt;&gt;"")</formula>
    </cfRule>
  </conditionalFormatting>
  <conditionalFormatting sqref="E1936">
    <cfRule type="expression" dxfId="4" priority="732">
      <formula>AND(NOT(HasFormula(A1937)),A1937&lt;&gt;"")</formula>
    </cfRule>
  </conditionalFormatting>
  <conditionalFormatting sqref="C1937">
    <cfRule type="timePeriod" dxfId="7" priority="715" timePeriod="yesterday">
      <formula>FLOOR(C1937,1)=TODAY()-1</formula>
    </cfRule>
  </conditionalFormatting>
  <conditionalFormatting sqref="D1937:E1937">
    <cfRule type="expression" dxfId="3" priority="727">
      <formula>AND(NOT(HasFormula(XEZ1937)),XEZ1937&lt;&gt;"")</formula>
    </cfRule>
  </conditionalFormatting>
  <conditionalFormatting sqref="D1937">
    <cfRule type="expression" dxfId="4" priority="723">
      <formula>AND(NOT(HasFormula(XFD1938)),XFD1938&lt;&gt;"")</formula>
    </cfRule>
    <cfRule type="expression" dxfId="2" priority="719">
      <formula>AND(NOT(_xlfn.ISFORMULA(D1937)),D1937&lt;&gt;"")</formula>
    </cfRule>
  </conditionalFormatting>
  <conditionalFormatting sqref="E1937">
    <cfRule type="expression" dxfId="4" priority="731">
      <formula>AND(NOT(HasFormula(A1938)),A1938&lt;&gt;"")</formula>
    </cfRule>
  </conditionalFormatting>
  <conditionalFormatting sqref="C1938">
    <cfRule type="timePeriod" dxfId="7" priority="714" timePeriod="yesterday">
      <formula>FLOOR(C1938,1)=TODAY()-1</formula>
    </cfRule>
  </conditionalFormatting>
  <conditionalFormatting sqref="D1938:E1938">
    <cfRule type="expression" dxfId="3" priority="726">
      <formula>AND(NOT(HasFormula(XEZ1938)),XEZ1938&lt;&gt;"")</formula>
    </cfRule>
  </conditionalFormatting>
  <conditionalFormatting sqref="D1938">
    <cfRule type="expression" dxfId="4" priority="722">
      <formula>AND(NOT(HasFormula(XFD1939)),XFD1939&lt;&gt;"")</formula>
    </cfRule>
    <cfRule type="expression" dxfId="2" priority="718">
      <formula>AND(NOT(_xlfn.ISFORMULA(D1938)),D1938&lt;&gt;"")</formula>
    </cfRule>
  </conditionalFormatting>
  <conditionalFormatting sqref="E1938">
    <cfRule type="expression" dxfId="4" priority="730">
      <formula>AND(NOT(HasFormula(A1939)),A1939&lt;&gt;"")</formula>
    </cfRule>
  </conditionalFormatting>
  <conditionalFormatting sqref="C1939">
    <cfRule type="timePeriod" dxfId="7" priority="713" timePeriod="yesterday">
      <formula>FLOOR(C1939,1)=TODAY()-1</formula>
    </cfRule>
  </conditionalFormatting>
  <conditionalFormatting sqref="D1939:E1939">
    <cfRule type="expression" dxfId="3" priority="725">
      <formula>AND(NOT(HasFormula(XEZ1939)),XEZ1939&lt;&gt;"")</formula>
    </cfRule>
  </conditionalFormatting>
  <conditionalFormatting sqref="D1939">
    <cfRule type="expression" dxfId="4" priority="721">
      <formula>AND(NOT(HasFormula(XFD1940)),XFD1940&lt;&gt;"")</formula>
    </cfRule>
    <cfRule type="expression" dxfId="2" priority="717">
      <formula>AND(NOT(_xlfn.ISFORMULA(D1939)),D1939&lt;&gt;"")</formula>
    </cfRule>
  </conditionalFormatting>
  <conditionalFormatting sqref="E1939">
    <cfRule type="expression" dxfId="4" priority="729">
      <formula>AND(NOT(HasFormula(A1940)),A1940&lt;&gt;"")</formula>
    </cfRule>
  </conditionalFormatting>
  <conditionalFormatting sqref="D2022">
    <cfRule type="expression" dxfId="4" priority="7839">
      <formula>AND(NOT(HasFormula(#REF!)),#REF!&lt;&gt;"")</formula>
    </cfRule>
  </conditionalFormatting>
  <conditionalFormatting sqref="E2022">
    <cfRule type="expression" dxfId="4" priority="7840">
      <formula>AND(NOT(HasFormula(#REF!)),#REF!&lt;&gt;"")</formula>
    </cfRule>
  </conditionalFormatting>
  <conditionalFormatting sqref="H2022">
    <cfRule type="expression" dxfId="4" priority="7837">
      <formula>AND(NOT(HasFormula(#REF!)),#REF!&lt;&gt;"")</formula>
    </cfRule>
    <cfRule type="expression" dxfId="3" priority="7838">
      <formula>AND(NOT(HasFormula(XFD2022)),XFD2022&lt;&gt;"")</formula>
    </cfRule>
  </conditionalFormatting>
  <conditionalFormatting sqref="I2022:L2022">
    <cfRule type="expression" dxfId="4" priority="7841">
      <formula>AND(NOT(HasFormula(#REF!)),#REF!&lt;&gt;"")</formula>
    </cfRule>
    <cfRule type="expression" dxfId="3" priority="7842">
      <formula>AND(NOT(HasFormula(A2022)),A2022&lt;&gt;"")</formula>
    </cfRule>
  </conditionalFormatting>
  <conditionalFormatting sqref="M2109:O2109">
    <cfRule type="containsText" dxfId="1" priority="690" operator="between" text="送货车型9.6米">
      <formula>NOT(ISERROR(SEARCH("送货车型9.6米",M2109)))</formula>
    </cfRule>
  </conditionalFormatting>
  <conditionalFormatting sqref="M2110:O2110">
    <cfRule type="containsText" dxfId="1" priority="689" operator="between" text="送货车型9.6米">
      <formula>NOT(ISERROR(SEARCH("送货车型9.6米",M2110)))</formula>
    </cfRule>
  </conditionalFormatting>
  <conditionalFormatting sqref="M2111:O2111">
    <cfRule type="containsText" dxfId="1" priority="688" operator="between" text="送货车型9.6米">
      <formula>NOT(ISERROR(SEARCH("送货车型9.6米",M2111)))</formula>
    </cfRule>
  </conditionalFormatting>
  <conditionalFormatting sqref="M2112:O2112">
    <cfRule type="containsText" dxfId="1" priority="687" operator="between" text="送货车型9.6米">
      <formula>NOT(ISERROR(SEARCH("送货车型9.6米",M2112)))</formula>
    </cfRule>
  </conditionalFormatting>
  <conditionalFormatting sqref="M2113:O2113">
    <cfRule type="containsText" dxfId="1" priority="686" operator="between" text="送货车型9.6米">
      <formula>NOT(ISERROR(SEARCH("送货车型9.6米",M2113)))</formula>
    </cfRule>
  </conditionalFormatting>
  <conditionalFormatting sqref="M2114:O2114">
    <cfRule type="containsText" dxfId="1" priority="685" operator="between" text="送货车型9.6米">
      <formula>NOT(ISERROR(SEARCH("送货车型9.6米",M2114)))</formula>
    </cfRule>
  </conditionalFormatting>
  <conditionalFormatting sqref="M2115:O2115">
    <cfRule type="containsText" dxfId="1" priority="684" operator="between" text="送货车型9.6米">
      <formula>NOT(ISERROR(SEARCH("送货车型9.6米",M2115)))</formula>
    </cfRule>
  </conditionalFormatting>
  <conditionalFormatting sqref="M2116:O2116">
    <cfRule type="containsText" dxfId="1" priority="683" operator="between" text="送货车型9.6米">
      <formula>NOT(ISERROR(SEARCH("送货车型9.6米",M2116)))</formula>
    </cfRule>
  </conditionalFormatting>
  <conditionalFormatting sqref="M2117:O2117">
    <cfRule type="containsText" dxfId="1" priority="682" operator="between" text="送货车型9.6米">
      <formula>NOT(ISERROR(SEARCH("送货车型9.6米",M2117)))</formula>
    </cfRule>
  </conditionalFormatting>
  <conditionalFormatting sqref="M2118:O2118">
    <cfRule type="containsText" dxfId="1" priority="681" operator="between" text="送货车型9.6米">
      <formula>NOT(ISERROR(SEARCH("送货车型9.6米",M2118)))</formula>
    </cfRule>
  </conditionalFormatting>
  <conditionalFormatting sqref="M2119:O2119">
    <cfRule type="containsText" dxfId="1" priority="680" operator="between" text="送货车型9.6米">
      <formula>NOT(ISERROR(SEARCH("送货车型9.6米",M2119)))</formula>
    </cfRule>
  </conditionalFormatting>
  <conditionalFormatting sqref="M2129:O2129">
    <cfRule type="containsText" dxfId="1" priority="678" operator="between" text="送货车型9.6米">
      <formula>NOT(ISERROR(SEARCH("送货车型9.6米",M2129)))</formula>
    </cfRule>
  </conditionalFormatting>
  <conditionalFormatting sqref="M2130:O2130">
    <cfRule type="containsText" dxfId="1" priority="677" operator="between" text="送货车型9.6米">
      <formula>NOT(ISERROR(SEARCH("送货车型9.6米",M2130)))</formula>
    </cfRule>
  </conditionalFormatting>
  <conditionalFormatting sqref="M2131:O2131">
    <cfRule type="containsText" dxfId="1" priority="676" operator="between" text="送货车型9.6米">
      <formula>NOT(ISERROR(SEARCH("送货车型9.6米",M2131)))</formula>
    </cfRule>
  </conditionalFormatting>
  <conditionalFormatting sqref="M2132:O2132">
    <cfRule type="containsText" dxfId="1" priority="675" operator="between" text="送货车型9.6米">
      <formula>NOT(ISERROR(SEARCH("送货车型9.6米",M2132)))</formula>
    </cfRule>
  </conditionalFormatting>
  <conditionalFormatting sqref="M2133:O2133">
    <cfRule type="containsText" dxfId="1" priority="674" operator="between" text="送货车型9.6米">
      <formula>NOT(ISERROR(SEARCH("送货车型9.6米",M2133)))</formula>
    </cfRule>
  </conditionalFormatting>
  <conditionalFormatting sqref="M2134:O2134">
    <cfRule type="containsText" dxfId="1" priority="673" operator="between" text="送货车型9.6米">
      <formula>NOT(ISERROR(SEARCH("送货车型9.6米",M2134)))</formula>
    </cfRule>
  </conditionalFormatting>
  <conditionalFormatting sqref="D2135">
    <cfRule type="expression" dxfId="4" priority="7908">
      <formula>AND(NOT(HasFormula(#REF!)),#REF!&lt;&gt;"")</formula>
    </cfRule>
  </conditionalFormatting>
  <conditionalFormatting sqref="E2135">
    <cfRule type="expression" dxfId="4" priority="7909">
      <formula>AND(NOT(HasFormula(#REF!)),#REF!&lt;&gt;"")</formula>
    </cfRule>
  </conditionalFormatting>
  <conditionalFormatting sqref="H2135">
    <cfRule type="expression" dxfId="4" priority="7906">
      <formula>AND(NOT(HasFormula(#REF!)),#REF!&lt;&gt;"")</formula>
    </cfRule>
    <cfRule type="expression" dxfId="3" priority="7907">
      <formula>AND(NOT(HasFormula(XFD2135)),XFD2135&lt;&gt;"")</formula>
    </cfRule>
  </conditionalFormatting>
  <conditionalFormatting sqref="I2135:L2135">
    <cfRule type="expression" dxfId="4" priority="7910">
      <formula>AND(NOT(HasFormula(#REF!)),#REF!&lt;&gt;"")</formula>
    </cfRule>
    <cfRule type="expression" dxfId="3" priority="7911">
      <formula>AND(NOT(HasFormula(A2135)),A2135&lt;&gt;"")</formula>
    </cfRule>
  </conditionalFormatting>
  <conditionalFormatting sqref="M2135:O2135">
    <cfRule type="containsText" dxfId="1" priority="672" operator="between" text="送货车型9.6米">
      <formula>NOT(ISERROR(SEARCH("送货车型9.6米",M2135)))</formula>
    </cfRule>
  </conditionalFormatting>
  <conditionalFormatting sqref="M2136:O2136">
    <cfRule type="containsText" dxfId="1" priority="643" operator="between" text="送货车型9.6米">
      <formula>NOT(ISERROR(SEARCH("送货车型9.6米",M2136)))</formula>
    </cfRule>
  </conditionalFormatting>
  <conditionalFormatting sqref="M2137:O2137">
    <cfRule type="containsText" dxfId="1" priority="642" operator="between" text="送货车型9.6米">
      <formula>NOT(ISERROR(SEARCH("送货车型9.6米",M2137)))</formula>
    </cfRule>
  </conditionalFormatting>
  <conditionalFormatting sqref="M2138:O2138">
    <cfRule type="containsText" dxfId="1" priority="641" operator="between" text="送货车型9.6米">
      <formula>NOT(ISERROR(SEARCH("送货车型9.6米",M2138)))</formula>
    </cfRule>
  </conditionalFormatting>
  <conditionalFormatting sqref="M2139:O2139">
    <cfRule type="containsText" dxfId="1" priority="639" operator="between" text="送货车型9.6米">
      <formula>NOT(ISERROR(SEARCH("送货车型9.6米",M2139)))</formula>
    </cfRule>
  </conditionalFormatting>
  <conditionalFormatting sqref="M2140:O2140">
    <cfRule type="containsText" dxfId="1" priority="637" operator="between" text="送货车型9.6米">
      <formula>NOT(ISERROR(SEARCH("送货车型9.6米",M2140)))</formula>
    </cfRule>
  </conditionalFormatting>
  <conditionalFormatting sqref="M2141:O2141">
    <cfRule type="containsText" dxfId="1" priority="636" operator="between" text="送货车型9.6米">
      <formula>NOT(ISERROR(SEARCH("送货车型9.6米",M2141)))</formula>
    </cfRule>
  </conditionalFormatting>
  <conditionalFormatting sqref="M2142:O2142">
    <cfRule type="containsText" dxfId="1" priority="635" operator="between" text="送货车型9.6米">
      <formula>NOT(ISERROR(SEARCH("送货车型9.6米",M2142)))</formula>
    </cfRule>
  </conditionalFormatting>
  <conditionalFormatting sqref="E2165">
    <cfRule type="expression" dxfId="4" priority="7932">
      <formula>AND(NOT(HasFormula(#REF!)),#REF!&lt;&gt;"")</formula>
    </cfRule>
  </conditionalFormatting>
  <conditionalFormatting sqref="D2167">
    <cfRule type="expression" dxfId="4" priority="7974">
      <formula>AND(NOT(HasFormula(#REF!)),#REF!&lt;&gt;"")</formula>
    </cfRule>
  </conditionalFormatting>
  <conditionalFormatting sqref="H2167">
    <cfRule type="expression" dxfId="4" priority="7975">
      <formula>AND(NOT(HasFormula(#REF!)),#REF!&lt;&gt;"")</formula>
    </cfRule>
    <cfRule type="expression" dxfId="3" priority="7976">
      <formula>AND(NOT(HasFormula(XFD2167)),XFD2167&lt;&gt;"")</formula>
    </cfRule>
  </conditionalFormatting>
  <conditionalFormatting sqref="I2167:L2167">
    <cfRule type="expression" dxfId="4" priority="7978">
      <formula>AND(NOT(HasFormula(#REF!)),#REF!&lt;&gt;"")</formula>
    </cfRule>
    <cfRule type="expression" dxfId="3" priority="7979">
      <formula>AND(NOT(HasFormula(A2167)),A2167&lt;&gt;"")</formula>
    </cfRule>
  </conditionalFormatting>
  <conditionalFormatting sqref="E2168">
    <cfRule type="expression" dxfId="4" priority="7923">
      <formula>AND(NOT(HasFormula(#REF!)),#REF!&lt;&gt;"")</formula>
    </cfRule>
  </conditionalFormatting>
  <conditionalFormatting sqref="I2168:L2168">
    <cfRule type="expression" dxfId="4" priority="7964">
      <formula>AND(NOT(HasFormula(#REF!)),#REF!&lt;&gt;"")</formula>
    </cfRule>
    <cfRule type="expression" dxfId="3" priority="7965">
      <formula>AND(NOT(HasFormula(A2168)),A2168&lt;&gt;"")</formula>
    </cfRule>
  </conditionalFormatting>
  <conditionalFormatting sqref="D2173">
    <cfRule type="expression" dxfId="4" priority="7992">
      <formula>AND(NOT(HasFormula(#REF!)),#REF!&lt;&gt;"")</formula>
    </cfRule>
  </conditionalFormatting>
  <conditionalFormatting sqref="E2173">
    <cfRule type="expression" dxfId="4" priority="7993">
      <formula>AND(NOT(HasFormula(#REF!)),#REF!&lt;&gt;"")</formula>
    </cfRule>
  </conditionalFormatting>
  <conditionalFormatting sqref="I2173:L2173">
    <cfRule type="expression" dxfId="4" priority="7994">
      <formula>AND(NOT(HasFormula(#REF!)),#REF!&lt;&gt;"")</formula>
    </cfRule>
    <cfRule type="expression" dxfId="3" priority="7995">
      <formula>AND(NOT(HasFormula(A2173)),A2173&lt;&gt;"")</formula>
    </cfRule>
  </conditionalFormatting>
  <conditionalFormatting sqref="D2188">
    <cfRule type="expression" dxfId="4" priority="7988">
      <formula>AND(NOT(HasFormula(#REF!)),#REF!&lt;&gt;"")</formula>
    </cfRule>
  </conditionalFormatting>
  <conditionalFormatting sqref="E2188">
    <cfRule type="expression" dxfId="4" priority="7989">
      <formula>AND(NOT(HasFormula(#REF!)),#REF!&lt;&gt;"")</formula>
    </cfRule>
  </conditionalFormatting>
  <conditionalFormatting sqref="H2188">
    <cfRule type="expression" dxfId="4" priority="7986">
      <formula>AND(NOT(HasFormula(#REF!)),#REF!&lt;&gt;"")</formula>
    </cfRule>
    <cfRule type="expression" dxfId="3" priority="7987">
      <formula>AND(NOT(HasFormula(XFD2188)),XFD2188&lt;&gt;"")</formula>
    </cfRule>
  </conditionalFormatting>
  <conditionalFormatting sqref="I2188:L2188">
    <cfRule type="expression" dxfId="4" priority="7990">
      <formula>AND(NOT(HasFormula(#REF!)),#REF!&lt;&gt;"")</formula>
    </cfRule>
    <cfRule type="expression" dxfId="3" priority="7991">
      <formula>AND(NOT(HasFormula(A2188)),A2188&lt;&gt;"")</formula>
    </cfRule>
  </conditionalFormatting>
  <conditionalFormatting sqref="D2190">
    <cfRule type="expression" dxfId="4" priority="7982">
      <formula>AND(NOT(HasFormula(#REF!)),#REF!&lt;&gt;"")</formula>
    </cfRule>
  </conditionalFormatting>
  <conditionalFormatting sqref="E2190">
    <cfRule type="expression" dxfId="4" priority="7983">
      <formula>AND(NOT(HasFormula(#REF!)),#REF!&lt;&gt;"")</formula>
    </cfRule>
  </conditionalFormatting>
  <conditionalFormatting sqref="H2190">
    <cfRule type="expression" dxfId="4" priority="7980">
      <formula>AND(NOT(HasFormula(#REF!)),#REF!&lt;&gt;"")</formula>
    </cfRule>
    <cfRule type="expression" dxfId="3" priority="7981">
      <formula>AND(NOT(HasFormula(XFD2190)),XFD2190&lt;&gt;"")</formula>
    </cfRule>
  </conditionalFormatting>
  <conditionalFormatting sqref="I2190:L2190">
    <cfRule type="expression" dxfId="4" priority="7984">
      <formula>AND(NOT(HasFormula(#REF!)),#REF!&lt;&gt;"")</formula>
    </cfRule>
    <cfRule type="expression" dxfId="3" priority="7985">
      <formula>AND(NOT(HasFormula(A2190)),A2190&lt;&gt;"")</formula>
    </cfRule>
  </conditionalFormatting>
  <conditionalFormatting sqref="D2200">
    <cfRule type="expression" dxfId="4" priority="8004">
      <formula>AND(NOT(HasFormula(#REF!)),#REF!&lt;&gt;"")</formula>
    </cfRule>
  </conditionalFormatting>
  <conditionalFormatting sqref="E2200">
    <cfRule type="expression" dxfId="4" priority="8005">
      <formula>AND(NOT(HasFormula(#REF!)),#REF!&lt;&gt;"")</formula>
    </cfRule>
  </conditionalFormatting>
  <conditionalFormatting sqref="H2200">
    <cfRule type="expression" dxfId="4" priority="8002">
      <formula>AND(NOT(HasFormula(#REF!)),#REF!&lt;&gt;"")</formula>
    </cfRule>
    <cfRule type="expression" dxfId="3" priority="8003">
      <formula>AND(NOT(HasFormula(XFD2200)),XFD2200&lt;&gt;"")</formula>
    </cfRule>
  </conditionalFormatting>
  <conditionalFormatting sqref="I2200:L2200">
    <cfRule type="expression" dxfId="4" priority="8006">
      <formula>AND(NOT(HasFormula(#REF!)),#REF!&lt;&gt;"")</formula>
    </cfRule>
    <cfRule type="expression" dxfId="3" priority="8007">
      <formula>AND(NOT(HasFormula(A2200)),A2200&lt;&gt;"")</formula>
    </cfRule>
  </conditionalFormatting>
  <conditionalFormatting sqref="D2216">
    <cfRule type="expression" dxfId="4" priority="7998">
      <formula>AND(NOT(HasFormula(#REF!)),#REF!&lt;&gt;"")</formula>
    </cfRule>
  </conditionalFormatting>
  <conditionalFormatting sqref="E2216">
    <cfRule type="expression" dxfId="4" priority="7999">
      <formula>AND(NOT(HasFormula(#REF!)),#REF!&lt;&gt;"")</formula>
    </cfRule>
  </conditionalFormatting>
  <conditionalFormatting sqref="I2216:L2216">
    <cfRule type="expression" dxfId="4" priority="8000">
      <formula>AND(NOT(HasFormula(#REF!)),#REF!&lt;&gt;"")</formula>
    </cfRule>
    <cfRule type="expression" dxfId="3" priority="8001">
      <formula>AND(NOT(HasFormula(A2216)),A2216&lt;&gt;"")</formula>
    </cfRule>
  </conditionalFormatting>
  <conditionalFormatting sqref="D2219">
    <cfRule type="expression" dxfId="4" priority="8010">
      <formula>AND(NOT(HasFormula(#REF!)),#REF!&lt;&gt;"")</formula>
    </cfRule>
  </conditionalFormatting>
  <conditionalFormatting sqref="E2219">
    <cfRule type="expression" dxfId="4" priority="8011">
      <formula>AND(NOT(HasFormula(#REF!)),#REF!&lt;&gt;"")</formula>
    </cfRule>
  </conditionalFormatting>
  <conditionalFormatting sqref="I2219:L2219">
    <cfRule type="expression" dxfId="4" priority="8012">
      <formula>AND(NOT(HasFormula(#REF!)),#REF!&lt;&gt;"")</formula>
    </cfRule>
    <cfRule type="expression" dxfId="3" priority="8013">
      <formula>AND(NOT(HasFormula(A2219)),A2219&lt;&gt;"")</formula>
    </cfRule>
  </conditionalFormatting>
  <conditionalFormatting sqref="D2229">
    <cfRule type="expression" dxfId="4" priority="8034">
      <formula>AND(NOT(HasFormula(#REF!)),#REF!&lt;&gt;"")</formula>
    </cfRule>
  </conditionalFormatting>
  <conditionalFormatting sqref="E2229">
    <cfRule type="expression" dxfId="4" priority="8035">
      <formula>AND(NOT(HasFormula(#REF!)),#REF!&lt;&gt;"")</formula>
    </cfRule>
  </conditionalFormatting>
  <conditionalFormatting sqref="I2229:L2229">
    <cfRule type="expression" dxfId="4" priority="8036">
      <formula>AND(NOT(HasFormula(#REF!)),#REF!&lt;&gt;"")</formula>
    </cfRule>
    <cfRule type="expression" dxfId="3" priority="8037">
      <formula>AND(NOT(HasFormula(A2229)),A2229&lt;&gt;"")</formula>
    </cfRule>
  </conditionalFormatting>
  <conditionalFormatting sqref="D2233">
    <cfRule type="expression" dxfId="4" priority="8046">
      <formula>AND(NOT(HasFormula(#REF!)),#REF!&lt;&gt;"")</formula>
    </cfRule>
  </conditionalFormatting>
  <conditionalFormatting sqref="E2233">
    <cfRule type="expression" dxfId="4" priority="8047">
      <formula>AND(NOT(HasFormula(#REF!)),#REF!&lt;&gt;"")</formula>
    </cfRule>
  </conditionalFormatting>
  <conditionalFormatting sqref="I2233:L2233">
    <cfRule type="expression" dxfId="4" priority="8048">
      <formula>AND(NOT(HasFormula(#REF!)),#REF!&lt;&gt;"")</formula>
    </cfRule>
    <cfRule type="expression" dxfId="3" priority="8049">
      <formula>AND(NOT(HasFormula(A2233)),A2233&lt;&gt;"")</formula>
    </cfRule>
  </conditionalFormatting>
  <conditionalFormatting sqref="M2238">
    <cfRule type="containsText" dxfId="1" priority="610" operator="between" text="送货车型9.6米">
      <formula>NOT(ISERROR(SEARCH("送货车型9.6米",M2238)))</formula>
    </cfRule>
  </conditionalFormatting>
  <conditionalFormatting sqref="D2245">
    <cfRule type="expression" dxfId="4" priority="8064">
      <formula>AND(NOT(HasFormula(XFD2250)),XFD2250&lt;&gt;"")</formula>
    </cfRule>
  </conditionalFormatting>
  <conditionalFormatting sqref="E2245">
    <cfRule type="expression" dxfId="4" priority="8066">
      <formula>AND(NOT(HasFormula(A2250)),A2250&lt;&gt;"")</formula>
    </cfRule>
  </conditionalFormatting>
  <conditionalFormatting sqref="H2245">
    <cfRule type="expression" dxfId="4" priority="8060">
      <formula>AND(NOT(HasFormula(D2250)),D2250&lt;&gt;"")</formula>
    </cfRule>
    <cfRule type="expression" dxfId="3" priority="8061">
      <formula>AND(NOT(HasFormula(XFD2245)),XFD2245&lt;&gt;"")</formula>
    </cfRule>
  </conditionalFormatting>
  <conditionalFormatting sqref="I2245:L2245">
    <cfRule type="expression" dxfId="4" priority="8072">
      <formula>AND(NOT(HasFormula(E2250)),E2250&lt;&gt;"")</formula>
    </cfRule>
    <cfRule type="expression" dxfId="3" priority="8073">
      <formula>AND(NOT(HasFormula(A2245)),A2245&lt;&gt;"")</formula>
    </cfRule>
  </conditionalFormatting>
  <conditionalFormatting sqref="D2246">
    <cfRule type="expression" dxfId="4" priority="8056">
      <formula>AND(NOT(HasFormula(XFD2247)),XFD2247&lt;&gt;"")</formula>
    </cfRule>
  </conditionalFormatting>
  <conditionalFormatting sqref="E2246">
    <cfRule type="expression" dxfId="4" priority="8057">
      <formula>AND(NOT(HasFormula(A2247)),A2247&lt;&gt;"")</formula>
    </cfRule>
  </conditionalFormatting>
  <conditionalFormatting sqref="H2246">
    <cfRule type="expression" dxfId="4" priority="591">
      <formula>AND(NOT(HasFormula(#REF!)),#REF!&lt;&gt;"")</formula>
    </cfRule>
    <cfRule type="expression" dxfId="3" priority="592">
      <formula>AND(NOT(HasFormula(XFD2246)),XFD2246&lt;&gt;"")</formula>
    </cfRule>
  </conditionalFormatting>
  <conditionalFormatting sqref="I2246:L2246">
    <cfRule type="expression" dxfId="4" priority="8058">
      <formula>AND(NOT(HasFormula(E2247)),E2247&lt;&gt;"")</formula>
    </cfRule>
    <cfRule type="expression" dxfId="3" priority="8059">
      <formula>AND(NOT(HasFormula(A2246)),A2246&lt;&gt;"")</formula>
    </cfRule>
  </conditionalFormatting>
  <conditionalFormatting sqref="D2250">
    <cfRule type="expression" dxfId="4" priority="8065">
      <formula>AND(NOT(HasFormula(XFD2251)),XFD2251&lt;&gt;"")</formula>
    </cfRule>
  </conditionalFormatting>
  <conditionalFormatting sqref="E2250">
    <cfRule type="expression" dxfId="4" priority="8067">
      <formula>AND(NOT(HasFormula(A2251)),A2251&lt;&gt;"")</formula>
    </cfRule>
  </conditionalFormatting>
  <conditionalFormatting sqref="H2250">
    <cfRule type="expression" dxfId="4" priority="8068">
      <formula>AND(NOT(HasFormula(D2251)),D2251&lt;&gt;"")</formula>
    </cfRule>
    <cfRule type="expression" dxfId="3" priority="8069">
      <formula>AND(NOT(HasFormula(XFD2250)),XFD2250&lt;&gt;"")</formula>
    </cfRule>
    <cfRule type="expression" dxfId="4" priority="8070">
      <formula>AND(NOT(HasFormula(D2251)),D2251&lt;&gt;"")</formula>
    </cfRule>
    <cfRule type="expression" dxfId="3" priority="8071">
      <formula>AND(NOT(HasFormula(XFD2250)),XFD2250&lt;&gt;"")</formula>
    </cfRule>
  </conditionalFormatting>
  <conditionalFormatting sqref="I2250:L2250">
    <cfRule type="expression" dxfId="4" priority="8074">
      <formula>AND(NOT(HasFormula(E2251)),E2251&lt;&gt;"")</formula>
    </cfRule>
    <cfRule type="expression" dxfId="3" priority="8075">
      <formula>AND(NOT(HasFormula(A2250)),A2250&lt;&gt;"")</formula>
    </cfRule>
  </conditionalFormatting>
  <conditionalFormatting sqref="M2270">
    <cfRule type="containsText" dxfId="1" priority="595" operator="between" text="送货车型9.6米">
      <formula>NOT(ISERROR(SEARCH("送货车型9.6米",M2270)))</formula>
    </cfRule>
  </conditionalFormatting>
  <conditionalFormatting sqref="D2323">
    <cfRule type="expression" dxfId="4" priority="8084">
      <formula>AND(NOT(HasFormula(XFD2337)),XFD2337&lt;&gt;"")</formula>
    </cfRule>
  </conditionalFormatting>
  <conditionalFormatting sqref="E2323">
    <cfRule type="expression" dxfId="4" priority="8086">
      <formula>AND(NOT(HasFormula(A2337)),A2337&lt;&gt;"")</formula>
    </cfRule>
  </conditionalFormatting>
  <conditionalFormatting sqref="H2323">
    <cfRule type="expression" dxfId="4" priority="8076">
      <formula>AND(NOT(HasFormula(D2337)),D2337&lt;&gt;"")</formula>
    </cfRule>
    <cfRule type="expression" dxfId="3" priority="8077">
      <formula>AND(NOT(HasFormula(XFD2323)),XFD2323&lt;&gt;"")</formula>
    </cfRule>
  </conditionalFormatting>
  <conditionalFormatting sqref="I2323:L2323">
    <cfRule type="expression" dxfId="4" priority="8088">
      <formula>AND(NOT(HasFormula(E2337)),E2337&lt;&gt;"")</formula>
    </cfRule>
    <cfRule type="expression" dxfId="3" priority="8089">
      <formula>AND(NOT(HasFormula(A2323)),A2323&lt;&gt;"")</formula>
    </cfRule>
  </conditionalFormatting>
  <conditionalFormatting sqref="D2336">
    <cfRule type="expression" dxfId="4" priority="8085">
      <formula>AND(NOT(HasFormula(#REF!)),#REF!&lt;&gt;"")</formula>
    </cfRule>
  </conditionalFormatting>
  <conditionalFormatting sqref="E2336">
    <cfRule type="expression" dxfId="4" priority="8087">
      <formula>AND(NOT(HasFormula(#REF!)),#REF!&lt;&gt;"")</formula>
    </cfRule>
  </conditionalFormatting>
  <conditionalFormatting sqref="H2336">
    <cfRule type="expression" dxfId="4" priority="8078">
      <formula>AND(NOT(HasFormula(#REF!)),#REF!&lt;&gt;"")</formula>
    </cfRule>
    <cfRule type="expression" dxfId="3" priority="8079">
      <formula>AND(NOT(HasFormula(XFD2336)),XFD2336&lt;&gt;"")</formula>
    </cfRule>
    <cfRule type="expression" dxfId="4" priority="8082">
      <formula>AND(NOT(HasFormula(#REF!)),#REF!&lt;&gt;"")</formula>
    </cfRule>
    <cfRule type="expression" dxfId="3" priority="8083">
      <formula>AND(NOT(HasFormula(XFD2336)),XFD2336&lt;&gt;"")</formula>
    </cfRule>
  </conditionalFormatting>
  <conditionalFormatting sqref="I2336:L2336">
    <cfRule type="expression" dxfId="4" priority="8090">
      <formula>AND(NOT(HasFormula(#REF!)),#REF!&lt;&gt;"")</formula>
    </cfRule>
    <cfRule type="expression" dxfId="3" priority="8091">
      <formula>AND(NOT(HasFormula(A2336)),A2336&lt;&gt;"")</formula>
    </cfRule>
  </conditionalFormatting>
  <conditionalFormatting sqref="D2337:E2337">
    <cfRule type="expression" dxfId="3" priority="580">
      <formula>AND(NOT(HasFormula(XEZ2337)),XEZ2337&lt;&gt;"")</formula>
    </cfRule>
  </conditionalFormatting>
  <conditionalFormatting sqref="D2337">
    <cfRule type="expression" dxfId="2" priority="577">
      <formula>AND(NOT(_xlfn.ISFORMULA(D2337)),D2337&lt;&gt;"")</formula>
    </cfRule>
    <cfRule type="expression" dxfId="4" priority="579">
      <formula>AND(NOT(HasFormula(XFD2324)),XFD2324&lt;&gt;"")</formula>
    </cfRule>
  </conditionalFormatting>
  <conditionalFormatting sqref="E2337">
    <cfRule type="expression" dxfId="4" priority="587">
      <formula>AND(NOT(HasFormula(A2324)),A2324&lt;&gt;"")</formula>
    </cfRule>
  </conditionalFormatting>
  <conditionalFormatting sqref="F2337">
    <cfRule type="containsText" dxfId="6" priority="581" operator="between" text="12m">
      <formula>NOT(ISERROR(SEARCH("12m",F2337)))</formula>
    </cfRule>
    <cfRule type="containsText" dxfId="5" priority="582" operator="between" text="HRB500E">
      <formula>NOT(ISERROR(SEARCH("HRB500E",F2337)))</formula>
    </cfRule>
  </conditionalFormatting>
  <conditionalFormatting sqref="H2337">
    <cfRule type="expression" dxfId="4" priority="8080">
      <formula>AND(NOT(HasFormula(D2324)),D2324&lt;&gt;"")</formula>
    </cfRule>
    <cfRule type="expression" dxfId="3" priority="8081">
      <formula>AND(NOT(HasFormula(XFD2337)),XFD2337&lt;&gt;"")</formula>
    </cfRule>
  </conditionalFormatting>
  <conditionalFormatting sqref="I2337:L2337">
    <cfRule type="expression" dxfId="4" priority="585">
      <formula>AND(NOT(HasFormula(E2324)),E2324&lt;&gt;"")</formula>
    </cfRule>
    <cfRule type="expression" dxfId="3" priority="586">
      <formula>AND(NOT(HasFormula(A2337)),A2337&lt;&gt;"")</formula>
    </cfRule>
  </conditionalFormatting>
  <conditionalFormatting sqref="D2338:E2338">
    <cfRule type="expression" dxfId="3" priority="563">
      <formula>AND(NOT(HasFormula(XEZ2338)),XEZ2338&lt;&gt;"")</formula>
    </cfRule>
  </conditionalFormatting>
  <conditionalFormatting sqref="D2338">
    <cfRule type="expression" dxfId="4" priority="562">
      <formula>AND(NOT(HasFormula(XFD2325)),XFD2325&lt;&gt;"")</formula>
    </cfRule>
    <cfRule type="expression" dxfId="2" priority="561">
      <formula>AND(NOT(_xlfn.ISFORMULA(D2338)),D2338&lt;&gt;"")</formula>
    </cfRule>
  </conditionalFormatting>
  <conditionalFormatting sqref="E2338">
    <cfRule type="expression" dxfId="4" priority="568">
      <formula>AND(NOT(HasFormula(A2325)),A2325&lt;&gt;"")</formula>
    </cfRule>
  </conditionalFormatting>
  <conditionalFormatting sqref="F2338">
    <cfRule type="containsText" dxfId="5" priority="565" operator="between" text="HRB500E">
      <formula>NOT(ISERROR(SEARCH("HRB500E",F2338)))</formula>
    </cfRule>
    <cfRule type="containsText" dxfId="6" priority="564" operator="between" text="12m">
      <formula>NOT(ISERROR(SEARCH("12m",F2338)))</formula>
    </cfRule>
  </conditionalFormatting>
  <conditionalFormatting sqref="I2338:L2338">
    <cfRule type="expression" dxfId="3" priority="567">
      <formula>AND(NOT(HasFormula(A2338)),A2338&lt;&gt;"")</formula>
    </cfRule>
    <cfRule type="expression" dxfId="4" priority="566">
      <formula>AND(NOT(HasFormula(E2325)),E2325&lt;&gt;"")</formula>
    </cfRule>
  </conditionalFormatting>
  <conditionalFormatting sqref="D2349">
    <cfRule type="expression" dxfId="4" priority="547">
      <formula>AND(NOT(HasFormula(XFD2336)),XFD2336&lt;&gt;"")</formula>
    </cfRule>
    <cfRule type="expression" dxfId="2" priority="546">
      <formula>AND(NOT(_xlfn.ISFORMULA(D2349)),D2349&lt;&gt;"")</formula>
    </cfRule>
  </conditionalFormatting>
  <conditionalFormatting sqref="F2349">
    <cfRule type="containsText" dxfId="5" priority="550" operator="between" text="HRB500E">
      <formula>NOT(ISERROR(SEARCH("HRB500E",F2349)))</formula>
    </cfRule>
    <cfRule type="containsText" dxfId="6" priority="549" operator="between" text="12m">
      <formula>NOT(ISERROR(SEARCH("12m",F2349)))</formula>
    </cfRule>
  </conditionalFormatting>
  <conditionalFormatting sqref="I2349:L2349">
    <cfRule type="expression" dxfId="3" priority="552">
      <formula>AND(NOT(HasFormula(A2349)),A2349&lt;&gt;"")</formula>
    </cfRule>
    <cfRule type="expression" dxfId="4" priority="551">
      <formula>AND(NOT(HasFormula(E2336)),E2336&lt;&gt;"")</formula>
    </cfRule>
  </conditionalFormatting>
  <conditionalFormatting sqref="M2349">
    <cfRule type="containsText" dxfId="1" priority="543" operator="between" text="送货车型9.6米">
      <formula>NOT(ISERROR(SEARCH("送货车型9.6米",M2349)))</formula>
    </cfRule>
  </conditionalFormatting>
  <conditionalFormatting sqref="D2358">
    <cfRule type="expression" dxfId="4" priority="8092">
      <formula>AND(NOT(HasFormula(#REF!)),#REF!&lt;&gt;"")</formula>
    </cfRule>
  </conditionalFormatting>
  <conditionalFormatting sqref="E2358">
    <cfRule type="expression" dxfId="4" priority="8093">
      <formula>AND(NOT(HasFormula(#REF!)),#REF!&lt;&gt;"")</formula>
    </cfRule>
  </conditionalFormatting>
  <conditionalFormatting sqref="I2358:L2358">
    <cfRule type="expression" dxfId="4" priority="8094">
      <formula>AND(NOT(HasFormula(#REF!)),#REF!&lt;&gt;"")</formula>
    </cfRule>
    <cfRule type="expression" dxfId="3" priority="8095">
      <formula>AND(NOT(HasFormula(A2358)),A2358&lt;&gt;"")</formula>
    </cfRule>
  </conditionalFormatting>
  <conditionalFormatting sqref="M2359">
    <cfRule type="containsText" dxfId="1" priority="529" operator="between" text="送货车型9.6米">
      <formula>NOT(ISERROR(SEARCH("送货车型9.6米",M2359)))</formula>
    </cfRule>
  </conditionalFormatting>
  <conditionalFormatting sqref="D2428">
    <cfRule type="expression" dxfId="4" priority="8096">
      <formula>AND(NOT(HasFormula(XFD2429)),XFD2429&lt;&gt;"")</formula>
    </cfRule>
  </conditionalFormatting>
  <conditionalFormatting sqref="E2428">
    <cfRule type="expression" dxfId="4" priority="8097">
      <formula>AND(NOT(HasFormula(A2429)),A2429&lt;&gt;"")</formula>
    </cfRule>
  </conditionalFormatting>
  <conditionalFormatting sqref="I2428:K2428">
    <cfRule type="expression" dxfId="4" priority="8098">
      <formula>AND(NOT(HasFormula(E2429)),E2429&lt;&gt;"")</formula>
    </cfRule>
    <cfRule type="expression" dxfId="3" priority="8099">
      <formula>AND(NOT(HasFormula(A2428)),A2428&lt;&gt;"")</formula>
    </cfRule>
  </conditionalFormatting>
  <conditionalFormatting sqref="D2438">
    <cfRule type="expression" dxfId="4" priority="8102">
      <formula>AND(NOT(HasFormula(#REF!)),#REF!&lt;&gt;"")</formula>
    </cfRule>
  </conditionalFormatting>
  <conditionalFormatting sqref="E2438">
    <cfRule type="expression" dxfId="4" priority="8103">
      <formula>AND(NOT(HasFormula(#REF!)),#REF!&lt;&gt;"")</formula>
    </cfRule>
  </conditionalFormatting>
  <conditionalFormatting sqref="H2438">
    <cfRule type="expression" dxfId="4" priority="8100">
      <formula>AND(NOT(HasFormula(#REF!)),#REF!&lt;&gt;"")</formula>
    </cfRule>
    <cfRule type="expression" dxfId="3" priority="8101">
      <formula>AND(NOT(HasFormula(XFD2438)),XFD2438&lt;&gt;"")</formula>
    </cfRule>
  </conditionalFormatting>
  <conditionalFormatting sqref="I2438:L2438">
    <cfRule type="expression" dxfId="4" priority="8104">
      <formula>AND(NOT(HasFormula(#REF!)),#REF!&lt;&gt;"")</formula>
    </cfRule>
    <cfRule type="expression" dxfId="3" priority="8105">
      <formula>AND(NOT(HasFormula(A2438)),A2438&lt;&gt;"")</formula>
    </cfRule>
  </conditionalFormatting>
  <conditionalFormatting sqref="D2455">
    <cfRule type="expression" dxfId="4" priority="8112">
      <formula>AND(NOT(HasFormula(XFD2461)),XFD2461&lt;&gt;"")</formula>
    </cfRule>
  </conditionalFormatting>
  <conditionalFormatting sqref="E2455">
    <cfRule type="expression" dxfId="4" priority="8115">
      <formula>AND(NOT(HasFormula(A2461)),A2461&lt;&gt;"")</formula>
    </cfRule>
  </conditionalFormatting>
  <conditionalFormatting sqref="I2455:L2455">
    <cfRule type="expression" dxfId="4" priority="8118">
      <formula>AND(NOT(HasFormula(E2461)),E2461&lt;&gt;"")</formula>
    </cfRule>
    <cfRule type="expression" dxfId="3" priority="8119">
      <formula>AND(NOT(HasFormula(A2455)),A2455&lt;&gt;"")</formula>
    </cfRule>
  </conditionalFormatting>
  <conditionalFormatting sqref="D2458">
    <cfRule type="expression" dxfId="4" priority="8114">
      <formula>AND(NOT(HasFormula(XFD2475)),XFD2475&lt;&gt;"")</formula>
    </cfRule>
  </conditionalFormatting>
  <conditionalFormatting sqref="E2458">
    <cfRule type="expression" dxfId="4" priority="8117">
      <formula>AND(NOT(HasFormula(A2475)),A2475&lt;&gt;"")</formula>
    </cfRule>
  </conditionalFormatting>
  <conditionalFormatting sqref="I2458:L2458">
    <cfRule type="expression" dxfId="4" priority="8122">
      <formula>AND(NOT(HasFormula(E2475)),E2475&lt;&gt;"")</formula>
    </cfRule>
    <cfRule type="expression" dxfId="3" priority="8123">
      <formula>AND(NOT(HasFormula(A2458)),A2458&lt;&gt;"")</formula>
    </cfRule>
  </conditionalFormatting>
  <conditionalFormatting sqref="D2459">
    <cfRule type="expression" dxfId="4" priority="8129">
      <formula>AND(NOT(HasFormula(XFD2463)),XFD2463&lt;&gt;"")</formula>
    </cfRule>
  </conditionalFormatting>
  <conditionalFormatting sqref="E2459">
    <cfRule type="expression" dxfId="4" priority="8131">
      <formula>AND(NOT(HasFormula(A2463)),A2463&lt;&gt;"")</formula>
    </cfRule>
  </conditionalFormatting>
  <conditionalFormatting sqref="I2459:L2459">
    <cfRule type="expression" dxfId="4" priority="8134">
      <formula>AND(NOT(HasFormula(E2463)),E2463&lt;&gt;"")</formula>
    </cfRule>
    <cfRule type="expression" dxfId="3" priority="8135">
      <formula>AND(NOT(HasFormula(A2459)),A2459&lt;&gt;"")</formula>
    </cfRule>
  </conditionalFormatting>
  <conditionalFormatting sqref="D2460">
    <cfRule type="expression" dxfId="4" priority="8141">
      <formula>AND(NOT(HasFormula(XFD2464)),XFD2464&lt;&gt;"")</formula>
    </cfRule>
  </conditionalFormatting>
  <conditionalFormatting sqref="E2460">
    <cfRule type="expression" dxfId="4" priority="8143">
      <formula>AND(NOT(HasFormula(A2464)),A2464&lt;&gt;"")</formula>
    </cfRule>
  </conditionalFormatting>
  <conditionalFormatting sqref="I2460:L2460">
    <cfRule type="expression" dxfId="4" priority="8146">
      <formula>AND(NOT(HasFormula(E2464)),E2464&lt;&gt;"")</formula>
    </cfRule>
    <cfRule type="expression" dxfId="3" priority="8147">
      <formula>AND(NOT(HasFormula(A2460)),A2460&lt;&gt;"")</formula>
    </cfRule>
  </conditionalFormatting>
  <conditionalFormatting sqref="D2462">
    <cfRule type="expression" dxfId="4" priority="8128">
      <formula>AND(NOT(HasFormula(XFD2459)),XFD2459&lt;&gt;"")</formula>
    </cfRule>
  </conditionalFormatting>
  <conditionalFormatting sqref="E2462">
    <cfRule type="expression" dxfId="4" priority="8130">
      <formula>AND(NOT(HasFormula(A2459)),A2459&lt;&gt;"")</formula>
    </cfRule>
  </conditionalFormatting>
  <conditionalFormatting sqref="I2462:L2462">
    <cfRule type="expression" dxfId="4" priority="8132">
      <formula>AND(NOT(HasFormula(E2459)),E2459&lt;&gt;"")</formula>
    </cfRule>
    <cfRule type="expression" dxfId="3" priority="8133">
      <formula>AND(NOT(HasFormula(A2462)),A2462&lt;&gt;"")</formula>
    </cfRule>
  </conditionalFormatting>
  <conditionalFormatting sqref="D2463">
    <cfRule type="expression" dxfId="4" priority="8140">
      <formula>AND(NOT(HasFormula(XFD2460)),XFD2460&lt;&gt;"")</formula>
    </cfRule>
  </conditionalFormatting>
  <conditionalFormatting sqref="E2463">
    <cfRule type="expression" dxfId="4" priority="8142">
      <formula>AND(NOT(HasFormula(A2460)),A2460&lt;&gt;"")</formula>
    </cfRule>
  </conditionalFormatting>
  <conditionalFormatting sqref="I2463:L2463">
    <cfRule type="expression" dxfId="4" priority="8144">
      <formula>AND(NOT(HasFormula(E2460)),E2460&lt;&gt;"")</formula>
    </cfRule>
    <cfRule type="expression" dxfId="3" priority="8145">
      <formula>AND(NOT(HasFormula(A2463)),A2463&lt;&gt;"")</formula>
    </cfRule>
  </conditionalFormatting>
  <conditionalFormatting sqref="D2474">
    <cfRule type="expression" dxfId="4" priority="8113">
      <formula>AND(NOT(HasFormula(XFD2456)),XFD2456&lt;&gt;"")</formula>
    </cfRule>
  </conditionalFormatting>
  <conditionalFormatting sqref="E2474">
    <cfRule type="expression" dxfId="4" priority="8116">
      <formula>AND(NOT(HasFormula(A2456)),A2456&lt;&gt;"")</formula>
    </cfRule>
  </conditionalFormatting>
  <conditionalFormatting sqref="I2474:L2474">
    <cfRule type="expression" dxfId="4" priority="8120">
      <formula>AND(NOT(HasFormula(E2456)),E2456&lt;&gt;"")</formula>
    </cfRule>
    <cfRule type="expression" dxfId="3" priority="8121">
      <formula>AND(NOT(HasFormula(A2474)),A2474&lt;&gt;"")</formula>
    </cfRule>
  </conditionalFormatting>
  <conditionalFormatting sqref="D2483">
    <cfRule type="expression" dxfId="4" priority="8156">
      <formula>AND(NOT(HasFormula(#REF!)),#REF!&lt;&gt;"")</formula>
    </cfRule>
  </conditionalFormatting>
  <conditionalFormatting sqref="E2483">
    <cfRule type="expression" dxfId="4" priority="8157">
      <formula>AND(NOT(HasFormula(#REF!)),#REF!&lt;&gt;"")</formula>
    </cfRule>
  </conditionalFormatting>
  <conditionalFormatting sqref="I2483:L2483">
    <cfRule type="expression" dxfId="4" priority="8158">
      <formula>AND(NOT(HasFormula(#REF!)),#REF!&lt;&gt;"")</formula>
    </cfRule>
    <cfRule type="expression" dxfId="3" priority="8159">
      <formula>AND(NOT(HasFormula(A2483)),A2483&lt;&gt;"")</formula>
    </cfRule>
  </conditionalFormatting>
  <conditionalFormatting sqref="D2484">
    <cfRule type="expression" dxfId="4" priority="8150">
      <formula>AND(NOT(HasFormula(XFD2486)),XFD2486&lt;&gt;"")</formula>
    </cfRule>
  </conditionalFormatting>
  <conditionalFormatting sqref="E2484">
    <cfRule type="expression" dxfId="4" priority="8151">
      <formula>AND(NOT(HasFormula(A2486)),A2486&lt;&gt;"")</formula>
    </cfRule>
  </conditionalFormatting>
  <conditionalFormatting sqref="I2484:L2484">
    <cfRule type="expression" dxfId="4" priority="8152">
      <formula>AND(NOT(HasFormula(E2486)),E2486&lt;&gt;"")</formula>
    </cfRule>
    <cfRule type="expression" dxfId="3" priority="8153">
      <formula>AND(NOT(HasFormula(A2484)),A2484&lt;&gt;"")</formula>
    </cfRule>
  </conditionalFormatting>
  <conditionalFormatting sqref="E2548">
    <cfRule type="expression" dxfId="4" priority="8167">
      <formula>AND(NOT(HasFormula(#REF!)),#REF!&lt;&gt;"")</formula>
    </cfRule>
  </conditionalFormatting>
  <conditionalFormatting sqref="H2548">
    <cfRule type="expression" dxfId="4" priority="8170">
      <formula>AND(NOT(HasFormula(#REF!)),#REF!&lt;&gt;"")</formula>
    </cfRule>
    <cfRule type="expression" dxfId="3" priority="8171">
      <formula>AND(NOT(HasFormula(XFD2548)),XFD2548&lt;&gt;"")</formula>
    </cfRule>
  </conditionalFormatting>
  <conditionalFormatting sqref="I2548:L2548">
    <cfRule type="expression" dxfId="4" priority="8168">
      <formula>AND(NOT(HasFormula(#REF!)),#REF!&lt;&gt;"")</formula>
    </cfRule>
    <cfRule type="expression" dxfId="3" priority="8169">
      <formula>AND(NOT(HasFormula(A2548)),A2548&lt;&gt;"")</formula>
    </cfRule>
  </conditionalFormatting>
  <conditionalFormatting sqref="D2554">
    <cfRule type="expression" dxfId="4" priority="8174">
      <formula>AND(NOT(HasFormula(#REF!)),#REF!&lt;&gt;"")</formula>
    </cfRule>
  </conditionalFormatting>
  <conditionalFormatting sqref="E2554">
    <cfRule type="expression" dxfId="4" priority="8175">
      <formula>AND(NOT(HasFormula(#REF!)),#REF!&lt;&gt;"")</formula>
    </cfRule>
  </conditionalFormatting>
  <conditionalFormatting sqref="H2554">
    <cfRule type="expression" dxfId="4" priority="8172">
      <formula>AND(NOT(HasFormula(#REF!)),#REF!&lt;&gt;"")</formula>
    </cfRule>
    <cfRule type="expression" dxfId="3" priority="8173">
      <formula>AND(NOT(HasFormula(XFD2554)),XFD2554&lt;&gt;"")</formula>
    </cfRule>
  </conditionalFormatting>
  <conditionalFormatting sqref="I2554:L2554">
    <cfRule type="expression" dxfId="4" priority="8176">
      <formula>AND(NOT(HasFormula(#REF!)),#REF!&lt;&gt;"")</formula>
    </cfRule>
    <cfRule type="expression" dxfId="3" priority="8177">
      <formula>AND(NOT(HasFormula(A2554)),A2554&lt;&gt;"")</formula>
    </cfRule>
  </conditionalFormatting>
  <conditionalFormatting sqref="D2576:E2576">
    <cfRule type="expression" dxfId="3" priority="515">
      <formula>AND(NOT(HasFormula(XEZ2576)),XEZ2576&lt;&gt;"")</formula>
    </cfRule>
  </conditionalFormatting>
  <conditionalFormatting sqref="D2576">
    <cfRule type="expression" dxfId="4" priority="514">
      <formula>AND(NOT(HasFormula(XFD2577)),XFD2577&lt;&gt;"")</formula>
    </cfRule>
    <cfRule type="expression" dxfId="2" priority="512">
      <formula>AND(NOT(_xlfn.ISFORMULA(D2576)),D2576&lt;&gt;"")</formula>
    </cfRule>
  </conditionalFormatting>
  <conditionalFormatting sqref="E2576">
    <cfRule type="expression" dxfId="4" priority="522">
      <formula>AND(NOT(HasFormula(A2577)),A2577&lt;&gt;"")</formula>
    </cfRule>
  </conditionalFormatting>
  <conditionalFormatting sqref="F2576">
    <cfRule type="containsText" dxfId="5" priority="517" operator="between" text="HRB500E">
      <formula>NOT(ISERROR(SEARCH("HRB500E",F2576)))</formula>
    </cfRule>
    <cfRule type="containsText" dxfId="6" priority="516" operator="between" text="12m">
      <formula>NOT(ISERROR(SEARCH("12m",F2576)))</formula>
    </cfRule>
  </conditionalFormatting>
  <conditionalFormatting sqref="I2576:L2576">
    <cfRule type="expression" dxfId="3" priority="521">
      <formula>AND(NOT(HasFormula(A2576)),A2576&lt;&gt;"")</formula>
    </cfRule>
    <cfRule type="expression" dxfId="4" priority="520">
      <formula>AND(NOT(HasFormula(E2577)),E2577&lt;&gt;"")</formula>
    </cfRule>
  </conditionalFormatting>
  <conditionalFormatting sqref="L2576:O2576">
    <cfRule type="containsText" dxfId="1" priority="511" operator="between" text="送货车型9.6米">
      <formula>NOT(ISERROR(SEARCH("送货车型9.6米",L2576)))</formula>
    </cfRule>
  </conditionalFormatting>
  <conditionalFormatting sqref="D2604">
    <cfRule type="expression" dxfId="4" priority="8180">
      <formula>AND(NOT(HasFormula(XFD2606)),XFD2606&lt;&gt;"")</formula>
    </cfRule>
  </conditionalFormatting>
  <conditionalFormatting sqref="E2604">
    <cfRule type="expression" dxfId="4" priority="8181">
      <formula>AND(NOT(HasFormula(A2606)),A2606&lt;&gt;"")</formula>
    </cfRule>
  </conditionalFormatting>
  <conditionalFormatting sqref="I2604:L2604">
    <cfRule type="expression" dxfId="4" priority="8182">
      <formula>AND(NOT(HasFormula(E2606)),E2606&lt;&gt;"")</formula>
    </cfRule>
    <cfRule type="expression" dxfId="3" priority="8183">
      <formula>AND(NOT(HasFormula(A2604)),A2604&lt;&gt;"")</formula>
    </cfRule>
  </conditionalFormatting>
  <conditionalFormatting sqref="D2611">
    <cfRule type="expression" dxfId="4" priority="8192">
      <formula>AND(NOT(HasFormula(#REF!)),#REF!&lt;&gt;"")</formula>
    </cfRule>
  </conditionalFormatting>
  <conditionalFormatting sqref="E2611">
    <cfRule type="expression" dxfId="4" priority="8193">
      <formula>AND(NOT(HasFormula(#REF!)),#REF!&lt;&gt;"")</formula>
    </cfRule>
  </conditionalFormatting>
  <conditionalFormatting sqref="I2611:L2611">
    <cfRule type="expression" dxfId="4" priority="8194">
      <formula>AND(NOT(HasFormula(#REF!)),#REF!&lt;&gt;"")</formula>
    </cfRule>
    <cfRule type="expression" dxfId="3" priority="8195">
      <formula>AND(NOT(HasFormula(A2611)),A2611&lt;&gt;"")</formula>
    </cfRule>
  </conditionalFormatting>
  <conditionalFormatting sqref="D2619">
    <cfRule type="expression" dxfId="4" priority="8198">
      <formula>AND(NOT(HasFormula(#REF!)),#REF!&lt;&gt;"")</formula>
    </cfRule>
  </conditionalFormatting>
  <conditionalFormatting sqref="E2619">
    <cfRule type="expression" dxfId="4" priority="8199">
      <formula>AND(NOT(HasFormula(#REF!)),#REF!&lt;&gt;"")</formula>
    </cfRule>
  </conditionalFormatting>
  <conditionalFormatting sqref="I2619:L2619">
    <cfRule type="expression" dxfId="4" priority="8200">
      <formula>AND(NOT(HasFormula(#REF!)),#REF!&lt;&gt;"")</formula>
    </cfRule>
    <cfRule type="expression" dxfId="3" priority="8201">
      <formula>AND(NOT(HasFormula(A2619)),A2619&lt;&gt;"")</formula>
    </cfRule>
  </conditionalFormatting>
  <conditionalFormatting sqref="D2643">
    <cfRule type="expression" dxfId="4" priority="8208">
      <formula>AND(NOT(HasFormula(#REF!)),#REF!&lt;&gt;"")</formula>
    </cfRule>
  </conditionalFormatting>
  <conditionalFormatting sqref="E2643">
    <cfRule type="expression" dxfId="4" priority="8209">
      <formula>AND(NOT(HasFormula(#REF!)),#REF!&lt;&gt;"")</formula>
    </cfRule>
  </conditionalFormatting>
  <conditionalFormatting sqref="I2643:L2643">
    <cfRule type="expression" dxfId="4" priority="8210">
      <formula>AND(NOT(HasFormula(#REF!)),#REF!&lt;&gt;"")</formula>
    </cfRule>
    <cfRule type="expression" dxfId="3" priority="8211">
      <formula>AND(NOT(HasFormula(A2643)),A2643&lt;&gt;"")</formula>
    </cfRule>
  </conditionalFormatting>
  <conditionalFormatting sqref="D2646">
    <cfRule type="expression" dxfId="4" priority="8204">
      <formula>AND(NOT(HasFormula(#REF!)),#REF!&lt;&gt;"")</formula>
    </cfRule>
  </conditionalFormatting>
  <conditionalFormatting sqref="E2646">
    <cfRule type="expression" dxfId="4" priority="8205">
      <formula>AND(NOT(HasFormula(#REF!)),#REF!&lt;&gt;"")</formula>
    </cfRule>
  </conditionalFormatting>
  <conditionalFormatting sqref="H2646">
    <cfRule type="expression" dxfId="4" priority="8234">
      <formula>AND(NOT(HasFormula(D2650)),D2650&lt;&gt;"")</formula>
    </cfRule>
    <cfRule type="expression" dxfId="3" priority="8235">
      <formula>AND(NOT(HasFormula(XFD2646)),XFD2646&lt;&gt;"")</formula>
    </cfRule>
  </conditionalFormatting>
  <conditionalFormatting sqref="I2646:L2646">
    <cfRule type="expression" dxfId="4" priority="8206">
      <formula>AND(NOT(HasFormula(#REF!)),#REF!&lt;&gt;"")</formula>
    </cfRule>
    <cfRule type="expression" dxfId="3" priority="8207">
      <formula>AND(NOT(HasFormula(A2646)),A2646&lt;&gt;"")</formula>
    </cfRule>
  </conditionalFormatting>
  <conditionalFormatting sqref="D2647">
    <cfRule type="expression" dxfId="4" priority="8222">
      <formula>AND(NOT(HasFormula(#REF!)),#REF!&lt;&gt;"")</formula>
    </cfRule>
  </conditionalFormatting>
  <conditionalFormatting sqref="E2647">
    <cfRule type="expression" dxfId="4" priority="8223">
      <formula>AND(NOT(HasFormula(#REF!)),#REF!&lt;&gt;"")</formula>
    </cfRule>
  </conditionalFormatting>
  <conditionalFormatting sqref="I2647:L2647">
    <cfRule type="expression" dxfId="4" priority="8224">
      <formula>AND(NOT(HasFormula(#REF!)),#REF!&lt;&gt;"")</formula>
    </cfRule>
    <cfRule type="expression" dxfId="3" priority="8225">
      <formula>AND(NOT(HasFormula(A2647)),A2647&lt;&gt;"")</formula>
    </cfRule>
  </conditionalFormatting>
  <conditionalFormatting sqref="D2649">
    <cfRule type="expression" dxfId="4" priority="8227">
      <formula>AND(NOT(HasFormula(XFD2647)),XFD2647&lt;&gt;"")</formula>
    </cfRule>
  </conditionalFormatting>
  <conditionalFormatting sqref="E2649">
    <cfRule type="expression" dxfId="4" priority="8229">
      <formula>AND(NOT(HasFormula(A2647)),A2647&lt;&gt;"")</formula>
    </cfRule>
  </conditionalFormatting>
  <conditionalFormatting sqref="I2649:L2649">
    <cfRule type="expression" dxfId="4" priority="8232">
      <formula>AND(NOT(HasFormula(E2647)),E2647&lt;&gt;"")</formula>
    </cfRule>
    <cfRule type="expression" dxfId="3" priority="8233">
      <formula>AND(NOT(HasFormula(A2649)),A2649&lt;&gt;"")</formula>
    </cfRule>
  </conditionalFormatting>
  <conditionalFormatting sqref="D2665">
    <cfRule type="expression" dxfId="4" priority="8214">
      <formula>AND(NOT(HasFormula(#REF!)),#REF!&lt;&gt;"")</formula>
    </cfRule>
  </conditionalFormatting>
  <conditionalFormatting sqref="E2665">
    <cfRule type="expression" dxfId="4" priority="8215">
      <formula>AND(NOT(HasFormula(#REF!)),#REF!&lt;&gt;"")</formula>
    </cfRule>
  </conditionalFormatting>
  <conditionalFormatting sqref="I2665:L2665">
    <cfRule type="expression" dxfId="4" priority="8216">
      <formula>AND(NOT(HasFormula(#REF!)),#REF!&lt;&gt;"")</formula>
    </cfRule>
    <cfRule type="expression" dxfId="3" priority="8217">
      <formula>AND(NOT(HasFormula(A2665)),A2665&lt;&gt;"")</formula>
    </cfRule>
  </conditionalFormatting>
  <conditionalFormatting sqref="D2669">
    <cfRule type="expression" dxfId="4" priority="8226">
      <formula>AND(NOT(HasFormula(XFD2648)),XFD2648&lt;&gt;"")</formula>
    </cfRule>
  </conditionalFormatting>
  <conditionalFormatting sqref="E2669">
    <cfRule type="expression" dxfId="4" priority="8228">
      <formula>AND(NOT(HasFormula(A2648)),A2648&lt;&gt;"")</formula>
    </cfRule>
  </conditionalFormatting>
  <conditionalFormatting sqref="I2669:L2669">
    <cfRule type="expression" dxfId="4" priority="8230">
      <formula>AND(NOT(HasFormula(E2648)),E2648&lt;&gt;"")</formula>
    </cfRule>
    <cfRule type="expression" dxfId="3" priority="8231">
      <formula>AND(NOT(HasFormula(A2669)),A2669&lt;&gt;"")</formula>
    </cfRule>
  </conditionalFormatting>
  <conditionalFormatting sqref="D2699">
    <cfRule type="expression" dxfId="4" priority="8238">
      <formula>AND(NOT(HasFormula(XFD2700)),XFD2700&lt;&gt;"")</formula>
    </cfRule>
  </conditionalFormatting>
  <conditionalFormatting sqref="E2699">
    <cfRule type="expression" dxfId="4" priority="8239">
      <formula>AND(NOT(HasFormula(A2700)),A2700&lt;&gt;"")</formula>
    </cfRule>
  </conditionalFormatting>
  <conditionalFormatting sqref="I2699:L2699">
    <cfRule type="expression" dxfId="4" priority="8240">
      <formula>AND(NOT(HasFormula(E2700)),E2700&lt;&gt;"")</formula>
    </cfRule>
    <cfRule type="expression" dxfId="3" priority="8241">
      <formula>AND(NOT(HasFormula(A2699)),A2699&lt;&gt;"")</formula>
    </cfRule>
  </conditionalFormatting>
  <conditionalFormatting sqref="D2709">
    <cfRule type="expression" dxfId="4" priority="8247">
      <formula>AND(NOT(HasFormula(#REF!)),#REF!&lt;&gt;"")</formula>
    </cfRule>
  </conditionalFormatting>
  <conditionalFormatting sqref="E2709">
    <cfRule type="expression" dxfId="4" priority="8248">
      <formula>AND(NOT(HasFormula(#REF!)),#REF!&lt;&gt;"")</formula>
    </cfRule>
  </conditionalFormatting>
  <conditionalFormatting sqref="I2709:L2709">
    <cfRule type="expression" dxfId="4" priority="8249">
      <formula>AND(NOT(HasFormula(#REF!)),#REF!&lt;&gt;"")</formula>
    </cfRule>
    <cfRule type="expression" dxfId="3" priority="8250">
      <formula>AND(NOT(HasFormula(A2709)),A2709&lt;&gt;"")</formula>
    </cfRule>
  </conditionalFormatting>
  <conditionalFormatting sqref="D2721">
    <cfRule type="expression" dxfId="4" priority="8257">
      <formula>AND(NOT(HasFormula(#REF!)),#REF!&lt;&gt;"")</formula>
    </cfRule>
  </conditionalFormatting>
  <conditionalFormatting sqref="E2721">
    <cfRule type="expression" dxfId="4" priority="8258">
      <formula>AND(NOT(HasFormula(#REF!)),#REF!&lt;&gt;"")</formula>
    </cfRule>
  </conditionalFormatting>
  <conditionalFormatting sqref="I2721:L2721">
    <cfRule type="expression" dxfId="4" priority="8259">
      <formula>AND(NOT(HasFormula(#REF!)),#REF!&lt;&gt;"")</formula>
    </cfRule>
    <cfRule type="expression" dxfId="3" priority="8260">
      <formula>AND(NOT(HasFormula(A2721)),A2721&lt;&gt;"")</formula>
    </cfRule>
  </conditionalFormatting>
  <conditionalFormatting sqref="D2794">
    <cfRule type="expression" dxfId="4" priority="8267">
      <formula>AND(NOT(HasFormula(XFD2796)),XFD2796&lt;&gt;"")</formula>
    </cfRule>
  </conditionalFormatting>
  <conditionalFormatting sqref="E2794">
    <cfRule type="expression" dxfId="4" priority="8268">
      <formula>AND(NOT(HasFormula(A2796)),A2796&lt;&gt;"")</formula>
    </cfRule>
  </conditionalFormatting>
  <conditionalFormatting sqref="I2794:L2794">
    <cfRule type="expression" dxfId="4" priority="8269">
      <formula>AND(NOT(HasFormula(E2796)),E2796&lt;&gt;"")</formula>
    </cfRule>
    <cfRule type="expression" dxfId="3" priority="8270">
      <formula>AND(NOT(HasFormula(A2794)),A2794&lt;&gt;"")</formula>
    </cfRule>
  </conditionalFormatting>
  <conditionalFormatting sqref="D2795">
    <cfRule type="expression" dxfId="4" priority="8271">
      <formula>AND(NOT(HasFormula(XFD2798)),XFD2798&lt;&gt;"")</formula>
    </cfRule>
  </conditionalFormatting>
  <conditionalFormatting sqref="E2795">
    <cfRule type="expression" dxfId="4" priority="8272">
      <formula>AND(NOT(HasFormula(A2798)),A2798&lt;&gt;"")</formula>
    </cfRule>
  </conditionalFormatting>
  <conditionalFormatting sqref="I2795:L2795">
    <cfRule type="expression" dxfId="4" priority="8281">
      <formula>AND(NOT(HasFormula(E2798)),E2798&lt;&gt;"")</formula>
    </cfRule>
    <cfRule type="expression" dxfId="3" priority="8282">
      <formula>AND(NOT(HasFormula(A2795)),A2795&lt;&gt;"")</formula>
    </cfRule>
  </conditionalFormatting>
  <conditionalFormatting sqref="D2808">
    <cfRule type="expression" dxfId="4" priority="8305">
      <formula>AND(NOT(HasFormula(XFD2813)),XFD2813&lt;&gt;"")</formula>
    </cfRule>
  </conditionalFormatting>
  <conditionalFormatting sqref="E2808">
    <cfRule type="expression" dxfId="4" priority="8308">
      <formula>AND(NOT(HasFormula(A2813)),A2813&lt;&gt;"")</formula>
    </cfRule>
  </conditionalFormatting>
  <conditionalFormatting sqref="I2808:L2808">
    <cfRule type="expression" dxfId="4" priority="8311">
      <formula>AND(NOT(HasFormula(E2813)),E2813&lt;&gt;"")</formula>
    </cfRule>
    <cfRule type="expression" dxfId="3" priority="8312">
      <formula>AND(NOT(HasFormula(A2808)),A2808&lt;&gt;"")</formula>
    </cfRule>
  </conditionalFormatting>
  <conditionalFormatting sqref="D2809">
    <cfRule type="expression" dxfId="4" priority="8325">
      <formula>AND(NOT(HasFormula(XFD2810)),XFD2810&lt;&gt;"")</formula>
    </cfRule>
  </conditionalFormatting>
  <conditionalFormatting sqref="E2809">
    <cfRule type="expression" dxfId="4" priority="8326">
      <formula>AND(NOT(HasFormula(A2810)),A2810&lt;&gt;"")</formula>
    </cfRule>
  </conditionalFormatting>
  <conditionalFormatting sqref="I2809:L2809">
    <cfRule type="expression" dxfId="4" priority="8327">
      <formula>AND(NOT(HasFormula(E2810)),E2810&lt;&gt;"")</formula>
    </cfRule>
    <cfRule type="expression" dxfId="3" priority="8328">
      <formula>AND(NOT(HasFormula(A2809)),A2809&lt;&gt;"")</formula>
    </cfRule>
  </conditionalFormatting>
  <conditionalFormatting sqref="D2810">
    <cfRule type="expression" dxfId="4" priority="8295">
      <formula>AND(NOT(HasFormula(#REF!)),#REF!&lt;&gt;"")</formula>
    </cfRule>
  </conditionalFormatting>
  <conditionalFormatting sqref="E2810">
    <cfRule type="expression" dxfId="4" priority="8296">
      <formula>AND(NOT(HasFormula(#REF!)),#REF!&lt;&gt;"")</formula>
    </cfRule>
  </conditionalFormatting>
  <conditionalFormatting sqref="I2810:L2810">
    <cfRule type="expression" dxfId="4" priority="8297">
      <formula>AND(NOT(HasFormula(#REF!)),#REF!&lt;&gt;"")</formula>
    </cfRule>
    <cfRule type="expression" dxfId="3" priority="8298">
      <formula>AND(NOT(HasFormula(A2810)),A2810&lt;&gt;"")</formula>
    </cfRule>
  </conditionalFormatting>
  <conditionalFormatting sqref="D2811">
    <cfRule type="expression" dxfId="4" priority="8306">
      <formula>AND(NOT(HasFormula(XFD2812)),XFD2812&lt;&gt;"")</formula>
    </cfRule>
  </conditionalFormatting>
  <conditionalFormatting sqref="E2811">
    <cfRule type="expression" dxfId="4" priority="8309">
      <formula>AND(NOT(HasFormula(A2812)),A2812&lt;&gt;"")</formula>
    </cfRule>
  </conditionalFormatting>
  <conditionalFormatting sqref="I2811:L2811">
    <cfRule type="expression" dxfId="4" priority="8313">
      <formula>AND(NOT(HasFormula(E2812)),E2812&lt;&gt;"")</formula>
    </cfRule>
    <cfRule type="expression" dxfId="3" priority="8314">
      <formula>AND(NOT(HasFormula(A2811)),A2811&lt;&gt;"")</formula>
    </cfRule>
  </conditionalFormatting>
  <conditionalFormatting sqref="D2812">
    <cfRule type="expression" dxfId="4" priority="8307">
      <formula>AND(NOT(HasFormula(XFD2809)),XFD2809&lt;&gt;"")</formula>
    </cfRule>
  </conditionalFormatting>
  <conditionalFormatting sqref="E2812">
    <cfRule type="expression" dxfId="4" priority="8310">
      <formula>AND(NOT(HasFormula(A2809)),A2809&lt;&gt;"")</formula>
    </cfRule>
  </conditionalFormatting>
  <conditionalFormatting sqref="I2812:L2812">
    <cfRule type="expression" dxfId="4" priority="8315">
      <formula>AND(NOT(HasFormula(E2809)),E2809&lt;&gt;"")</formula>
    </cfRule>
    <cfRule type="expression" dxfId="3" priority="8316">
      <formula>AND(NOT(HasFormula(A2812)),A2812&lt;&gt;"")</formula>
    </cfRule>
  </conditionalFormatting>
  <conditionalFormatting sqref="D2818">
    <cfRule type="expression" dxfId="4" priority="8289">
      <formula>AND(NOT(HasFormula(#REF!)),#REF!&lt;&gt;"")</formula>
    </cfRule>
  </conditionalFormatting>
  <conditionalFormatting sqref="E2818">
    <cfRule type="expression" dxfId="4" priority="8290">
      <formula>AND(NOT(HasFormula(#REF!)),#REF!&lt;&gt;"")</formula>
    </cfRule>
  </conditionalFormatting>
  <conditionalFormatting sqref="I2818:L2818">
    <cfRule type="expression" dxfId="4" priority="8291">
      <formula>AND(NOT(HasFormula(#REF!)),#REF!&lt;&gt;"")</formula>
    </cfRule>
    <cfRule type="expression" dxfId="3" priority="8292">
      <formula>AND(NOT(HasFormula(A2818)),A2818&lt;&gt;"")</formula>
    </cfRule>
  </conditionalFormatting>
  <conditionalFormatting sqref="D2825">
    <cfRule type="expression" dxfId="4" priority="8319">
      <formula>AND(NOT(HasFormula(XFD2811)),XFD2811&lt;&gt;"")</formula>
    </cfRule>
  </conditionalFormatting>
  <conditionalFormatting sqref="E2825">
    <cfRule type="expression" dxfId="4" priority="8320">
      <formula>AND(NOT(HasFormula(A2811)),A2811&lt;&gt;"")</formula>
    </cfRule>
  </conditionalFormatting>
  <conditionalFormatting sqref="I2825:L2825">
    <cfRule type="expression" dxfId="4" priority="8321">
      <formula>AND(NOT(HasFormula(E2811)),E2811&lt;&gt;"")</formula>
    </cfRule>
    <cfRule type="expression" dxfId="3" priority="8322">
      <formula>AND(NOT(HasFormula(A2825)),A2825&lt;&gt;"")</formula>
    </cfRule>
  </conditionalFormatting>
  <conditionalFormatting sqref="D2845">
    <cfRule type="expression" dxfId="4" priority="8353">
      <formula>AND(NOT(HasFormula(#REF!)),#REF!&lt;&gt;"")</formula>
    </cfRule>
  </conditionalFormatting>
  <conditionalFormatting sqref="E2845">
    <cfRule type="expression" dxfId="4" priority="8354">
      <formula>AND(NOT(HasFormula(#REF!)),#REF!&lt;&gt;"")</formula>
    </cfRule>
  </conditionalFormatting>
  <conditionalFormatting sqref="H2845">
    <cfRule type="expression" dxfId="4" priority="8351">
      <formula>AND(NOT(HasFormula(#REF!)),#REF!&lt;&gt;"")</formula>
    </cfRule>
    <cfRule type="expression" dxfId="3" priority="8352">
      <formula>AND(NOT(HasFormula(XFD2845)),XFD2845&lt;&gt;"")</formula>
    </cfRule>
  </conditionalFormatting>
  <conditionalFormatting sqref="I2845:L2845">
    <cfRule type="expression" dxfId="4" priority="8355">
      <formula>AND(NOT(HasFormula(#REF!)),#REF!&lt;&gt;"")</formula>
    </cfRule>
    <cfRule type="expression" dxfId="3" priority="8356">
      <formula>AND(NOT(HasFormula(A2845)),A2845&lt;&gt;"")</formula>
    </cfRule>
  </conditionalFormatting>
  <conditionalFormatting sqref="D2851">
    <cfRule type="expression" dxfId="4" priority="8331">
      <formula>AND(NOT(HasFormula(#REF!)),#REF!&lt;&gt;"")</formula>
    </cfRule>
  </conditionalFormatting>
  <conditionalFormatting sqref="E2851">
    <cfRule type="expression" dxfId="4" priority="8332">
      <formula>AND(NOT(HasFormula(#REF!)),#REF!&lt;&gt;"")</formula>
    </cfRule>
  </conditionalFormatting>
  <conditionalFormatting sqref="I2851:L2851">
    <cfRule type="expression" dxfId="4" priority="8333">
      <formula>AND(NOT(HasFormula(#REF!)),#REF!&lt;&gt;"")</formula>
    </cfRule>
    <cfRule type="expression" dxfId="3" priority="8334">
      <formula>AND(NOT(HasFormula(A2851)),A2851&lt;&gt;"")</formula>
    </cfRule>
  </conditionalFormatting>
  <conditionalFormatting sqref="D2852">
    <cfRule type="expression" dxfId="4" priority="8345">
      <formula>AND(NOT(HasFormula(XFD2854)),XFD2854&lt;&gt;"")</formula>
    </cfRule>
  </conditionalFormatting>
  <conditionalFormatting sqref="E2852">
    <cfRule type="expression" dxfId="4" priority="8346">
      <formula>AND(NOT(HasFormula(A2854)),A2854&lt;&gt;"")</formula>
    </cfRule>
  </conditionalFormatting>
  <conditionalFormatting sqref="I2852:L2852">
    <cfRule type="expression" dxfId="4" priority="8349">
      <formula>AND(NOT(HasFormula(E2854)),E2854&lt;&gt;"")</formula>
    </cfRule>
    <cfRule type="expression" dxfId="3" priority="8350">
      <formula>AND(NOT(HasFormula(A2852)),A2852&lt;&gt;"")</formula>
    </cfRule>
  </conditionalFormatting>
  <conditionalFormatting sqref="D2853">
    <cfRule type="expression" dxfId="4" priority="8335">
      <formula>AND(NOT(HasFormula(#REF!)),#REF!&lt;&gt;"")</formula>
    </cfRule>
  </conditionalFormatting>
  <conditionalFormatting sqref="E2853">
    <cfRule type="expression" dxfId="4" priority="8336">
      <formula>AND(NOT(HasFormula(#REF!)),#REF!&lt;&gt;"")</formula>
    </cfRule>
  </conditionalFormatting>
  <conditionalFormatting sqref="I2853:L2853">
    <cfRule type="expression" dxfId="4" priority="8343">
      <formula>AND(NOT(HasFormula(#REF!)),#REF!&lt;&gt;"")</formula>
    </cfRule>
    <cfRule type="expression" dxfId="3" priority="8344">
      <formula>AND(NOT(HasFormula(A2853)),A2853&lt;&gt;"")</formula>
    </cfRule>
  </conditionalFormatting>
  <conditionalFormatting sqref="D2891">
    <cfRule type="expression" dxfId="4" priority="8443">
      <formula>AND(NOT(HasFormula(#REF!)),#REF!&lt;&gt;"")</formula>
    </cfRule>
  </conditionalFormatting>
  <conditionalFormatting sqref="E2891">
    <cfRule type="expression" dxfId="4" priority="8444">
      <formula>AND(NOT(HasFormula(#REF!)),#REF!&lt;&gt;"")</formula>
    </cfRule>
  </conditionalFormatting>
  <conditionalFormatting sqref="H2891">
    <cfRule type="expression" dxfId="4" priority="8441">
      <formula>AND(NOT(HasFormula(#REF!)),#REF!&lt;&gt;"")</formula>
    </cfRule>
    <cfRule type="expression" dxfId="3" priority="8442">
      <formula>AND(NOT(HasFormula(XFD2891)),XFD2891&lt;&gt;"")</formula>
    </cfRule>
  </conditionalFormatting>
  <conditionalFormatting sqref="J2891:K2891">
    <cfRule type="expression" dxfId="4" priority="8359">
      <formula>AND(NOT(HasFormula(F2892)),F2892&lt;&gt;"")</formula>
    </cfRule>
    <cfRule type="expression" dxfId="3" priority="8360">
      <formula>AND(NOT(HasFormula(B2891)),B2891&lt;&gt;"")</formula>
    </cfRule>
  </conditionalFormatting>
  <conditionalFormatting sqref="D2927">
    <cfRule type="expression" dxfId="4" priority="8381">
      <formula>AND(NOT(HasFormula(#REF!)),#REF!&lt;&gt;"")</formula>
    </cfRule>
  </conditionalFormatting>
  <conditionalFormatting sqref="E2927">
    <cfRule type="expression" dxfId="4" priority="8382">
      <formula>AND(NOT(HasFormula(#REF!)),#REF!&lt;&gt;"")</formula>
    </cfRule>
  </conditionalFormatting>
  <conditionalFormatting sqref="H2927">
    <cfRule type="expression" dxfId="4" priority="8379">
      <formula>AND(NOT(HasFormula(#REF!)),#REF!&lt;&gt;"")</formula>
    </cfRule>
    <cfRule type="expression" dxfId="3" priority="8380">
      <formula>AND(NOT(HasFormula(XFD2927)),XFD2927&lt;&gt;"")</formula>
    </cfRule>
  </conditionalFormatting>
  <conditionalFormatting sqref="I2927:L2927">
    <cfRule type="expression" dxfId="4" priority="8383">
      <formula>AND(NOT(HasFormula(#REF!)),#REF!&lt;&gt;"")</formula>
    </cfRule>
    <cfRule type="expression" dxfId="3" priority="8384">
      <formula>AND(NOT(HasFormula(A2927)),A2927&lt;&gt;"")</formula>
    </cfRule>
  </conditionalFormatting>
  <conditionalFormatting sqref="D2931">
    <cfRule type="expression" dxfId="4" priority="8391">
      <formula>AND(NOT(HasFormula(#REF!)),#REF!&lt;&gt;"")</formula>
    </cfRule>
  </conditionalFormatting>
  <conditionalFormatting sqref="E2931">
    <cfRule type="expression" dxfId="4" priority="8392">
      <formula>AND(NOT(HasFormula(#REF!)),#REF!&lt;&gt;"")</formula>
    </cfRule>
  </conditionalFormatting>
  <conditionalFormatting sqref="H2931">
    <cfRule type="expression" dxfId="4" priority="8393">
      <formula>AND(NOT(HasFormula(#REF!)),#REF!&lt;&gt;"")</formula>
    </cfRule>
    <cfRule type="expression" dxfId="3" priority="8394">
      <formula>AND(NOT(HasFormula(XFD2931)),XFD2931&lt;&gt;"")</formula>
    </cfRule>
  </conditionalFormatting>
  <conditionalFormatting sqref="I2931:L2931">
    <cfRule type="expression" dxfId="4" priority="8407">
      <formula>AND(NOT(HasFormula(#REF!)),#REF!&lt;&gt;"")</formula>
    </cfRule>
    <cfRule type="expression" dxfId="3" priority="8408">
      <formula>AND(NOT(HasFormula(A2931)),A2931&lt;&gt;"")</formula>
    </cfRule>
  </conditionalFormatting>
  <conditionalFormatting sqref="D2933">
    <cfRule type="expression" dxfId="4" priority="8400">
      <formula>AND(NOT(HasFormula(XFD2938)),XFD2938&lt;&gt;"")</formula>
    </cfRule>
  </conditionalFormatting>
  <conditionalFormatting sqref="E2933">
    <cfRule type="expression" dxfId="4" priority="8402">
      <formula>AND(NOT(HasFormula(A2938)),A2938&lt;&gt;"")</formula>
    </cfRule>
  </conditionalFormatting>
  <conditionalFormatting sqref="I2933:L2933">
    <cfRule type="expression" dxfId="4" priority="8405">
      <formula>AND(NOT(HasFormula(E2938)),E2938&lt;&gt;"")</formula>
    </cfRule>
    <cfRule type="expression" dxfId="3" priority="8406">
      <formula>AND(NOT(HasFormula(A2933)),A2933&lt;&gt;"")</formula>
    </cfRule>
  </conditionalFormatting>
  <conditionalFormatting sqref="D2935">
    <cfRule type="expression" dxfId="4" priority="8413">
      <formula>AND(NOT(HasFormula(XFD2937)),XFD2937&lt;&gt;"")</formula>
    </cfRule>
  </conditionalFormatting>
  <conditionalFormatting sqref="E2935">
    <cfRule type="expression" dxfId="4" priority="8415">
      <formula>AND(NOT(HasFormula(A2937)),A2937&lt;&gt;"")</formula>
    </cfRule>
  </conditionalFormatting>
  <conditionalFormatting sqref="I2935:L2935">
    <cfRule type="expression" dxfId="4" priority="8417">
      <formula>AND(NOT(HasFormula(E2937)),E2937&lt;&gt;"")</formula>
    </cfRule>
    <cfRule type="expression" dxfId="3" priority="8418">
      <formula>AND(NOT(HasFormula(A2935)),A2935&lt;&gt;"")</formula>
    </cfRule>
  </conditionalFormatting>
  <conditionalFormatting sqref="D2936">
    <cfRule type="expression" dxfId="4" priority="8399">
      <formula>AND(NOT(HasFormula(XFD2932)),XFD2932&lt;&gt;"")</formula>
    </cfRule>
  </conditionalFormatting>
  <conditionalFormatting sqref="E2936">
    <cfRule type="expression" dxfId="4" priority="8401">
      <formula>AND(NOT(HasFormula(A2932)),A2932&lt;&gt;"")</formula>
    </cfRule>
  </conditionalFormatting>
  <conditionalFormatting sqref="I2936:L2936">
    <cfRule type="expression" dxfId="4" priority="8403">
      <formula>AND(NOT(HasFormula(E2932)),E2932&lt;&gt;"")</formula>
    </cfRule>
    <cfRule type="expression" dxfId="3" priority="8404">
      <formula>AND(NOT(HasFormula(A2936)),A2936&lt;&gt;"")</formula>
    </cfRule>
  </conditionalFormatting>
  <conditionalFormatting sqref="D2937">
    <cfRule type="expression" dxfId="4" priority="8414">
      <formula>AND(NOT(HasFormula(XFD2936)),XFD2936&lt;&gt;"")</formula>
    </cfRule>
  </conditionalFormatting>
  <conditionalFormatting sqref="E2937">
    <cfRule type="expression" dxfId="4" priority="8416">
      <formula>AND(NOT(HasFormula(A2936)),A2936&lt;&gt;"")</formula>
    </cfRule>
  </conditionalFormatting>
  <conditionalFormatting sqref="I2937:L2937">
    <cfRule type="expression" dxfId="4" priority="8419">
      <formula>AND(NOT(HasFormula(E2936)),E2936&lt;&gt;"")</formula>
    </cfRule>
    <cfRule type="expression" dxfId="3" priority="8420">
      <formula>AND(NOT(HasFormula(A2937)),A2937&lt;&gt;"")</formula>
    </cfRule>
  </conditionalFormatting>
  <conditionalFormatting sqref="C2996">
    <cfRule type="timePeriod" dxfId="7" priority="411" timePeriod="yesterday">
      <formula>FLOOR(C2996,1)=TODAY()-1</formula>
    </cfRule>
  </conditionalFormatting>
  <conditionalFormatting sqref="D2999">
    <cfRule type="expression" dxfId="4" priority="423">
      <formula>AND(NOT(HasFormula(XFD3001)),XFD3001&lt;&gt;"")</formula>
    </cfRule>
  </conditionalFormatting>
  <conditionalFormatting sqref="E2999">
    <cfRule type="expression" dxfId="4" priority="424">
      <formula>AND(NOT(HasFormula(A3001)),A3001&lt;&gt;"")</formula>
    </cfRule>
  </conditionalFormatting>
  <conditionalFormatting sqref="I2999:L2999">
    <cfRule type="expression" dxfId="4" priority="425">
      <formula>AND(NOT(HasFormula(E3001)),E3001&lt;&gt;"")</formula>
    </cfRule>
    <cfRule type="expression" dxfId="3" priority="426">
      <formula>AND(NOT(HasFormula(A2999)),A2999&lt;&gt;"")</formula>
    </cfRule>
  </conditionalFormatting>
  <conditionalFormatting sqref="D3023">
    <cfRule type="expression" dxfId="4" priority="8433">
      <formula>AND(NOT(HasFormula(XFD3025)),XFD3025&lt;&gt;"")</formula>
    </cfRule>
  </conditionalFormatting>
  <conditionalFormatting sqref="E3023">
    <cfRule type="expression" dxfId="4" priority="8434">
      <formula>AND(NOT(HasFormula(A3025)),A3025&lt;&gt;"")</formula>
    </cfRule>
  </conditionalFormatting>
  <conditionalFormatting sqref="I3023:L3023">
    <cfRule type="expression" dxfId="4" priority="8435">
      <formula>AND(NOT(HasFormula(E3025)),E3025&lt;&gt;"")</formula>
    </cfRule>
    <cfRule type="expression" dxfId="3" priority="8436">
      <formula>AND(NOT(HasFormula(A3023)),A3023&lt;&gt;"")</formula>
    </cfRule>
  </conditionalFormatting>
  <conditionalFormatting sqref="D3024">
    <cfRule type="expression" dxfId="4" priority="8447">
      <formula>AND(NOT(HasFormula(#REF!)),#REF!&lt;&gt;"")</formula>
    </cfRule>
  </conditionalFormatting>
  <conditionalFormatting sqref="E3024">
    <cfRule type="expression" dxfId="4" priority="8448">
      <formula>AND(NOT(HasFormula(#REF!)),#REF!&lt;&gt;"")</formula>
    </cfRule>
  </conditionalFormatting>
  <conditionalFormatting sqref="I3024:L3024">
    <cfRule type="expression" dxfId="4" priority="8453">
      <formula>AND(NOT(HasFormula(#REF!)),#REF!&lt;&gt;"")</formula>
    </cfRule>
    <cfRule type="expression" dxfId="3" priority="8454">
      <formula>AND(NOT(HasFormula(A3024)),A3024&lt;&gt;"")</formula>
    </cfRule>
  </conditionalFormatting>
  <conditionalFormatting sqref="D3028">
    <cfRule type="expression" dxfId="4" priority="8455">
      <formula>AND(NOT(HasFormula(#REF!)),#REF!&lt;&gt;"")</formula>
    </cfRule>
  </conditionalFormatting>
  <conditionalFormatting sqref="E3028">
    <cfRule type="expression" dxfId="4" priority="8456">
      <formula>AND(NOT(HasFormula(#REF!)),#REF!&lt;&gt;"")</formula>
    </cfRule>
  </conditionalFormatting>
  <conditionalFormatting sqref="I3028:L3028">
    <cfRule type="expression" dxfId="4" priority="8457">
      <formula>AND(NOT(HasFormula(#REF!)),#REF!&lt;&gt;"")</formula>
    </cfRule>
    <cfRule type="expression" dxfId="3" priority="8458">
      <formula>AND(NOT(HasFormula(A3028)),A3028&lt;&gt;"")</formula>
    </cfRule>
  </conditionalFormatting>
  <conditionalFormatting sqref="D3040">
    <cfRule type="expression" dxfId="4" priority="8437">
      <formula>AND(NOT(HasFormula(#REF!)),#REF!&lt;&gt;"")</formula>
    </cfRule>
  </conditionalFormatting>
  <conditionalFormatting sqref="E3040">
    <cfRule type="expression" dxfId="4" priority="8438">
      <formula>AND(NOT(HasFormula(#REF!)),#REF!&lt;&gt;"")</formula>
    </cfRule>
  </conditionalFormatting>
  <conditionalFormatting sqref="I3040:L3040">
    <cfRule type="expression" dxfId="4" priority="8439">
      <formula>AND(NOT(HasFormula(#REF!)),#REF!&lt;&gt;"")</formula>
    </cfRule>
    <cfRule type="expression" dxfId="3" priority="8440">
      <formula>AND(NOT(HasFormula(A3040)),A3040&lt;&gt;"")</formula>
    </cfRule>
  </conditionalFormatting>
  <conditionalFormatting sqref="D3045">
    <cfRule type="expression" dxfId="4" priority="321">
      <formula>AND(NOT(HasFormula(XFD3047)),XFD3047&lt;&gt;"")</formula>
    </cfRule>
  </conditionalFormatting>
  <conditionalFormatting sqref="E3045">
    <cfRule type="expression" dxfId="4" priority="322">
      <formula>AND(NOT(HasFormula(A3047)),A3047&lt;&gt;"")</formula>
    </cfRule>
  </conditionalFormatting>
  <conditionalFormatting sqref="I3045:L3045">
    <cfRule type="expression" dxfId="4" priority="323">
      <formula>AND(NOT(HasFormula(E3047)),E3047&lt;&gt;"")</formula>
    </cfRule>
    <cfRule type="expression" dxfId="3" priority="324">
      <formula>AND(NOT(HasFormula(A3045)),A3045&lt;&gt;"")</formula>
    </cfRule>
  </conditionalFormatting>
  <conditionalFormatting sqref="D3050">
    <cfRule type="expression" dxfId="4" priority="334">
      <formula>AND(NOT(HasFormula(XFD3052)),XFD3052&lt;&gt;"")</formula>
    </cfRule>
  </conditionalFormatting>
  <conditionalFormatting sqref="E3050">
    <cfRule type="expression" dxfId="4" priority="335">
      <formula>AND(NOT(HasFormula(A3052)),A3052&lt;&gt;"")</formula>
    </cfRule>
  </conditionalFormatting>
  <conditionalFormatting sqref="I3050:L3050">
    <cfRule type="expression" dxfId="4" priority="336">
      <formula>AND(NOT(HasFormula(E3052)),E3052&lt;&gt;"")</formula>
    </cfRule>
    <cfRule type="expression" dxfId="3" priority="337">
      <formula>AND(NOT(HasFormula(A3050)),A3050&lt;&gt;"")</formula>
    </cfRule>
  </conditionalFormatting>
  <conditionalFormatting sqref="D3054">
    <cfRule type="expression" dxfId="2" priority="8465">
      <formula>AND(NOT(_xlfn.ISFORMULA(D3054)),D3054&lt;&gt;"")</formula>
    </cfRule>
    <cfRule type="expression" dxfId="4" priority="8466">
      <formula>AND(NOT(HasFormula(#REF!)),#REF!&lt;&gt;"")</formula>
    </cfRule>
  </conditionalFormatting>
  <conditionalFormatting sqref="E3054">
    <cfRule type="expression" dxfId="4" priority="8467">
      <formula>AND(NOT(HasFormula(#REF!)),#REF!&lt;&gt;"")</formula>
    </cfRule>
  </conditionalFormatting>
  <conditionalFormatting sqref="I3054:L3054">
    <cfRule type="expression" dxfId="4" priority="8468">
      <formula>AND(NOT(HasFormula(#REF!)),#REF!&lt;&gt;"")</formula>
    </cfRule>
    <cfRule type="expression" dxfId="3" priority="8469">
      <formula>AND(NOT(HasFormula(A3054)),A3054&lt;&gt;"")</formula>
    </cfRule>
  </conditionalFormatting>
  <conditionalFormatting sqref="E3055">
    <cfRule type="expression" dxfId="4" priority="8460">
      <formula>AND(NOT(HasFormula(A3055)),A3055&lt;&gt;"")</formula>
    </cfRule>
  </conditionalFormatting>
  <conditionalFormatting sqref="I3055">
    <cfRule type="expression" dxfId="4" priority="8461">
      <formula>AND(NOT(HasFormula(E3056)),E3056&lt;&gt;"")</formula>
    </cfRule>
    <cfRule type="expression" dxfId="3" priority="8462">
      <formula>AND(NOT(HasFormula(#REF!)),#REF!&lt;&gt;"")</formula>
    </cfRule>
  </conditionalFormatting>
  <conditionalFormatting sqref="I3056">
    <cfRule type="expression" dxfId="4" priority="8463">
      <formula>AND(NOT(HasFormula(E3057)),E3057&lt;&gt;"")</formula>
    </cfRule>
    <cfRule type="expression" dxfId="3" priority="8464">
      <formula>AND(NOT(HasFormula(A3055)),A3055&lt;&gt;"")</formula>
    </cfRule>
  </conditionalFormatting>
  <conditionalFormatting sqref="D3088">
    <cfRule type="expression" dxfId="2" priority="8476">
      <formula>AND(NOT(_xlfn.ISFORMULA(D3088)),D3088&lt;&gt;"")</formula>
    </cfRule>
    <cfRule type="expression" dxfId="4" priority="8477">
      <formula>AND(NOT(HasFormula(XFD3092)),XFD3092&lt;&gt;"")</formula>
    </cfRule>
  </conditionalFormatting>
  <conditionalFormatting sqref="I3088:L3088">
    <cfRule type="expression" dxfId="4" priority="8478">
      <formula>AND(NOT(HasFormula(E3092)),E3092&lt;&gt;"")</formula>
    </cfRule>
    <cfRule type="expression" dxfId="3" priority="8479">
      <formula>AND(NOT(HasFormula(A3088)),A3088&lt;&gt;"")</formula>
    </cfRule>
  </conditionalFormatting>
  <conditionalFormatting sqref="M3089">
    <cfRule type="containsText" dxfId="1" priority="278" operator="between" text="送货车型9.6米">
      <formula>NOT(ISERROR(SEARCH("送货车型9.6米",M3089)))</formula>
    </cfRule>
  </conditionalFormatting>
  <conditionalFormatting sqref="D3100">
    <cfRule type="expression" dxfId="4" priority="8472">
      <formula>AND(NOT(HasFormula(XFD3102)),XFD3102&lt;&gt;"")</formula>
    </cfRule>
  </conditionalFormatting>
  <conditionalFormatting sqref="E3100">
    <cfRule type="expression" dxfId="4" priority="8473">
      <formula>AND(NOT(HasFormula(A3102)),A3102&lt;&gt;"")</formula>
    </cfRule>
  </conditionalFormatting>
  <conditionalFormatting sqref="I3100:L3100">
    <cfRule type="expression" dxfId="4" priority="8474">
      <formula>AND(NOT(HasFormula(E3102)),E3102&lt;&gt;"")</formula>
    </cfRule>
    <cfRule type="expression" dxfId="3" priority="8475">
      <formula>AND(NOT(HasFormula(A3100)),A3100&lt;&gt;"")</formula>
    </cfRule>
  </conditionalFormatting>
  <conditionalFormatting sqref="D3101">
    <cfRule type="expression" dxfId="4" priority="8518">
      <formula>AND(NOT(HasFormula(#REF!)),#REF!&lt;&gt;"")</formula>
    </cfRule>
  </conditionalFormatting>
  <conditionalFormatting sqref="E3101">
    <cfRule type="expression" dxfId="4" priority="8519">
      <formula>AND(NOT(HasFormula(#REF!)),#REF!&lt;&gt;"")</formula>
    </cfRule>
  </conditionalFormatting>
  <conditionalFormatting sqref="I3101:L3101">
    <cfRule type="expression" dxfId="4" priority="8524">
      <formula>AND(NOT(HasFormula(#REF!)),#REF!&lt;&gt;"")</formula>
    </cfRule>
    <cfRule type="expression" dxfId="3" priority="8525">
      <formula>AND(NOT(HasFormula(A3101)),A3101&lt;&gt;"")</formula>
    </cfRule>
  </conditionalFormatting>
  <conditionalFormatting sqref="D3102">
    <cfRule type="expression" dxfId="4" priority="8520">
      <formula>AND(NOT(HasFormula(#REF!)),#REF!&lt;&gt;"")</formula>
    </cfRule>
  </conditionalFormatting>
  <conditionalFormatting sqref="E3102">
    <cfRule type="expression" dxfId="4" priority="8521">
      <formula>AND(NOT(HasFormula(#REF!)),#REF!&lt;&gt;"")</formula>
    </cfRule>
  </conditionalFormatting>
  <conditionalFormatting sqref="I3102:L3102">
    <cfRule type="expression" dxfId="4" priority="8522">
      <formula>AND(NOT(HasFormula(#REF!)),#REF!&lt;&gt;"")</formula>
    </cfRule>
    <cfRule type="expression" dxfId="3" priority="8523">
      <formula>AND(NOT(HasFormula(A3102)),A3102&lt;&gt;"")</formula>
    </cfRule>
  </conditionalFormatting>
  <conditionalFormatting sqref="D3133">
    <cfRule type="expression" dxfId="4" priority="8514">
      <formula>AND(NOT(HasFormula(#REF!)),#REF!&lt;&gt;"")</formula>
    </cfRule>
  </conditionalFormatting>
  <conditionalFormatting sqref="E3133">
    <cfRule type="expression" dxfId="4" priority="8515">
      <formula>AND(NOT(HasFormula(#REF!)),#REF!&lt;&gt;"")</formula>
    </cfRule>
  </conditionalFormatting>
  <conditionalFormatting sqref="H3133">
    <cfRule type="expression" dxfId="4" priority="8538">
      <formula>AND(NOT(HasFormula(#REF!)),#REF!&lt;&gt;"")</formula>
    </cfRule>
    <cfRule type="expression" dxfId="3" priority="8539">
      <formula>AND(NOT(HasFormula(XFD3133)),XFD3133&lt;&gt;"")</formula>
    </cfRule>
  </conditionalFormatting>
  <conditionalFormatting sqref="I3133:L3133">
    <cfRule type="expression" dxfId="4" priority="8516">
      <formula>AND(NOT(HasFormula(#REF!)),#REF!&lt;&gt;"")</formula>
    </cfRule>
    <cfRule type="expression" dxfId="3" priority="8517">
      <formula>AND(NOT(HasFormula(A3133)),A3133&lt;&gt;"")</formula>
    </cfRule>
  </conditionalFormatting>
  <conditionalFormatting sqref="D3154">
    <cfRule type="expression" dxfId="4" priority="8534">
      <formula>AND(NOT(HasFormula(#REF!)),#REF!&lt;&gt;"")</formula>
    </cfRule>
  </conditionalFormatting>
  <conditionalFormatting sqref="E3154">
    <cfRule type="expression" dxfId="4" priority="8535">
      <formula>AND(NOT(HasFormula(#REF!)),#REF!&lt;&gt;"")</formula>
    </cfRule>
  </conditionalFormatting>
  <conditionalFormatting sqref="I3154:L3154">
    <cfRule type="expression" dxfId="4" priority="8536">
      <formula>AND(NOT(HasFormula(#REF!)),#REF!&lt;&gt;"")</formula>
    </cfRule>
    <cfRule type="expression" dxfId="3" priority="8537">
      <formula>AND(NOT(HasFormula(A3154)),A3154&lt;&gt;"")</formula>
    </cfRule>
  </conditionalFormatting>
  <conditionalFormatting sqref="D3205">
    <cfRule type="expression" dxfId="4" priority="246">
      <formula>AND(NOT(HasFormula(#REF!)),#REF!&lt;&gt;"")</formula>
    </cfRule>
  </conditionalFormatting>
  <conditionalFormatting sqref="E3205">
    <cfRule type="expression" dxfId="4" priority="247">
      <formula>AND(NOT(HasFormula(#REF!)),#REF!&lt;&gt;"")</formula>
    </cfRule>
  </conditionalFormatting>
  <conditionalFormatting sqref="I3205:L3205">
    <cfRule type="expression" dxfId="3" priority="249">
      <formula>AND(NOT(HasFormula(A3205)),A3205&lt;&gt;"")</formula>
    </cfRule>
    <cfRule type="expression" dxfId="4" priority="248">
      <formula>AND(NOT(HasFormula(#REF!)),#REF!&lt;&gt;"")</formula>
    </cfRule>
  </conditionalFormatting>
  <conditionalFormatting sqref="D3206">
    <cfRule type="expression" dxfId="4" priority="8546">
      <formula>AND(NOT(HasFormula(XFD3208)),XFD3208&lt;&gt;"")</formula>
    </cfRule>
  </conditionalFormatting>
  <conditionalFormatting sqref="E3206">
    <cfRule type="expression" dxfId="4" priority="8547">
      <formula>AND(NOT(HasFormula(A3208)),A3208&lt;&gt;"")</formula>
    </cfRule>
  </conditionalFormatting>
  <conditionalFormatting sqref="I3206:L3206">
    <cfRule type="expression" dxfId="4" priority="8548">
      <formula>AND(NOT(HasFormula(E3208)),E3208&lt;&gt;"")</formula>
    </cfRule>
    <cfRule type="expression" dxfId="3" priority="8549">
      <formula>AND(NOT(HasFormula(A3206)),A3206&lt;&gt;"")</formula>
    </cfRule>
  </conditionalFormatting>
  <conditionalFormatting sqref="D3207">
    <cfRule type="expression" dxfId="4" priority="8550">
      <formula>AND(NOT(HasFormula(XFD3210)),XFD3210&lt;&gt;"")</formula>
    </cfRule>
  </conditionalFormatting>
  <conditionalFormatting sqref="E3207">
    <cfRule type="expression" dxfId="4" priority="8551">
      <formula>AND(NOT(HasFormula(A3210)),A3210&lt;&gt;"")</formula>
    </cfRule>
  </conditionalFormatting>
  <conditionalFormatting sqref="I3207:L3207">
    <cfRule type="expression" dxfId="4" priority="8556">
      <formula>AND(NOT(HasFormula(E3210)),E3210&lt;&gt;"")</formula>
    </cfRule>
    <cfRule type="expression" dxfId="3" priority="8557">
      <formula>AND(NOT(HasFormula(A3207)),A3207&lt;&gt;"")</formula>
    </cfRule>
  </conditionalFormatting>
  <conditionalFormatting sqref="D3208">
    <cfRule type="expression" dxfId="4" priority="8552">
      <formula>AND(NOT(HasFormula(XFD3210)),XFD3210&lt;&gt;"")</formula>
    </cfRule>
  </conditionalFormatting>
  <conditionalFormatting sqref="E3208">
    <cfRule type="expression" dxfId="4" priority="8553">
      <formula>AND(NOT(HasFormula(A3210)),A3210&lt;&gt;"")</formula>
    </cfRule>
  </conditionalFormatting>
  <conditionalFormatting sqref="I3208:L3208">
    <cfRule type="expression" dxfId="4" priority="8554">
      <formula>AND(NOT(HasFormula(E3210)),E3210&lt;&gt;"")</formula>
    </cfRule>
    <cfRule type="expression" dxfId="3" priority="8555">
      <formula>AND(NOT(HasFormula(A3208)),A3208&lt;&gt;"")</formula>
    </cfRule>
  </conditionalFormatting>
  <conditionalFormatting sqref="D3209">
    <cfRule type="expression" dxfId="4" priority="8558">
      <formula>AND(NOT(HasFormula(XFD3212)),XFD3212&lt;&gt;"")</formula>
    </cfRule>
  </conditionalFormatting>
  <conditionalFormatting sqref="E3209">
    <cfRule type="expression" dxfId="4" priority="8559">
      <formula>AND(NOT(HasFormula(A3212)),A3212&lt;&gt;"")</formula>
    </cfRule>
  </conditionalFormatting>
  <conditionalFormatting sqref="I3209:L3209">
    <cfRule type="expression" dxfId="4" priority="8564">
      <formula>AND(NOT(HasFormula(E3212)),E3212&lt;&gt;"")</formula>
    </cfRule>
    <cfRule type="expression" dxfId="3" priority="8565">
      <formula>AND(NOT(HasFormula(A3209)),A3209&lt;&gt;"")</formula>
    </cfRule>
  </conditionalFormatting>
  <conditionalFormatting sqref="D3210">
    <cfRule type="expression" dxfId="4" priority="8560">
      <formula>AND(NOT(HasFormula(XFD3212)),XFD3212&lt;&gt;"")</formula>
    </cfRule>
  </conditionalFormatting>
  <conditionalFormatting sqref="E3210">
    <cfRule type="expression" dxfId="4" priority="8561">
      <formula>AND(NOT(HasFormula(A3212)),A3212&lt;&gt;"")</formula>
    </cfRule>
  </conditionalFormatting>
  <conditionalFormatting sqref="I3210:L3210">
    <cfRule type="expression" dxfId="4" priority="8562">
      <formula>AND(NOT(HasFormula(E3212)),E3212&lt;&gt;"")</formula>
    </cfRule>
    <cfRule type="expression" dxfId="3" priority="8563">
      <formula>AND(NOT(HasFormula(A3210)),A3210&lt;&gt;"")</formula>
    </cfRule>
  </conditionalFormatting>
  <conditionalFormatting sqref="D3211">
    <cfRule type="expression" dxfId="4" priority="8566">
      <formula>AND(NOT(HasFormula(XFD3214)),XFD3214&lt;&gt;"")</formula>
    </cfRule>
  </conditionalFormatting>
  <conditionalFormatting sqref="E3211">
    <cfRule type="expression" dxfId="4" priority="8567">
      <formula>AND(NOT(HasFormula(A3214)),A3214&lt;&gt;"")</formula>
    </cfRule>
  </conditionalFormatting>
  <conditionalFormatting sqref="I3211:L3211">
    <cfRule type="expression" dxfId="4" priority="8572">
      <formula>AND(NOT(HasFormula(E3214)),E3214&lt;&gt;"")</formula>
    </cfRule>
    <cfRule type="expression" dxfId="3" priority="8573">
      <formula>AND(NOT(HasFormula(A3211)),A3211&lt;&gt;"")</formula>
    </cfRule>
  </conditionalFormatting>
  <conditionalFormatting sqref="D3256">
    <cfRule type="expression" dxfId="4" priority="8542">
      <formula>AND(NOT(HasFormula(#REF!)),#REF!&lt;&gt;"")</formula>
    </cfRule>
  </conditionalFormatting>
  <conditionalFormatting sqref="E3256">
    <cfRule type="expression" dxfId="4" priority="8543">
      <formula>AND(NOT(HasFormula(#REF!)),#REF!&lt;&gt;"")</formula>
    </cfRule>
  </conditionalFormatting>
  <conditionalFormatting sqref="I3256:L3256">
    <cfRule type="expression" dxfId="4" priority="8544">
      <formula>AND(NOT(HasFormula(#REF!)),#REF!&lt;&gt;"")</formula>
    </cfRule>
    <cfRule type="expression" dxfId="3" priority="8545">
      <formula>AND(NOT(HasFormula(A3256)),A3256&lt;&gt;"")</formula>
    </cfRule>
  </conditionalFormatting>
  <conditionalFormatting sqref="D3318">
    <cfRule type="expression" dxfId="4" priority="8592">
      <formula>AND(NOT(HasFormula(#REF!)),#REF!&lt;&gt;"")</formula>
    </cfRule>
  </conditionalFormatting>
  <conditionalFormatting sqref="E3318">
    <cfRule type="expression" dxfId="4" priority="8593">
      <formula>AND(NOT(HasFormula(#REF!)),#REF!&lt;&gt;"")</formula>
    </cfRule>
  </conditionalFormatting>
  <conditionalFormatting sqref="I3318:L3318">
    <cfRule type="expression" dxfId="4" priority="8594">
      <formula>AND(NOT(HasFormula(#REF!)),#REF!&lt;&gt;"")</formula>
    </cfRule>
    <cfRule type="expression" dxfId="3" priority="8595">
      <formula>AND(NOT(HasFormula(A3318)),A3318&lt;&gt;"")</formula>
    </cfRule>
  </conditionalFormatting>
  <conditionalFormatting sqref="D3319">
    <cfRule type="expression" dxfId="4" priority="8588">
      <formula>AND(NOT(HasFormula(#REF!)),#REF!&lt;&gt;"")</formula>
    </cfRule>
  </conditionalFormatting>
  <conditionalFormatting sqref="E3319">
    <cfRule type="expression" dxfId="4" priority="8589">
      <formula>AND(NOT(HasFormula(#REF!)),#REF!&lt;&gt;"")</formula>
    </cfRule>
  </conditionalFormatting>
  <conditionalFormatting sqref="I3319:L3319">
    <cfRule type="expression" dxfId="4" priority="8590">
      <formula>AND(NOT(HasFormula(#REF!)),#REF!&lt;&gt;"")</formula>
    </cfRule>
    <cfRule type="expression" dxfId="3" priority="8591">
      <formula>AND(NOT(HasFormula(A3319)),A3319&lt;&gt;"")</formula>
    </cfRule>
  </conditionalFormatting>
  <conditionalFormatting sqref="D3329">
    <cfRule type="expression" dxfId="4" priority="8600">
      <formula>AND(NOT(HasFormula(#REF!)),#REF!&lt;&gt;"")</formula>
    </cfRule>
  </conditionalFormatting>
  <conditionalFormatting sqref="E3329">
    <cfRule type="expression" dxfId="4" priority="8601">
      <formula>AND(NOT(HasFormula(#REF!)),#REF!&lt;&gt;"")</formula>
    </cfRule>
  </conditionalFormatting>
  <conditionalFormatting sqref="I3329:L3329">
    <cfRule type="expression" dxfId="4" priority="8602">
      <formula>AND(NOT(HasFormula(#REF!)),#REF!&lt;&gt;"")</formula>
    </cfRule>
    <cfRule type="expression" dxfId="3" priority="8603">
      <formula>AND(NOT(HasFormula(A3329)),A3329&lt;&gt;"")</formula>
    </cfRule>
  </conditionalFormatting>
  <conditionalFormatting sqref="D3338">
    <cfRule type="expression" dxfId="4" priority="8604">
      <formula>AND(NOT(HasFormula(#REF!)),#REF!&lt;&gt;"")</formula>
    </cfRule>
  </conditionalFormatting>
  <conditionalFormatting sqref="E3338">
    <cfRule type="expression" dxfId="4" priority="8605">
      <formula>AND(NOT(HasFormula(#REF!)),#REF!&lt;&gt;"")</formula>
    </cfRule>
  </conditionalFormatting>
  <conditionalFormatting sqref="I3338:L3338">
    <cfRule type="expression" dxfId="4" priority="8606">
      <formula>AND(NOT(HasFormula(#REF!)),#REF!&lt;&gt;"")</formula>
    </cfRule>
    <cfRule type="expression" dxfId="3" priority="8607">
      <formula>AND(NOT(HasFormula(A3338)),A3338&lt;&gt;"")</formula>
    </cfRule>
  </conditionalFormatting>
  <conditionalFormatting sqref="D3346">
    <cfRule type="expression" dxfId="4" priority="8612">
      <formula>AND(NOT(HasFormula(XFD3348)),XFD3348&lt;&gt;"")</formula>
    </cfRule>
  </conditionalFormatting>
  <conditionalFormatting sqref="E3346">
    <cfRule type="expression" dxfId="4" priority="8613">
      <formula>AND(NOT(HasFormula(A3348)),A3348&lt;&gt;"")</formula>
    </cfRule>
  </conditionalFormatting>
  <conditionalFormatting sqref="C3347">
    <cfRule type="timePeriod" dxfId="7" priority="213" timePeriod="yesterday">
      <formula>FLOOR(C3347,1)=TODAY()-1</formula>
    </cfRule>
  </conditionalFormatting>
  <conditionalFormatting sqref="D3347:E3347">
    <cfRule type="expression" dxfId="3" priority="215">
      <formula>AND(NOT(HasFormula(XEZ3347)),XEZ3347&lt;&gt;"")</formula>
    </cfRule>
  </conditionalFormatting>
  <conditionalFormatting sqref="D3347">
    <cfRule type="expression" dxfId="4" priority="214">
      <formula>AND(NOT(HasFormula(XFD3348)),XFD3348&lt;&gt;"")</formula>
    </cfRule>
    <cfRule type="expression" dxfId="2" priority="212">
      <formula>AND(NOT(_xlfn.ISFORMULA(D3347)),D3347&lt;&gt;"")</formula>
    </cfRule>
  </conditionalFormatting>
  <conditionalFormatting sqref="E3347">
    <cfRule type="expression" dxfId="4" priority="216">
      <formula>AND(NOT(HasFormula(A3348)),A3348&lt;&gt;"")</formula>
    </cfRule>
  </conditionalFormatting>
  <conditionalFormatting sqref="D3375">
    <cfRule type="expression" dxfId="4" priority="8646">
      <formula>AND(NOT(HasFormula(#REF!)),#REF!&lt;&gt;"")</formula>
    </cfRule>
  </conditionalFormatting>
  <conditionalFormatting sqref="E3375">
    <cfRule type="expression" dxfId="4" priority="8647">
      <formula>AND(NOT(HasFormula(#REF!)),#REF!&lt;&gt;"")</formula>
    </cfRule>
  </conditionalFormatting>
  <conditionalFormatting sqref="I3375:L3375">
    <cfRule type="expression" dxfId="4" priority="8648">
      <formula>AND(NOT(HasFormula(#REF!)),#REF!&lt;&gt;"")</formula>
    </cfRule>
    <cfRule type="expression" dxfId="3" priority="8649">
      <formula>AND(NOT(HasFormula(A3375)),A3375&lt;&gt;"")</formula>
    </cfRule>
  </conditionalFormatting>
  <conditionalFormatting sqref="D3474">
    <cfRule type="expression" dxfId="4" priority="8742">
      <formula>AND(NOT(HasFormula(#REF!)),#REF!&lt;&gt;"")</formula>
    </cfRule>
  </conditionalFormatting>
  <conditionalFormatting sqref="E3474">
    <cfRule type="expression" dxfId="4" priority="8743">
      <formula>AND(NOT(HasFormula(#REF!)),#REF!&lt;&gt;"")</formula>
    </cfRule>
  </conditionalFormatting>
  <conditionalFormatting sqref="H3474">
    <cfRule type="expression" dxfId="4" priority="8740">
      <formula>AND(NOT(HasFormula(#REF!)),#REF!&lt;&gt;"")</formula>
    </cfRule>
    <cfRule type="expression" dxfId="3" priority="8741">
      <formula>AND(NOT(HasFormula(XFD3474)),XFD3474&lt;&gt;"")</formula>
    </cfRule>
  </conditionalFormatting>
  <conditionalFormatting sqref="I3474:L3474">
    <cfRule type="expression" dxfId="4" priority="8744">
      <formula>AND(NOT(HasFormula(#REF!)),#REF!&lt;&gt;"")</formula>
    </cfRule>
    <cfRule type="expression" dxfId="3" priority="8745">
      <formula>AND(NOT(HasFormula(A3474)),A3474&lt;&gt;"")</formula>
    </cfRule>
  </conditionalFormatting>
  <conditionalFormatting sqref="D3475">
    <cfRule type="expression" dxfId="4" priority="8752">
      <formula>AND(NOT(HasFormula(#REF!)),#REF!&lt;&gt;"")</formula>
    </cfRule>
  </conditionalFormatting>
  <conditionalFormatting sqref="E3475">
    <cfRule type="expression" dxfId="4" priority="8753">
      <formula>AND(NOT(HasFormula(#REF!)),#REF!&lt;&gt;"")</formula>
    </cfRule>
  </conditionalFormatting>
  <conditionalFormatting sqref="H3475">
    <cfRule type="expression" dxfId="4" priority="8750">
      <formula>AND(NOT(HasFormula(#REF!)),#REF!&lt;&gt;"")</formula>
    </cfRule>
    <cfRule type="expression" dxfId="3" priority="8751">
      <formula>AND(NOT(HasFormula(XFD3475)),XFD3475&lt;&gt;"")</formula>
    </cfRule>
  </conditionalFormatting>
  <conditionalFormatting sqref="I3475:L3475">
    <cfRule type="expression" dxfId="4" priority="8754">
      <formula>AND(NOT(HasFormula(#REF!)),#REF!&lt;&gt;"")</formula>
    </cfRule>
    <cfRule type="expression" dxfId="3" priority="8755">
      <formula>AND(NOT(HasFormula(A3475)),A3475&lt;&gt;"")</formula>
    </cfRule>
  </conditionalFormatting>
  <conditionalFormatting sqref="D3484">
    <cfRule type="expression" dxfId="4" priority="8718">
      <formula>AND(NOT(HasFormula(XFD3485)),XFD3485&lt;&gt;"")</formula>
    </cfRule>
  </conditionalFormatting>
  <conditionalFormatting sqref="E3484">
    <cfRule type="expression" dxfId="4" priority="8719">
      <formula>AND(NOT(HasFormula(A3485)),A3485&lt;&gt;"")</formula>
    </cfRule>
  </conditionalFormatting>
  <conditionalFormatting sqref="I3484:L3484">
    <cfRule type="expression" dxfId="4" priority="8720">
      <formula>AND(NOT(HasFormula(E3485)),E3485&lt;&gt;"")</formula>
    </cfRule>
    <cfRule type="expression" dxfId="3" priority="8721">
      <formula>AND(NOT(HasFormula(A3484)),A3484&lt;&gt;"")</formula>
    </cfRule>
  </conditionalFormatting>
  <conditionalFormatting sqref="D3485">
    <cfRule type="expression" dxfId="4" priority="8734">
      <formula>AND(NOT(HasFormula(XFD3486)),XFD3486&lt;&gt;"")</formula>
    </cfRule>
  </conditionalFormatting>
  <conditionalFormatting sqref="E3485">
    <cfRule type="expression" dxfId="4" priority="8735">
      <formula>AND(NOT(HasFormula(A3486)),A3486&lt;&gt;"")</formula>
    </cfRule>
  </conditionalFormatting>
  <conditionalFormatting sqref="I3485:L3485">
    <cfRule type="expression" dxfId="4" priority="8738">
      <formula>AND(NOT(HasFormula(E3486)),E3486&lt;&gt;"")</formula>
    </cfRule>
    <cfRule type="expression" dxfId="3" priority="8739">
      <formula>AND(NOT(HasFormula(A3485)),A3485&lt;&gt;"")</formula>
    </cfRule>
  </conditionalFormatting>
  <conditionalFormatting sqref="D3488">
    <cfRule type="expression" dxfId="4" priority="8766">
      <formula>AND(NOT(HasFormula(#REF!)),#REF!&lt;&gt;"")</formula>
    </cfRule>
  </conditionalFormatting>
  <conditionalFormatting sqref="E3488">
    <cfRule type="expression" dxfId="4" priority="8767">
      <formula>AND(NOT(HasFormula(#REF!)),#REF!&lt;&gt;"")</formula>
    </cfRule>
  </conditionalFormatting>
  <conditionalFormatting sqref="H3488">
    <cfRule type="expression" dxfId="4" priority="201">
      <formula>AND(NOT(HasFormula(#REF!)),#REF!&lt;&gt;"")</formula>
    </cfRule>
    <cfRule type="expression" dxfId="3" priority="202">
      <formula>AND(NOT(HasFormula(XFD3488)),XFD3488&lt;&gt;"")</formula>
    </cfRule>
  </conditionalFormatting>
  <conditionalFormatting sqref="I3488:L3488">
    <cfRule type="expression" dxfId="4" priority="8768">
      <formula>AND(NOT(HasFormula(#REF!)),#REF!&lt;&gt;"")</formula>
    </cfRule>
    <cfRule type="expression" dxfId="3" priority="8769">
      <formula>AND(NOT(HasFormula(A3488)),A3488&lt;&gt;"")</formula>
    </cfRule>
  </conditionalFormatting>
  <conditionalFormatting sqref="D3509">
    <cfRule type="expression" dxfId="4" priority="8762">
      <formula>AND(NOT(HasFormula(#REF!)),#REF!&lt;&gt;"")</formula>
    </cfRule>
  </conditionalFormatting>
  <conditionalFormatting sqref="E3509">
    <cfRule type="expression" dxfId="4" priority="8763">
      <formula>AND(NOT(HasFormula(#REF!)),#REF!&lt;&gt;"")</formula>
    </cfRule>
  </conditionalFormatting>
  <conditionalFormatting sqref="I3509:L3509">
    <cfRule type="expression" dxfId="4" priority="8764">
      <formula>AND(NOT(HasFormula(#REF!)),#REF!&lt;&gt;"")</formula>
    </cfRule>
    <cfRule type="expression" dxfId="3" priority="8765">
      <formula>AND(NOT(HasFormula(A3509)),A3509&lt;&gt;"")</formula>
    </cfRule>
  </conditionalFormatting>
  <conditionalFormatting sqref="H3569">
    <cfRule type="expression" dxfId="4" priority="8784">
      <formula>AND(NOT(HasFormula(D3572)),D3572&lt;&gt;"")</formula>
    </cfRule>
    <cfRule type="expression" dxfId="3" priority="8785">
      <formula>AND(NOT(HasFormula(XFD3569)),XFD3569&lt;&gt;"")</formula>
    </cfRule>
  </conditionalFormatting>
  <conditionalFormatting sqref="D3571">
    <cfRule type="expression" dxfId="4" priority="8778">
      <formula>AND(NOT(HasFormula(XFD3573)),XFD3573&lt;&gt;"")</formula>
    </cfRule>
  </conditionalFormatting>
  <conditionalFormatting sqref="E3571">
    <cfRule type="expression" dxfId="4" priority="8779">
      <formula>AND(NOT(HasFormula(A3573)),A3573&lt;&gt;"")</formula>
    </cfRule>
  </conditionalFormatting>
  <conditionalFormatting sqref="I3571:L3571">
    <cfRule type="expression" dxfId="4" priority="8780">
      <formula>AND(NOT(HasFormula(E3573)),E3573&lt;&gt;"")</formula>
    </cfRule>
    <cfRule type="expression" dxfId="3" priority="8781">
      <formula>AND(NOT(HasFormula(A3571)),A3571&lt;&gt;"")</formula>
    </cfRule>
  </conditionalFormatting>
  <conditionalFormatting sqref="D3581">
    <cfRule type="expression" dxfId="4" priority="8790">
      <formula>AND(NOT(HasFormula(#REF!)),#REF!&lt;&gt;"")</formula>
    </cfRule>
  </conditionalFormatting>
  <conditionalFormatting sqref="E3581">
    <cfRule type="expression" dxfId="4" priority="8791">
      <formula>AND(NOT(HasFormula(#REF!)),#REF!&lt;&gt;"")</formula>
    </cfRule>
  </conditionalFormatting>
  <conditionalFormatting sqref="H3581">
    <cfRule type="expression" dxfId="4" priority="8800">
      <formula>AND(NOT(HasFormula(#REF!)),#REF!&lt;&gt;"")</formula>
    </cfRule>
    <cfRule type="expression" dxfId="3" priority="8801">
      <formula>AND(NOT(HasFormula(XFD3581)),XFD3581&lt;&gt;"")</formula>
    </cfRule>
  </conditionalFormatting>
  <conditionalFormatting sqref="I3581:L3581">
    <cfRule type="expression" dxfId="4" priority="8792">
      <formula>AND(NOT(HasFormula(#REF!)),#REF!&lt;&gt;"")</formula>
    </cfRule>
    <cfRule type="expression" dxfId="3" priority="8793">
      <formula>AND(NOT(HasFormula(A3581)),A3581&lt;&gt;"")</formula>
    </cfRule>
  </conditionalFormatting>
  <conditionalFormatting sqref="D3586">
    <cfRule type="expression" dxfId="4" priority="8796">
      <formula>AND(NOT(HasFormula(#REF!)),#REF!&lt;&gt;"")</formula>
    </cfRule>
  </conditionalFormatting>
  <conditionalFormatting sqref="E3586">
    <cfRule type="expression" dxfId="4" priority="8797">
      <formula>AND(NOT(HasFormula(#REF!)),#REF!&lt;&gt;"")</formula>
    </cfRule>
  </conditionalFormatting>
  <conditionalFormatting sqref="H3586">
    <cfRule type="expression" dxfId="4" priority="8794">
      <formula>AND(NOT(HasFormula(#REF!)),#REF!&lt;&gt;"")</formula>
    </cfRule>
    <cfRule type="expression" dxfId="3" priority="8795">
      <formula>AND(NOT(HasFormula(XFD3586)),XFD3586&lt;&gt;"")</formula>
    </cfRule>
  </conditionalFormatting>
  <conditionalFormatting sqref="I3586:L3586">
    <cfRule type="expression" dxfId="4" priority="8798">
      <formula>AND(NOT(HasFormula(#REF!)),#REF!&lt;&gt;"")</formula>
    </cfRule>
    <cfRule type="expression" dxfId="3" priority="8799">
      <formula>AND(NOT(HasFormula(A3586)),A3586&lt;&gt;"")</formula>
    </cfRule>
  </conditionalFormatting>
  <conditionalFormatting sqref="D3593">
    <cfRule type="expression" dxfId="4" priority="8840">
      <formula>AND(NOT(HasFormula(#REF!)),#REF!&lt;&gt;"")</formula>
    </cfRule>
  </conditionalFormatting>
  <conditionalFormatting sqref="E3593">
    <cfRule type="expression" dxfId="4" priority="8841">
      <formula>AND(NOT(HasFormula(#REF!)),#REF!&lt;&gt;"")</formula>
    </cfRule>
  </conditionalFormatting>
  <conditionalFormatting sqref="I3593:L3593">
    <cfRule type="expression" dxfId="4" priority="8842">
      <formula>AND(NOT(HasFormula(#REF!)),#REF!&lt;&gt;"")</formula>
    </cfRule>
    <cfRule type="expression" dxfId="3" priority="8843">
      <formula>AND(NOT(HasFormula(A3593)),A3593&lt;&gt;"")</formula>
    </cfRule>
  </conditionalFormatting>
  <conditionalFormatting sqref="D3606">
    <cfRule type="expression" dxfId="4" priority="8807">
      <formula>AND(NOT(HasFormula(XFD3605)),XFD3605&lt;&gt;"")</formula>
    </cfRule>
  </conditionalFormatting>
  <conditionalFormatting sqref="E3606">
    <cfRule type="expression" dxfId="4" priority="8809">
      <formula>AND(NOT(HasFormula(A3605)),A3605&lt;&gt;"")</formula>
    </cfRule>
  </conditionalFormatting>
  <conditionalFormatting sqref="I3606:L3606">
    <cfRule type="expression" dxfId="4" priority="8812">
      <formula>AND(NOT(HasFormula(E3605)),E3605&lt;&gt;"")</formula>
    </cfRule>
    <cfRule type="expression" dxfId="3" priority="8813">
      <formula>AND(NOT(HasFormula(A3606)),A3606&lt;&gt;"")</formula>
    </cfRule>
  </conditionalFormatting>
  <conditionalFormatting sqref="D3607">
    <cfRule type="expression" dxfId="4" priority="8816">
      <formula>AND(NOT(HasFormula(XFD3609)),XFD3609&lt;&gt;"")</formula>
    </cfRule>
  </conditionalFormatting>
  <conditionalFormatting sqref="E3607">
    <cfRule type="expression" dxfId="4" priority="8817">
      <formula>AND(NOT(HasFormula(A3609)),A3609&lt;&gt;"")</formula>
    </cfRule>
  </conditionalFormatting>
  <conditionalFormatting sqref="I3607:L3607">
    <cfRule type="expression" dxfId="4" priority="8818">
      <formula>AND(NOT(HasFormula(E3609)),E3609&lt;&gt;"")</formula>
    </cfRule>
    <cfRule type="expression" dxfId="3" priority="8819">
      <formula>AND(NOT(HasFormula(A3607)),A3607&lt;&gt;"")</formula>
    </cfRule>
  </conditionalFormatting>
  <conditionalFormatting sqref="D3608">
    <cfRule type="expression" dxfId="4" priority="8820">
      <formula>AND(NOT(HasFormula(XFD3611)),XFD3611&lt;&gt;"")</formula>
    </cfRule>
  </conditionalFormatting>
  <conditionalFormatting sqref="E3608">
    <cfRule type="expression" dxfId="4" priority="8821">
      <formula>AND(NOT(HasFormula(A3611)),A3611&lt;&gt;"")</formula>
    </cfRule>
  </conditionalFormatting>
  <conditionalFormatting sqref="I3608:L3608">
    <cfRule type="expression" dxfId="4" priority="8830">
      <formula>AND(NOT(HasFormula(E3611)),E3611&lt;&gt;"")</formula>
    </cfRule>
    <cfRule type="expression" dxfId="3" priority="8831">
      <formula>AND(NOT(HasFormula(A3608)),A3608&lt;&gt;"")</formula>
    </cfRule>
  </conditionalFormatting>
  <conditionalFormatting sqref="D3672">
    <cfRule type="expression" dxfId="4" priority="8858">
      <formula>AND(NOT(HasFormula(XFD3675)),XFD3675&lt;&gt;"")</formula>
    </cfRule>
  </conditionalFormatting>
  <conditionalFormatting sqref="E3672">
    <cfRule type="expression" dxfId="4" priority="8859">
      <formula>AND(NOT(HasFormula(A3675)),A3675&lt;&gt;"")</formula>
    </cfRule>
  </conditionalFormatting>
  <conditionalFormatting sqref="I3672:L3672">
    <cfRule type="expression" dxfId="4" priority="8860">
      <formula>AND(NOT(HasFormula(E3675)),E3675&lt;&gt;"")</formula>
    </cfRule>
    <cfRule type="expression" dxfId="3" priority="8861">
      <formula>AND(NOT(HasFormula(A3672)),A3672&lt;&gt;"")</formula>
    </cfRule>
  </conditionalFormatting>
  <conditionalFormatting sqref="D3761">
    <cfRule type="expression" dxfId="4" priority="8906">
      <formula>AND(NOT(HasFormula(#REF!)),#REF!&lt;&gt;"")</formula>
    </cfRule>
  </conditionalFormatting>
  <conditionalFormatting sqref="E3761">
    <cfRule type="expression" dxfId="4" priority="8907">
      <formula>AND(NOT(HasFormula(#REF!)),#REF!&lt;&gt;"")</formula>
    </cfRule>
  </conditionalFormatting>
  <conditionalFormatting sqref="I3761:L3761">
    <cfRule type="expression" dxfId="4" priority="8908">
      <formula>AND(NOT(HasFormula(#REF!)),#REF!&lt;&gt;"")</formula>
    </cfRule>
    <cfRule type="expression" dxfId="3" priority="8909">
      <formula>AND(NOT(HasFormula(A3761)),A3761&lt;&gt;"")</formula>
    </cfRule>
  </conditionalFormatting>
  <conditionalFormatting sqref="D3763">
    <cfRule type="expression" dxfId="4" priority="8882">
      <formula>AND(NOT(HasFormula(#REF!)),#REF!&lt;&gt;"")</formula>
    </cfRule>
  </conditionalFormatting>
  <conditionalFormatting sqref="E3763">
    <cfRule type="expression" dxfId="4" priority="8883">
      <formula>AND(NOT(HasFormula(#REF!)),#REF!&lt;&gt;"")</formula>
    </cfRule>
  </conditionalFormatting>
  <conditionalFormatting sqref="I3763:L3763">
    <cfRule type="expression" dxfId="4" priority="8884">
      <formula>AND(NOT(HasFormula(#REF!)),#REF!&lt;&gt;"")</formula>
    </cfRule>
    <cfRule type="expression" dxfId="3" priority="8885">
      <formula>AND(NOT(HasFormula(A3763)),A3763&lt;&gt;"")</formula>
    </cfRule>
  </conditionalFormatting>
  <conditionalFormatting sqref="D3766">
    <cfRule type="expression" dxfId="4" priority="8891">
      <formula>AND(NOT(HasFormula(XFD3762)),XFD3762&lt;&gt;"")</formula>
    </cfRule>
  </conditionalFormatting>
  <conditionalFormatting sqref="E3766">
    <cfRule type="expression" dxfId="4" priority="8893">
      <formula>AND(NOT(HasFormula(A3762)),A3762&lt;&gt;"")</formula>
    </cfRule>
  </conditionalFormatting>
  <conditionalFormatting sqref="I3766:L3766">
    <cfRule type="expression" dxfId="4" priority="8896">
      <formula>AND(NOT(HasFormula(E3762)),E3762&lt;&gt;"")</formula>
    </cfRule>
    <cfRule type="expression" dxfId="3" priority="8897">
      <formula>AND(NOT(HasFormula(A3766)),A3766&lt;&gt;"")</formula>
    </cfRule>
  </conditionalFormatting>
  <conditionalFormatting sqref="D3767">
    <cfRule type="expression" dxfId="4" priority="8898">
      <formula>AND(NOT(HasFormula(XFD3768)),XFD3768&lt;&gt;"")</formula>
    </cfRule>
  </conditionalFormatting>
  <conditionalFormatting sqref="E3767">
    <cfRule type="expression" dxfId="4" priority="8899">
      <formula>AND(NOT(HasFormula(A3768)),A3768&lt;&gt;"")</formula>
    </cfRule>
  </conditionalFormatting>
  <conditionalFormatting sqref="I3767:L3767">
    <cfRule type="expression" dxfId="4" priority="8902">
      <formula>AND(NOT(HasFormula(E3768)),E3768&lt;&gt;"")</formula>
    </cfRule>
    <cfRule type="expression" dxfId="3" priority="8903">
      <formula>AND(NOT(HasFormula(A3767)),A3767&lt;&gt;"")</formula>
    </cfRule>
  </conditionalFormatting>
  <conditionalFormatting sqref="D3776">
    <cfRule type="expression" dxfId="4" priority="8912">
      <formula>AND(NOT(HasFormula(#REF!)),#REF!&lt;&gt;"")</formula>
    </cfRule>
  </conditionalFormatting>
  <conditionalFormatting sqref="E3776">
    <cfRule type="expression" dxfId="4" priority="8913">
      <formula>AND(NOT(HasFormula(#REF!)),#REF!&lt;&gt;"")</formula>
    </cfRule>
  </conditionalFormatting>
  <conditionalFormatting sqref="I3776:L3776">
    <cfRule type="expression" dxfId="4" priority="8914">
      <formula>AND(NOT(HasFormula(#REF!)),#REF!&lt;&gt;"")</formula>
    </cfRule>
    <cfRule type="expression" dxfId="3" priority="8915">
      <formula>AND(NOT(HasFormula(A3776)),A3776&lt;&gt;"")</formula>
    </cfRule>
  </conditionalFormatting>
  <conditionalFormatting sqref="H3876">
    <cfRule type="expression" dxfId="4" priority="8934">
      <formula>AND(NOT(HasFormula(#REF!)),#REF!&lt;&gt;"")</formula>
    </cfRule>
    <cfRule type="expression" dxfId="3" priority="8935">
      <formula>AND(NOT(HasFormula(XFD3876)),XFD3876&lt;&gt;"")</formula>
    </cfRule>
  </conditionalFormatting>
  <conditionalFormatting sqref="D3888">
    <cfRule type="expression" dxfId="4" priority="8918">
      <formula>AND(NOT(HasFormula(#REF!)),#REF!&lt;&gt;"")</formula>
    </cfRule>
  </conditionalFormatting>
  <conditionalFormatting sqref="E3888">
    <cfRule type="expression" dxfId="4" priority="8919">
      <formula>AND(NOT(HasFormula(#REF!)),#REF!&lt;&gt;"")</formula>
    </cfRule>
  </conditionalFormatting>
  <conditionalFormatting sqref="I3888:L3888">
    <cfRule type="expression" dxfId="4" priority="8920">
      <formula>AND(NOT(HasFormula(#REF!)),#REF!&lt;&gt;"")</formula>
    </cfRule>
    <cfRule type="expression" dxfId="3" priority="8921">
      <formula>AND(NOT(HasFormula(A3888)),A3888&lt;&gt;"")</formula>
    </cfRule>
  </conditionalFormatting>
  <conditionalFormatting sqref="D3895">
    <cfRule type="expression" dxfId="4" priority="8946">
      <formula>AND(NOT(HasFormula(#REF!)),#REF!&lt;&gt;"")</formula>
    </cfRule>
  </conditionalFormatting>
  <conditionalFormatting sqref="E3895">
    <cfRule type="expression" dxfId="4" priority="8947">
      <formula>AND(NOT(HasFormula(#REF!)),#REF!&lt;&gt;"")</formula>
    </cfRule>
  </conditionalFormatting>
  <conditionalFormatting sqref="I3895:L3895">
    <cfRule type="expression" dxfId="4" priority="8948">
      <formula>AND(NOT(HasFormula(#REF!)),#REF!&lt;&gt;"")</formula>
    </cfRule>
    <cfRule type="expression" dxfId="3" priority="8949">
      <formula>AND(NOT(HasFormula(A3895)),A3895&lt;&gt;"")</formula>
    </cfRule>
  </conditionalFormatting>
  <conditionalFormatting sqref="D3896">
    <cfRule type="expression" dxfId="4" priority="8924">
      <formula>AND(NOT(HasFormula(XFD3898)),XFD3898&lt;&gt;"")</formula>
    </cfRule>
  </conditionalFormatting>
  <conditionalFormatting sqref="E3896">
    <cfRule type="expression" dxfId="4" priority="8925">
      <formula>AND(NOT(HasFormula(A3898)),A3898&lt;&gt;"")</formula>
    </cfRule>
  </conditionalFormatting>
  <conditionalFormatting sqref="I3896:L3896">
    <cfRule type="expression" dxfId="4" priority="8926">
      <formula>AND(NOT(HasFormula(E3898)),E3898&lt;&gt;"")</formula>
    </cfRule>
    <cfRule type="expression" dxfId="3" priority="8927">
      <formula>AND(NOT(HasFormula(A3896)),A3896&lt;&gt;"")</formula>
    </cfRule>
  </conditionalFormatting>
  <conditionalFormatting sqref="D3968">
    <cfRule type="expression" dxfId="4" priority="8956">
      <formula>AND(NOT(HasFormula(#REF!)),#REF!&lt;&gt;"")</formula>
    </cfRule>
  </conditionalFormatting>
  <conditionalFormatting sqref="E3968">
    <cfRule type="expression" dxfId="4" priority="8957">
      <formula>AND(NOT(HasFormula(#REF!)),#REF!&lt;&gt;"")</formula>
    </cfRule>
  </conditionalFormatting>
  <conditionalFormatting sqref="I3968:L3968">
    <cfRule type="expression" dxfId="4" priority="8958">
      <formula>AND(NOT(HasFormula(#REF!)),#REF!&lt;&gt;"")</formula>
    </cfRule>
    <cfRule type="expression" dxfId="3" priority="8959">
      <formula>AND(NOT(HasFormula(A3968)),A3968&lt;&gt;"")</formula>
    </cfRule>
  </conditionalFormatting>
  <conditionalFormatting sqref="D4066">
    <cfRule type="expression" dxfId="4" priority="8966">
      <formula>AND(NOT(HasFormula(XFD4068)),XFD4068&lt;&gt;"")</formula>
    </cfRule>
  </conditionalFormatting>
  <conditionalFormatting sqref="E4066">
    <cfRule type="expression" dxfId="4" priority="8967">
      <formula>AND(NOT(HasFormula(A4068)),A4068&lt;&gt;"")</formula>
    </cfRule>
  </conditionalFormatting>
  <conditionalFormatting sqref="H4066">
    <cfRule type="expression" dxfId="4" priority="8964">
      <formula>AND(NOT(HasFormula(D4068)),D4068&lt;&gt;"")</formula>
    </cfRule>
    <cfRule type="expression" dxfId="3" priority="8965">
      <formula>AND(NOT(HasFormula(XFD4066)),XFD4066&lt;&gt;"")</formula>
    </cfRule>
  </conditionalFormatting>
  <conditionalFormatting sqref="I4066:L4066">
    <cfRule type="expression" dxfId="4" priority="8968">
      <formula>AND(NOT(HasFormula(E4068)),E4068&lt;&gt;"")</formula>
    </cfRule>
    <cfRule type="expression" dxfId="3" priority="8969">
      <formula>AND(NOT(HasFormula(A4066)),A4066&lt;&gt;"")</formula>
    </cfRule>
  </conditionalFormatting>
  <conditionalFormatting sqref="D4161">
    <cfRule type="expression" dxfId="4" priority="8978">
      <formula>AND(NOT(HasFormula(#REF!)),#REF!&lt;&gt;"")</formula>
    </cfRule>
  </conditionalFormatting>
  <conditionalFormatting sqref="E4161">
    <cfRule type="expression" dxfId="4" priority="8979">
      <formula>AND(NOT(HasFormula(#REF!)),#REF!&lt;&gt;"")</formula>
    </cfRule>
  </conditionalFormatting>
  <conditionalFormatting sqref="H4161">
    <cfRule type="expression" dxfId="4" priority="8976">
      <formula>AND(NOT(HasFormula(#REF!)),#REF!&lt;&gt;"")</formula>
    </cfRule>
    <cfRule type="expression" dxfId="3" priority="8977">
      <formula>AND(NOT(HasFormula(XFD4161)),XFD4161&lt;&gt;"")</formula>
    </cfRule>
  </conditionalFormatting>
  <conditionalFormatting sqref="I4161:L4161">
    <cfRule type="expression" dxfId="4" priority="8980">
      <formula>AND(NOT(HasFormula(#REF!)),#REF!&lt;&gt;"")</formula>
    </cfRule>
    <cfRule type="expression" dxfId="3" priority="8981">
      <formula>AND(NOT(HasFormula(A4161)),A4161&lt;&gt;"")</formula>
    </cfRule>
  </conditionalFormatting>
  <conditionalFormatting sqref="D4400">
    <cfRule type="expression" dxfId="4" priority="8984">
      <formula>AND(NOT(HasFormula(#REF!)),#REF!&lt;&gt;"")</formula>
    </cfRule>
  </conditionalFormatting>
  <conditionalFormatting sqref="E4400">
    <cfRule type="expression" dxfId="4" priority="8985">
      <formula>AND(NOT(HasFormula(#REF!)),#REF!&lt;&gt;"")</formula>
    </cfRule>
  </conditionalFormatting>
  <conditionalFormatting sqref="H4400">
    <cfRule type="expression" dxfId="4" priority="8982">
      <formula>AND(NOT(HasFormula(#REF!)),#REF!&lt;&gt;"")</formula>
    </cfRule>
    <cfRule type="expression" dxfId="3" priority="8983">
      <formula>AND(NOT(HasFormula(XFD4400)),XFD4400&lt;&gt;"")</formula>
    </cfRule>
  </conditionalFormatting>
  <conditionalFormatting sqref="I4400:L4400">
    <cfRule type="expression" dxfId="4" priority="8986">
      <formula>AND(NOT(HasFormula(#REF!)),#REF!&lt;&gt;"")</formula>
    </cfRule>
    <cfRule type="expression" dxfId="3" priority="8987">
      <formula>AND(NOT(HasFormula(A4400)),A4400&lt;&gt;"")</formula>
    </cfRule>
  </conditionalFormatting>
  <conditionalFormatting sqref="D4401">
    <cfRule type="expression" dxfId="4" priority="9084">
      <formula>AND(NOT(HasFormula(#REF!)),#REF!&lt;&gt;"")</formula>
    </cfRule>
  </conditionalFormatting>
  <conditionalFormatting sqref="E4401">
    <cfRule type="expression" dxfId="4" priority="9085">
      <formula>AND(NOT(HasFormula(#REF!)),#REF!&lt;&gt;"")</formula>
    </cfRule>
  </conditionalFormatting>
  <conditionalFormatting sqref="H4401">
    <cfRule type="expression" dxfId="3" priority="86">
      <formula>AND(NOT(HasFormula(XFD4401)),XFD4401&lt;&gt;"")</formula>
    </cfRule>
    <cfRule type="expression" dxfId="4" priority="85">
      <formula>AND(NOT(HasFormula(#REF!)),#REF!&lt;&gt;"")</formula>
    </cfRule>
  </conditionalFormatting>
  <conditionalFormatting sqref="I4401:L4401">
    <cfRule type="expression" dxfId="4" priority="9086">
      <formula>AND(NOT(HasFormula(#REF!)),#REF!&lt;&gt;"")</formula>
    </cfRule>
    <cfRule type="expression" dxfId="3" priority="9087">
      <formula>AND(NOT(HasFormula(A4401)),A4401&lt;&gt;"")</formula>
    </cfRule>
  </conditionalFormatting>
  <conditionalFormatting sqref="D4403">
    <cfRule type="expression" dxfId="4" priority="9078">
      <formula>AND(NOT(HasFormula(#REF!)),#REF!&lt;&gt;"")</formula>
    </cfRule>
  </conditionalFormatting>
  <conditionalFormatting sqref="E4403">
    <cfRule type="expression" dxfId="4" priority="9079">
      <formula>AND(NOT(HasFormula(#REF!)),#REF!&lt;&gt;"")</formula>
    </cfRule>
  </conditionalFormatting>
  <conditionalFormatting sqref="I4403:L4403">
    <cfRule type="expression" dxfId="4" priority="9080">
      <formula>AND(NOT(HasFormula(#REF!)),#REF!&lt;&gt;"")</formula>
    </cfRule>
    <cfRule type="expression" dxfId="3" priority="9081">
      <formula>AND(NOT(HasFormula(A4403)),A4403&lt;&gt;"")</formula>
    </cfRule>
  </conditionalFormatting>
  <conditionalFormatting sqref="H4529">
    <cfRule type="expression" dxfId="3" priority="82">
      <formula>AND(NOT(HasFormula(XFD4529)),XFD4529&lt;&gt;"")</formula>
    </cfRule>
    <cfRule type="expression" dxfId="4" priority="81">
      <formula>AND(NOT(HasFormula(#REF!)),#REF!&lt;&gt;"")</formula>
    </cfRule>
  </conditionalFormatting>
  <conditionalFormatting sqref="D4635">
    <cfRule type="expression" dxfId="2" priority="70">
      <formula>AND(NOT(_xlfn.ISFORMULA(D4635)),D4635&lt;&gt;"")</formula>
    </cfRule>
    <cfRule type="expression" dxfId="4" priority="71">
      <formula>AND(NOT(HasFormula(#REF!)),#REF!&lt;&gt;"")</formula>
    </cfRule>
  </conditionalFormatting>
  <conditionalFormatting sqref="D4635:E4635">
    <cfRule type="expression" dxfId="3" priority="72">
      <formula>AND(NOT(HasFormula(XEZ4635)),XEZ4635&lt;&gt;"")</formula>
    </cfRule>
  </conditionalFormatting>
  <conditionalFormatting sqref="E4635">
    <cfRule type="expression" dxfId="4" priority="75">
      <formula>AND(NOT(HasFormula(#REF!)),#REF!&lt;&gt;"")</formula>
    </cfRule>
  </conditionalFormatting>
  <conditionalFormatting sqref="F4635">
    <cfRule type="containsText" dxfId="6" priority="73" operator="between" text="12m">
      <formula>NOT(ISERROR(SEARCH("12m",F4635)))</formula>
    </cfRule>
    <cfRule type="containsText" dxfId="5" priority="74" operator="between" text="HRB500E">
      <formula>NOT(ISERROR(SEARCH("HRB500E",F4635)))</formula>
    </cfRule>
  </conditionalFormatting>
  <conditionalFormatting sqref="I4635:L4635">
    <cfRule type="expression" dxfId="4" priority="77">
      <formula>AND(NOT(HasFormula(#REF!)),#REF!&lt;&gt;"")</formula>
    </cfRule>
    <cfRule type="expression" dxfId="3" priority="78">
      <formula>AND(NOT(HasFormula(A4635)),A4635&lt;&gt;"")</formula>
    </cfRule>
  </conditionalFormatting>
  <conditionalFormatting sqref="L4635:O4635">
    <cfRule type="containsText" dxfId="1" priority="76" operator="between" text="送货车型9.6米">
      <formula>NOT(ISERROR(SEARCH("送货车型9.6米",L4635)))</formula>
    </cfRule>
  </conditionalFormatting>
  <conditionalFormatting sqref="D4649">
    <cfRule type="expression" dxfId="4" priority="9115">
      <formula>AND(NOT(HasFormula(#REF!)),#REF!&lt;&gt;"")</formula>
    </cfRule>
  </conditionalFormatting>
  <conditionalFormatting sqref="E4649">
    <cfRule type="expression" dxfId="4" priority="9116">
      <formula>AND(NOT(HasFormula(#REF!)),#REF!&lt;&gt;"")</formula>
    </cfRule>
  </conditionalFormatting>
  <conditionalFormatting sqref="I4649:L4649">
    <cfRule type="expression" dxfId="4" priority="9117">
      <formula>AND(NOT(HasFormula(#REF!)),#REF!&lt;&gt;"")</formula>
    </cfRule>
    <cfRule type="expression" dxfId="3" priority="9118">
      <formula>AND(NOT(HasFormula(A4649)),A4649&lt;&gt;"")</formula>
    </cfRule>
  </conditionalFormatting>
  <conditionalFormatting sqref="H4658">
    <cfRule type="expression" dxfId="4" priority="9141">
      <formula>AND(NOT(HasFormula(D4660)),D4660&lt;&gt;"")</formula>
    </cfRule>
    <cfRule type="expression" dxfId="3" priority="9142">
      <formula>AND(NOT(HasFormula(XFD4658)),XFD4658&lt;&gt;"")</formula>
    </cfRule>
  </conditionalFormatting>
  <conditionalFormatting sqref="H4659">
    <cfRule type="expression" dxfId="3" priority="34">
      <formula>AND(NOT(HasFormula(XFD4659)),XFD4659&lt;&gt;"")</formula>
    </cfRule>
    <cfRule type="expression" dxfId="4" priority="33">
      <formula>AND(NOT(HasFormula(D4660)),D4660&lt;&gt;"")</formula>
    </cfRule>
  </conditionalFormatting>
  <conditionalFormatting sqref="D4662">
    <cfRule type="expression" dxfId="4" priority="9121">
      <formula>AND(NOT(HasFormula(#REF!)),#REF!&lt;&gt;"")</formula>
    </cfRule>
  </conditionalFormatting>
  <conditionalFormatting sqref="E4662">
    <cfRule type="expression" dxfId="4" priority="9122">
      <formula>AND(NOT(HasFormula(#REF!)),#REF!&lt;&gt;"")</formula>
    </cfRule>
  </conditionalFormatting>
  <conditionalFormatting sqref="H4662">
    <cfRule type="expression" dxfId="4" priority="9119">
      <formula>AND(NOT(HasFormula(#REF!)),#REF!&lt;&gt;"")</formula>
    </cfRule>
    <cfRule type="expression" dxfId="3" priority="9120">
      <formula>AND(NOT(HasFormula(XFD4662)),XFD4662&lt;&gt;"")</formula>
    </cfRule>
  </conditionalFormatting>
  <conditionalFormatting sqref="I4662:L4662">
    <cfRule type="expression" dxfId="4" priority="9123">
      <formula>AND(NOT(HasFormula(#REF!)),#REF!&lt;&gt;"")</formula>
    </cfRule>
    <cfRule type="expression" dxfId="3" priority="9124">
      <formula>AND(NOT(HasFormula(A4662)),A4662&lt;&gt;"")</formula>
    </cfRule>
  </conditionalFormatting>
  <conditionalFormatting sqref="D4691">
    <cfRule type="expression" dxfId="4" priority="9137">
      <formula>AND(NOT(HasFormula(#REF!)),#REF!&lt;&gt;"")</formula>
    </cfRule>
  </conditionalFormatting>
  <conditionalFormatting sqref="E4691">
    <cfRule type="expression" dxfId="4" priority="9138">
      <formula>AND(NOT(HasFormula(#REF!)),#REF!&lt;&gt;"")</formula>
    </cfRule>
  </conditionalFormatting>
  <conditionalFormatting sqref="H4691">
    <cfRule type="expression" dxfId="4" priority="9135">
      <formula>AND(NOT(HasFormula(#REF!)),#REF!&lt;&gt;"")</formula>
    </cfRule>
    <cfRule type="expression" dxfId="3" priority="9136">
      <formula>AND(NOT(HasFormula(XFD4691)),XFD4691&lt;&gt;"")</formula>
    </cfRule>
  </conditionalFormatting>
  <conditionalFormatting sqref="I4691:L4691">
    <cfRule type="expression" dxfId="4" priority="9139">
      <formula>AND(NOT(HasFormula(#REF!)),#REF!&lt;&gt;"")</formula>
    </cfRule>
    <cfRule type="expression" dxfId="3" priority="9140">
      <formula>AND(NOT(HasFormula(A4691)),A4691&lt;&gt;"")</formula>
    </cfRule>
  </conditionalFormatting>
  <conditionalFormatting sqref="K4744">
    <cfRule type="expression" dxfId="4" priority="9133">
      <formula>AND(NOT(HasFormula(G4745)),G4745&lt;&gt;"")</formula>
    </cfRule>
    <cfRule type="expression" dxfId="3" priority="9134">
      <formula>AND(NOT(HasFormula(C4748)),C4748&lt;&gt;"")</formula>
    </cfRule>
  </conditionalFormatting>
  <conditionalFormatting sqref="K4748">
    <cfRule type="expression" dxfId="4" priority="9131">
      <formula>AND(NOT(HasFormula(G4749)),G4749&lt;&gt;"")</formula>
    </cfRule>
    <cfRule type="expression" dxfId="3" priority="9132">
      <formula>AND(NOT(HasFormula(#REF!)),#REF!&lt;&gt;"")</formula>
    </cfRule>
  </conditionalFormatting>
  <conditionalFormatting sqref="C4785">
    <cfRule type="timePeriod" dxfId="7" priority="32" timePeriod="yesterday">
      <formula>FLOOR(C4785,1)=TODAY()-1</formula>
    </cfRule>
  </conditionalFormatting>
  <conditionalFormatting sqref="D4848">
    <cfRule type="expression" dxfId="4" priority="9149">
      <formula>AND(NOT(HasFormula(#REF!)),#REF!&lt;&gt;"")</formula>
    </cfRule>
  </conditionalFormatting>
  <conditionalFormatting sqref="E4848">
    <cfRule type="expression" dxfId="4" priority="9150">
      <formula>AND(NOT(HasFormula(#REF!)),#REF!&lt;&gt;"")</formula>
    </cfRule>
  </conditionalFormatting>
  <conditionalFormatting sqref="I4848:L4848">
    <cfRule type="expression" dxfId="4" priority="9151">
      <formula>AND(NOT(HasFormula(#REF!)),#REF!&lt;&gt;"")</formula>
    </cfRule>
    <cfRule type="expression" dxfId="3" priority="9152">
      <formula>AND(NOT(HasFormula(A4848)),A4848&lt;&gt;"")</formula>
    </cfRule>
  </conditionalFormatting>
  <conditionalFormatting sqref="C4867">
    <cfRule type="timePeriod" dxfId="7" priority="31" timePeriod="yesterday">
      <formula>FLOOR(C4867,1)=TODAY()-1</formula>
    </cfRule>
  </conditionalFormatting>
  <conditionalFormatting sqref="K4867">
    <cfRule type="expression" dxfId="4" priority="9155">
      <formula>AND(NOT(HasFormula(G4868)),G4868&lt;&gt;"")</formula>
    </cfRule>
    <cfRule type="expression" dxfId="3" priority="9156">
      <formula>AND(NOT(HasFormula(C4872)),C4872&lt;&gt;"")</formula>
    </cfRule>
  </conditionalFormatting>
  <conditionalFormatting sqref="K4872">
    <cfRule type="expression" dxfId="4" priority="9153">
      <formula>AND(NOT(HasFormula(G4873)),G4873&lt;&gt;"")</formula>
    </cfRule>
    <cfRule type="expression" dxfId="3" priority="9154">
      <formula>AND(NOT(HasFormula(#REF!)),#REF!&lt;&gt;"")</formula>
    </cfRule>
  </conditionalFormatting>
  <conditionalFormatting sqref="D4877">
    <cfRule type="expression" dxfId="4" priority="9159">
      <formula>AND(NOT(HasFormula(#REF!)),#REF!&lt;&gt;"")</formula>
    </cfRule>
  </conditionalFormatting>
  <conditionalFormatting sqref="E4877">
    <cfRule type="expression" dxfId="4" priority="9160">
      <formula>AND(NOT(HasFormula(#REF!)),#REF!&lt;&gt;"")</formula>
    </cfRule>
  </conditionalFormatting>
  <conditionalFormatting sqref="I4877:L4877">
    <cfRule type="expression" dxfId="4" priority="9161">
      <formula>AND(NOT(HasFormula(#REF!)),#REF!&lt;&gt;"")</formula>
    </cfRule>
    <cfRule type="expression" dxfId="3" priority="9162">
      <formula>AND(NOT(HasFormula(A4877)),A4877&lt;&gt;"")</formula>
    </cfRule>
  </conditionalFormatting>
  <conditionalFormatting sqref="C4878">
    <cfRule type="timePeriod" dxfId="7" priority="19" timePeriod="yesterday">
      <formula>FLOOR(C4878,1)=TODAY()-1</formula>
    </cfRule>
  </conditionalFormatting>
  <conditionalFormatting sqref="H4884">
    <cfRule type="expression" dxfId="4" priority="9163">
      <formula>AND(NOT(HasFormula(D4887)),D4887&lt;&gt;"")</formula>
    </cfRule>
    <cfRule type="expression" dxfId="3" priority="9164">
      <formula>AND(NOT(HasFormula(XFD4884)),XFD4884&lt;&gt;"")</formula>
    </cfRule>
  </conditionalFormatting>
  <conditionalFormatting sqref="K4907">
    <cfRule type="expression" dxfId="4" priority="29">
      <formula>AND(NOT(HasFormula(G4908)),G4908&lt;&gt;"")</formula>
    </cfRule>
    <cfRule type="expression" dxfId="3" priority="30">
      <formula>AND(NOT(HasFormula(C4912)),C4912&lt;&gt;"")</formula>
    </cfRule>
  </conditionalFormatting>
  <conditionalFormatting sqref="D4992">
    <cfRule type="expression" dxfId="4" priority="9197">
      <formula>AND(NOT(HasFormula(#REF!)),#REF!&lt;&gt;"")</formula>
    </cfRule>
  </conditionalFormatting>
  <conditionalFormatting sqref="E4992">
    <cfRule type="expression" dxfId="4" priority="9198">
      <formula>AND(NOT(HasFormula(#REF!)),#REF!&lt;&gt;"")</formula>
    </cfRule>
  </conditionalFormatting>
  <conditionalFormatting sqref="H4992">
    <cfRule type="expression" dxfId="4" priority="9195">
      <formula>AND(NOT(HasFormula(#REF!)),#REF!&lt;&gt;"")</formula>
    </cfRule>
    <cfRule type="expression" dxfId="3" priority="9196">
      <formula>AND(NOT(HasFormula(XFD4992)),XFD4992&lt;&gt;"")</formula>
    </cfRule>
  </conditionalFormatting>
  <conditionalFormatting sqref="I4992:L4992">
    <cfRule type="expression" dxfId="4" priority="9199">
      <formula>AND(NOT(HasFormula(#REF!)),#REF!&lt;&gt;"")</formula>
    </cfRule>
    <cfRule type="expression" dxfId="3" priority="9200">
      <formula>AND(NOT(HasFormula(A4992)),A4992&lt;&gt;"")</formula>
    </cfRule>
  </conditionalFormatting>
  <conditionalFormatting sqref="D5013">
    <cfRule type="expression" dxfId="4" priority="9179">
      <formula>AND(NOT(HasFormula(#REF!)),#REF!&lt;&gt;"")</formula>
    </cfRule>
  </conditionalFormatting>
  <conditionalFormatting sqref="E5013">
    <cfRule type="expression" dxfId="4" priority="9180">
      <formula>AND(NOT(HasFormula(#REF!)),#REF!&lt;&gt;"")</formula>
    </cfRule>
  </conditionalFormatting>
  <conditionalFormatting sqref="H5013">
    <cfRule type="expression" dxfId="4" priority="9177">
      <formula>AND(NOT(HasFormula(#REF!)),#REF!&lt;&gt;"")</formula>
    </cfRule>
    <cfRule type="expression" dxfId="3" priority="9178">
      <formula>AND(NOT(HasFormula(XFD5013)),XFD5013&lt;&gt;"")</formula>
    </cfRule>
  </conditionalFormatting>
  <conditionalFormatting sqref="I5013:L5013">
    <cfRule type="expression" dxfId="4" priority="9181">
      <formula>AND(NOT(HasFormula(#REF!)),#REF!&lt;&gt;"")</formula>
    </cfRule>
    <cfRule type="expression" dxfId="3" priority="9182">
      <formula>AND(NOT(HasFormula(A5013)),A5013&lt;&gt;"")</formula>
    </cfRule>
  </conditionalFormatting>
  <conditionalFormatting sqref="D5019">
    <cfRule type="expression" dxfId="4" priority="9209">
      <formula>AND(NOT(HasFormula(#REF!)),#REF!&lt;&gt;"")</formula>
    </cfRule>
  </conditionalFormatting>
  <conditionalFormatting sqref="E5019">
    <cfRule type="expression" dxfId="4" priority="9210">
      <formula>AND(NOT(HasFormula(#REF!)),#REF!&lt;&gt;"")</formula>
    </cfRule>
  </conditionalFormatting>
  <conditionalFormatting sqref="H5019">
    <cfRule type="expression" dxfId="4" priority="9207">
      <formula>AND(NOT(HasFormula(#REF!)),#REF!&lt;&gt;"")</formula>
    </cfRule>
    <cfRule type="expression" dxfId="3" priority="9208">
      <formula>AND(NOT(HasFormula(XFD5019)),XFD5019&lt;&gt;"")</formula>
    </cfRule>
  </conditionalFormatting>
  <conditionalFormatting sqref="I5019:L5019">
    <cfRule type="expression" dxfId="4" priority="9211">
      <formula>AND(NOT(HasFormula(#REF!)),#REF!&lt;&gt;"")</formula>
    </cfRule>
    <cfRule type="expression" dxfId="3" priority="9212">
      <formula>AND(NOT(HasFormula(A5019)),A5019&lt;&gt;"")</formula>
    </cfRule>
  </conditionalFormatting>
  <conditionalFormatting sqref="C1589:C1625">
    <cfRule type="timePeriod" dxfId="7" priority="925" timePeriod="yesterday">
      <formula>FLOOR(C1589,1)=TODAY()-1</formula>
    </cfRule>
  </conditionalFormatting>
  <conditionalFormatting sqref="C1962:C1966">
    <cfRule type="timePeriod" dxfId="7" priority="711" timePeriod="yesterday">
      <formula>FLOOR(C1962,1)=TODAY()-1</formula>
    </cfRule>
  </conditionalFormatting>
  <conditionalFormatting sqref="C2043:C2046">
    <cfRule type="timePeriod" dxfId="7" priority="698" timePeriod="yesterday">
      <formula>FLOOR(C2043,1)=TODAY()-1</formula>
    </cfRule>
  </conditionalFormatting>
  <conditionalFormatting sqref="C2053:C2057">
    <cfRule type="timePeriod" dxfId="7" priority="697" timePeriod="yesterday">
      <formula>FLOOR(C2053,1)=TODAY()-1</formula>
    </cfRule>
  </conditionalFormatting>
  <conditionalFormatting sqref="C2058:C2086">
    <cfRule type="timePeriod" dxfId="7" priority="696" timePeriod="yesterday">
      <formula>FLOOR(C2058,1)=TODAY()-1</formula>
    </cfRule>
  </conditionalFormatting>
  <conditionalFormatting sqref="C2220:C2245">
    <cfRule type="timePeriod" dxfId="7" priority="611" timePeriod="yesterday">
      <formula>FLOOR(C2220,1)=TODAY()-1</formula>
    </cfRule>
  </conditionalFormatting>
  <conditionalFormatting sqref="C2246:C2250">
    <cfRule type="timePeriod" dxfId="7" priority="590" timePeriod="yesterday">
      <formula>FLOOR(C2246,1)=TODAY()-1</formula>
    </cfRule>
  </conditionalFormatting>
  <conditionalFormatting sqref="C2265:C2277">
    <cfRule type="timePeriod" dxfId="7" priority="593" timePeriod="yesterday">
      <formula>FLOOR(C2265,1)=TODAY()-1</formula>
    </cfRule>
  </conditionalFormatting>
  <conditionalFormatting sqref="C2306:C2337">
    <cfRule type="timePeriod" dxfId="7" priority="574" timePeriod="yesterday">
      <formula>FLOOR(C2306,1)=TODAY()-1</formula>
    </cfRule>
  </conditionalFormatting>
  <conditionalFormatting sqref="C2338:C2342">
    <cfRule type="timePeriod" dxfId="7" priority="559" timePeriod="yesterday">
      <formula>FLOOR(C2338,1)=TODAY()-1</formula>
    </cfRule>
  </conditionalFormatting>
  <conditionalFormatting sqref="C2343:C2348">
    <cfRule type="timePeriod" dxfId="7" priority="557" timePeriod="yesterday">
      <formula>FLOOR(C2343,1)=TODAY()-1</formula>
    </cfRule>
  </conditionalFormatting>
  <conditionalFormatting sqref="C2349:C2358">
    <cfRule type="timePeriod" dxfId="7" priority="544" timePeriod="yesterday">
      <formula>FLOOR(C2349,1)=TODAY()-1</formula>
    </cfRule>
  </conditionalFormatting>
  <conditionalFormatting sqref="C2359:C2428">
    <cfRule type="timePeriod" dxfId="7" priority="531" timePeriod="yesterday">
      <formula>FLOOR(C2359,1)=TODAY()-1</formula>
    </cfRule>
  </conditionalFormatting>
  <conditionalFormatting sqref="C2576:C2581">
    <cfRule type="timePeriod" dxfId="7" priority="513" timePeriod="yesterday">
      <formula>FLOOR(C2576,1)=TODAY()-1</formula>
    </cfRule>
  </conditionalFormatting>
  <conditionalFormatting sqref="C2706:C2723">
    <cfRule type="timePeriod" dxfId="7" priority="484" timePeriod="yesterday">
      <formula>FLOOR(C2706,1)=TODAY()-1</formula>
    </cfRule>
  </conditionalFormatting>
  <conditionalFormatting sqref="C2724:C2742">
    <cfRule type="timePeriod" dxfId="7" priority="483" timePeriod="yesterday">
      <formula>FLOOR(C2724,1)=TODAY()-1</formula>
    </cfRule>
  </conditionalFormatting>
  <conditionalFormatting sqref="C2743:C2757">
    <cfRule type="timePeriod" dxfId="7" priority="482" timePeriod="yesterday">
      <formula>FLOOR(C2743,1)=TODAY()-1</formula>
    </cfRule>
  </conditionalFormatting>
  <conditionalFormatting sqref="C2758:C2768">
    <cfRule type="timePeriod" dxfId="7" priority="470" timePeriod="yesterday">
      <formula>FLOOR(C2758,1)=TODAY()-1</formula>
    </cfRule>
  </conditionalFormatting>
  <conditionalFormatting sqref="C2769:C2802">
    <cfRule type="timePeriod" dxfId="7" priority="465" timePeriod="yesterday">
      <formula>FLOOR(C2769,1)=TODAY()-1</formula>
    </cfRule>
  </conditionalFormatting>
  <conditionalFormatting sqref="C2803:C2833">
    <cfRule type="timePeriod" dxfId="7" priority="459" timePeriod="yesterday">
      <formula>FLOOR(C2803,1)=TODAY()-1</formula>
    </cfRule>
  </conditionalFormatting>
  <conditionalFormatting sqref="C2834:C2842">
    <cfRule type="timePeriod" dxfId="7" priority="462" timePeriod="yesterday">
      <formula>FLOOR(C2834,1)=TODAY()-1</formula>
    </cfRule>
  </conditionalFormatting>
  <conditionalFormatting sqref="C2949:C2957">
    <cfRule type="timePeriod" dxfId="7" priority="447" timePeriod="yesterday">
      <formula>FLOOR(C2949,1)=TODAY()-1</formula>
    </cfRule>
  </conditionalFormatting>
  <conditionalFormatting sqref="C2958:C2960">
    <cfRule type="timePeriod" dxfId="7" priority="433" timePeriod="yesterday">
      <formula>FLOOR(C2958,1)=TODAY()-1</formula>
    </cfRule>
  </conditionalFormatting>
  <conditionalFormatting sqref="C2961:C2973">
    <cfRule type="timePeriod" dxfId="7" priority="428" timePeriod="yesterday">
      <formula>FLOOR(C2961,1)=TODAY()-1</formula>
    </cfRule>
  </conditionalFormatting>
  <conditionalFormatting sqref="C2974:C2995">
    <cfRule type="timePeriod" dxfId="7" priority="427" timePeriod="yesterday">
      <formula>FLOOR(C2974,1)=TODAY()-1</formula>
    </cfRule>
  </conditionalFormatting>
  <conditionalFormatting sqref="C2997:C3002">
    <cfRule type="timePeriod" dxfId="7" priority="410" timePeriod="yesterday">
      <formula>FLOOR(C2997,1)=TODAY()-1</formula>
    </cfRule>
  </conditionalFormatting>
  <conditionalFormatting sqref="C3003:C3010">
    <cfRule type="timePeriod" dxfId="7" priority="409" timePeriod="yesterday">
      <formula>FLOOR(C3003,1)=TODAY()-1</formula>
    </cfRule>
  </conditionalFormatting>
  <conditionalFormatting sqref="C3011:C3025">
    <cfRule type="timePeriod" dxfId="7" priority="406" timePeriod="yesterday">
      <formula>FLOOR(C3011,1)=TODAY()-1</formula>
    </cfRule>
  </conditionalFormatting>
  <conditionalFormatting sqref="C3026:C3028">
    <cfRule type="timePeriod" dxfId="7" priority="370" timePeriod="yesterday">
      <formula>FLOOR(C3026,1)=TODAY()-1</formula>
    </cfRule>
  </conditionalFormatting>
  <conditionalFormatting sqref="C3029:C3038">
    <cfRule type="timePeriod" dxfId="7" priority="357" timePeriod="yesterday">
      <formula>FLOOR(C3029,1)=TODAY()-1</formula>
    </cfRule>
  </conditionalFormatting>
  <conditionalFormatting sqref="C3039:C3042">
    <cfRule type="timePeriod" dxfId="7" priority="366" timePeriod="yesterday">
      <formula>FLOOR(C3039,1)=TODAY()-1</formula>
    </cfRule>
  </conditionalFormatting>
  <conditionalFormatting sqref="C3043:C3058">
    <cfRule type="timePeriod" dxfId="7" priority="293" timePeriod="yesterday">
      <formula>FLOOR(C3043,1)=TODAY()-1</formula>
    </cfRule>
  </conditionalFormatting>
  <conditionalFormatting sqref="C3059:C3063">
    <cfRule type="timePeriod" dxfId="7" priority="292" timePeriod="yesterday">
      <formula>FLOOR(C3059,1)=TODAY()-1</formula>
    </cfRule>
  </conditionalFormatting>
  <conditionalFormatting sqref="C3064:C3073">
    <cfRule type="timePeriod" dxfId="7" priority="291" timePeriod="yesterday">
      <formula>FLOOR(C3064,1)=TODAY()-1</formula>
    </cfRule>
  </conditionalFormatting>
  <conditionalFormatting sqref="C3074:C3089">
    <cfRule type="timePeriod" dxfId="7" priority="277" timePeriod="yesterday">
      <formula>FLOOR(C3074,1)=TODAY()-1</formula>
    </cfRule>
  </conditionalFormatting>
  <conditionalFormatting sqref="C3090:C3096">
    <cfRule type="timePeriod" dxfId="7" priority="273" timePeriod="yesterday">
      <formula>FLOOR(C3090,1)=TODAY()-1</formula>
    </cfRule>
  </conditionalFormatting>
  <conditionalFormatting sqref="C3097:C3102">
    <cfRule type="timePeriod" dxfId="7" priority="268" timePeriod="yesterday">
      <formula>FLOOR(C3097,1)=TODAY()-1</formula>
    </cfRule>
  </conditionalFormatting>
  <conditionalFormatting sqref="C3184:C3261">
    <cfRule type="timePeriod" dxfId="7" priority="231" timePeriod="yesterday">
      <formula>FLOOR(C3184,1)=TODAY()-1</formula>
    </cfRule>
  </conditionalFormatting>
  <conditionalFormatting sqref="C4067:C4068">
    <cfRule type="timePeriod" dxfId="7" priority="143" timePeriod="yesterday">
      <formula>FLOOR(C4067,1)=TODAY()-1</formula>
    </cfRule>
  </conditionalFormatting>
  <conditionalFormatting sqref="C4139:C4150">
    <cfRule type="timePeriod" dxfId="7" priority="128" timePeriod="yesterday">
      <formula>FLOOR(C4139,1)=TODAY()-1</formula>
    </cfRule>
  </conditionalFormatting>
  <conditionalFormatting sqref="C4151:C4155">
    <cfRule type="timePeriod" dxfId="7" priority="127" timePeriod="yesterday">
      <formula>FLOOR(C4151,1)=TODAY()-1</formula>
    </cfRule>
  </conditionalFormatting>
  <conditionalFormatting sqref="C4156:C4161">
    <cfRule type="timePeriod" dxfId="7" priority="124" timePeriod="yesterday">
      <formula>FLOOR(C4156,1)=TODAY()-1</formula>
    </cfRule>
  </conditionalFormatting>
  <conditionalFormatting sqref="C4162:C4168">
    <cfRule type="timePeriod" dxfId="7" priority="118" timePeriod="yesterday">
      <formula>FLOOR(C4162,1)=TODAY()-1</formula>
    </cfRule>
  </conditionalFormatting>
  <conditionalFormatting sqref="C4169:C4184">
    <cfRule type="timePeriod" dxfId="7" priority="117" timePeriod="yesterday">
      <formula>FLOOR(C4169,1)=TODAY()-1</formula>
    </cfRule>
  </conditionalFormatting>
  <conditionalFormatting sqref="C4185:C4219">
    <cfRule type="timePeriod" dxfId="7" priority="116" timePeriod="yesterday">
      <formula>FLOOR(C4185,1)=TODAY()-1</formula>
    </cfRule>
  </conditionalFormatting>
  <conditionalFormatting sqref="C4220:C4224">
    <cfRule type="timePeriod" dxfId="7" priority="108" timePeriod="yesterday">
      <formula>FLOOR(C4220,1)=TODAY()-1</formula>
    </cfRule>
  </conditionalFormatting>
  <conditionalFormatting sqref="C4225:C4227">
    <cfRule type="timePeriod" dxfId="7" priority="105" timePeriod="yesterday">
      <formula>FLOOR(C4225,1)=TODAY()-1</formula>
    </cfRule>
  </conditionalFormatting>
  <conditionalFormatting sqref="C4228:C4233">
    <cfRule type="timePeriod" dxfId="7" priority="102" timePeriod="yesterday">
      <formula>FLOOR(C4228,1)=TODAY()-1</formula>
    </cfRule>
  </conditionalFormatting>
  <conditionalFormatting sqref="C4234:C4238">
    <cfRule type="timePeriod" dxfId="7" priority="101" timePeriod="yesterday">
      <formula>FLOOR(C4234,1)=TODAY()-1</formula>
    </cfRule>
  </conditionalFormatting>
  <conditionalFormatting sqref="C4239:C4242">
    <cfRule type="timePeriod" dxfId="7" priority="100" timePeriod="yesterday">
      <formula>FLOOR(C4239,1)=TODAY()-1</formula>
    </cfRule>
  </conditionalFormatting>
  <conditionalFormatting sqref="C4243:C4245">
    <cfRule type="timePeriod" dxfId="7" priority="99" timePeriod="yesterday">
      <formula>FLOOR(C4243,1)=TODAY()-1</formula>
    </cfRule>
  </conditionalFormatting>
  <conditionalFormatting sqref="C4744:C4748">
    <cfRule type="timePeriod" dxfId="7" priority="39" timePeriod="yesterday">
      <formula>FLOOR(C4744,1)=TODAY()-1</formula>
    </cfRule>
  </conditionalFormatting>
  <conditionalFormatting sqref="C4749:C4753">
    <cfRule type="timePeriod" dxfId="7" priority="38" timePeriod="yesterday">
      <formula>FLOOR(C4749,1)=TODAY()-1</formula>
    </cfRule>
  </conditionalFormatting>
  <conditionalFormatting sqref="C4754:C4766">
    <cfRule type="timePeriod" dxfId="7" priority="37" timePeriod="yesterday">
      <formula>FLOOR(C4754,1)=TODAY()-1</formula>
    </cfRule>
  </conditionalFormatting>
  <conditionalFormatting sqref="C4767:C4774">
    <cfRule type="timePeriod" dxfId="7" priority="36" timePeriod="yesterday">
      <formula>FLOOR(C4767,1)=TODAY()-1</formula>
    </cfRule>
  </conditionalFormatting>
  <conditionalFormatting sqref="C4775:C4784">
    <cfRule type="timePeriod" dxfId="7" priority="35" timePeriod="yesterday">
      <formula>FLOOR(C4775,1)=TODAY()-1</formula>
    </cfRule>
  </conditionalFormatting>
  <conditionalFormatting sqref="C4879:C4916">
    <cfRule type="timePeriod" dxfId="7" priority="15" timePeriod="yesterday">
      <formula>FLOOR(C4879,1)=TODAY()-1</formula>
    </cfRule>
  </conditionalFormatting>
  <conditionalFormatting sqref="C4917:C4966">
    <cfRule type="containsText" dxfId="1" priority="6" operator="between" text="送货车型9.6米">
      <formula>NOT(ISERROR(SEARCH("送货车型9.6米",C4917)))</formula>
    </cfRule>
  </conditionalFormatting>
  <conditionalFormatting sqref="C4967:C4981">
    <cfRule type="containsText" dxfId="1" priority="5" operator="between" text="送货车型9.6米">
      <formula>NOT(ISERROR(SEARCH("送货车型9.6米",C4967)))</formula>
    </cfRule>
  </conditionalFormatting>
  <conditionalFormatting sqref="C4982:C4992">
    <cfRule type="containsText" dxfId="1" priority="4" operator="between" text="送货车型9.6米">
      <formula>NOT(ISERROR(SEARCH("送货车型9.6米",C4982)))</formula>
    </cfRule>
  </conditionalFormatting>
  <conditionalFormatting sqref="D1401:D1402">
    <cfRule type="expression" dxfId="3" priority="7713">
      <formula>AND(NOT(HasFormula(XEZ1401)),XEZ1401&lt;&gt;"")</formula>
    </cfRule>
    <cfRule type="expression" dxfId="4" priority="7712">
      <formula>AND(NOT(HasFormula(#REF!)),#REF!&lt;&gt;"")</formula>
    </cfRule>
  </conditionalFormatting>
  <conditionalFormatting sqref="D1589:D1597">
    <cfRule type="expression" dxfId="2" priority="924">
      <formula>AND(NOT(_xlfn.ISFORMULA(D1589)),D1589&lt;&gt;"")</formula>
    </cfRule>
    <cfRule type="expression" dxfId="4" priority="926">
      <formula>AND(NOT(HasFormula(XFD1590)),XFD1590&lt;&gt;"")</formula>
    </cfRule>
  </conditionalFormatting>
  <conditionalFormatting sqref="D1598:D1604">
    <cfRule type="expression" dxfId="2" priority="7774">
      <formula>AND(NOT(_xlfn.ISFORMULA(D1598)),D1598&lt;&gt;"")</formula>
    </cfRule>
    <cfRule type="expression" dxfId="4" priority="7775">
      <formula>AND(NOT(HasFormula(#REF!)),#REF!&lt;&gt;"")</formula>
    </cfRule>
  </conditionalFormatting>
  <conditionalFormatting sqref="D1702:D1706">
    <cfRule type="expression" dxfId="4" priority="7797">
      <formula>AND(NOT(HasFormula(#REF!)),#REF!&lt;&gt;"")</formula>
    </cfRule>
  </conditionalFormatting>
  <conditionalFormatting sqref="D1708:D1740">
    <cfRule type="expression" dxfId="4" priority="7803">
      <formula>AND(NOT(HasFormula(#REF!)),#REF!&lt;&gt;"")</formula>
    </cfRule>
  </conditionalFormatting>
  <conditionalFormatting sqref="D1762:D1769">
    <cfRule type="expression" dxfId="4" priority="7809">
      <formula>AND(NOT(HasFormula(#REF!)),#REF!&lt;&gt;"")</formula>
    </cfRule>
  </conditionalFormatting>
  <conditionalFormatting sqref="D1881:D1882">
    <cfRule type="expression" dxfId="4" priority="824">
      <formula>AND(NOT(HasFormula(XFD1882)),XFD1882&lt;&gt;"")</formula>
    </cfRule>
    <cfRule type="expression" dxfId="2" priority="822">
      <formula>AND(NOT(_xlfn.ISFORMULA(D1881)),D1881&lt;&gt;"")</formula>
    </cfRule>
  </conditionalFormatting>
  <conditionalFormatting sqref="D1907:D1918">
    <cfRule type="expression" dxfId="4" priority="7833">
      <formula>AND(NOT(HasFormula(#REF!)),#REF!&lt;&gt;"")</formula>
    </cfRule>
  </conditionalFormatting>
  <conditionalFormatting sqref="D1919:D1924">
    <cfRule type="expression" dxfId="4" priority="782">
      <formula>AND(NOT(HasFormula(XFD1920)),XFD1920&lt;&gt;"")</formula>
    </cfRule>
  </conditionalFormatting>
  <conditionalFormatting sqref="D2053:D2054">
    <cfRule type="expression" dxfId="4" priority="7851">
      <formula>AND(NOT(HasFormula(#REF!)),#REF!&lt;&gt;"")</formula>
    </cfRule>
  </conditionalFormatting>
  <conditionalFormatting sqref="D2056:D2057">
    <cfRule type="expression" dxfId="4" priority="7857">
      <formula>AND(NOT(HasFormula(#REF!)),#REF!&lt;&gt;"")</formula>
    </cfRule>
  </conditionalFormatting>
  <conditionalFormatting sqref="D2058:D2086">
    <cfRule type="expression" dxfId="2" priority="701">
      <formula>AND(NOT(_xlfn.ISFORMULA(D2058)),D2058&lt;&gt;"")</formula>
    </cfRule>
    <cfRule type="expression" dxfId="4" priority="703">
      <formula>AND(NOT(HasFormula(XFD2059)),XFD2059&lt;&gt;"")</formula>
    </cfRule>
  </conditionalFormatting>
  <conditionalFormatting sqref="D2090:D2108">
    <cfRule type="expression" dxfId="4" priority="7874">
      <formula>AND(NOT(HasFormula(#REF!)),#REF!&lt;&gt;"")</formula>
    </cfRule>
  </conditionalFormatting>
  <conditionalFormatting sqref="D2110:D2111">
    <cfRule type="expression" dxfId="4" priority="7880">
      <formula>AND(NOT(HasFormula(XFD2119)),XFD2119&lt;&gt;"")</formula>
    </cfRule>
  </conditionalFormatting>
  <conditionalFormatting sqref="D2112:D2118">
    <cfRule type="expression" dxfId="4" priority="7884">
      <formula>AND(NOT(HasFormula(XFD2129)),XFD2129&lt;&gt;"")</formula>
    </cfRule>
  </conditionalFormatting>
  <conditionalFormatting sqref="D2120:D2126">
    <cfRule type="expression" dxfId="4" priority="7896">
      <formula>AND(NOT(HasFormula(XFD2129)),XFD2129&lt;&gt;"")</formula>
    </cfRule>
  </conditionalFormatting>
  <conditionalFormatting sqref="D2127:D2128">
    <cfRule type="expression" dxfId="4" priority="7902">
      <formula>AND(NOT(HasFormula(#REF!)),#REF!&lt;&gt;"")</formula>
    </cfRule>
  </conditionalFormatting>
  <conditionalFormatting sqref="D2138:D2139">
    <cfRule type="expression" dxfId="4" priority="7916">
      <formula>AND(NOT(HasFormula(#REF!)),#REF!&lt;&gt;"")</formula>
    </cfRule>
  </conditionalFormatting>
  <conditionalFormatting sqref="D2165:D2166">
    <cfRule type="expression" dxfId="4" priority="7922">
      <formula>AND(NOT(HasFormula(#REF!)),#REF!&lt;&gt;"")</formula>
    </cfRule>
  </conditionalFormatting>
  <conditionalFormatting sqref="D2168:D2170">
    <cfRule type="expression" dxfId="4" priority="7957">
      <formula>AND(NOT(HasFormula(#REF!)),#REF!&lt;&gt;"")</formula>
    </cfRule>
  </conditionalFormatting>
  <conditionalFormatting sqref="D2225:D2226">
    <cfRule type="expression" dxfId="4" priority="8040">
      <formula>AND(NOT(HasFormula(XFD2227)),XFD2227&lt;&gt;"")</formula>
    </cfRule>
  </conditionalFormatting>
  <conditionalFormatting sqref="D2234:D2237">
    <cfRule type="expression" dxfId="2" priority="616">
      <formula>AND(NOT(_xlfn.ISFORMULA(D2234)),D2234&lt;&gt;"")</formula>
    </cfRule>
    <cfRule type="expression" dxfId="4" priority="618">
      <formula>AND(NOT(HasFormula(XFD2235)),XFD2235&lt;&gt;"")</formula>
    </cfRule>
  </conditionalFormatting>
  <conditionalFormatting sqref="D2247:D2249">
    <cfRule type="expression" dxfId="4" priority="8052">
      <formula>AND(NOT(HasFormula(XFD2252)),XFD2252&lt;&gt;"")</formula>
    </cfRule>
  </conditionalFormatting>
  <conditionalFormatting sqref="D2270:D2277">
    <cfRule type="expression" dxfId="2" priority="600">
      <formula>AND(NOT(_xlfn.ISFORMULA(D2270)),D2270&lt;&gt;"")</formula>
    </cfRule>
    <cfRule type="expression" dxfId="4" priority="601">
      <formula>AND(NOT(HasFormula(XFD2271)),XFD2271&lt;&gt;"")</formula>
    </cfRule>
  </conditionalFormatting>
  <conditionalFormatting sqref="D2529:D2532">
    <cfRule type="expression" dxfId="4" priority="8162">
      <formula>AND(NOT(HasFormula(XFD2533)),XFD2533&lt;&gt;"")</formula>
    </cfRule>
  </conditionalFormatting>
  <conditionalFormatting sqref="D2537:D2548">
    <cfRule type="expression" dxfId="4" priority="523">
      <formula>AND(NOT(HasFormula(XFD2538)),XFD2538&lt;&gt;"")</formula>
    </cfRule>
  </conditionalFormatting>
  <conditionalFormatting sqref="D2602:D2603">
    <cfRule type="expression" dxfId="4" priority="8184">
      <formula>AND(NOT(HasFormula(XFD2605)),XFD2605&lt;&gt;"")</formula>
    </cfRule>
  </conditionalFormatting>
  <conditionalFormatting sqref="D2725:D2726">
    <cfRule type="expression" dxfId="4" priority="8253">
      <formula>AND(NOT(HasFormula(XFD2727)),XFD2727&lt;&gt;"")</formula>
    </cfRule>
  </conditionalFormatting>
  <conditionalFormatting sqref="D2758:D2761">
    <cfRule type="expression" dxfId="4" priority="473">
      <formula>AND(NOT(HasFormula(XFD2759)),XFD2759&lt;&gt;"")</formula>
    </cfRule>
    <cfRule type="expression" dxfId="2" priority="472">
      <formula>AND(NOT(_xlfn.ISFORMULA(D2758)),D2758&lt;&gt;"")</formula>
    </cfRule>
  </conditionalFormatting>
  <conditionalFormatting sqref="D2768:D2769">
    <cfRule type="expression" dxfId="4" priority="8283">
      <formula>AND(NOT(HasFormula(XFD2770)),XFD2770&lt;&gt;"")</formula>
    </cfRule>
  </conditionalFormatting>
  <conditionalFormatting sqref="D2771:D2772">
    <cfRule type="expression" dxfId="4" priority="8261">
      <formula>AND(NOT(HasFormula(#REF!)),#REF!&lt;&gt;"")</formula>
    </cfRule>
  </conditionalFormatting>
  <conditionalFormatting sqref="D2796:D2797">
    <cfRule type="expression" dxfId="4" priority="8277">
      <formula>AND(NOT(HasFormula(XFD2798)),XFD2798&lt;&gt;"")</formula>
    </cfRule>
  </conditionalFormatting>
  <conditionalFormatting sqref="D2906:D2907">
    <cfRule type="expression" dxfId="4" priority="8369">
      <formula>AND(NOT(HasFormula(XFD2908)),XFD2908&lt;&gt;"")</formula>
    </cfRule>
  </conditionalFormatting>
  <conditionalFormatting sqref="D2924:D2925">
    <cfRule type="expression" dxfId="4" priority="8363">
      <formula>AND(NOT(HasFormula(XFD2926)),XFD2926&lt;&gt;"")</formula>
    </cfRule>
  </conditionalFormatting>
  <conditionalFormatting sqref="D2949:D2953">
    <cfRule type="expression" dxfId="2" priority="446">
      <formula>AND(NOT(_xlfn.ISFORMULA(D2949)),D2949&lt;&gt;"")</formula>
    </cfRule>
    <cfRule type="expression" dxfId="4" priority="448">
      <formula>AND(NOT(HasFormula(XFD2950)),XFD2950&lt;&gt;"")</formula>
    </cfRule>
  </conditionalFormatting>
  <conditionalFormatting sqref="D2958:D2960">
    <cfRule type="expression" dxfId="2" priority="432">
      <formula>AND(NOT(_xlfn.ISFORMULA(D2958)),D2958&lt;&gt;"")</formula>
    </cfRule>
    <cfRule type="expression" dxfId="4" priority="434">
      <formula>AND(NOT(HasFormula(XFD2959)),XFD2959&lt;&gt;"")</formula>
    </cfRule>
  </conditionalFormatting>
  <conditionalFormatting sqref="D2966:D2967">
    <cfRule type="expression" dxfId="4" priority="8423">
      <formula>AND(NOT(HasFormula(XFD2968)),XFD2968&lt;&gt;"")</formula>
    </cfRule>
  </conditionalFormatting>
  <conditionalFormatting sqref="D2974:D2975">
    <cfRule type="expression" dxfId="4" priority="8427">
      <formula>AND(NOT(HasFormula(XFD2976)),XFD2976&lt;&gt;"")</formula>
    </cfRule>
  </conditionalFormatting>
  <conditionalFormatting sqref="D2996:D3002">
    <cfRule type="expression" dxfId="2" priority="415">
      <formula>AND(NOT(_xlfn.ISFORMULA(D2996)),D2996&lt;&gt;"")</formula>
    </cfRule>
  </conditionalFormatting>
  <conditionalFormatting sqref="D3026:D3028">
    <cfRule type="expression" dxfId="2" priority="390">
      <formula>AND(NOT(_xlfn.ISFORMULA(D3026)),D3026&lt;&gt;"")</formula>
    </cfRule>
  </conditionalFormatting>
  <conditionalFormatting sqref="D3026:D3027">
    <cfRule type="expression" dxfId="4" priority="391">
      <formula>AND(NOT(HasFormula(XFD3027)),XFD3027&lt;&gt;"")</formula>
    </cfRule>
  </conditionalFormatting>
  <conditionalFormatting sqref="D3043:D3048">
    <cfRule type="expression" dxfId="2" priority="313">
      <formula>AND(NOT(_xlfn.ISFORMULA(D3043)),D3043&lt;&gt;"")</formula>
    </cfRule>
  </conditionalFormatting>
  <conditionalFormatting sqref="D3049:D3051">
    <cfRule type="expression" dxfId="2" priority="326">
      <formula>AND(NOT(_xlfn.ISFORMULA(D3049)),D3049&lt;&gt;"")</formula>
    </cfRule>
  </conditionalFormatting>
  <conditionalFormatting sqref="D3057:D3058">
    <cfRule type="expression" dxfId="2" priority="8484">
      <formula>AND(NOT(_xlfn.ISFORMULA(D3057)),D3057&lt;&gt;"")</formula>
    </cfRule>
    <cfRule type="expression" dxfId="4" priority="8485">
      <formula>AND(NOT(HasFormula(XFD3059)),XFD3059&lt;&gt;"")</formula>
    </cfRule>
  </conditionalFormatting>
  <conditionalFormatting sqref="D3075:D3077">
    <cfRule type="expression" dxfId="2" priority="282">
      <formula>AND(NOT(_xlfn.ISFORMULA(D3075)),D3075&lt;&gt;"")</formula>
    </cfRule>
    <cfRule type="expression" dxfId="4" priority="283">
      <formula>AND(NOT(HasFormula(XFD3076)),XFD3076&lt;&gt;"")</formula>
    </cfRule>
  </conditionalFormatting>
  <conditionalFormatting sqref="D3078:D3087">
    <cfRule type="expression" dxfId="2" priority="8480">
      <formula>AND(NOT(_xlfn.ISFORMULA(D3078)),D3078&lt;&gt;"")</formula>
    </cfRule>
    <cfRule type="expression" dxfId="4" priority="8481">
      <formula>AND(NOT(HasFormula(XFD3089)),XFD3089&lt;&gt;"")</formula>
    </cfRule>
  </conditionalFormatting>
  <conditionalFormatting sqref="D3141:D3142">
    <cfRule type="expression" dxfId="4" priority="8528">
      <formula>AND(NOT(HasFormula(XFD3143)),XFD3143&lt;&gt;"")</formula>
    </cfRule>
  </conditionalFormatting>
  <conditionalFormatting sqref="D3184:D3227">
    <cfRule type="expression" dxfId="2" priority="233">
      <formula>AND(NOT(_xlfn.ISFORMULA(D3184)),D3184&lt;&gt;"")</formula>
    </cfRule>
  </conditionalFormatting>
  <conditionalFormatting sqref="D3212:D3213">
    <cfRule type="expression" dxfId="4" priority="8568">
      <formula>AND(NOT(HasFormula(XFD3214)),XFD3214&lt;&gt;"")</formula>
    </cfRule>
  </conditionalFormatting>
  <conditionalFormatting sqref="D3284:D3285">
    <cfRule type="expression" dxfId="4" priority="8576">
      <formula>AND(NOT(HasFormula(#REF!)),#REF!&lt;&gt;"")</formula>
    </cfRule>
  </conditionalFormatting>
  <conditionalFormatting sqref="D3322:D3323">
    <cfRule type="expression" dxfId="4" priority="8582">
      <formula>AND(NOT(HasFormula(XFD3324)),XFD3324&lt;&gt;"")</formula>
    </cfRule>
  </conditionalFormatting>
  <conditionalFormatting sqref="D3330:D3331">
    <cfRule type="expression" dxfId="4" priority="8608">
      <formula>AND(NOT(HasFormula(XFD3332)),XFD3332&lt;&gt;"")</formula>
    </cfRule>
  </conditionalFormatting>
  <conditionalFormatting sqref="D3540:D3541">
    <cfRule type="expression" dxfId="4" priority="8772">
      <formula>AND(NOT(HasFormula(XFD3542)),XFD3542&lt;&gt;"")</formula>
    </cfRule>
  </conditionalFormatting>
  <conditionalFormatting sqref="D3569:D3570">
    <cfRule type="expression" dxfId="4" priority="8782">
      <formula>AND(NOT(HasFormula(XFD3572)),XFD3572&lt;&gt;"")</formula>
    </cfRule>
  </conditionalFormatting>
  <conditionalFormatting sqref="D3604:D3605">
    <cfRule type="expression" dxfId="4" priority="8806">
      <formula>AND(NOT(HasFormula(XFD3606)),XFD3606&lt;&gt;"")</formula>
    </cfRule>
  </conditionalFormatting>
  <conditionalFormatting sqref="D3609:D3610">
    <cfRule type="expression" dxfId="4" priority="8826">
      <formula>AND(NOT(HasFormula(XFD3611)),XFD3611&lt;&gt;"")</formula>
    </cfRule>
  </conditionalFormatting>
  <conditionalFormatting sqref="D3617:D3618">
    <cfRule type="expression" dxfId="4" priority="8834">
      <formula>AND(NOT(HasFormula(XFD3619)),XFD3619&lt;&gt;"")</formula>
    </cfRule>
  </conditionalFormatting>
  <conditionalFormatting sqref="D3627:D3628">
    <cfRule type="expression" dxfId="4" priority="8846">
      <formula>AND(NOT(HasFormula(XFD3629)),XFD3629&lt;&gt;"")</formula>
    </cfRule>
  </conditionalFormatting>
  <conditionalFormatting sqref="D3630:D3633">
    <cfRule type="expression" dxfId="4" priority="8852">
      <formula>AND(NOT(HasFormula(XFD3634)),XFD3634&lt;&gt;"")</formula>
    </cfRule>
  </conditionalFormatting>
  <conditionalFormatting sqref="D3673:D3674">
    <cfRule type="expression" dxfId="4" priority="8862">
      <formula>AND(NOT(HasFormula(XFD3679)),XFD3679&lt;&gt;"")</formula>
    </cfRule>
  </conditionalFormatting>
  <conditionalFormatting sqref="D3675:D3678">
    <cfRule type="expression" dxfId="4" priority="8868">
      <formula>AND(NOT(HasFormula(XFD3679)),XFD3679&lt;&gt;"")</formula>
    </cfRule>
  </conditionalFormatting>
  <conditionalFormatting sqref="D3852:D3853">
    <cfRule type="expression" dxfId="4" priority="8942">
      <formula>AND(NOT(HasFormula(XFD3854)),XFD3854&lt;&gt;"")</formula>
    </cfRule>
  </conditionalFormatting>
  <conditionalFormatting sqref="D3876:D3877">
    <cfRule type="expression" dxfId="4" priority="8936">
      <formula>AND(NOT(HasFormula(#REF!)),#REF!&lt;&gt;"")</formula>
    </cfRule>
  </conditionalFormatting>
  <conditionalFormatting sqref="D3911:D3913">
    <cfRule type="expression" dxfId="4" priority="8960">
      <formula>AND(NOT(HasFormula(#REF!)),#REF!&lt;&gt;"")</formula>
    </cfRule>
  </conditionalFormatting>
  <conditionalFormatting sqref="D4087:D4088">
    <cfRule type="expression" dxfId="4" priority="8972">
      <formula>AND(NOT(HasFormula(XFD4089)),XFD4089&lt;&gt;"")</formula>
    </cfRule>
  </conditionalFormatting>
  <conditionalFormatting sqref="D4220:D4224">
    <cfRule type="expression" dxfId="2" priority="109">
      <formula>AND(NOT(_xlfn.ISFORMULA(D4220)),D4220&lt;&gt;"")</formula>
    </cfRule>
    <cfRule type="expression" dxfId="4" priority="111">
      <formula>AND(NOT(HasFormula(XFD4221)),XFD4221&lt;&gt;"")</formula>
    </cfRule>
  </conditionalFormatting>
  <conditionalFormatting sqref="D4633:D4634">
    <cfRule type="expression" dxfId="4" priority="9109">
      <formula>AND(NOT(HasFormula(XFD4635)),XFD4635&lt;&gt;"")</formula>
    </cfRule>
  </conditionalFormatting>
  <conditionalFormatting sqref="D4658:D4659">
    <cfRule type="expression" dxfId="4" priority="9143">
      <formula>AND(NOT(HasFormula(XFD4660)),XFD4660&lt;&gt;"")</formula>
    </cfRule>
  </conditionalFormatting>
  <conditionalFormatting sqref="D4884:D4886">
    <cfRule type="expression" dxfId="2" priority="9165">
      <formula>AND(NOT(_xlfn.ISFORMULA(D4884)),D4884&lt;&gt;"")</formula>
    </cfRule>
    <cfRule type="expression" dxfId="4" priority="9166">
      <formula>AND(NOT(HasFormula(XFD4887)),XFD4887&lt;&gt;"")</formula>
    </cfRule>
  </conditionalFormatting>
  <conditionalFormatting sqref="D4888:D4889">
    <cfRule type="expression" dxfId="2" priority="9172">
      <formula>AND(NOT(_xlfn.ISFORMULA(D4888)),D4888&lt;&gt;"")</formula>
    </cfRule>
    <cfRule type="expression" dxfId="4" priority="9173">
      <formula>AND(NOT(HasFormula(XFD4890)),XFD4890&lt;&gt;"")</formula>
    </cfRule>
  </conditionalFormatting>
  <conditionalFormatting sqref="D5027:D5028">
    <cfRule type="expression" dxfId="4" priority="9215">
      <formula>AND(NOT(HasFormula(XFD5029)),XFD5029&lt;&gt;"")</formula>
    </cfRule>
  </conditionalFormatting>
  <conditionalFormatting sqref="E1589:E1597">
    <cfRule type="expression" dxfId="4" priority="934">
      <formula>AND(NOT(HasFormula(A1590)),A1590&lt;&gt;"")</formula>
    </cfRule>
  </conditionalFormatting>
  <conditionalFormatting sqref="E1598:E1604">
    <cfRule type="expression" dxfId="4" priority="7776">
      <formula>AND(NOT(HasFormula(#REF!)),#REF!&lt;&gt;"")</formula>
    </cfRule>
  </conditionalFormatting>
  <conditionalFormatting sqref="E1702:E1706">
    <cfRule type="expression" dxfId="4" priority="7798">
      <formula>AND(NOT(HasFormula(#REF!)),#REF!&lt;&gt;"")</formula>
    </cfRule>
  </conditionalFormatting>
  <conditionalFormatting sqref="E1708:E1740">
    <cfRule type="expression" dxfId="4" priority="7804">
      <formula>AND(NOT(HasFormula(#REF!)),#REF!&lt;&gt;"")</formula>
    </cfRule>
  </conditionalFormatting>
  <conditionalFormatting sqref="E1762:E1769">
    <cfRule type="expression" dxfId="4" priority="7810">
      <formula>AND(NOT(HasFormula(#REF!)),#REF!&lt;&gt;"")</formula>
    </cfRule>
  </conditionalFormatting>
  <conditionalFormatting sqref="E1881:E1882">
    <cfRule type="expression" dxfId="4" priority="832">
      <formula>AND(NOT(HasFormula(A1882)),A1882&lt;&gt;"")</formula>
    </cfRule>
  </conditionalFormatting>
  <conditionalFormatting sqref="E1907:E1918">
    <cfRule type="expression" dxfId="4" priority="7834">
      <formula>AND(NOT(HasFormula(#REF!)),#REF!&lt;&gt;"")</formula>
    </cfRule>
  </conditionalFormatting>
  <conditionalFormatting sqref="E1919:E1924">
    <cfRule type="expression" dxfId="4" priority="790">
      <formula>AND(NOT(HasFormula(A1920)),A1920&lt;&gt;"")</formula>
    </cfRule>
  </conditionalFormatting>
  <conditionalFormatting sqref="E2053:E2054">
    <cfRule type="expression" dxfId="4" priority="7852">
      <formula>AND(NOT(HasFormula(#REF!)),#REF!&lt;&gt;"")</formula>
    </cfRule>
  </conditionalFormatting>
  <conditionalFormatting sqref="E2056:E2057">
    <cfRule type="expression" dxfId="4" priority="7858">
      <formula>AND(NOT(HasFormula(#REF!)),#REF!&lt;&gt;"")</formula>
    </cfRule>
  </conditionalFormatting>
  <conditionalFormatting sqref="E2058:E2086">
    <cfRule type="expression" dxfId="4" priority="709">
      <formula>AND(NOT(HasFormula(A2059)),A2059&lt;&gt;"")</formula>
    </cfRule>
  </conditionalFormatting>
  <conditionalFormatting sqref="E2090:E2108">
    <cfRule type="expression" dxfId="4" priority="7875">
      <formula>AND(NOT(HasFormula(#REF!)),#REF!&lt;&gt;"")</formula>
    </cfRule>
  </conditionalFormatting>
  <conditionalFormatting sqref="E2110:E2111">
    <cfRule type="expression" dxfId="4" priority="7881">
      <formula>AND(NOT(HasFormula(A2119)),A2119&lt;&gt;"")</formula>
    </cfRule>
  </conditionalFormatting>
  <conditionalFormatting sqref="E2112:E2118">
    <cfRule type="expression" dxfId="4" priority="7885">
      <formula>AND(NOT(HasFormula(A2129)),A2129&lt;&gt;"")</formula>
    </cfRule>
  </conditionalFormatting>
  <conditionalFormatting sqref="E2120:E2126">
    <cfRule type="expression" dxfId="4" priority="7897">
      <formula>AND(NOT(HasFormula(A2129)),A2129&lt;&gt;"")</formula>
    </cfRule>
  </conditionalFormatting>
  <conditionalFormatting sqref="E2127:E2128">
    <cfRule type="expression" dxfId="4" priority="7903">
      <formula>AND(NOT(HasFormula(#REF!)),#REF!&lt;&gt;"")</formula>
    </cfRule>
  </conditionalFormatting>
  <conditionalFormatting sqref="E2138:E2139">
    <cfRule type="expression" dxfId="4" priority="7917">
      <formula>AND(NOT(HasFormula(#REF!)),#REF!&lt;&gt;"")</formula>
    </cfRule>
  </conditionalFormatting>
  <conditionalFormatting sqref="E2166:E2167">
    <cfRule type="expression" dxfId="4" priority="7977">
      <formula>AND(NOT(HasFormula(#REF!)),#REF!&lt;&gt;"")</formula>
    </cfRule>
  </conditionalFormatting>
  <conditionalFormatting sqref="E2169:E2170">
    <cfRule type="expression" dxfId="4" priority="7971">
      <formula>AND(NOT(HasFormula(#REF!)),#REF!&lt;&gt;"")</formula>
    </cfRule>
  </conditionalFormatting>
  <conditionalFormatting sqref="E2225:E2226">
    <cfRule type="expression" dxfId="4" priority="8041">
      <formula>AND(NOT(HasFormula(A2227)),A2227&lt;&gt;"")</formula>
    </cfRule>
  </conditionalFormatting>
  <conditionalFormatting sqref="E2234:E2237">
    <cfRule type="expression" dxfId="4" priority="626">
      <formula>AND(NOT(HasFormula(A2235)),A2235&lt;&gt;"")</formula>
    </cfRule>
  </conditionalFormatting>
  <conditionalFormatting sqref="E2247:E2249">
    <cfRule type="expression" dxfId="4" priority="8053">
      <formula>AND(NOT(HasFormula(A2252)),A2252&lt;&gt;"")</formula>
    </cfRule>
  </conditionalFormatting>
  <conditionalFormatting sqref="E2270:E2277">
    <cfRule type="expression" dxfId="4" priority="607">
      <formula>AND(NOT(HasFormula(A2271)),A2271&lt;&gt;"")</formula>
    </cfRule>
  </conditionalFormatting>
  <conditionalFormatting sqref="E2349:E2351">
    <cfRule type="expression" dxfId="4" priority="553">
      <formula>AND(NOT(HasFormula(A2336)),A2336&lt;&gt;"")</formula>
    </cfRule>
  </conditionalFormatting>
  <conditionalFormatting sqref="E2529:E2532">
    <cfRule type="expression" dxfId="4" priority="8163">
      <formula>AND(NOT(HasFormula(A2533)),A2533&lt;&gt;"")</formula>
    </cfRule>
  </conditionalFormatting>
  <conditionalFormatting sqref="E2602:E2603">
    <cfRule type="expression" dxfId="4" priority="8185">
      <formula>AND(NOT(HasFormula(A2605)),A2605&lt;&gt;"")</formula>
    </cfRule>
  </conditionalFormatting>
  <conditionalFormatting sqref="E2725:E2726">
    <cfRule type="expression" dxfId="4" priority="8254">
      <formula>AND(NOT(HasFormula(A2727)),A2727&lt;&gt;"")</formula>
    </cfRule>
  </conditionalFormatting>
  <conditionalFormatting sqref="E2758:E2761">
    <cfRule type="expression" dxfId="4" priority="479">
      <formula>AND(NOT(HasFormula(A2759)),A2759&lt;&gt;"")</formula>
    </cfRule>
  </conditionalFormatting>
  <conditionalFormatting sqref="E2768:E2769">
    <cfRule type="expression" dxfId="4" priority="8284">
      <formula>AND(NOT(HasFormula(A2770)),A2770&lt;&gt;"")</formula>
    </cfRule>
  </conditionalFormatting>
  <conditionalFormatting sqref="E2771:E2772">
    <cfRule type="expression" dxfId="4" priority="8262">
      <formula>AND(NOT(HasFormula(#REF!)),#REF!&lt;&gt;"")</formula>
    </cfRule>
  </conditionalFormatting>
  <conditionalFormatting sqref="E2796:E2797">
    <cfRule type="expression" dxfId="4" priority="8278">
      <formula>AND(NOT(HasFormula(A2798)),A2798&lt;&gt;"")</formula>
    </cfRule>
  </conditionalFormatting>
  <conditionalFormatting sqref="E2906:E2907">
    <cfRule type="expression" dxfId="4" priority="8370">
      <formula>AND(NOT(HasFormula(A2908)),A2908&lt;&gt;"")</formula>
    </cfRule>
  </conditionalFormatting>
  <conditionalFormatting sqref="E2924:E2925">
    <cfRule type="expression" dxfId="4" priority="8364">
      <formula>AND(NOT(HasFormula(A2926)),A2926&lt;&gt;"")</formula>
    </cfRule>
  </conditionalFormatting>
  <conditionalFormatting sqref="E2949:E2953">
    <cfRule type="expression" dxfId="4" priority="456">
      <formula>AND(NOT(HasFormula(A2950)),A2950&lt;&gt;"")</formula>
    </cfRule>
  </conditionalFormatting>
  <conditionalFormatting sqref="E2958:E2960">
    <cfRule type="expression" dxfId="4" priority="440">
      <formula>AND(NOT(HasFormula(A2959)),A2959&lt;&gt;"")</formula>
    </cfRule>
  </conditionalFormatting>
  <conditionalFormatting sqref="E2966:E2967">
    <cfRule type="expression" dxfId="4" priority="8424">
      <formula>AND(NOT(HasFormula(A2968)),A2968&lt;&gt;"")</formula>
    </cfRule>
  </conditionalFormatting>
  <conditionalFormatting sqref="E2974:E2975">
    <cfRule type="expression" dxfId="4" priority="8428">
      <formula>AND(NOT(HasFormula(A2976)),A2976&lt;&gt;"")</formula>
    </cfRule>
  </conditionalFormatting>
  <conditionalFormatting sqref="E3026:E3027">
    <cfRule type="expression" dxfId="4" priority="397">
      <formula>AND(NOT(HasFormula(A3027)),A3027&lt;&gt;"")</formula>
    </cfRule>
  </conditionalFormatting>
  <conditionalFormatting sqref="E3057:E3058">
    <cfRule type="expression" dxfId="3" priority="298">
      <formula>AND(NOT(HasFormula(XFA3057)),XFA3057&lt;&gt;"")</formula>
    </cfRule>
    <cfRule type="expression" dxfId="4" priority="301">
      <formula>AND(NOT(HasFormula(A3059)),A3059&lt;&gt;"")</formula>
    </cfRule>
  </conditionalFormatting>
  <conditionalFormatting sqref="E3075:E3077">
    <cfRule type="expression" dxfId="4" priority="287">
      <formula>AND(NOT(HasFormula(A3076)),A3076&lt;&gt;"")</formula>
    </cfRule>
  </conditionalFormatting>
  <conditionalFormatting sqref="E3078:E3088">
    <cfRule type="expression" dxfId="4" priority="288">
      <formula>AND(NOT(HasFormula(#REF!)),#REF!&lt;&gt;"")</formula>
    </cfRule>
  </conditionalFormatting>
  <conditionalFormatting sqref="E3141:E3142">
    <cfRule type="expression" dxfId="4" priority="8529">
      <formula>AND(NOT(HasFormula(A3143)),A3143&lt;&gt;"")</formula>
    </cfRule>
  </conditionalFormatting>
  <conditionalFormatting sqref="E3212:E3213">
    <cfRule type="expression" dxfId="4" priority="8569">
      <formula>AND(NOT(HasFormula(A3214)),A3214&lt;&gt;"")</formula>
    </cfRule>
  </conditionalFormatting>
  <conditionalFormatting sqref="E3284:E3285">
    <cfRule type="expression" dxfId="4" priority="8577">
      <formula>AND(NOT(HasFormula(#REF!)),#REF!&lt;&gt;"")</formula>
    </cfRule>
  </conditionalFormatting>
  <conditionalFormatting sqref="E3322:E3323">
    <cfRule type="expression" dxfId="4" priority="8583">
      <formula>AND(NOT(HasFormula(A3324)),A3324&lt;&gt;"")</formula>
    </cfRule>
  </conditionalFormatting>
  <conditionalFormatting sqref="E3330:E3331">
    <cfRule type="expression" dxfId="4" priority="8609">
      <formula>AND(NOT(HasFormula(A3332)),A3332&lt;&gt;"")</formula>
    </cfRule>
  </conditionalFormatting>
  <conditionalFormatting sqref="E3540:E3541">
    <cfRule type="expression" dxfId="4" priority="8773">
      <formula>AND(NOT(HasFormula(A3542)),A3542&lt;&gt;"")</formula>
    </cfRule>
  </conditionalFormatting>
  <conditionalFormatting sqref="E3569:E3570">
    <cfRule type="expression" dxfId="4" priority="8783">
      <formula>AND(NOT(HasFormula(A3572)),A3572&lt;&gt;"")</formula>
    </cfRule>
  </conditionalFormatting>
  <conditionalFormatting sqref="E3604:E3605">
    <cfRule type="expression" dxfId="4" priority="8808">
      <formula>AND(NOT(HasFormula(A3606)),A3606&lt;&gt;"")</formula>
    </cfRule>
  </conditionalFormatting>
  <conditionalFormatting sqref="E3609:E3610">
    <cfRule type="expression" dxfId="4" priority="8827">
      <formula>AND(NOT(HasFormula(A3611)),A3611&lt;&gt;"")</formula>
    </cfRule>
  </conditionalFormatting>
  <conditionalFormatting sqref="E3617:E3618">
    <cfRule type="expression" dxfId="4" priority="8835">
      <formula>AND(NOT(HasFormula(A3619)),A3619&lt;&gt;"")</formula>
    </cfRule>
  </conditionalFormatting>
  <conditionalFormatting sqref="E3627:E3628">
    <cfRule type="expression" dxfId="4" priority="8847">
      <formula>AND(NOT(HasFormula(A3629)),A3629&lt;&gt;"")</formula>
    </cfRule>
  </conditionalFormatting>
  <conditionalFormatting sqref="E3630:E3633">
    <cfRule type="expression" dxfId="4" priority="8853">
      <formula>AND(NOT(HasFormula(A3634)),A3634&lt;&gt;"")</formula>
    </cfRule>
  </conditionalFormatting>
  <conditionalFormatting sqref="E3673:E3674">
    <cfRule type="expression" dxfId="4" priority="8863">
      <formula>AND(NOT(HasFormula(A3679)),A3679&lt;&gt;"")</formula>
    </cfRule>
  </conditionalFormatting>
  <conditionalFormatting sqref="E3675:E3678">
    <cfRule type="expression" dxfId="4" priority="8869">
      <formula>AND(NOT(HasFormula(A3679)),A3679&lt;&gt;"")</formula>
    </cfRule>
  </conditionalFormatting>
  <conditionalFormatting sqref="E3852:E3853">
    <cfRule type="expression" dxfId="4" priority="8943">
      <formula>AND(NOT(HasFormula(A3854)),A3854&lt;&gt;"")</formula>
    </cfRule>
  </conditionalFormatting>
  <conditionalFormatting sqref="E3876:E3877">
    <cfRule type="expression" dxfId="4" priority="8937">
      <formula>AND(NOT(HasFormula(#REF!)),#REF!&lt;&gt;"")</formula>
    </cfRule>
  </conditionalFormatting>
  <conditionalFormatting sqref="E3911:E3913">
    <cfRule type="expression" dxfId="4" priority="8961">
      <formula>AND(NOT(HasFormula(#REF!)),#REF!&lt;&gt;"")</formula>
    </cfRule>
  </conditionalFormatting>
  <conditionalFormatting sqref="E4087:E4088">
    <cfRule type="expression" dxfId="4" priority="8973">
      <formula>AND(NOT(HasFormula(A4089)),A4089&lt;&gt;"")</formula>
    </cfRule>
  </conditionalFormatting>
  <conditionalFormatting sqref="E4220:E4224">
    <cfRule type="expression" dxfId="4" priority="115">
      <formula>AND(NOT(HasFormula(A4221)),A4221&lt;&gt;"")</formula>
    </cfRule>
  </conditionalFormatting>
  <conditionalFormatting sqref="E4633:E4634">
    <cfRule type="expression" dxfId="4" priority="9110">
      <formula>AND(NOT(HasFormula(A4635)),A4635&lt;&gt;"")</formula>
    </cfRule>
  </conditionalFormatting>
  <conditionalFormatting sqref="E4658:E4659">
    <cfRule type="expression" dxfId="4" priority="9144">
      <formula>AND(NOT(HasFormula(A4660)),A4660&lt;&gt;"")</formula>
    </cfRule>
  </conditionalFormatting>
  <conditionalFormatting sqref="E4884:E4886">
    <cfRule type="expression" dxfId="4" priority="9167">
      <formula>AND(NOT(HasFormula(A4887)),A4887&lt;&gt;"")</formula>
    </cfRule>
  </conditionalFormatting>
  <conditionalFormatting sqref="E4888:E4889">
    <cfRule type="expression" dxfId="4" priority="9174">
      <formula>AND(NOT(HasFormula(A4890)),A4890&lt;&gt;"")</formula>
    </cfRule>
  </conditionalFormatting>
  <conditionalFormatting sqref="E5027:E5028">
    <cfRule type="expression" dxfId="4" priority="9216">
      <formula>AND(NOT(HasFormula(A5029)),A5029&lt;&gt;"")</formula>
    </cfRule>
  </conditionalFormatting>
  <conditionalFormatting sqref="F1:F170">
    <cfRule type="containsText" dxfId="6" priority="1973" operator="between" text="12m">
      <formula>NOT(ISERROR(SEARCH("12m",F1)))</formula>
    </cfRule>
    <cfRule type="containsText" dxfId="5" priority="1974" operator="between" text="HRB500E">
      <formula>NOT(ISERROR(SEARCH("HRB500E",F1)))</formula>
    </cfRule>
  </conditionalFormatting>
  <conditionalFormatting sqref="F172:F607">
    <cfRule type="containsText" dxfId="5" priority="1875" operator="between" text="HRB500E">
      <formula>NOT(ISERROR(SEARCH("HRB500E",F172)))</formula>
    </cfRule>
    <cfRule type="containsText" dxfId="6" priority="1874" operator="between" text="12m">
      <formula>NOT(ISERROR(SEARCH("12m",F172)))</formula>
    </cfRule>
  </conditionalFormatting>
  <conditionalFormatting sqref="F1589:F1591">
    <cfRule type="containsText" dxfId="5" priority="929" operator="between" text="HRB500E">
      <formula>NOT(ISERROR(SEARCH("HRB500E",F1589)))</formula>
    </cfRule>
    <cfRule type="containsText" dxfId="6" priority="928" operator="between" text="12m">
      <formula>NOT(ISERROR(SEARCH("12m",F1589)))</formula>
    </cfRule>
  </conditionalFormatting>
  <conditionalFormatting sqref="F1881:F1882">
    <cfRule type="containsText" dxfId="5" priority="827" operator="between" text="HRB500E">
      <formula>NOT(ISERROR(SEARCH("HRB500E",F1881)))</formula>
    </cfRule>
    <cfRule type="containsText" dxfId="6" priority="826" operator="between" text="12m">
      <formula>NOT(ISERROR(SEARCH("12m",F1881)))</formula>
    </cfRule>
  </conditionalFormatting>
  <conditionalFormatting sqref="F1919:F1925">
    <cfRule type="containsText" dxfId="5" priority="785" operator="between" text="HRB500E">
      <formula>NOT(ISERROR(SEARCH("HRB500E",F1919)))</formula>
    </cfRule>
    <cfRule type="containsText" dxfId="6" priority="784" operator="between" text="12m">
      <formula>NOT(ISERROR(SEARCH("12m",F1919)))</formula>
    </cfRule>
  </conditionalFormatting>
  <conditionalFormatting sqref="F2234:F2237">
    <cfRule type="containsText" dxfId="6" priority="620" operator="between" text="12m">
      <formula>NOT(ISERROR(SEARCH("12m",F2234)))</formula>
    </cfRule>
    <cfRule type="containsText" dxfId="5" priority="621" operator="between" text="HRB500E">
      <formula>NOT(ISERROR(SEARCH("HRB500E",F2234)))</formula>
    </cfRule>
  </conditionalFormatting>
  <conditionalFormatting sqref="F2270:F2277">
    <cfRule type="containsText" dxfId="6" priority="603" operator="between" text="12m">
      <formula>NOT(ISERROR(SEARCH("12m",F2270)))</formula>
    </cfRule>
    <cfRule type="containsText" dxfId="5" priority="604" operator="between" text="HRB500E">
      <formula>NOT(ISERROR(SEARCH("HRB500E",F2270)))</formula>
    </cfRule>
  </conditionalFormatting>
  <conditionalFormatting sqref="F2758:F2761">
    <cfRule type="containsText" dxfId="5" priority="476" operator="between" text="HRB500E">
      <formula>NOT(ISERROR(SEARCH("HRB500E",F2758)))</formula>
    </cfRule>
    <cfRule type="containsText" dxfId="6" priority="475" operator="between" text="12m">
      <formula>NOT(ISERROR(SEARCH("12m",F2758)))</formula>
    </cfRule>
  </conditionalFormatting>
  <conditionalFormatting sqref="F2778:F2784">
    <cfRule type="containsText" dxfId="5" priority="469" operator="between" text="HRB500E">
      <formula>NOT(ISERROR(SEARCH("HRB500E",F2778)))</formula>
    </cfRule>
  </conditionalFormatting>
  <conditionalFormatting sqref="F2949:F2953">
    <cfRule type="containsText" dxfId="6" priority="450" operator="between" text="12m">
      <formula>NOT(ISERROR(SEARCH("12m",F2949)))</formula>
    </cfRule>
    <cfRule type="containsText" dxfId="5" priority="451" operator="between" text="HRB500E">
      <formula>NOT(ISERROR(SEARCH("HRB500E",F2949)))</formula>
    </cfRule>
  </conditionalFormatting>
  <conditionalFormatting sqref="F2958:F2960">
    <cfRule type="containsText" dxfId="6" priority="436" operator="between" text="12m">
      <formula>NOT(ISERROR(SEARCH("12m",F2958)))</formula>
    </cfRule>
    <cfRule type="containsText" dxfId="5" priority="437" operator="between" text="HRB500E">
      <formula>NOT(ISERROR(SEARCH("HRB500E",F2958)))</formula>
    </cfRule>
  </conditionalFormatting>
  <conditionalFormatting sqref="F2996:F3002">
    <cfRule type="containsText" dxfId="6" priority="418" operator="between" text="12m">
      <formula>NOT(ISERROR(SEARCH("12m",F2996)))</formula>
    </cfRule>
    <cfRule type="containsText" dxfId="5" priority="419" operator="between" text="HRB500E">
      <formula>NOT(ISERROR(SEARCH("HRB500E",F2996)))</formula>
    </cfRule>
  </conditionalFormatting>
  <conditionalFormatting sqref="F3026:F3028">
    <cfRule type="containsText" dxfId="6" priority="393" operator="between" text="12m">
      <formula>NOT(ISERROR(SEARCH("12m",F3026)))</formula>
    </cfRule>
    <cfRule type="containsText" dxfId="5" priority="394" operator="between" text="HRB500E">
      <formula>NOT(ISERROR(SEARCH("HRB500E",F3026)))</formula>
    </cfRule>
  </conditionalFormatting>
  <conditionalFormatting sqref="F3043:F3048">
    <cfRule type="containsText" dxfId="6" priority="316" operator="between" text="12m">
      <formula>NOT(ISERROR(SEARCH("12m",F3043)))</formula>
    </cfRule>
    <cfRule type="containsText" dxfId="5" priority="317" operator="between" text="HRB500E">
      <formula>NOT(ISERROR(SEARCH("HRB500E",F3043)))</formula>
    </cfRule>
  </conditionalFormatting>
  <conditionalFormatting sqref="F3049:F3051">
    <cfRule type="containsText" dxfId="6" priority="329" operator="between" text="12m">
      <formula>NOT(ISERROR(SEARCH("12m",F3049)))</formula>
    </cfRule>
    <cfRule type="containsText" dxfId="5" priority="330" operator="between" text="HRB500E">
      <formula>NOT(ISERROR(SEARCH("HRB500E",F3049)))</formula>
    </cfRule>
  </conditionalFormatting>
  <conditionalFormatting sqref="F3052:F3056">
    <cfRule type="containsText" dxfId="6" priority="342" operator="between" text="12m">
      <formula>NOT(ISERROR(SEARCH("12m",F3052)))</formula>
    </cfRule>
    <cfRule type="containsText" dxfId="5" priority="343" operator="between" text="HRB500E">
      <formula>NOT(ISERROR(SEARCH("HRB500E",F3052)))</formula>
    </cfRule>
  </conditionalFormatting>
  <conditionalFormatting sqref="F3057:F3058">
    <cfRule type="containsText" dxfId="6" priority="299" operator="between" text="12m">
      <formula>NOT(ISERROR(SEARCH("12m",F3057)))</formula>
    </cfRule>
    <cfRule type="containsText" dxfId="5" priority="300" operator="between" text="HRB500E">
      <formula>NOT(ISERROR(SEARCH("HRB500E",F3057)))</formula>
    </cfRule>
  </conditionalFormatting>
  <conditionalFormatting sqref="F3075:F3088">
    <cfRule type="containsText" dxfId="6" priority="285" operator="between" text="12m">
      <formula>NOT(ISERROR(SEARCH("12m",F3075)))</formula>
    </cfRule>
    <cfRule type="containsText" dxfId="5" priority="286" operator="between" text="HRB500E">
      <formula>NOT(ISERROR(SEARCH("HRB500E",F3075)))</formula>
    </cfRule>
  </conditionalFormatting>
  <conditionalFormatting sqref="F3184:F3227">
    <cfRule type="containsText" dxfId="6" priority="237" operator="between" text="12m">
      <formula>NOT(ISERROR(SEARCH("12m",F3184)))</formula>
    </cfRule>
    <cfRule type="containsText" dxfId="5" priority="238" operator="between" text="HRB500E">
      <formula>NOT(ISERROR(SEARCH("HRB500E",F3184)))</formula>
    </cfRule>
  </conditionalFormatting>
  <conditionalFormatting sqref="F4220:F4224">
    <cfRule type="containsText" dxfId="6" priority="113" operator="between" text="12m">
      <formula>NOT(ISERROR(SEARCH("12m",F4220)))</formula>
    </cfRule>
    <cfRule type="containsText" dxfId="5" priority="114" operator="between" text="HRB500E">
      <formula>NOT(ISERROR(SEARCH("HRB500E",F4220)))</formula>
    </cfRule>
  </conditionalFormatting>
  <conditionalFormatting sqref="F4878:F4907">
    <cfRule type="containsText" dxfId="6" priority="22" operator="between" text="12m">
      <formula>NOT(ISERROR(SEARCH("12m",F4878)))</formula>
    </cfRule>
    <cfRule type="containsText" dxfId="5" priority="23" operator="between" text="HRB500E">
      <formula>NOT(ISERROR(SEARCH("HRB500E",F4878)))</formula>
    </cfRule>
  </conditionalFormatting>
  <conditionalFormatting sqref="H1589:H1604">
    <cfRule type="expression" dxfId="3" priority="931">
      <formula>AND(NOT(HasFormula(XFD1589)),XFD1589&lt;&gt;"")</formula>
    </cfRule>
    <cfRule type="expression" dxfId="4" priority="930">
      <formula>AND(NOT(HasFormula(D1590)),D1590&lt;&gt;"")</formula>
    </cfRule>
  </conditionalFormatting>
  <conditionalFormatting sqref="H1702:H1706">
    <cfRule type="expression" dxfId="4" priority="7795">
      <formula>AND(NOT(HasFormula(#REF!)),#REF!&lt;&gt;"")</formula>
    </cfRule>
    <cfRule type="expression" dxfId="3" priority="7796">
      <formula>AND(NOT(HasFormula(XFD1702)),XFD1702&lt;&gt;"")</formula>
    </cfRule>
  </conditionalFormatting>
  <conditionalFormatting sqref="H1708:H1740">
    <cfRule type="expression" dxfId="4" priority="7801">
      <formula>AND(NOT(HasFormula(#REF!)),#REF!&lt;&gt;"")</formula>
    </cfRule>
    <cfRule type="expression" dxfId="3" priority="7802">
      <formula>AND(NOT(HasFormula(XFD1708)),XFD1708&lt;&gt;"")</formula>
    </cfRule>
  </conditionalFormatting>
  <conditionalFormatting sqref="H1753:H1769">
    <cfRule type="expression" dxfId="3" priority="850">
      <formula>AND(NOT(HasFormula(XFD1753)),XFD1753&lt;&gt;"")</formula>
    </cfRule>
    <cfRule type="expression" dxfId="4" priority="849">
      <formula>AND(NOT(HasFormula(D1754)),D1754&lt;&gt;"")</formula>
    </cfRule>
  </conditionalFormatting>
  <conditionalFormatting sqref="H1881:H1882">
    <cfRule type="expression" dxfId="3" priority="829">
      <formula>AND(NOT(HasFormula(XFD1881)),XFD1881&lt;&gt;"")</formula>
    </cfRule>
    <cfRule type="expression" dxfId="4" priority="828">
      <formula>AND(NOT(HasFormula(D1882)),D1882&lt;&gt;"")</formula>
    </cfRule>
  </conditionalFormatting>
  <conditionalFormatting sqref="H2053:H2054">
    <cfRule type="expression" dxfId="4" priority="7849">
      <formula>AND(NOT(HasFormula(#REF!)),#REF!&lt;&gt;"")</formula>
    </cfRule>
    <cfRule type="expression" dxfId="3" priority="7850">
      <formula>AND(NOT(HasFormula(XFD2053)),XFD2053&lt;&gt;"")</formula>
    </cfRule>
  </conditionalFormatting>
  <conditionalFormatting sqref="H2056:H2057">
    <cfRule type="expression" dxfId="4" priority="7855">
      <formula>AND(NOT(HasFormula(#REF!)),#REF!&lt;&gt;"")</formula>
    </cfRule>
    <cfRule type="expression" dxfId="3" priority="7856">
      <formula>AND(NOT(HasFormula(XFD2056)),XFD2056&lt;&gt;"")</formula>
    </cfRule>
  </conditionalFormatting>
  <conditionalFormatting sqref="H2090:H2108">
    <cfRule type="expression" dxfId="4" priority="7872">
      <formula>AND(NOT(HasFormula(#REF!)),#REF!&lt;&gt;"")</formula>
    </cfRule>
    <cfRule type="expression" dxfId="3" priority="7873">
      <formula>AND(NOT(HasFormula(XFD2090)),XFD2090&lt;&gt;"")</formula>
    </cfRule>
  </conditionalFormatting>
  <conditionalFormatting sqref="H2110:H2111">
    <cfRule type="expression" dxfId="4" priority="7878">
      <formula>AND(NOT(HasFormula(D2119)),D2119&lt;&gt;"")</formula>
    </cfRule>
    <cfRule type="expression" dxfId="3" priority="7879">
      <formula>AND(NOT(HasFormula(XFD2110)),XFD2110&lt;&gt;"")</formula>
    </cfRule>
  </conditionalFormatting>
  <conditionalFormatting sqref="H2112:H2118">
    <cfRule type="expression" dxfId="4" priority="7886">
      <formula>AND(NOT(HasFormula(D2129)),D2129&lt;&gt;"")</formula>
    </cfRule>
    <cfRule type="expression" dxfId="3" priority="7887">
      <formula>AND(NOT(HasFormula(XFD2112)),XFD2112&lt;&gt;"")</formula>
    </cfRule>
  </conditionalFormatting>
  <conditionalFormatting sqref="H2120:H2126">
    <cfRule type="expression" dxfId="4" priority="7898">
      <formula>AND(NOT(HasFormula(D2129)),D2129&lt;&gt;"")</formula>
    </cfRule>
    <cfRule type="expression" dxfId="3" priority="7899">
      <formula>AND(NOT(HasFormula(XFD2120)),XFD2120&lt;&gt;"")</formula>
    </cfRule>
  </conditionalFormatting>
  <conditionalFormatting sqref="H2127:H2128">
    <cfRule type="expression" dxfId="4" priority="7904">
      <formula>AND(NOT(HasFormula(#REF!)),#REF!&lt;&gt;"")</formula>
    </cfRule>
    <cfRule type="expression" dxfId="3" priority="7905">
      <formula>AND(NOT(HasFormula(XFD2127)),XFD2127&lt;&gt;"")</formula>
    </cfRule>
  </conditionalFormatting>
  <conditionalFormatting sqref="H2138:H2139">
    <cfRule type="expression" dxfId="4" priority="7914">
      <formula>AND(NOT(HasFormula(#REF!)),#REF!&lt;&gt;"")</formula>
    </cfRule>
    <cfRule type="expression" dxfId="3" priority="7915">
      <formula>AND(NOT(HasFormula(XFD2138)),XFD2138&lt;&gt;"")</formula>
    </cfRule>
  </conditionalFormatting>
  <conditionalFormatting sqref="H2165:H2166">
    <cfRule type="expression" dxfId="4" priority="7920">
      <formula>AND(NOT(HasFormula(#REF!)),#REF!&lt;&gt;"")</formula>
    </cfRule>
    <cfRule type="expression" dxfId="3" priority="7921">
      <formula>AND(NOT(HasFormula(XFD2165)),XFD2165&lt;&gt;"")</formula>
    </cfRule>
  </conditionalFormatting>
  <conditionalFormatting sqref="H2168:H2173">
    <cfRule type="expression" dxfId="4" priority="7959">
      <formula>AND(NOT(HasFormula(#REF!)),#REF!&lt;&gt;"")</formula>
    </cfRule>
    <cfRule type="expression" dxfId="3" priority="7960">
      <formula>AND(NOT(HasFormula(XFD2168)),XFD2168&lt;&gt;"")</formula>
    </cfRule>
  </conditionalFormatting>
  <conditionalFormatting sqref="H2247:H2249">
    <cfRule type="expression" dxfId="4" priority="8050">
      <formula>AND(NOT(HasFormula(D2252)),D2252&lt;&gt;"")</formula>
    </cfRule>
    <cfRule type="expression" dxfId="3" priority="8051">
      <formula>AND(NOT(HasFormula(XFD2247)),XFD2247&lt;&gt;"")</formula>
    </cfRule>
    <cfRule type="expression" dxfId="4" priority="8062">
      <formula>AND(NOT(HasFormula(D2252)),D2252&lt;&gt;"")</formula>
    </cfRule>
    <cfRule type="expression" dxfId="3" priority="8063">
      <formula>AND(NOT(HasFormula(XFD2247)),XFD2247&lt;&gt;"")</formula>
    </cfRule>
  </conditionalFormatting>
  <conditionalFormatting sqref="H2270:H2277">
    <cfRule type="expression" dxfId="4" priority="597">
      <formula>AND(NOT(HasFormula(D2271)),D2271&lt;&gt;"")</formula>
    </cfRule>
    <cfRule type="expression" dxfId="3" priority="598">
      <formula>AND(NOT(HasFormula(XFD2270)),XFD2270&lt;&gt;"")</formula>
    </cfRule>
  </conditionalFormatting>
  <conditionalFormatting sqref="H2338:H2348">
    <cfRule type="expression" dxfId="3" priority="570">
      <formula>AND(NOT(HasFormula(XFD2338)),XFD2338&lt;&gt;"")</formula>
    </cfRule>
    <cfRule type="expression" dxfId="4" priority="569">
      <formula>AND(NOT(HasFormula(D2325)),D2325&lt;&gt;"")</formula>
    </cfRule>
  </conditionalFormatting>
  <conditionalFormatting sqref="H2349:H2358">
    <cfRule type="expression" dxfId="3" priority="555">
      <formula>AND(NOT(HasFormula(XFD2349)),XFD2349&lt;&gt;"")</formula>
    </cfRule>
    <cfRule type="expression" dxfId="4" priority="554">
      <formula>AND(NOT(HasFormula(D2336)),D2336&lt;&gt;"")</formula>
    </cfRule>
  </conditionalFormatting>
  <conditionalFormatting sqref="H2359:H2437">
    <cfRule type="expression" dxfId="4" priority="541">
      <formula>AND(NOT(HasFormula(D2347)),D2347&lt;&gt;"")</formula>
    </cfRule>
    <cfRule type="expression" dxfId="3" priority="542">
      <formula>AND(NOT(HasFormula(XFD2359)),XFD2359&lt;&gt;"")</formula>
    </cfRule>
  </conditionalFormatting>
  <conditionalFormatting sqref="H2483:H2521">
    <cfRule type="expression" dxfId="3" priority="527">
      <formula>AND(NOT(HasFormula(XFD2483)),XFD2483&lt;&gt;"")</formula>
    </cfRule>
    <cfRule type="expression" dxfId="4" priority="526">
      <formula>AND(NOT(HasFormula(D2484)),D2484&lt;&gt;"")</formula>
    </cfRule>
  </conditionalFormatting>
  <conditionalFormatting sqref="H2529:H2534">
    <cfRule type="expression" dxfId="4" priority="8160">
      <formula>AND(NOT(HasFormula(D2533)),D2533&lt;&gt;"")</formula>
    </cfRule>
    <cfRule type="expression" dxfId="3" priority="8161">
      <formula>AND(NOT(HasFormula(XFD2529)),XFD2529&lt;&gt;"")</formula>
    </cfRule>
  </conditionalFormatting>
  <conditionalFormatting sqref="H2576:H2581">
    <cfRule type="expression" dxfId="3" priority="519">
      <formula>AND(NOT(HasFormula(XFD2576)),XFD2576&lt;&gt;"")</formula>
    </cfRule>
    <cfRule type="expression" dxfId="4" priority="518">
      <formula>AND(NOT(HasFormula(D2577)),D2577&lt;&gt;"")</formula>
    </cfRule>
  </conditionalFormatting>
  <conditionalFormatting sqref="H2602:H2604">
    <cfRule type="expression" dxfId="4" priority="8186">
      <formula>AND(NOT(HasFormula(D2605)),D2605&lt;&gt;"")</formula>
    </cfRule>
    <cfRule type="expression" dxfId="3" priority="8187">
      <formula>AND(NOT(HasFormula(XFD2602)),XFD2602&lt;&gt;"")</formula>
    </cfRule>
  </conditionalFormatting>
  <conditionalFormatting sqref="H2611:H2643">
    <cfRule type="expression" dxfId="4" priority="8190">
      <formula>AND(NOT(HasFormula(#REF!)),#REF!&lt;&gt;"")</formula>
    </cfRule>
    <cfRule type="expression" dxfId="3" priority="8191">
      <formula>AND(NOT(HasFormula(XFD2611)),XFD2611&lt;&gt;"")</formula>
    </cfRule>
  </conditionalFormatting>
  <conditionalFormatting sqref="H2650:H2664">
    <cfRule type="expression" dxfId="4" priority="509">
      <formula>AND(NOT(HasFormula(D2651)),D2651&lt;&gt;"")</formula>
    </cfRule>
    <cfRule type="expression" dxfId="3" priority="510">
      <formula>AND(NOT(HasFormula(XFD2650)),XFD2650&lt;&gt;"")</formula>
    </cfRule>
  </conditionalFormatting>
  <conditionalFormatting sqref="H2758:H2777">
    <cfRule type="expression" dxfId="4" priority="480">
      <formula>AND(NOT(HasFormula(#REF!)),#REF!&lt;&gt;"")</formula>
    </cfRule>
    <cfRule type="expression" dxfId="3" priority="481">
      <formula>AND(NOT(HasFormula(XFD2758)),XFD2758&lt;&gt;"")</formula>
    </cfRule>
  </conditionalFormatting>
  <conditionalFormatting sqref="H2778:H2801">
    <cfRule type="expression" dxfId="4" priority="466">
      <formula>AND(NOT(HasFormula(#REF!)),#REF!&lt;&gt;"")</formula>
    </cfRule>
    <cfRule type="expression" dxfId="3" priority="467">
      <formula>AND(NOT(HasFormula(XFD2778)),XFD2778&lt;&gt;"")</formula>
    </cfRule>
  </conditionalFormatting>
  <conditionalFormatting sqref="H2802:H2842">
    <cfRule type="expression" dxfId="3" priority="461">
      <formula>AND(NOT(HasFormula(XFD2802)),XFD2802&lt;&gt;"")</formula>
    </cfRule>
    <cfRule type="expression" dxfId="4" priority="460">
      <formula>AND(NOT(HasFormula(#REF!)),#REF!&lt;&gt;"")</formula>
    </cfRule>
  </conditionalFormatting>
  <conditionalFormatting sqref="H2851:H2859">
    <cfRule type="expression" dxfId="4" priority="8329">
      <formula>AND(NOT(HasFormula(#REF!)),#REF!&lt;&gt;"")</formula>
    </cfRule>
    <cfRule type="expression" dxfId="3" priority="8330">
      <formula>AND(NOT(HasFormula(XFD2851)),XFD2851&lt;&gt;"")</formula>
    </cfRule>
  </conditionalFormatting>
  <conditionalFormatting sqref="H2906:H2907">
    <cfRule type="expression" dxfId="4" priority="8367">
      <formula>AND(NOT(HasFormula(D2908)),D2908&lt;&gt;"")</formula>
    </cfRule>
    <cfRule type="expression" dxfId="3" priority="8368">
      <formula>AND(NOT(HasFormula(XFD2906)),XFD2906&lt;&gt;"")</formula>
    </cfRule>
  </conditionalFormatting>
  <conditionalFormatting sqref="H2932:H2948">
    <cfRule type="expression" dxfId="4" priority="457">
      <formula>AND(NOT(HasFormula(#REF!)),#REF!&lt;&gt;"")</formula>
    </cfRule>
    <cfRule type="expression" dxfId="3" priority="458">
      <formula>AND(NOT(HasFormula(XFD2932)),XFD2932&lt;&gt;"")</formula>
    </cfRule>
  </conditionalFormatting>
  <conditionalFormatting sqref="H2949:H2957">
    <cfRule type="expression" dxfId="4" priority="441">
      <formula>AND(NOT(HasFormula(#REF!)),#REF!&lt;&gt;"")</formula>
    </cfRule>
    <cfRule type="expression" dxfId="3" priority="442">
      <formula>AND(NOT(HasFormula(XFD2949)),XFD2949&lt;&gt;"")</formula>
    </cfRule>
  </conditionalFormatting>
  <conditionalFormatting sqref="H2958:H2995">
    <cfRule type="expression" dxfId="4" priority="429">
      <formula>AND(NOT(HasFormula(#REF!)),#REF!&lt;&gt;"")</formula>
    </cfRule>
    <cfRule type="expression" dxfId="3" priority="430">
      <formula>AND(NOT(HasFormula(XFD2958)),XFD2958&lt;&gt;"")</formula>
    </cfRule>
  </conditionalFormatting>
  <conditionalFormatting sqref="H2996:H3025">
    <cfRule type="expression" dxfId="4" priority="402">
      <formula>AND(NOT(HasFormula(#REF!)),#REF!&lt;&gt;"")</formula>
    </cfRule>
    <cfRule type="expression" dxfId="3" priority="403">
      <formula>AND(NOT(HasFormula(XFD2996)),XFD2996&lt;&gt;"")</formula>
    </cfRule>
  </conditionalFormatting>
  <conditionalFormatting sqref="H3026:H3032">
    <cfRule type="expression" dxfId="4" priority="362">
      <formula>AND(NOT(HasFormula(#REF!)),#REF!&lt;&gt;"")</formula>
    </cfRule>
    <cfRule type="expression" dxfId="3" priority="363">
      <formula>AND(NOT(HasFormula(XFD3026)),XFD3026&lt;&gt;"")</formula>
    </cfRule>
  </conditionalFormatting>
  <conditionalFormatting sqref="H3033:H3038">
    <cfRule type="expression" dxfId="4" priority="296">
      <formula>AND(NOT(HasFormula(#REF!)),#REF!&lt;&gt;"")</formula>
    </cfRule>
    <cfRule type="expression" dxfId="3" priority="297">
      <formula>AND(NOT(HasFormula(XFD3033)),XFD3033&lt;&gt;"")</formula>
    </cfRule>
  </conditionalFormatting>
  <conditionalFormatting sqref="H3039:H3042">
    <cfRule type="expression" dxfId="4" priority="358">
      <formula>AND(NOT(HasFormula(#REF!)),#REF!&lt;&gt;"")</formula>
    </cfRule>
    <cfRule type="expression" dxfId="3" priority="359">
      <formula>AND(NOT(HasFormula(XFD3039)),XFD3039&lt;&gt;"")</formula>
    </cfRule>
  </conditionalFormatting>
  <conditionalFormatting sqref="H3043:H3054">
    <cfRule type="expression" dxfId="4" priority="294">
      <formula>AND(NOT(HasFormula(#REF!)),#REF!&lt;&gt;"")</formula>
    </cfRule>
    <cfRule type="expression" dxfId="3" priority="295">
      <formula>AND(NOT(HasFormula(XFD3043)),XFD3043&lt;&gt;"")</formula>
    </cfRule>
  </conditionalFormatting>
  <conditionalFormatting sqref="H3055:H3102">
    <cfRule type="expression" dxfId="3" priority="251">
      <formula>AND(NOT(HasFormula(XFD3055)),XFD3055&lt;&gt;"")</formula>
    </cfRule>
    <cfRule type="expression" dxfId="4" priority="250">
      <formula>AND(NOT(HasFormula(#REF!)),#REF!&lt;&gt;"")</formula>
    </cfRule>
  </conditionalFormatting>
  <conditionalFormatting sqref="H3141:H3142">
    <cfRule type="expression" dxfId="4" priority="8526">
      <formula>AND(NOT(HasFormula(D3143)),D3143&lt;&gt;"")</formula>
    </cfRule>
    <cfRule type="expression" dxfId="3" priority="8527">
      <formula>AND(NOT(HasFormula(XFD3141)),XFD3141&lt;&gt;"")</formula>
    </cfRule>
  </conditionalFormatting>
  <conditionalFormatting sqref="H3154:H3183">
    <cfRule type="expression" dxfId="4" priority="8532">
      <formula>AND(NOT(HasFormula(#REF!)),#REF!&lt;&gt;"")</formula>
    </cfRule>
    <cfRule type="expression" dxfId="3" priority="8533">
      <formula>AND(NOT(HasFormula(XFD3154)),XFD3154&lt;&gt;"")</formula>
    </cfRule>
  </conditionalFormatting>
  <conditionalFormatting sqref="H3184:H3261">
    <cfRule type="expression" dxfId="4" priority="229">
      <formula>AND(NOT(HasFormula(#REF!)),#REF!&lt;&gt;"")</formula>
    </cfRule>
    <cfRule type="expression" dxfId="3" priority="230">
      <formula>AND(NOT(HasFormula(XFD3184)),XFD3184&lt;&gt;"")</formula>
    </cfRule>
  </conditionalFormatting>
  <conditionalFormatting sqref="H3284:H3289">
    <cfRule type="expression" dxfId="4" priority="8574">
      <formula>AND(NOT(HasFormula(#REF!)),#REF!&lt;&gt;"")</formula>
    </cfRule>
    <cfRule type="expression" dxfId="3" priority="8575">
      <formula>AND(NOT(HasFormula(XFD3284)),XFD3284&lt;&gt;"")</formula>
    </cfRule>
  </conditionalFormatting>
  <conditionalFormatting sqref="H3290:H3316">
    <cfRule type="expression" dxfId="4" priority="227">
      <formula>AND(NOT(HasFormula(#REF!)),#REF!&lt;&gt;"")</formula>
    </cfRule>
    <cfRule type="expression" dxfId="3" priority="228">
      <formula>AND(NOT(HasFormula(XFD3290)),XFD3290&lt;&gt;"")</formula>
    </cfRule>
  </conditionalFormatting>
  <conditionalFormatting sqref="H3317:H3318">
    <cfRule type="expression" dxfId="4" priority="225">
      <formula>AND(NOT(HasFormula(#REF!)),#REF!&lt;&gt;"")</formula>
    </cfRule>
    <cfRule type="expression" dxfId="3" priority="226">
      <formula>AND(NOT(HasFormula(XFD3317)),XFD3317&lt;&gt;"")</formula>
    </cfRule>
  </conditionalFormatting>
  <conditionalFormatting sqref="H3319:H3329">
    <cfRule type="expression" dxfId="4" priority="223">
      <formula>AND(NOT(HasFormula(#REF!)),#REF!&lt;&gt;"")</formula>
    </cfRule>
    <cfRule type="expression" dxfId="3" priority="224">
      <formula>AND(NOT(HasFormula(XFD3319)),XFD3319&lt;&gt;"")</formula>
    </cfRule>
  </conditionalFormatting>
  <conditionalFormatting sqref="H3330:H3335">
    <cfRule type="expression" dxfId="4" priority="219">
      <formula>AND(NOT(HasFormula(#REF!)),#REF!&lt;&gt;"")</formula>
    </cfRule>
    <cfRule type="expression" dxfId="3" priority="220">
      <formula>AND(NOT(HasFormula(XFD3330)),XFD3330&lt;&gt;"")</formula>
    </cfRule>
  </conditionalFormatting>
  <conditionalFormatting sqref="H3336:H3375">
    <cfRule type="expression" dxfId="4" priority="217">
      <formula>AND(NOT(HasFormula(#REF!)),#REF!&lt;&gt;"")</formula>
    </cfRule>
    <cfRule type="expression" dxfId="3" priority="218">
      <formula>AND(NOT(HasFormula(XFD3336)),XFD3336&lt;&gt;"")</formula>
    </cfRule>
  </conditionalFormatting>
  <conditionalFormatting sqref="H3376:H3408">
    <cfRule type="expression" dxfId="4" priority="205">
      <formula>AND(NOT(HasFormula(#REF!)),#REF!&lt;&gt;"")</formula>
    </cfRule>
    <cfRule type="expression" dxfId="3" priority="206">
      <formula>AND(NOT(HasFormula(XFD3376)),XFD3376&lt;&gt;"")</formula>
    </cfRule>
  </conditionalFormatting>
  <conditionalFormatting sqref="H3489:H3503">
    <cfRule type="expression" dxfId="4" priority="199">
      <formula>AND(NOT(HasFormula(#REF!)),#REF!&lt;&gt;"")</formula>
    </cfRule>
    <cfRule type="expression" dxfId="3" priority="200">
      <formula>AND(NOT(HasFormula(XFD3489)),XFD3489&lt;&gt;"")</formula>
    </cfRule>
  </conditionalFormatting>
  <conditionalFormatting sqref="H3504:H3509">
    <cfRule type="expression" dxfId="4" priority="195">
      <formula>AND(NOT(HasFormula(#REF!)),#REF!&lt;&gt;"")</formula>
    </cfRule>
    <cfRule type="expression" dxfId="3" priority="196">
      <formula>AND(NOT(HasFormula(XFD3504)),XFD3504&lt;&gt;"")</formula>
    </cfRule>
  </conditionalFormatting>
  <conditionalFormatting sqref="H3510:H3527">
    <cfRule type="expression" dxfId="4" priority="193">
      <formula>AND(NOT(HasFormula(#REF!)),#REF!&lt;&gt;"")</formula>
    </cfRule>
    <cfRule type="expression" dxfId="3" priority="194">
      <formula>AND(NOT(HasFormula(XFD3510)),XFD3510&lt;&gt;"")</formula>
    </cfRule>
  </conditionalFormatting>
  <conditionalFormatting sqref="H3540:H3541">
    <cfRule type="expression" dxfId="4" priority="8770">
      <formula>AND(NOT(HasFormula(D3542)),D3542&lt;&gt;"")</formula>
    </cfRule>
    <cfRule type="expression" dxfId="3" priority="8771">
      <formula>AND(NOT(HasFormula(XFD3540)),XFD3540&lt;&gt;"")</formula>
    </cfRule>
  </conditionalFormatting>
  <conditionalFormatting sqref="H3570:H3571">
    <cfRule type="expression" dxfId="3" priority="192">
      <formula>AND(NOT(HasFormula(XFD3570)),XFD3570&lt;&gt;"")</formula>
    </cfRule>
    <cfRule type="expression" dxfId="4" priority="191">
      <formula>AND(NOT(HasFormula(D3573)),D3573&lt;&gt;"")</formula>
    </cfRule>
  </conditionalFormatting>
  <conditionalFormatting sqref="H3572:H3580">
    <cfRule type="expression" dxfId="4" priority="189">
      <formula>AND(NOT(HasFormula(D3573)),D3573&lt;&gt;"")</formula>
    </cfRule>
    <cfRule type="expression" dxfId="3" priority="190">
      <formula>AND(NOT(HasFormula(XFD3572)),XFD3572&lt;&gt;"")</formula>
    </cfRule>
  </conditionalFormatting>
  <conditionalFormatting sqref="H3587:H3588">
    <cfRule type="expression" dxfId="3" priority="176">
      <formula>AND(NOT(HasFormula(XFD3587)),XFD3587&lt;&gt;"")</formula>
    </cfRule>
    <cfRule type="expression" dxfId="4" priority="175">
      <formula>AND(NOT(HasFormula(D3588)),D3588&lt;&gt;"")</formula>
    </cfRule>
  </conditionalFormatting>
  <conditionalFormatting sqref="H3590:H3593">
    <cfRule type="expression" dxfId="3" priority="174">
      <formula>AND(NOT(HasFormula(XFD3590)),XFD3590&lt;&gt;"")</formula>
    </cfRule>
    <cfRule type="expression" dxfId="4" priority="173">
      <formula>AND(NOT(HasFormula(D3591)),D3591&lt;&gt;"")</formula>
    </cfRule>
  </conditionalFormatting>
  <conditionalFormatting sqref="H3596:H3598">
    <cfRule type="expression" dxfId="3" priority="172">
      <formula>AND(NOT(HasFormula(XFD3596)),XFD3596&lt;&gt;"")</formula>
    </cfRule>
    <cfRule type="expression" dxfId="4" priority="171">
      <formula>AND(NOT(HasFormula(D3597)),D3597&lt;&gt;"")</formula>
    </cfRule>
  </conditionalFormatting>
  <conditionalFormatting sqref="H3599:H3602">
    <cfRule type="expression" dxfId="4" priority="187">
      <formula>AND(NOT(HasFormula(D3600)),D3600&lt;&gt;"")</formula>
    </cfRule>
    <cfRule type="expression" dxfId="3" priority="188">
      <formula>AND(NOT(HasFormula(XFD3599)),XFD3599&lt;&gt;"")</formula>
    </cfRule>
  </conditionalFormatting>
  <conditionalFormatting sqref="H3603:H3661">
    <cfRule type="expression" dxfId="3" priority="170">
      <formula>AND(NOT(HasFormula(XFD3603)),XFD3603&lt;&gt;"")</formula>
    </cfRule>
    <cfRule type="expression" dxfId="4" priority="169">
      <formula>AND(NOT(HasFormula(D3604)),D3604&lt;&gt;"")</formula>
    </cfRule>
  </conditionalFormatting>
  <conditionalFormatting sqref="H3669:H3716">
    <cfRule type="expression" dxfId="3" priority="168">
      <formula>AND(NOT(HasFormula(XFD3669)),XFD3669&lt;&gt;"")</formula>
    </cfRule>
    <cfRule type="expression" dxfId="4" priority="167">
      <formula>AND(NOT(HasFormula(D3670)),D3670&lt;&gt;"")</formula>
    </cfRule>
  </conditionalFormatting>
  <conditionalFormatting sqref="H3753:H3781">
    <cfRule type="expression" dxfId="3" priority="166">
      <formula>AND(NOT(HasFormula(XFD3753)),XFD3753&lt;&gt;"")</formula>
    </cfRule>
    <cfRule type="expression" dxfId="4" priority="165">
      <formula>AND(NOT(HasFormula(D3754)),D3754&lt;&gt;"")</formula>
    </cfRule>
  </conditionalFormatting>
  <conditionalFormatting sqref="H3852:H3854">
    <cfRule type="expression" dxfId="4" priority="8940">
      <formula>AND(NOT(HasFormula(D3854)),D3854&lt;&gt;"")</formula>
    </cfRule>
    <cfRule type="expression" dxfId="3" priority="8941">
      <formula>AND(NOT(HasFormula(XFD3852)),XFD3852&lt;&gt;"")</formula>
    </cfRule>
  </conditionalFormatting>
  <conditionalFormatting sqref="H3882:H3997">
    <cfRule type="expression" dxfId="3" priority="157">
      <formula>AND(NOT(HasFormula(XFD3882)),XFD3882&lt;&gt;"")</formula>
    </cfRule>
    <cfRule type="expression" dxfId="4" priority="156">
      <formula>AND(NOT(HasFormula(D3883)),D3883&lt;&gt;"")</formula>
    </cfRule>
  </conditionalFormatting>
  <conditionalFormatting sqref="H4067:H4086">
    <cfRule type="expression" dxfId="4" priority="141">
      <formula>AND(NOT(HasFormula(D4068)),D4068&lt;&gt;"")</formula>
    </cfRule>
    <cfRule type="expression" dxfId="3" priority="142">
      <formula>AND(NOT(HasFormula(XFD4067)),XFD4067&lt;&gt;"")</formula>
    </cfRule>
  </conditionalFormatting>
  <conditionalFormatting sqref="H4087:H4104">
    <cfRule type="expression" dxfId="4" priority="8970">
      <formula>AND(NOT(HasFormula(D4089)),D4089&lt;&gt;"")</formula>
    </cfRule>
    <cfRule type="expression" dxfId="3" priority="8971">
      <formula>AND(NOT(HasFormula(XFD4087)),XFD4087&lt;&gt;"")</formula>
    </cfRule>
  </conditionalFormatting>
  <conditionalFormatting sqref="H4156:H4158">
    <cfRule type="expression" dxfId="3" priority="98">
      <formula>AND(NOT(HasFormula(XFD4156)),XFD4156&lt;&gt;"")</formula>
    </cfRule>
    <cfRule type="expression" dxfId="4" priority="97">
      <formula>AND(NOT(HasFormula(D4157)),D4157&lt;&gt;"")</formula>
    </cfRule>
  </conditionalFormatting>
  <conditionalFormatting sqref="H4162:H4245">
    <cfRule type="expression" dxfId="3" priority="96">
      <formula>AND(NOT(HasFormula(XFD4162)),XFD4162&lt;&gt;"")</formula>
    </cfRule>
    <cfRule type="expression" dxfId="4" priority="95">
      <formula>AND(NOT(HasFormula(D4163)),D4163&lt;&gt;"")</formula>
    </cfRule>
  </conditionalFormatting>
  <conditionalFormatting sqref="H4402:H4403">
    <cfRule type="expression" dxfId="4" priority="93">
      <formula>AND(NOT(HasFormula(#REF!)),#REF!&lt;&gt;"")</formula>
    </cfRule>
    <cfRule type="expression" dxfId="3" priority="94">
      <formula>AND(NOT(HasFormula(XFD4402)),XFD4402&lt;&gt;"")</formula>
    </cfRule>
  </conditionalFormatting>
  <conditionalFormatting sqref="H4404:H4528">
    <cfRule type="expression" dxfId="3" priority="84">
      <formula>AND(NOT(HasFormula(XFD4404)),XFD4404&lt;&gt;"")</formula>
    </cfRule>
    <cfRule type="expression" dxfId="4" priority="83">
      <formula>AND(NOT(HasFormula(#REF!)),#REF!&lt;&gt;"")</formula>
    </cfRule>
  </conditionalFormatting>
  <conditionalFormatting sqref="H4547:H4601">
    <cfRule type="expression" dxfId="3" priority="80">
      <formula>AND(NOT(HasFormula(XFD4547)),XFD4547&lt;&gt;"")</formula>
    </cfRule>
    <cfRule type="expression" dxfId="4" priority="79">
      <formula>AND(NOT(HasFormula(D4548)),D4548&lt;&gt;"")</formula>
    </cfRule>
  </conditionalFormatting>
  <conditionalFormatting sqref="H4726:H4736">
    <cfRule type="expression" dxfId="4" priority="40">
      <formula>AND(NOT(HasFormula(#REF!)),#REF!&lt;&gt;"")</formula>
    </cfRule>
    <cfRule type="expression" dxfId="3" priority="41">
      <formula>AND(NOT(HasFormula(XFD4726)),XFD4726&lt;&gt;"")</formula>
    </cfRule>
  </conditionalFormatting>
  <conditionalFormatting sqref="H4885:H4886">
    <cfRule type="expression" dxfId="4" priority="11">
      <formula>AND(NOT(HasFormula(D4887)),D4887&lt;&gt;"")</formula>
    </cfRule>
    <cfRule type="expression" dxfId="3" priority="12">
      <formula>AND(NOT(HasFormula(XFD4885)),XFD4885&lt;&gt;"")</formula>
    </cfRule>
  </conditionalFormatting>
  <conditionalFormatting sqref="H4888:H4890">
    <cfRule type="expression" dxfId="4" priority="9170">
      <formula>AND(NOT(HasFormula(D4890)),D4890&lt;&gt;"")</formula>
    </cfRule>
    <cfRule type="expression" dxfId="3" priority="9171">
      <formula>AND(NOT(HasFormula(XFD4888)),XFD4888&lt;&gt;"")</formula>
    </cfRule>
  </conditionalFormatting>
  <conditionalFormatting sqref="H4907:H4937">
    <cfRule type="expression" dxfId="4" priority="9">
      <formula>AND(NOT(HasFormula(D4908)),D4908&lt;&gt;"")</formula>
    </cfRule>
    <cfRule type="expression" dxfId="3" priority="10">
      <formula>AND(NOT(HasFormula(XFD4907)),XFD4907&lt;&gt;"")</formula>
    </cfRule>
  </conditionalFormatting>
  <conditionalFormatting sqref="H5027:H5028">
    <cfRule type="expression" dxfId="4" priority="9213">
      <formula>AND(NOT(HasFormula(D5029)),D5029&lt;&gt;"")</formula>
    </cfRule>
    <cfRule type="expression" dxfId="3" priority="9214">
      <formula>AND(NOT(HasFormula(XFD5027)),XFD5027&lt;&gt;"")</formula>
    </cfRule>
  </conditionalFormatting>
  <conditionalFormatting sqref="H1047527:H1048576">
    <cfRule type="expression" dxfId="4" priority="7696">
      <formula>AND(NOT(HasFormula(D1)),D1&lt;&gt;"")</formula>
    </cfRule>
    <cfRule type="expression" dxfId="3" priority="7697">
      <formula>AND(NOT(HasFormula(XFD1047527)),XFD1047527&lt;&gt;"")</formula>
    </cfRule>
  </conditionalFormatting>
  <conditionalFormatting sqref="L880:L881">
    <cfRule type="containsText" dxfId="1" priority="1694" operator="between" text="送货车型9.6米">
      <formula>NOT(ISERROR(SEARCH("送货车型9.6米",L880)))</formula>
    </cfRule>
  </conditionalFormatting>
  <conditionalFormatting sqref="L917:L918">
    <cfRule type="containsText" dxfId="1" priority="1689" operator="between" text="送货车型9.6米">
      <formula>NOT(ISERROR(SEARCH("送货车型9.6米",L917)))</formula>
    </cfRule>
  </conditionalFormatting>
  <conditionalFormatting sqref="L968:L969">
    <cfRule type="containsText" dxfId="1" priority="1594" operator="between" text="送货车型9.6米">
      <formula>NOT(ISERROR(SEARCH("送货车型9.6米",L968)))</formula>
    </cfRule>
  </conditionalFormatting>
  <conditionalFormatting sqref="L1000:L1002">
    <cfRule type="containsText" dxfId="1" priority="1371" operator="between" text="送货车型9.6米">
      <formula>NOT(ISERROR(SEARCH("送货车型9.6米",L1000)))</formula>
    </cfRule>
  </conditionalFormatting>
  <conditionalFormatting sqref="L1069:L1137">
    <cfRule type="containsText" dxfId="1" priority="1183" operator="between" text="送货车型9.6米">
      <formula>NOT(ISERROR(SEARCH("送货车型9.6米",L1069)))</formula>
    </cfRule>
  </conditionalFormatting>
  <conditionalFormatting sqref="M887:M904">
    <cfRule type="containsText" dxfId="1" priority="1704" operator="between" text="送货车型9.6米">
      <formula>NOT(ISERROR(SEARCH("送货车型9.6米",M887)))</formula>
    </cfRule>
  </conditionalFormatting>
  <conditionalFormatting sqref="M1599:M1601">
    <cfRule type="containsText" dxfId="1" priority="922" operator="between" text="送货车型9.6米">
      <formula>NOT(ISERROR(SEARCH("送货车型9.6米",M1599)))</formula>
    </cfRule>
  </conditionalFormatting>
  <conditionalFormatting sqref="M1636:M1637">
    <cfRule type="containsText" dxfId="1" priority="885" operator="between" text="送货车型9.6米">
      <formula>NOT(ISERROR(SEARCH("送货车型9.6米",M1636)))</formula>
    </cfRule>
  </conditionalFormatting>
  <conditionalFormatting sqref="M1638:M1643">
    <cfRule type="containsText" dxfId="1" priority="884" operator="between" text="送货车型9.6米">
      <formula>NOT(ISERROR(SEARCH("送货车型9.6米",M1638)))</formula>
    </cfRule>
  </conditionalFormatting>
  <conditionalFormatting sqref="M1644:M1645">
    <cfRule type="containsText" dxfId="1" priority="883" operator="between" text="送货车型9.6米">
      <formula>NOT(ISERROR(SEARCH("送货车型9.6米",M1644)))</formula>
    </cfRule>
  </conditionalFormatting>
  <conditionalFormatting sqref="M1646:M1649">
    <cfRule type="containsText" dxfId="1" priority="882" operator="between" text="送货车型9.6米">
      <formula>NOT(ISERROR(SEARCH("送货车型9.6米",M1646)))</formula>
    </cfRule>
  </conditionalFormatting>
  <conditionalFormatting sqref="M1665:M1685">
    <cfRule type="containsText" dxfId="1" priority="851" operator="between" text="送货车型9.6米">
      <formula>NOT(ISERROR(SEARCH("送货车型9.6米",M1665)))</formula>
    </cfRule>
  </conditionalFormatting>
  <conditionalFormatting sqref="M1871:M1880">
    <cfRule type="containsText" dxfId="1" priority="819" operator="between" text="送货车型9.6米">
      <formula>NOT(ISERROR(SEARCH("送货车型9.6米",M1871)))</formula>
    </cfRule>
  </conditionalFormatting>
  <conditionalFormatting sqref="M1883:M1899">
    <cfRule type="containsText" dxfId="1" priority="820" operator="between" text="送货车型9.6米">
      <formula>NOT(ISERROR(SEARCH("送货车型9.6米",M1883)))</formula>
    </cfRule>
  </conditionalFormatting>
  <conditionalFormatting sqref="M1908:M1925">
    <cfRule type="containsText" dxfId="1" priority="743" operator="between" text="送货车型9.6米">
      <formula>NOT(ISERROR(SEARCH("送货车型9.6米",M1908)))</formula>
    </cfRule>
  </conditionalFormatting>
  <conditionalFormatting sqref="M1936:M1939">
    <cfRule type="containsText" dxfId="1" priority="712" operator="between" text="送货车型9.6米">
      <formula>NOT(ISERROR(SEARCH("送货车型9.6米",M1936)))</formula>
    </cfRule>
  </conditionalFormatting>
  <conditionalFormatting sqref="M1967:M1986">
    <cfRule type="containsText" dxfId="1" priority="710" operator="between" text="送货车型9.6米">
      <formula>NOT(ISERROR(SEARCH("送货车型9.6米",M1967)))</formula>
    </cfRule>
  </conditionalFormatting>
  <conditionalFormatting sqref="M2234:M2237">
    <cfRule type="containsText" dxfId="1" priority="609" operator="between" text="送货车型9.6米">
      <formula>NOT(ISERROR(SEARCH("送货车型9.6米",M2234)))</formula>
    </cfRule>
  </conditionalFormatting>
  <conditionalFormatting sqref="M2239:M2246">
    <cfRule type="containsText" dxfId="1" priority="608" operator="between" text="送货车型9.6米">
      <formula>NOT(ISERROR(SEARCH("送货车型9.6米",M2239)))</formula>
    </cfRule>
  </conditionalFormatting>
  <conditionalFormatting sqref="M2271:M2277">
    <cfRule type="containsText" dxfId="1" priority="594" operator="between" text="送货车型9.6米">
      <formula>NOT(ISERROR(SEARCH("送货车型9.6米",M2271)))</formula>
    </cfRule>
  </conditionalFormatting>
  <conditionalFormatting sqref="M2300:M2305">
    <cfRule type="containsText" dxfId="1" priority="588" operator="between" text="送货车型9.6米">
      <formula>NOT(ISERROR(SEARCH("送货车型9.6米",M2300)))</formula>
    </cfRule>
  </conditionalFormatting>
  <conditionalFormatting sqref="M2306:M2337">
    <cfRule type="containsText" dxfId="1" priority="571" operator="between" text="送货车型9.6米">
      <formula>NOT(ISERROR(SEARCH("送货车型9.6米",M2306)))</formula>
    </cfRule>
  </conditionalFormatting>
  <conditionalFormatting sqref="M2338:M2342">
    <cfRule type="containsText" dxfId="1" priority="558" operator="between" text="送货车型9.6米">
      <formula>NOT(ISERROR(SEARCH("送货车型9.6米",M2338)))</formula>
    </cfRule>
  </conditionalFormatting>
  <conditionalFormatting sqref="M2343:M2348">
    <cfRule type="containsText" dxfId="1" priority="556" operator="between" text="送货车型9.6米">
      <formula>NOT(ISERROR(SEARCH("送货车型9.6米",M2343)))</formula>
    </cfRule>
  </conditionalFormatting>
  <conditionalFormatting sqref="M2360:M2428">
    <cfRule type="containsText" dxfId="1" priority="528" operator="between" text="送货车型9.6米">
      <formula>NOT(ISERROR(SEARCH("送货车型9.6米",M2360)))</formula>
    </cfRule>
  </conditionalFormatting>
  <conditionalFormatting sqref="M3043:M3048">
    <cfRule type="containsText" dxfId="1" priority="306" operator="between" text="送货车型9.6米">
      <formula>NOT(ISERROR(SEARCH("送货车型9.6米",M3043)))</formula>
    </cfRule>
  </conditionalFormatting>
  <conditionalFormatting sqref="M3052:M3053">
    <cfRule type="containsText" dxfId="1" priority="305" operator="between" text="送货车型9.6米">
      <formula>NOT(ISERROR(SEARCH("送货车型9.6米",M3052)))</formula>
    </cfRule>
  </conditionalFormatting>
  <conditionalFormatting sqref="M3090:M3096">
    <cfRule type="containsText" dxfId="1" priority="274" operator="between" text="送货车型9.6米">
      <formula>NOT(ISERROR(SEARCH("送货车型9.6米",M3090)))</formula>
    </cfRule>
  </conditionalFormatting>
  <conditionalFormatting sqref="M5036:M5041">
    <cfRule type="containsText" dxfId="1" priority="1" operator="between" text="送货车型9.6米">
      <formula>NOT(ISERROR(SEARCH("送货车型9.6米",M5036)))</formula>
    </cfRule>
  </conditionalFormatting>
  <conditionalFormatting sqref="M5042:M5046">
    <cfRule type="timePeriod" dxfId="7" priority="3" timePeriod="yesterday">
      <formula>FLOOR(M5042,1)=TODAY()-1</formula>
    </cfRule>
  </conditionalFormatting>
  <conditionalFormatting sqref="M5047:M5054">
    <cfRule type="timePeriod" dxfId="7" priority="2" timePeriod="yesterday">
      <formula>FLOOR(M5047,1)=TODAY()-1</formula>
    </cfRule>
  </conditionalFormatting>
  <conditionalFormatting sqref="N888:N904">
    <cfRule type="containsText" dxfId="1" priority="1716" operator="between" text="送货车型9.6米">
      <formula>NOT(ISERROR(SEARCH("送货车型9.6米",N888)))</formula>
    </cfRule>
  </conditionalFormatting>
  <conditionalFormatting sqref="O955:O996">
    <cfRule type="containsText" dxfId="1" priority="1381" operator="between" text="送货车型9.6米">
      <formula>NOT(ISERROR(SEARCH("送货车型9.6米",O955)))</formula>
    </cfRule>
  </conditionalFormatting>
  <conditionalFormatting sqref="P598:P692">
    <cfRule type="expression" dxfId="2" priority="1867">
      <formula>P598&gt;0</formula>
    </cfRule>
  </conditionalFormatting>
  <conditionalFormatting sqref="P751:P773">
    <cfRule type="expression" dxfId="2" priority="1767">
      <formula>P751&gt;0</formula>
    </cfRule>
  </conditionalFormatting>
  <conditionalFormatting sqref="P812:P1315">
    <cfRule type="expression" dxfId="2" priority="1070">
      <formula>P812&gt;0</formula>
    </cfRule>
  </conditionalFormatting>
  <conditionalFormatting sqref="P1402:P1524">
    <cfRule type="expression" dxfId="2" priority="1068">
      <formula>P1402&gt;0</formula>
    </cfRule>
  </conditionalFormatting>
  <conditionalFormatting sqref="C1:C1588 C1626:C1844 C1846:C1907 C1967:C2042 C2047:C2052 C2087:C2219 C2247:C2264 C2278:C2305 C2429:C2575 C2582:C2705 C2843:C2948 C3103:C3183 C3262:C3346 C3348:C4066 C4069:C4138 C4246:C4743 C4786:C4866 C4868:C4877 C4993:C1048576">
    <cfRule type="timePeriod" dxfId="7" priority="944" timePeriod="yesterday">
      <formula>FLOOR(C1,1)=TODAY()-1</formula>
    </cfRule>
  </conditionalFormatting>
  <conditionalFormatting sqref="D2:E1400 D1403:E1404 D1407:E1418 D1422:E1427 D1429:E1430 D1432:E1433 D1436:E1486 D1488:E1496 E1 I1:L1 H2:L1401 E1401">
    <cfRule type="expression" dxfId="4" priority="1074">
      <formula>AND(NOT(HasFormula(XFD2)),XFD2&lt;&gt;"")</formula>
    </cfRule>
  </conditionalFormatting>
  <conditionalFormatting sqref="E1 I1:L1 H2:L1401 D2:E1400 E1401 D1403:E1404 D1407:E1418 D1422:E1427 D1429:E1430 D1432:E1433 D1436:E1486 D1488:E1496">
    <cfRule type="expression" dxfId="3" priority="1075">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44"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38">
      <formula>AND(NOT(_xlfn.ISFORMULA(D2)),D2&lt;&gt;"")</formula>
    </cfRule>
  </conditionalFormatting>
  <conditionalFormatting sqref="L13:O14">
    <cfRule type="containsText" dxfId="1" priority="1984" operator="between" text="送货车型9.6米">
      <formula>NOT(ISERROR(SEARCH("送货车型9.6米",L13)))</formula>
    </cfRule>
  </conditionalFormatting>
  <conditionalFormatting sqref="L18:O18 L21:O21 L23:O23">
    <cfRule type="containsText" dxfId="1" priority="1983" operator="between" text="送货车型9.6米">
      <formula>NOT(ISERROR(SEARCH("送货车型9.6米",L18)))</formula>
    </cfRule>
  </conditionalFormatting>
  <conditionalFormatting sqref="L27:O28">
    <cfRule type="containsText" dxfId="1" priority="1980" operator="between" text="送货车型9.6米">
      <formula>NOT(ISERROR(SEARCH("送货车型9.6米",L27)))</formula>
    </cfRule>
  </conditionalFormatting>
  <conditionalFormatting sqref="L174:O176">
    <cfRule type="containsText" dxfId="1" priority="1961" operator="between" text="送货车型9.6米">
      <formula>NOT(ISERROR(SEARCH("送货车型9.6米",L174)))</formula>
    </cfRule>
  </conditionalFormatting>
  <conditionalFormatting sqref="L185:O188">
    <cfRule type="containsText" dxfId="1" priority="1958" operator="between" text="送货车型9.6米">
      <formula>NOT(ISERROR(SEARCH("送货车型9.6米",L185)))</formula>
    </cfRule>
  </conditionalFormatting>
  <conditionalFormatting sqref="L200:O201">
    <cfRule type="containsText" dxfId="1" priority="1955" operator="between" text="送货车型9.6米">
      <formula>NOT(ISERROR(SEARCH("送货车型9.6米",L200)))</formula>
    </cfRule>
  </conditionalFormatting>
  <conditionalFormatting sqref="M318:O335">
    <cfRule type="containsText" dxfId="1" priority="1923" operator="between" text="送货车型9.6米">
      <formula>NOT(ISERROR(SEARCH("送货车型9.6米",M318)))</formula>
    </cfRule>
  </conditionalFormatting>
  <conditionalFormatting sqref="M351:O382">
    <cfRule type="containsText" dxfId="1" priority="1888" operator="between" text="送货车型9.6米">
      <formula>NOT(ISERROR(SEARCH("送货车型9.6米",M351)))</formula>
    </cfRule>
  </conditionalFormatting>
  <conditionalFormatting sqref="M391:O397">
    <cfRule type="containsText" dxfId="1" priority="1882"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097" operator="between" text="12m">
      <formula>NOT(ISERROR(SEARCH("12m",F613)))</formula>
    </cfRule>
    <cfRule type="containsText" dxfId="5" priority="1098" operator="between" text="HRB500E">
      <formula>NOT(ISERROR(SEARCH("HRB500E",F613)))</formula>
    </cfRule>
  </conditionalFormatting>
  <conditionalFormatting sqref="M689:O696">
    <cfRule type="containsText" dxfId="1" priority="1863" operator="between" text="送货车型9.6米">
      <formula>NOT(ISERROR(SEARCH("送货车型9.6米",M689)))</formula>
    </cfRule>
  </conditionalFormatting>
  <conditionalFormatting sqref="M700:O717">
    <cfRule type="containsText" dxfId="1" priority="1856" operator="between" text="送货车型9.6米">
      <formula>NOT(ISERROR(SEARCH("送货车型9.6米",M700)))</formula>
    </cfRule>
  </conditionalFormatting>
  <conditionalFormatting sqref="M719:O758">
    <cfRule type="containsText" dxfId="1" priority="1788" operator="between" text="送货车型9.6米">
      <formula>NOT(ISERROR(SEARCH("送货车型9.6米",M719)))</formula>
    </cfRule>
  </conditionalFormatting>
  <conditionalFormatting sqref="M787:O800 O801:O803">
    <cfRule type="containsText" dxfId="1" priority="1780" operator="between" text="送货车型9.6米">
      <formula>NOT(ISERROR(SEARCH("送货车型9.6米",M787)))</formula>
    </cfRule>
  </conditionalFormatting>
  <conditionalFormatting sqref="M801:N802">
    <cfRule type="containsText" dxfId="1" priority="1777" operator="between" text="送货车型9.6米">
      <formula>NOT(ISERROR(SEARCH("送货车型9.6米",M801)))</formula>
    </cfRule>
  </conditionalFormatting>
  <conditionalFormatting sqref="M804:O811">
    <cfRule type="containsText" dxfId="1" priority="1775" operator="between" text="送货车型9.6米">
      <formula>NOT(ISERROR(SEARCH("送货车型9.6米",M804)))</formula>
    </cfRule>
  </conditionalFormatting>
  <conditionalFormatting sqref="M819:O833">
    <cfRule type="containsText" dxfId="1" priority="1757" operator="between" text="送货车型9.6米">
      <formula>NOT(ISERROR(SEARCH("送货车型9.6米",M819)))</formula>
    </cfRule>
  </conditionalFormatting>
  <conditionalFormatting sqref="M845:O855">
    <cfRule type="containsText" dxfId="1" priority="1745" operator="between" text="送货车型9.6米">
      <formula>NOT(ISERROR(SEARCH("送货车型9.6米",M845)))</formula>
    </cfRule>
  </conditionalFormatting>
  <conditionalFormatting sqref="L856:O857">
    <cfRule type="containsText" dxfId="1" priority="1749" operator="between" text="送货车型9.6米">
      <formula>NOT(ISERROR(SEARCH("送货车型9.6米",L856)))</formula>
    </cfRule>
  </conditionalFormatting>
  <conditionalFormatting sqref="M955:N994">
    <cfRule type="containsText" dxfId="1" priority="1681" operator="between" text="送货车型9.6米">
      <formula>NOT(ISERROR(SEARCH("送货车型9.6米",M955)))</formula>
    </cfRule>
  </conditionalFormatting>
  <conditionalFormatting sqref="L995:N996">
    <cfRule type="containsText" dxfId="1" priority="1382" operator="between" text="送货车型9.6米">
      <formula>NOT(ISERROR(SEARCH("送货车型9.6米",L995)))</formula>
    </cfRule>
  </conditionalFormatting>
  <conditionalFormatting sqref="M999:O1019">
    <cfRule type="containsText" dxfId="1" priority="1370" operator="between" text="送货车型9.6米">
      <formula>NOT(ISERROR(SEARCH("送货车型9.6米",M999)))</formula>
    </cfRule>
  </conditionalFormatting>
  <conditionalFormatting sqref="M1024:O1137">
    <cfRule type="containsText" dxfId="1" priority="1095" operator="between" text="送货车型9.6米">
      <formula>NOT(ISERROR(SEARCH("送货车型9.6米",M1024)))</formula>
    </cfRule>
  </conditionalFormatting>
  <conditionalFormatting sqref="L1138:O1503">
    <cfRule type="containsText" dxfId="1" priority="935" operator="between" text="送货车型9.6米">
      <formula>NOT(ISERROR(SEARCH("送货车型9.6米",L1138)))</formula>
    </cfRule>
  </conditionalFormatting>
  <conditionalFormatting sqref="E1402 H1402:L1402">
    <cfRule type="expression" dxfId="4" priority="7714">
      <formula>AND(NOT(HasFormula(#REF!)),#REF!&lt;&gt;"")</formula>
    </cfRule>
    <cfRule type="expression" dxfId="3" priority="7715">
      <formula>AND(NOT(HasFormula(XFA1402)),XFA1402&lt;&gt;"")</formula>
    </cfRule>
  </conditionalFormatting>
  <conditionalFormatting sqref="H1403:L1404 H1407:L1418 E1420 H1420:L1420">
    <cfRule type="expression" dxfId="4" priority="7692">
      <formula>AND(NOT(HasFormula(A1404)),A1404&lt;&gt;"")</formula>
    </cfRule>
    <cfRule type="expression" dxfId="3" priority="7693">
      <formula>AND(NOT(HasFormula(XFA1403)),XFA1403&lt;&gt;"")</formula>
    </cfRule>
  </conditionalFormatting>
  <conditionalFormatting sqref="D1405:E1406">
    <cfRule type="expression" dxfId="4" priority="7718">
      <formula>AND(NOT(HasFormula(XFD1407)),XFD1407&lt;&gt;"")</formula>
    </cfRule>
    <cfRule type="expression" dxfId="3" priority="7719">
      <formula>AND(NOT(HasFormula(XEZ1405)),XEZ1405&lt;&gt;"")</formula>
    </cfRule>
  </conditionalFormatting>
  <conditionalFormatting sqref="H1405:L1406">
    <cfRule type="expression" dxfId="3" priority="7721">
      <formula>AND(NOT(HasFormula(XFD1405)),XFD1405&lt;&gt;"")</formula>
    </cfRule>
    <cfRule type="expression" dxfId="4" priority="7720">
      <formula>AND(NOT(HasFormula(D1407)),D1407&lt;&gt;"")</formula>
    </cfRule>
  </conditionalFormatting>
  <conditionalFormatting sqref="E1421 H1421:L1421">
    <cfRule type="expression" dxfId="3" priority="7671">
      <formula>AND(NOT(HasFormula(XFA1421)),XFA1421&lt;&gt;"")</formula>
    </cfRule>
    <cfRule type="expression" dxfId="4" priority="7670">
      <formula>AND(NOT(HasFormula(A1429)),A1429&lt;&gt;"")</formula>
    </cfRule>
  </conditionalFormatting>
  <conditionalFormatting sqref="H1422:L1427 H1432:L1433">
    <cfRule type="expression" dxfId="3" priority="7665">
      <formula>AND(NOT(HasFormula(XFD1422)),XFD1422&lt;&gt;"")</formula>
    </cfRule>
    <cfRule type="expression" dxfId="4" priority="7664">
      <formula>AND(NOT(HasFormula(D1423)),D1423&lt;&gt;"")</formula>
    </cfRule>
  </conditionalFormatting>
  <conditionalFormatting sqref="D1428:E1428 D1431:E1431">
    <cfRule type="expression" dxfId="3" priority="7677">
      <formula>AND(NOT(HasFormula(XEZ1428)),XEZ1428&lt;&gt;"")</formula>
    </cfRule>
    <cfRule type="expression" dxfId="4" priority="7676">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3:H5012 H5014:H5018 H5020:H5026 H5029:H1047526">
    <cfRule type="expression" dxfId="4" priority="7658">
      <formula>AND(NOT(HasFormula(D1430)),D1430&lt;&gt;"")</formula>
    </cfRule>
    <cfRule type="expression" dxfId="3" priority="7659">
      <formula>AND(NOT(HasFormula(XFD1429)),XFD1429&lt;&gt;"")</formula>
    </cfRule>
  </conditionalFormatting>
  <conditionalFormatting sqref="D1434:E1435">
    <cfRule type="expression" dxfId="3" priority="7667">
      <formula>AND(NOT(HasFormula(XEZ1434)),XEZ1434&lt;&gt;"")</formula>
    </cfRule>
    <cfRule type="expression" dxfId="4" priority="7666">
      <formula>AND(NOT(HasFormula(XFD1421)),XFD1421&lt;&gt;"")</formula>
    </cfRule>
  </conditionalFormatting>
  <conditionalFormatting sqref="H1434:L1435">
    <cfRule type="expression" dxfId="4" priority="7680">
      <formula>AND(NOT(HasFormula(D1429)),D1429&lt;&gt;"")</formula>
    </cfRule>
    <cfRule type="expression" dxfId="3" priority="7681">
      <formula>AND(NOT(HasFormula(XFD1434)),XFD1434&lt;&gt;"")</formula>
    </cfRule>
  </conditionalFormatting>
  <conditionalFormatting sqref="D1498:E1501">
    <cfRule type="expression" dxfId="4" priority="940">
      <formula>AND(NOT(HasFormula(XFD1499)),XFD1499&lt;&gt;"")</formula>
    </cfRule>
    <cfRule type="expression" dxfId="3" priority="942">
      <formula>AND(NOT(HasFormula(XEZ1498)),XEZ1498&lt;&gt;"")</formula>
    </cfRule>
  </conditionalFormatting>
  <conditionalFormatting sqref="H1498:L1501">
    <cfRule type="expression" dxfId="4" priority="952">
      <formula>AND(NOT(HasFormula(D1499)),D1499&lt;&gt;"")</formula>
    </cfRule>
    <cfRule type="expression" dxfId="3" priority="954">
      <formula>AND(NOT(HasFormula(XFD1498)),XFD1498&lt;&gt;"")</formula>
    </cfRule>
  </conditionalFormatting>
  <conditionalFormatting sqref="H1502:L1524">
    <cfRule type="expression" dxfId="3" priority="7739">
      <formula>AND(NOT(HasFormula(XFD1502)),XFD1502&lt;&gt;"")</formula>
    </cfRule>
    <cfRule type="expression" dxfId="4" priority="7738">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520">
    <cfRule type="expression" dxfId="3" priority="1000">
      <formula>AND(NOT(HasFormula(XEZ1504)),XEZ1504&lt;&gt;"")</formula>
    </cfRule>
  </conditionalFormatting>
  <conditionalFormatting sqref="D1506:E1512">
    <cfRule type="expression" dxfId="4" priority="993">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3:D5012 D5014:D5018 D5020:D5026 D5029:D1047520">
    <cfRule type="expression" dxfId="4" priority="983">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35 L5036:L5054 N5036:O5054 L5055:O1048576">
    <cfRule type="containsText" dxfId="1" priority="937"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3:E5012 E5014:E5018 E5020:E5026 E5029:E1047520">
    <cfRule type="expression" dxfId="4" priority="7757">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3:L5012 I5014:L5018 I5020:L5026 I5029:L1047526">
    <cfRule type="expression" dxfId="4" priority="7754">
      <formula>AND(NOT(HasFormula(E1565)),E1565&lt;&gt;"")</formula>
    </cfRule>
    <cfRule type="expression" dxfId="3" priority="7755">
      <formula>AND(NOT(HasFormula(A1564)),A1564&lt;&gt;"")</formula>
    </cfRule>
  </conditionalFormatting>
  <conditionalFormatting sqref="D1589:E1604">
    <cfRule type="expression" dxfId="3" priority="927">
      <formula>AND(NOT(HasFormula(XEZ1589)),XEZ1589&lt;&gt;"")</formula>
    </cfRule>
  </conditionalFormatting>
  <conditionalFormatting sqref="I1589:L1604">
    <cfRule type="expression" dxfId="3" priority="933">
      <formula>AND(NOT(HasFormula(A1589)),A1589&lt;&gt;"")</formula>
    </cfRule>
    <cfRule type="expression" dxfId="4" priority="932">
      <formula>AND(NOT(HasFormula(E1590)),E1590&lt;&gt;"")</formula>
    </cfRule>
  </conditionalFormatting>
  <conditionalFormatting sqref="L1589:O1598 L1599:L1604 O1599:O1625">
    <cfRule type="containsText" dxfId="1" priority="923" operator="between" text="送货车型9.6米">
      <formula>NOT(ISERROR(SEARCH("送货车型9.6米",L1589)))</formula>
    </cfRule>
  </conditionalFormatting>
  <conditionalFormatting sqref="D1625 D1629">
    <cfRule type="expression" dxfId="4" priority="7785">
      <formula>AND(NOT(HasFormula(#REF!)),#REF!&lt;&gt;"")</formula>
    </cfRule>
  </conditionalFormatting>
  <conditionalFormatting sqref="E1625 E1629">
    <cfRule type="expression" dxfId="4" priority="7786">
      <formula>AND(NOT(HasFormula(#REF!)),#REF!&lt;&gt;"")</formula>
    </cfRule>
  </conditionalFormatting>
  <conditionalFormatting sqref="H1625 H1629">
    <cfRule type="expression" dxfId="4" priority="7783">
      <formula>AND(NOT(HasFormula(#REF!)),#REF!&lt;&gt;"")</formula>
    </cfRule>
    <cfRule type="expression" dxfId="3" priority="7784">
      <formula>AND(NOT(HasFormula(XFD1625)),XFD1625&lt;&gt;"")</formula>
    </cfRule>
  </conditionalFormatting>
  <conditionalFormatting sqref="I1625:L1625 I1629:L1629">
    <cfRule type="expression" dxfId="4" priority="7787">
      <formula>AND(NOT(HasFormula(#REF!)),#REF!&lt;&gt;"")</formula>
    </cfRule>
    <cfRule type="expression" dxfId="3" priority="7788">
      <formula>AND(NOT(HasFormula(A1625)),A1625&lt;&gt;"")</formula>
    </cfRule>
  </conditionalFormatting>
  <conditionalFormatting sqref="D1630:D1649 D1651:D1676 D1686:D1700">
    <cfRule type="expression" dxfId="4" priority="7791">
      <formula>AND(NOT(HasFormula(#REF!)),#REF!&lt;&gt;"")</formula>
    </cfRule>
  </conditionalFormatting>
  <conditionalFormatting sqref="E1630:E1649 E1651:E1676 E1686:E1700">
    <cfRule type="expression" dxfId="4" priority="7792">
      <formula>AND(NOT(HasFormula(#REF!)),#REF!&lt;&gt;"")</formula>
    </cfRule>
  </conditionalFormatting>
  <conditionalFormatting sqref="H1630:H1649 H1651:H1700">
    <cfRule type="expression" dxfId="4" priority="7789">
      <formula>AND(NOT(HasFormula(#REF!)),#REF!&lt;&gt;"")</formula>
    </cfRule>
    <cfRule type="expression" dxfId="3" priority="7790">
      <formula>AND(NOT(HasFormula(XFD1630)),XFD1630&lt;&gt;"")</formula>
    </cfRule>
  </conditionalFormatting>
  <conditionalFormatting sqref="I1630:L1649 I1651:L1676 I1686:L1700">
    <cfRule type="expression" dxfId="4" priority="7793">
      <formula>AND(NOT(HasFormula(#REF!)),#REF!&lt;&gt;"")</formula>
    </cfRule>
    <cfRule type="expression" dxfId="3" priority="7794">
      <formula>AND(NOT(HasFormula(A1630)),A1630&lt;&gt;"")</formula>
    </cfRule>
  </conditionalFormatting>
  <conditionalFormatting sqref="M1635:O1635 O1636:O1649 O1651:O1664 O1686:O1700">
    <cfRule type="containsText" dxfId="1" priority="886" operator="between" text="送货车型9.6米">
      <formula>NOT(ISERROR(SEARCH("送货车型9.6米",M1635)))</formula>
    </cfRule>
  </conditionalFormatting>
  <conditionalFormatting sqref="I1702:L1706">
    <cfRule type="expression" dxfId="4" priority="7799">
      <formula>AND(NOT(HasFormula(#REF!)),#REF!&lt;&gt;"")</formula>
    </cfRule>
    <cfRule type="expression" dxfId="3" priority="7800">
      <formula>AND(NOT(HasFormula(A1702)),A1702&lt;&gt;"")</formula>
    </cfRule>
  </conditionalFormatting>
  <conditionalFormatting sqref="I1708:L1740">
    <cfRule type="expression" dxfId="4" priority="7805">
      <formula>AND(NOT(HasFormula(#REF!)),#REF!&lt;&gt;"")</formula>
    </cfRule>
    <cfRule type="expression" dxfId="3" priority="7806">
      <formula>AND(NOT(HasFormula(A1708)),A1708&lt;&gt;"")</formula>
    </cfRule>
  </conditionalFormatting>
  <conditionalFormatting sqref="D1758 D1761">
    <cfRule type="expression" dxfId="4" priority="7815">
      <formula>AND(NOT(HasFormula(#REF!)),#REF!&lt;&gt;"")</formula>
    </cfRule>
  </conditionalFormatting>
  <conditionalFormatting sqref="E1758 E1761">
    <cfRule type="expression" dxfId="4" priority="7816">
      <formula>AND(NOT(HasFormula(#REF!)),#REF!&lt;&gt;"")</formula>
    </cfRule>
  </conditionalFormatting>
  <conditionalFormatting sqref="I1758:L1758 I1761:L1761 L1762:L1769">
    <cfRule type="expression" dxfId="4" priority="7817">
      <formula>AND(NOT(HasFormula(#REF!)),#REF!&lt;&gt;"")</formula>
    </cfRule>
    <cfRule type="expression" dxfId="3" priority="7818">
      <formula>AND(NOT(HasFormula(A1758)),A1758&lt;&gt;"")</formula>
    </cfRule>
  </conditionalFormatting>
  <conditionalFormatting sqref="I1762:K1769">
    <cfRule type="expression" dxfId="4" priority="7811">
      <formula>AND(NOT(HasFormula(#REF!)),#REF!&lt;&gt;"")</formula>
    </cfRule>
    <cfRule type="expression" dxfId="3" priority="7812">
      <formula>AND(NOT(HasFormula(A1762)),A1762&lt;&gt;"")</formula>
    </cfRule>
  </conditionalFormatting>
  <conditionalFormatting sqref="D1881:E1882">
    <cfRule type="expression" dxfId="3" priority="825">
      <formula>AND(NOT(HasFormula(XEZ1881)),XEZ1881&lt;&gt;"")</formula>
    </cfRule>
  </conditionalFormatting>
  <conditionalFormatting sqref="I1881:L1882">
    <cfRule type="expression" dxfId="3" priority="831">
      <formula>AND(NOT(HasFormula(A1881)),A1881&lt;&gt;"")</formula>
    </cfRule>
    <cfRule type="expression" dxfId="4" priority="830">
      <formula>AND(NOT(HasFormula(E1882)),E1882&lt;&gt;"")</formula>
    </cfRule>
  </conditionalFormatting>
  <conditionalFormatting sqref="L1881:O1882">
    <cfRule type="containsText" dxfId="1" priority="821" operator="between" text="送货车型9.6米">
      <formula>NOT(ISERROR(SEARCH("送货车型9.6米",L1881)))</formula>
    </cfRule>
  </conditionalFormatting>
  <conditionalFormatting sqref="C1908:C1935 C1940:C1961">
    <cfRule type="timePeriod" dxfId="7" priority="777" timePeriod="yesterday">
      <formula>FLOOR(C1908,1)=TODAY()-1</formula>
    </cfRule>
  </conditionalFormatting>
  <conditionalFormatting sqref="L1908 N1908:O1908">
    <cfRule type="containsText" dxfId="1" priority="754" operator="between" text="送货车型9.6米">
      <formula>NOT(ISERROR(SEARCH("送货车型9.6米",L1908)))</formula>
    </cfRule>
  </conditionalFormatting>
  <conditionalFormatting sqref="L1909 N1909:O1909">
    <cfRule type="containsText" dxfId="1" priority="753" operator="between" text="送货车型9.6米">
      <formula>NOT(ISERROR(SEARCH("送货车型9.6米",L1909)))</formula>
    </cfRule>
  </conditionalFormatting>
  <conditionalFormatting sqref="L1910 N1910:O1910">
    <cfRule type="containsText" dxfId="1" priority="752" operator="between" text="送货车型9.6米">
      <formula>NOT(ISERROR(SEARCH("送货车型9.6米",L1910)))</formula>
    </cfRule>
  </conditionalFormatting>
  <conditionalFormatting sqref="L1911 N1911:O1911">
    <cfRule type="containsText" dxfId="1" priority="751" operator="between" text="送货车型9.6米">
      <formula>NOT(ISERROR(SEARCH("送货车型9.6米",L1911)))</formula>
    </cfRule>
  </conditionalFormatting>
  <conditionalFormatting sqref="L1912 N1912:O1912">
    <cfRule type="containsText" dxfId="1" priority="750" operator="between" text="送货车型9.6米">
      <formula>NOT(ISERROR(SEARCH("送货车型9.6米",L1912)))</formula>
    </cfRule>
  </conditionalFormatting>
  <conditionalFormatting sqref="L1913 N1913:O1913">
    <cfRule type="containsText" dxfId="1" priority="749" operator="between" text="送货车型9.6米">
      <formula>NOT(ISERROR(SEARCH("送货车型9.6米",L1913)))</formula>
    </cfRule>
  </conditionalFormatting>
  <conditionalFormatting sqref="L1914 N1914:O1914">
    <cfRule type="containsText" dxfId="1" priority="748" operator="between" text="送货车型9.6米">
      <formula>NOT(ISERROR(SEARCH("送货车型9.6米",L1914)))</formula>
    </cfRule>
  </conditionalFormatting>
  <conditionalFormatting sqref="L1915 N1915:O1915">
    <cfRule type="containsText" dxfId="1" priority="747" operator="between" text="送货车型9.6米">
      <formula>NOT(ISERROR(SEARCH("送货车型9.6米",L1915)))</formula>
    </cfRule>
  </conditionalFormatting>
  <conditionalFormatting sqref="L1916 N1916:O1916">
    <cfRule type="containsText" dxfId="1" priority="746" operator="between" text="送货车型9.6米">
      <formula>NOT(ISERROR(SEARCH("送货车型9.6米",L1916)))</formula>
    </cfRule>
  </conditionalFormatting>
  <conditionalFormatting sqref="L1917 N1917:O1917">
    <cfRule type="containsText" dxfId="1" priority="745" operator="between" text="送货车型9.6米">
      <formula>NOT(ISERROR(SEARCH("送货车型9.6米",L1917)))</formula>
    </cfRule>
  </conditionalFormatting>
  <conditionalFormatting sqref="L1918 N1918:O1918">
    <cfRule type="containsText" dxfId="1" priority="744" operator="between" text="送货车型9.6米">
      <formula>NOT(ISERROR(SEARCH("送货车型9.6米",L1918)))</formula>
    </cfRule>
  </conditionalFormatting>
  <conditionalFormatting sqref="D1919:D1935 D1940:D1961">
    <cfRule type="expression" dxfId="2" priority="780">
      <formula>AND(NOT(_xlfn.ISFORMULA(D1919)),D1919&lt;&gt;"")</formula>
    </cfRule>
  </conditionalFormatting>
  <conditionalFormatting sqref="D1919:E1935 D1940:E1961">
    <cfRule type="expression" dxfId="3" priority="783">
      <formula>AND(NOT(HasFormula(XEZ1919)),XEZ1919&lt;&gt;"")</formula>
    </cfRule>
  </conditionalFormatting>
  <conditionalFormatting sqref="J1919:L1921 I1922:L1924">
    <cfRule type="expression" dxfId="3" priority="789">
      <formula>AND(NOT(HasFormula(A1919)),A1919&lt;&gt;"")</formula>
    </cfRule>
    <cfRule type="expression" dxfId="4" priority="788">
      <formula>AND(NOT(HasFormula(E1920)),E1920&lt;&gt;"")</formula>
    </cfRule>
  </conditionalFormatting>
  <conditionalFormatting sqref="L1919:L1961 N1919:O1935 O1936:O1986 N1940:N1966">
    <cfRule type="containsText" dxfId="1" priority="779" operator="between" text="送货车型9.6米">
      <formula>NOT(ISERROR(SEARCH("送货车型9.6米",L1919)))</formula>
    </cfRule>
  </conditionalFormatting>
  <conditionalFormatting sqref="D1925:D1935 D1940:D1961">
    <cfRule type="expression" dxfId="4" priority="793">
      <formula>AND(NOT(HasFormula(#REF!)),#REF!&lt;&gt;"")</formula>
    </cfRule>
  </conditionalFormatting>
  <conditionalFormatting sqref="E1925:E1935 E1940:E1961">
    <cfRule type="expression" dxfId="4" priority="794">
      <formula>AND(NOT(HasFormula(#REF!)),#REF!&lt;&gt;"")</formula>
    </cfRule>
  </conditionalFormatting>
  <conditionalFormatting sqref="I1925:L1961">
    <cfRule type="expression" dxfId="3" priority="796">
      <formula>AND(NOT(HasFormula(A1925)),A1925&lt;&gt;"")</formula>
    </cfRule>
    <cfRule type="expression" dxfId="4" priority="795">
      <formula>AND(NOT(HasFormula(#REF!)),#REF!&lt;&gt;"")</formula>
    </cfRule>
  </conditionalFormatting>
  <conditionalFormatting sqref="M1926:M1935 M1940:M1966">
    <cfRule type="containsText" dxfId="1" priority="778" operator="between" text="送货车型9.6米">
      <formula>NOT(ISERROR(SEARCH("送货车型9.6米",M1926)))</formula>
    </cfRule>
  </conditionalFormatting>
  <conditionalFormatting sqref="I2053:L2054">
    <cfRule type="expression" dxfId="4" priority="7853">
      <formula>AND(NOT(HasFormula(#REF!)),#REF!&lt;&gt;"")</formula>
    </cfRule>
    <cfRule type="expression" dxfId="3" priority="7854">
      <formula>AND(NOT(HasFormula(A2053)),A2053&lt;&gt;"")</formula>
    </cfRule>
  </conditionalFormatting>
  <conditionalFormatting sqref="I2056:L2057">
    <cfRule type="expression" dxfId="4" priority="7859">
      <formula>AND(NOT(HasFormula(#REF!)),#REF!&lt;&gt;"")</formula>
    </cfRule>
    <cfRule type="expression" dxfId="3" priority="7860">
      <formula>AND(NOT(HasFormula(A2056)),A2056&lt;&gt;"")</formula>
    </cfRule>
  </conditionalFormatting>
  <conditionalFormatting sqref="D2058:E2086">
    <cfRule type="expression" dxfId="3" priority="704">
      <formula>AND(NOT(HasFormula(XEZ2058)),XEZ2058&lt;&gt;"")</formula>
    </cfRule>
  </conditionalFormatting>
  <conditionalFormatting sqref="I2090:L2108">
    <cfRule type="expression" dxfId="4" priority="7876">
      <formula>AND(NOT(HasFormula(#REF!)),#REF!&lt;&gt;"")</formula>
    </cfRule>
    <cfRule type="expression" dxfId="3" priority="7877">
      <formula>AND(NOT(HasFormula(A2090)),A2090&lt;&gt;"")</formula>
    </cfRule>
  </conditionalFormatting>
  <conditionalFormatting sqref="I2110:L2111">
    <cfRule type="expression" dxfId="4" priority="7882">
      <formula>AND(NOT(HasFormula(E2119)),E2119&lt;&gt;"")</formula>
    </cfRule>
    <cfRule type="expression" dxfId="3" priority="7883">
      <formula>AND(NOT(HasFormula(A2110)),A2110&lt;&gt;"")</formula>
    </cfRule>
  </conditionalFormatting>
  <conditionalFormatting sqref="I2112:L2118">
    <cfRule type="expression" dxfId="4" priority="7894">
      <formula>AND(NOT(HasFormula(E2129)),E2129&lt;&gt;"")</formula>
    </cfRule>
    <cfRule type="expression" dxfId="3" priority="7895">
      <formula>AND(NOT(HasFormula(A2112)),A2112&lt;&gt;"")</formula>
    </cfRule>
  </conditionalFormatting>
  <conditionalFormatting sqref="I2120:L2126">
    <cfRule type="expression" dxfId="4" priority="7900">
      <formula>AND(NOT(HasFormula(E2129)),E2129&lt;&gt;"")</formula>
    </cfRule>
    <cfRule type="expression" dxfId="3" priority="7901">
      <formula>AND(NOT(HasFormula(A2120)),A2120&lt;&gt;"")</formula>
    </cfRule>
  </conditionalFormatting>
  <conditionalFormatting sqref="M2120:O2128">
    <cfRule type="containsText" dxfId="1" priority="679" operator="between" text="送货车型9.6米">
      <formula>NOT(ISERROR(SEARCH("送货车型9.6米",M2120)))</formula>
    </cfRule>
  </conditionalFormatting>
  <conditionalFormatting sqref="I2127:L2128">
    <cfRule type="expression" dxfId="4" priority="7912">
      <formula>AND(NOT(HasFormula(#REF!)),#REF!&lt;&gt;"")</formula>
    </cfRule>
    <cfRule type="expression" dxfId="3" priority="7913">
      <formula>AND(NOT(HasFormula(A2127)),A2127&lt;&gt;"")</formula>
    </cfRule>
  </conditionalFormatting>
  <conditionalFormatting sqref="I2138:L2139">
    <cfRule type="expression" dxfId="4" priority="7918">
      <formula>AND(NOT(HasFormula(#REF!)),#REF!&lt;&gt;"")</formula>
    </cfRule>
    <cfRule type="expression" dxfId="3" priority="7919">
      <formula>AND(NOT(HasFormula(A2138)),A2138&lt;&gt;"")</formula>
    </cfRule>
  </conditionalFormatting>
  <conditionalFormatting sqref="I2165:L2166">
    <cfRule type="expression" dxfId="4" priority="7924">
      <formula>AND(NOT(HasFormula(#REF!)),#REF!&lt;&gt;"")</formula>
    </cfRule>
    <cfRule type="expression" dxfId="3" priority="7925">
      <formula>AND(NOT(HasFormula(A2165)),A2165&lt;&gt;"")</formula>
    </cfRule>
  </conditionalFormatting>
  <conditionalFormatting sqref="H2201:H2218 H2234:H2244 H2220:H2232">
    <cfRule type="expression" dxfId="4" priority="612">
      <formula>AND(NOT(HasFormula(D2202)),D2202&lt;&gt;"")</formula>
    </cfRule>
    <cfRule type="expression" dxfId="3" priority="613">
      <formula>AND(NOT(HasFormula(XFD2201)),XFD2201&lt;&gt;"")</formula>
    </cfRule>
  </conditionalFormatting>
  <conditionalFormatting sqref="H2219 H2233">
    <cfRule type="expression" dxfId="4" priority="8044">
      <formula>AND(NOT(HasFormula(#REF!)),#REF!&lt;&gt;"")</formula>
    </cfRule>
    <cfRule type="expression" dxfId="3" priority="8045">
      <formula>AND(NOT(HasFormula(XFD2219)),XFD2219&lt;&gt;"")</formula>
    </cfRule>
  </conditionalFormatting>
  <conditionalFormatting sqref="I2225:L2226">
    <cfRule type="expression" dxfId="4" priority="8042">
      <formula>AND(NOT(HasFormula(E2227)),E2227&lt;&gt;"")</formula>
    </cfRule>
    <cfRule type="expression" dxfId="3" priority="8043">
      <formula>AND(NOT(HasFormula(A2225)),A2225&lt;&gt;"")</formula>
    </cfRule>
  </conditionalFormatting>
  <conditionalFormatting sqref="D2234:E2237">
    <cfRule type="expression" dxfId="3" priority="619">
      <formula>AND(NOT(HasFormula(XEZ2234)),XEZ2234&lt;&gt;"")</formula>
    </cfRule>
  </conditionalFormatting>
  <conditionalFormatting sqref="I2234:L2237">
    <cfRule type="expression" dxfId="4" priority="624">
      <formula>AND(NOT(HasFormula(E2235)),E2235&lt;&gt;"")</formula>
    </cfRule>
    <cfRule type="expression" dxfId="3" priority="625">
      <formula>AND(NOT(HasFormula(A2234)),A2234&lt;&gt;"")</formula>
    </cfRule>
  </conditionalFormatting>
  <conditionalFormatting sqref="L2234:L2237 N2234:O2237">
    <cfRule type="containsText" dxfId="1" priority="615" operator="between" text="送货车型9.6米">
      <formula>NOT(ISERROR(SEARCH("送货车型9.6米",L2234)))</formula>
    </cfRule>
  </conditionalFormatting>
  <conditionalFormatting sqref="I2247:L2249">
    <cfRule type="expression" dxfId="4" priority="8054">
      <formula>AND(NOT(HasFormula(E2252)),E2252&lt;&gt;"")</formula>
    </cfRule>
    <cfRule type="expression" dxfId="3" priority="8055">
      <formula>AND(NOT(HasFormula(A2247)),A2247&lt;&gt;"")</formula>
    </cfRule>
  </conditionalFormatting>
  <conditionalFormatting sqref="D2270:E2277">
    <cfRule type="expression" dxfId="3" priority="602">
      <formula>AND(NOT(HasFormula(XEZ2270)),XEZ2270&lt;&gt;"")</formula>
    </cfRule>
  </conditionalFormatting>
  <conditionalFormatting sqref="I2270:L2277">
    <cfRule type="expression" dxfId="4" priority="605">
      <formula>AND(NOT(HasFormula(E2271)),E2271&lt;&gt;"")</formula>
    </cfRule>
    <cfRule type="expression" dxfId="3" priority="606">
      <formula>AND(NOT(HasFormula(A2270)),A2270&lt;&gt;"")</formula>
    </cfRule>
  </conditionalFormatting>
  <conditionalFormatting sqref="L2270:L2277 N2270:O2277">
    <cfRule type="containsText" dxfId="1" priority="599" operator="between" text="送货车型9.6米">
      <formula>NOT(ISERROR(SEARCH("送货车型9.6米",L2270)))</formula>
    </cfRule>
  </conditionalFormatting>
  <conditionalFormatting sqref="H2306:H2322 H2324:H2335">
    <cfRule type="expression" dxfId="4" priority="572">
      <formula>AND(NOT(HasFormula(D2307)),D2307&lt;&gt;"")</formula>
    </cfRule>
    <cfRule type="expression" dxfId="3" priority="573">
      <formula>AND(NOT(HasFormula(XFD2306)),XFD2306&lt;&gt;"")</formula>
    </cfRule>
  </conditionalFormatting>
  <conditionalFormatting sqref="N2337:O2337 L2337">
    <cfRule type="containsText" dxfId="1" priority="576" operator="between" text="送货车型9.6米">
      <formula>NOT(ISERROR(SEARCH("送货车型9.6米",L2337)))</formula>
    </cfRule>
  </conditionalFormatting>
  <conditionalFormatting sqref="N2338:O2338 L2338">
    <cfRule type="containsText" dxfId="1" priority="560" operator="between" text="送货车型9.6米">
      <formula>NOT(ISERROR(SEARCH("送货车型9.6米",L2338)))</formula>
    </cfRule>
  </conditionalFormatting>
  <conditionalFormatting sqref="D2349:E2349 E2350:E2351">
    <cfRule type="expression" dxfId="3" priority="548">
      <formula>AND(NOT(HasFormula(XEZ2349)),XEZ2349&lt;&gt;"")</formula>
    </cfRule>
  </conditionalFormatting>
  <conditionalFormatting sqref="N2349:O2349 L2349">
    <cfRule type="containsText" dxfId="1" priority="545" operator="between" text="送货车型9.6米">
      <formula>NOT(ISERROR(SEARCH("送货车型9.6米",L2349)))</formula>
    </cfRule>
  </conditionalFormatting>
  <conditionalFormatting sqref="H2522:H2528 H2535:H2547">
    <cfRule type="expression" dxfId="4" priority="524">
      <formula>AND(NOT(HasFormula(D2523)),D2523&lt;&gt;"")</formula>
    </cfRule>
    <cfRule type="expression" dxfId="3" priority="525">
      <formula>AND(NOT(HasFormula(XFD2522)),XFD2522&lt;&gt;"")</formula>
    </cfRule>
  </conditionalFormatting>
  <conditionalFormatting sqref="I2529:L2532">
    <cfRule type="expression" dxfId="4" priority="8164">
      <formula>AND(NOT(HasFormula(E2533)),E2533&lt;&gt;"")</formula>
    </cfRule>
    <cfRule type="expression" dxfId="3" priority="8165">
      <formula>AND(NOT(HasFormula(A2529)),A2529&lt;&gt;"")</formula>
    </cfRule>
  </conditionalFormatting>
  <conditionalFormatting sqref="I2602:L2603">
    <cfRule type="expression" dxfId="4" priority="8188">
      <formula>AND(NOT(HasFormula(E2605)),E2605&lt;&gt;"")</formula>
    </cfRule>
    <cfRule type="expression" dxfId="3" priority="8189">
      <formula>AND(NOT(HasFormula(A2602)),A2602&lt;&gt;"")</formula>
    </cfRule>
  </conditionalFormatting>
  <conditionalFormatting sqref="H2665:H2757 H2647:H2649">
    <cfRule type="expression" dxfId="4" priority="8218">
      <formula>AND(NOT(HasFormula(#REF!)),#REF!&lt;&gt;"")</formula>
    </cfRule>
    <cfRule type="expression" dxfId="3" priority="8219">
      <formula>AND(NOT(HasFormula(XFD2647)),XFD2647&lt;&gt;"")</formula>
    </cfRule>
  </conditionalFormatting>
  <conditionalFormatting sqref="I2725:L2726">
    <cfRule type="expression" dxfId="4" priority="8255">
      <formula>AND(NOT(HasFormula(E2727)),E2727&lt;&gt;"")</formula>
    </cfRule>
    <cfRule type="expression" dxfId="3" priority="8256">
      <formula>AND(NOT(HasFormula(A2725)),A2725&lt;&gt;"")</formula>
    </cfRule>
  </conditionalFormatting>
  <conditionalFormatting sqref="D2758:E2761">
    <cfRule type="expression" dxfId="3" priority="474">
      <formula>AND(NOT(HasFormula(XEZ2758)),XEZ2758&lt;&gt;"")</formula>
    </cfRule>
  </conditionalFormatting>
  <conditionalFormatting sqref="I2758:L2761">
    <cfRule type="expression" dxfId="3" priority="478">
      <formula>AND(NOT(HasFormula(A2758)),A2758&lt;&gt;"")</formula>
    </cfRule>
    <cfRule type="expression" dxfId="4" priority="477">
      <formula>AND(NOT(HasFormula(E2759)),E2759&lt;&gt;"")</formula>
    </cfRule>
  </conditionalFormatting>
  <conditionalFormatting sqref="L2758:O2761">
    <cfRule type="containsText" dxfId="1" priority="471" operator="between" text="送货车型9.6米">
      <formula>NOT(ISERROR(SEARCH("送货车型9.6米",L2758)))</formula>
    </cfRule>
  </conditionalFormatting>
  <conditionalFormatting sqref="I2768:L2769">
    <cfRule type="expression" dxfId="4" priority="8285">
      <formula>AND(NOT(HasFormula(E2770)),E2770&lt;&gt;"")</formula>
    </cfRule>
    <cfRule type="expression" dxfId="3" priority="8286">
      <formula>AND(NOT(HasFormula(A2768)),A2768&lt;&gt;"")</formula>
    </cfRule>
  </conditionalFormatting>
  <conditionalFormatting sqref="I2771:L2772">
    <cfRule type="expression" dxfId="4" priority="8263">
      <formula>AND(NOT(HasFormula(#REF!)),#REF!&lt;&gt;"")</formula>
    </cfRule>
    <cfRule type="expression" dxfId="3" priority="8264">
      <formula>AND(NOT(HasFormula(A2771)),A2771&lt;&gt;"")</formula>
    </cfRule>
  </conditionalFormatting>
  <conditionalFormatting sqref="I2796:L2797">
    <cfRule type="expression" dxfId="4" priority="8279">
      <formula>AND(NOT(HasFormula(E2798)),E2798&lt;&gt;"")</formula>
    </cfRule>
    <cfRule type="expression" dxfId="3" priority="8280">
      <formula>AND(NOT(HasFormula(A2796)),A2796&lt;&gt;"")</formula>
    </cfRule>
  </conditionalFormatting>
  <conditionalFormatting sqref="L2891 I2891">
    <cfRule type="expression" dxfId="4" priority="8445">
      <formula>AND(NOT(HasFormula(#REF!)),#REF!&lt;&gt;"")</formula>
    </cfRule>
    <cfRule type="expression" dxfId="3" priority="8446">
      <formula>AND(NOT(HasFormula(A2891)),A2891&lt;&gt;"")</formula>
    </cfRule>
  </conditionalFormatting>
  <conditionalFormatting sqref="J2892:K2899">
    <cfRule type="expression" dxfId="4" priority="8357">
      <formula>AND(NOT(HasFormula(#REF!)),#REF!&lt;&gt;"")</formula>
    </cfRule>
    <cfRule type="expression" dxfId="3" priority="8358">
      <formula>AND(NOT(HasFormula(B2892)),B2892&lt;&gt;"")</formula>
    </cfRule>
  </conditionalFormatting>
  <conditionalFormatting sqref="I2906:L2907">
    <cfRule type="expression" dxfId="4" priority="8371">
      <formula>AND(NOT(HasFormula(E2908)),E2908&lt;&gt;"")</formula>
    </cfRule>
    <cfRule type="expression" dxfId="3" priority="8372">
      <formula>AND(NOT(HasFormula(A2906)),A2906&lt;&gt;"")</formula>
    </cfRule>
  </conditionalFormatting>
  <conditionalFormatting sqref="I2924:L2925">
    <cfRule type="expression" dxfId="4" priority="8365">
      <formula>AND(NOT(HasFormula(E2926)),E2926&lt;&gt;"")</formula>
    </cfRule>
    <cfRule type="expression" dxfId="3" priority="8366">
      <formula>AND(NOT(HasFormula(A2924)),A2924&lt;&gt;"")</formula>
    </cfRule>
  </conditionalFormatting>
  <conditionalFormatting sqref="D2949:E2953">
    <cfRule type="expression" dxfId="3" priority="449">
      <formula>AND(NOT(HasFormula(XEZ2949)),XEZ2949&lt;&gt;"")</formula>
    </cfRule>
  </conditionalFormatting>
  <conditionalFormatting sqref="I2949:L2953">
    <cfRule type="expression" dxfId="4" priority="454">
      <formula>AND(NOT(HasFormula(E2950)),E2950&lt;&gt;"")</formula>
    </cfRule>
    <cfRule type="expression" dxfId="3" priority="455">
      <formula>AND(NOT(HasFormula(A2949)),A2949&lt;&gt;"")</formula>
    </cfRule>
  </conditionalFormatting>
  <conditionalFormatting sqref="L2949:O2953">
    <cfRule type="containsText" dxfId="1" priority="445" operator="between" text="送货车型9.6米">
      <formula>NOT(ISERROR(SEARCH("送货车型9.6米",L2949)))</formula>
    </cfRule>
  </conditionalFormatting>
  <conditionalFormatting sqref="D2958:E2960">
    <cfRule type="expression" dxfId="3" priority="435">
      <formula>AND(NOT(HasFormula(XEZ2958)),XEZ2958&lt;&gt;"")</formula>
    </cfRule>
  </conditionalFormatting>
  <conditionalFormatting sqref="I2958:L2960">
    <cfRule type="expression" dxfId="4" priority="438">
      <formula>AND(NOT(HasFormula(E2959)),E2959&lt;&gt;"")</formula>
    </cfRule>
    <cfRule type="expression" dxfId="3" priority="439">
      <formula>AND(NOT(HasFormula(A2958)),A2958&lt;&gt;"")</formula>
    </cfRule>
  </conditionalFormatting>
  <conditionalFormatting sqref="L2958:O2960">
    <cfRule type="containsText" dxfId="1" priority="431" operator="between" text="送货车型9.6米">
      <formula>NOT(ISERROR(SEARCH("送货车型9.6米",L2958)))</formula>
    </cfRule>
  </conditionalFormatting>
  <conditionalFormatting sqref="I2966:L2967">
    <cfRule type="expression" dxfId="4" priority="8425">
      <formula>AND(NOT(HasFormula(E2968)),E2968&lt;&gt;"")</formula>
    </cfRule>
    <cfRule type="expression" dxfId="3" priority="8426">
      <formula>AND(NOT(HasFormula(A2966)),A2966&lt;&gt;"")</formula>
    </cfRule>
  </conditionalFormatting>
  <conditionalFormatting sqref="I2974:L2975">
    <cfRule type="expression" dxfId="4" priority="8429">
      <formula>AND(NOT(HasFormula(E2976)),E2976&lt;&gt;"")</formula>
    </cfRule>
    <cfRule type="expression" dxfId="3" priority="8430">
      <formula>AND(NOT(HasFormula(A2974)),A2974&lt;&gt;"")</formula>
    </cfRule>
  </conditionalFormatting>
  <conditionalFormatting sqref="D2996:E3002">
    <cfRule type="expression" dxfId="3" priority="417">
      <formula>AND(NOT(HasFormula(XEZ2996)),XEZ2996&lt;&gt;"")</formula>
    </cfRule>
  </conditionalFormatting>
  <conditionalFormatting sqref="D2996:D2998 D3000:D3002">
    <cfRule type="expression" dxfId="4" priority="416">
      <formula>AND(NOT(HasFormula(XFD2997)),XFD2997&lt;&gt;"")</formula>
    </cfRule>
  </conditionalFormatting>
  <conditionalFormatting sqref="E2996:E2998 E3000:E3002">
    <cfRule type="expression" dxfId="4" priority="422">
      <formula>AND(NOT(HasFormula(A2997)),A2997&lt;&gt;"")</formula>
    </cfRule>
  </conditionalFormatting>
  <conditionalFormatting sqref="I2996:L2998 I3000:L3002">
    <cfRule type="expression" dxfId="4" priority="420">
      <formula>AND(NOT(HasFormula(E2997)),E2997&lt;&gt;"")</formula>
    </cfRule>
    <cfRule type="expression" dxfId="3" priority="421">
      <formula>AND(NOT(HasFormula(A2996)),A2996&lt;&gt;"")</formula>
    </cfRule>
  </conditionalFormatting>
  <conditionalFormatting sqref="L2996:O3002">
    <cfRule type="containsText" dxfId="1" priority="414" operator="between" text="送货车型9.6米">
      <formula>NOT(ISERROR(SEARCH("送货车型9.6米",L2996)))</formula>
    </cfRule>
  </conditionalFormatting>
  <conditionalFormatting sqref="D3025 D3042">
    <cfRule type="expression" dxfId="4" priority="8449">
      <formula>AND(NOT(HasFormula(#REF!)),#REF!&lt;&gt;"")</formula>
    </cfRule>
  </conditionalFormatting>
  <conditionalFormatting sqref="E3025 E3042">
    <cfRule type="expression" dxfId="4" priority="8450">
      <formula>AND(NOT(HasFormula(#REF!)),#REF!&lt;&gt;"")</formula>
    </cfRule>
  </conditionalFormatting>
  <conditionalFormatting sqref="I3025:L3025 I3042:L3042">
    <cfRule type="expression" dxfId="4" priority="8451">
      <formula>AND(NOT(HasFormula(#REF!)),#REF!&lt;&gt;"")</formula>
    </cfRule>
    <cfRule type="expression" dxfId="3" priority="8452">
      <formula>AND(NOT(HasFormula(A3025)),A3025&lt;&gt;"")</formula>
    </cfRule>
  </conditionalFormatting>
  <conditionalFormatting sqref="D3026:E3028">
    <cfRule type="expression" dxfId="3" priority="392">
      <formula>AND(NOT(HasFormula(XEZ3026)),XEZ3026&lt;&gt;"")</formula>
    </cfRule>
  </conditionalFormatting>
  <conditionalFormatting sqref="I3026:L3027">
    <cfRule type="expression" dxfId="4" priority="395">
      <formula>AND(NOT(HasFormula(E3027)),E3027&lt;&gt;"")</formula>
    </cfRule>
    <cfRule type="expression" dxfId="3" priority="396">
      <formula>AND(NOT(HasFormula(A3026)),A3026&lt;&gt;"")</formula>
    </cfRule>
  </conditionalFormatting>
  <conditionalFormatting sqref="L3026:O3028">
    <cfRule type="containsText" dxfId="1" priority="389" operator="between" text="送货车型9.6米">
      <formula>NOT(ISERROR(SEARCH("送货车型9.6米",L3026)))</formula>
    </cfRule>
  </conditionalFormatting>
  <conditionalFormatting sqref="D3043:E3048">
    <cfRule type="expression" dxfId="3" priority="315">
      <formula>AND(NOT(HasFormula(XEZ3043)),XEZ3043&lt;&gt;"")</formula>
    </cfRule>
  </conditionalFormatting>
  <conditionalFormatting sqref="D3043:D3044 D3046:D3048">
    <cfRule type="expression" dxfId="4" priority="314">
      <formula>AND(NOT(HasFormula(XFD3044)),XFD3044&lt;&gt;"")</formula>
    </cfRule>
  </conditionalFormatting>
  <conditionalFormatting sqref="E3043:E3044 E3046:E3048">
    <cfRule type="expression" dxfId="4" priority="320">
      <formula>AND(NOT(HasFormula(A3044)),A3044&lt;&gt;"")</formula>
    </cfRule>
  </conditionalFormatting>
  <conditionalFormatting sqref="I3043:L3044 I3046:L3048">
    <cfRule type="expression" dxfId="4" priority="318">
      <formula>AND(NOT(HasFormula(E3044)),E3044&lt;&gt;"")</formula>
    </cfRule>
    <cfRule type="expression" dxfId="3" priority="319">
      <formula>AND(NOT(HasFormula(A3043)),A3043&lt;&gt;"")</formula>
    </cfRule>
  </conditionalFormatting>
  <conditionalFormatting sqref="L3043:L3048 N3043:O3048">
    <cfRule type="containsText" dxfId="1" priority="312" operator="between" text="送货车型9.6米">
      <formula>NOT(ISERROR(SEARCH("送货车型9.6米",L3043)))</formula>
    </cfRule>
  </conditionalFormatting>
  <conditionalFormatting sqref="D3049:E3051">
    <cfRule type="expression" dxfId="3" priority="328">
      <formula>AND(NOT(HasFormula(XEZ3049)),XEZ3049&lt;&gt;"")</formula>
    </cfRule>
  </conditionalFormatting>
  <conditionalFormatting sqref="D3049 D3051">
    <cfRule type="expression" dxfId="4" priority="327">
      <formula>AND(NOT(HasFormula(XFD3050)),XFD3050&lt;&gt;"")</formula>
    </cfRule>
  </conditionalFormatting>
  <conditionalFormatting sqref="E3049 E3051">
    <cfRule type="expression" dxfId="4" priority="333">
      <formula>AND(NOT(HasFormula(A3050)),A3050&lt;&gt;"")</formula>
    </cfRule>
  </conditionalFormatting>
  <conditionalFormatting sqref="I3049:L3049 I3051:L3051">
    <cfRule type="expression" dxfId="4" priority="331">
      <formula>AND(NOT(HasFormula(E3050)),E3050&lt;&gt;"")</formula>
    </cfRule>
    <cfRule type="expression" dxfId="3" priority="332">
      <formula>AND(NOT(HasFormula(A3049)),A3049&lt;&gt;"")</formula>
    </cfRule>
  </conditionalFormatting>
  <conditionalFormatting sqref="L3049:O3051">
    <cfRule type="containsText" dxfId="1" priority="325" operator="between" text="送货车型9.6米">
      <formula>NOT(ISERROR(SEARCH("送货车型9.6米",L3049)))</formula>
    </cfRule>
  </conditionalFormatting>
  <conditionalFormatting sqref="D3052:D3053 D3055:D3056">
    <cfRule type="expression" dxfId="2" priority="339">
      <formula>AND(NOT(_xlfn.ISFORMULA(D3052)),D3052&lt;&gt;"")</formula>
    </cfRule>
    <cfRule type="expression" dxfId="4" priority="340">
      <formula>AND(NOT(HasFormula(XFD3053)),XFD3053&lt;&gt;"")</formula>
    </cfRule>
  </conditionalFormatting>
  <conditionalFormatting sqref="D3052:E3056 D3057:D3058">
    <cfRule type="expression" dxfId="3" priority="341">
      <formula>AND(NOT(HasFormula(XEZ3052)),XEZ3052&lt;&gt;"")</formula>
    </cfRule>
  </conditionalFormatting>
  <conditionalFormatting sqref="E3052:E3053 E3056">
    <cfRule type="expression" dxfId="4" priority="346">
      <formula>AND(NOT(HasFormula(A3053)),A3053&lt;&gt;"")</formula>
    </cfRule>
  </conditionalFormatting>
  <conditionalFormatting sqref="I3052:L3053 J3055:L3056">
    <cfRule type="expression" dxfId="4" priority="344">
      <formula>AND(NOT(HasFormula(E3053)),E3053&lt;&gt;"")</formula>
    </cfRule>
    <cfRule type="expression" dxfId="3" priority="345">
      <formula>AND(NOT(HasFormula(A3052)),A3052&lt;&gt;"")</formula>
    </cfRule>
  </conditionalFormatting>
  <conditionalFormatting sqref="L3052:L3053 N3052:O3053 L3054:O3058">
    <cfRule type="containsText" dxfId="1" priority="338" operator="between" text="送货车型9.6米">
      <formula>NOT(ISERROR(SEARCH("送货车型9.6米",L3052)))</formula>
    </cfRule>
  </conditionalFormatting>
  <conditionalFormatting sqref="I3057:L3058">
    <cfRule type="expression" dxfId="4" priority="8486">
      <formula>AND(NOT(HasFormula(E3059)),E3059&lt;&gt;"")</formula>
    </cfRule>
    <cfRule type="expression" dxfId="3" priority="8487">
      <formula>AND(NOT(HasFormula(A3057)),A3057&lt;&gt;"")</formula>
    </cfRule>
  </conditionalFormatting>
  <conditionalFormatting sqref="D3075:E3088">
    <cfRule type="expression" dxfId="3" priority="284">
      <formula>AND(NOT(HasFormula(XEZ3075)),XEZ3075&lt;&gt;"")</formula>
    </cfRule>
  </conditionalFormatting>
  <conditionalFormatting sqref="I3078:L3087">
    <cfRule type="expression" dxfId="4" priority="8482">
      <formula>AND(NOT(HasFormula(E3089)),E3089&lt;&gt;"")</formula>
    </cfRule>
    <cfRule type="expression" dxfId="3" priority="8483">
      <formula>AND(NOT(HasFormula(A3078)),A3078&lt;&gt;"")</formula>
    </cfRule>
  </conditionalFormatting>
  <conditionalFormatting sqref="I3141:L3142">
    <cfRule type="expression" dxfId="4" priority="8530">
      <formula>AND(NOT(HasFormula(E3143)),E3143&lt;&gt;"")</formula>
    </cfRule>
    <cfRule type="expression" dxfId="3" priority="8531">
      <formula>AND(NOT(HasFormula(A3141)),A3141&lt;&gt;"")</formula>
    </cfRule>
  </conditionalFormatting>
  <conditionalFormatting sqref="D3184:D3204 D3214:D3227">
    <cfRule type="expression" dxfId="4" priority="235">
      <formula>AND(NOT(HasFormula(XFD3185)),XFD3185&lt;&gt;"")</formula>
    </cfRule>
  </conditionalFormatting>
  <conditionalFormatting sqref="D3184:E3227">
    <cfRule type="expression" dxfId="3" priority="236">
      <formula>AND(NOT(HasFormula(XEZ3184)),XEZ3184&lt;&gt;"")</formula>
    </cfRule>
  </conditionalFormatting>
  <conditionalFormatting sqref="E3184:E3204 E3214:E3227">
    <cfRule type="expression" dxfId="4" priority="243">
      <formula>AND(NOT(HasFormula(A3185)),A3185&lt;&gt;"")</formula>
    </cfRule>
  </conditionalFormatting>
  <conditionalFormatting sqref="I3184:L3204 I3214:L3227">
    <cfRule type="expression" dxfId="4" priority="241">
      <formula>AND(NOT(HasFormula(E3185)),E3185&lt;&gt;"")</formula>
    </cfRule>
    <cfRule type="expression" dxfId="3" priority="242">
      <formula>AND(NOT(HasFormula(A3184)),A3184&lt;&gt;"")</formula>
    </cfRule>
  </conditionalFormatting>
  <conditionalFormatting sqref="L3184:O3227">
    <cfRule type="containsText" dxfId="1" priority="232" operator="between" text="送货车型9.6米">
      <formula>NOT(ISERROR(SEARCH("送货车型9.6米",L3184)))</formula>
    </cfRule>
  </conditionalFormatting>
  <conditionalFormatting sqref="I3212:L3213">
    <cfRule type="expression" dxfId="4" priority="8570">
      <formula>AND(NOT(HasFormula(E3214)),E3214&lt;&gt;"")</formula>
    </cfRule>
    <cfRule type="expression" dxfId="3" priority="8571">
      <formula>AND(NOT(HasFormula(A3212)),A3212&lt;&gt;"")</formula>
    </cfRule>
  </conditionalFormatting>
  <conditionalFormatting sqref="I3284:L3285">
    <cfRule type="expression" dxfId="4" priority="8578">
      <formula>AND(NOT(HasFormula(#REF!)),#REF!&lt;&gt;"")</formula>
    </cfRule>
    <cfRule type="expression" dxfId="3" priority="8579">
      <formula>AND(NOT(HasFormula(A3284)),A3284&lt;&gt;"")</formula>
    </cfRule>
  </conditionalFormatting>
  <conditionalFormatting sqref="I3322:L3323">
    <cfRule type="expression" dxfId="4" priority="8584">
      <formula>AND(NOT(HasFormula(E3324)),E3324&lt;&gt;"")</formula>
    </cfRule>
    <cfRule type="expression" dxfId="3" priority="8585">
      <formula>AND(NOT(HasFormula(A3322)),A3322&lt;&gt;"")</formula>
    </cfRule>
  </conditionalFormatting>
  <conditionalFormatting sqref="I3330:L3331">
    <cfRule type="expression" dxfId="4" priority="8610">
      <formula>AND(NOT(HasFormula(E3332)),E3332&lt;&gt;"")</formula>
    </cfRule>
    <cfRule type="expression" dxfId="3" priority="8611">
      <formula>AND(NOT(HasFormula(A3330)),A3330&lt;&gt;"")</formula>
    </cfRule>
  </conditionalFormatting>
  <conditionalFormatting sqref="I3346:L3347">
    <cfRule type="expression" dxfId="4" priority="8614">
      <formula>AND(NOT(HasFormula(E3348)),E3348&lt;&gt;"")</formula>
    </cfRule>
    <cfRule type="expression" dxfId="3" priority="8615">
      <formula>AND(NOT(HasFormula(A3346)),A3346&lt;&gt;"")</formula>
    </cfRule>
  </conditionalFormatting>
  <conditionalFormatting sqref="D3469 D3481">
    <cfRule type="expression" dxfId="4" priority="8712">
      <formula>AND(NOT(HasFormula(#REF!)),#REF!&lt;&gt;"")</formula>
    </cfRule>
  </conditionalFormatting>
  <conditionalFormatting sqref="E3469 E3481">
    <cfRule type="expression" dxfId="4" priority="8713">
      <formula>AND(NOT(HasFormula(#REF!)),#REF!&lt;&gt;"")</formula>
    </cfRule>
  </conditionalFormatting>
  <conditionalFormatting sqref="H3469 H3481:H3487">
    <cfRule type="expression" dxfId="4" priority="8710">
      <formula>AND(NOT(HasFormula(#REF!)),#REF!&lt;&gt;"")</formula>
    </cfRule>
    <cfRule type="expression" dxfId="3" priority="8711">
      <formula>AND(NOT(HasFormula(XFD3469)),XFD3469&lt;&gt;"")</formula>
    </cfRule>
  </conditionalFormatting>
  <conditionalFormatting sqref="I3469:L3469 I3481:L3481">
    <cfRule type="expression" dxfId="4" priority="8714">
      <formula>AND(NOT(HasFormula(#REF!)),#REF!&lt;&gt;"")</formula>
    </cfRule>
    <cfRule type="expression" dxfId="3" priority="8715">
      <formula>AND(NOT(HasFormula(A3469)),A3469&lt;&gt;"")</formula>
    </cfRule>
  </conditionalFormatting>
  <conditionalFormatting sqref="I3540:L3541">
    <cfRule type="expression" dxfId="4" priority="8774">
      <formula>AND(NOT(HasFormula(E3542)),E3542&lt;&gt;"")</formula>
    </cfRule>
    <cfRule type="expression" dxfId="3" priority="8775">
      <formula>AND(NOT(HasFormula(A3540)),A3540&lt;&gt;"")</formula>
    </cfRule>
  </conditionalFormatting>
  <conditionalFormatting sqref="I3569:L3570">
    <cfRule type="expression" dxfId="4" priority="8786">
      <formula>AND(NOT(HasFormula(E3572)),E3572&lt;&gt;"")</formula>
    </cfRule>
    <cfRule type="expression" dxfId="3" priority="8787">
      <formula>AND(NOT(HasFormula(A3569)),A3569&lt;&gt;"")</formula>
    </cfRule>
  </conditionalFormatting>
  <conditionalFormatting sqref="I3604:L3605">
    <cfRule type="expression" dxfId="4" priority="8810">
      <formula>AND(NOT(HasFormula(E3606)),E3606&lt;&gt;"")</formula>
    </cfRule>
    <cfRule type="expression" dxfId="3" priority="8811">
      <formula>AND(NOT(HasFormula(A3604)),A3604&lt;&gt;"")</formula>
    </cfRule>
  </conditionalFormatting>
  <conditionalFormatting sqref="I3609:L3610">
    <cfRule type="expression" dxfId="4" priority="8828">
      <formula>AND(NOT(HasFormula(E3611)),E3611&lt;&gt;"")</formula>
    </cfRule>
    <cfRule type="expression" dxfId="3" priority="8829">
      <formula>AND(NOT(HasFormula(A3609)),A3609&lt;&gt;"")</formula>
    </cfRule>
  </conditionalFormatting>
  <conditionalFormatting sqref="I3617:L3618">
    <cfRule type="expression" dxfId="4" priority="8836">
      <formula>AND(NOT(HasFormula(E3619)),E3619&lt;&gt;"")</formula>
    </cfRule>
    <cfRule type="expression" dxfId="3" priority="8837">
      <formula>AND(NOT(HasFormula(A3617)),A3617&lt;&gt;"")</formula>
    </cfRule>
  </conditionalFormatting>
  <conditionalFormatting sqref="I3627:L3628">
    <cfRule type="expression" dxfId="4" priority="8848">
      <formula>AND(NOT(HasFormula(E3629)),E3629&lt;&gt;"")</formula>
    </cfRule>
    <cfRule type="expression" dxfId="3" priority="8849">
      <formula>AND(NOT(HasFormula(A3627)),A3627&lt;&gt;"")</formula>
    </cfRule>
  </conditionalFormatting>
  <conditionalFormatting sqref="I3630:L3633">
    <cfRule type="expression" dxfId="4" priority="8854">
      <formula>AND(NOT(HasFormula(E3634)),E3634&lt;&gt;"")</formula>
    </cfRule>
    <cfRule type="expression" dxfId="3" priority="8855">
      <formula>AND(NOT(HasFormula(A3630)),A3630&lt;&gt;"")</formula>
    </cfRule>
  </conditionalFormatting>
  <conditionalFormatting sqref="I3673:L3674">
    <cfRule type="expression" dxfId="4" priority="8872">
      <formula>AND(NOT(HasFormula(E3679)),E3679&lt;&gt;"")</formula>
    </cfRule>
    <cfRule type="expression" dxfId="3" priority="8873">
      <formula>AND(NOT(HasFormula(A3673)),A3673&lt;&gt;"")</formula>
    </cfRule>
  </conditionalFormatting>
  <conditionalFormatting sqref="I3675:L3678">
    <cfRule type="expression" dxfId="4" priority="8870">
      <formula>AND(NOT(HasFormula(E3679)),E3679&lt;&gt;"")</formula>
    </cfRule>
    <cfRule type="expression" dxfId="3" priority="8871">
      <formula>AND(NOT(HasFormula(A3675)),A3675&lt;&gt;"")</formula>
    </cfRule>
  </conditionalFormatting>
  <conditionalFormatting sqref="D3723:D3724 D3727">
    <cfRule type="expression" dxfId="4" priority="8876">
      <formula>AND(NOT(HasFormula(#REF!)),#REF!&lt;&gt;"")</formula>
    </cfRule>
  </conditionalFormatting>
  <conditionalFormatting sqref="E3723:E3724 E3727">
    <cfRule type="expression" dxfId="4" priority="8877">
      <formula>AND(NOT(HasFormula(#REF!)),#REF!&lt;&gt;"")</formula>
    </cfRule>
  </conditionalFormatting>
  <conditionalFormatting sqref="H3723:H3724 H3727">
    <cfRule type="expression" dxfId="4" priority="8874">
      <formula>AND(NOT(HasFormula(#REF!)),#REF!&lt;&gt;"")</formula>
    </cfRule>
    <cfRule type="expression" dxfId="3" priority="8875">
      <formula>AND(NOT(HasFormula(XFD3723)),XFD3723&lt;&gt;"")</formula>
    </cfRule>
  </conditionalFormatting>
  <conditionalFormatting sqref="I3723:L3724 I3727:L3727">
    <cfRule type="expression" dxfId="4" priority="8878">
      <formula>AND(NOT(HasFormula(#REF!)),#REF!&lt;&gt;"")</formula>
    </cfRule>
    <cfRule type="expression" dxfId="3" priority="8879">
      <formula>AND(NOT(HasFormula(A3723)),A3723&lt;&gt;"")</formula>
    </cfRule>
  </conditionalFormatting>
  <conditionalFormatting sqref="I3852:L3853">
    <cfRule type="expression" dxfId="4" priority="8944">
      <formula>AND(NOT(HasFormula(E3854)),E3854&lt;&gt;"")</formula>
    </cfRule>
    <cfRule type="expression" dxfId="3" priority="8945">
      <formula>AND(NOT(HasFormula(A3852)),A3852&lt;&gt;"")</formula>
    </cfRule>
  </conditionalFormatting>
  <conditionalFormatting sqref="I3876:L3877">
    <cfRule type="expression" dxfId="4" priority="8938">
      <formula>AND(NOT(HasFormula(#REF!)),#REF!&lt;&gt;"")</formula>
    </cfRule>
    <cfRule type="expression" dxfId="3" priority="8939">
      <formula>AND(NOT(HasFormula(A3876)),A3876&lt;&gt;"")</formula>
    </cfRule>
  </conditionalFormatting>
  <conditionalFormatting sqref="I3911:L3913">
    <cfRule type="expression" dxfId="4" priority="8962">
      <formula>AND(NOT(HasFormula(#REF!)),#REF!&lt;&gt;"")</formula>
    </cfRule>
    <cfRule type="expression" dxfId="3" priority="8963">
      <formula>AND(NOT(HasFormula(A3911)),A3911&lt;&gt;"")</formula>
    </cfRule>
  </conditionalFormatting>
  <conditionalFormatting sqref="D4067:E4067 D4068:E4068">
    <cfRule type="expression" dxfId="3" priority="148">
      <formula>AND(NOT(HasFormula(XEZ4067)),XEZ4067&lt;&gt;"")</formula>
    </cfRule>
  </conditionalFormatting>
  <conditionalFormatting sqref="D4067 D4068">
    <cfRule type="expression" dxfId="4" priority="147">
      <formula>AND(NOT(HasFormula(XFD4068)),XFD4068&lt;&gt;"")</formula>
    </cfRule>
    <cfRule type="expression" dxfId="2" priority="145">
      <formula>AND(NOT(_xlfn.ISFORMULA(D4067)),D4067&lt;&gt;"")</formula>
    </cfRule>
  </conditionalFormatting>
  <conditionalFormatting sqref="E4067 E4068">
    <cfRule type="expression" dxfId="4" priority="155">
      <formula>AND(NOT(HasFormula(A4068)),A4068&lt;&gt;"")</formula>
    </cfRule>
  </conditionalFormatting>
  <conditionalFormatting sqref="F4067 F4068">
    <cfRule type="containsText" dxfId="5" priority="150" operator="between" text="HRB500E">
      <formula>NOT(ISERROR(SEARCH("HRB500E",F4067)))</formula>
    </cfRule>
    <cfRule type="containsText" dxfId="6" priority="149" operator="between" text="12m">
      <formula>NOT(ISERROR(SEARCH("12m",F4067)))</formula>
    </cfRule>
  </conditionalFormatting>
  <conditionalFormatting sqref="I4067:L4067 I4068:L4068">
    <cfRule type="expression" dxfId="3" priority="154">
      <formula>AND(NOT(HasFormula(A4067)),A4067&lt;&gt;"")</formula>
    </cfRule>
    <cfRule type="expression" dxfId="4" priority="153">
      <formula>AND(NOT(HasFormula(E4068)),E4068&lt;&gt;"")</formula>
    </cfRule>
  </conditionalFormatting>
  <conditionalFormatting sqref="L4067:O4067 L4068:O4068">
    <cfRule type="containsText" dxfId="1" priority="144" operator="between" text="送货车型9.6米">
      <formula>NOT(ISERROR(SEARCH("送货车型9.6米",L4067)))</formula>
    </cfRule>
  </conditionalFormatting>
  <conditionalFormatting sqref="I4087:L4088">
    <cfRule type="expression" dxfId="4" priority="8974">
      <formula>AND(NOT(HasFormula(E4089)),E4089&lt;&gt;"")</formula>
    </cfRule>
    <cfRule type="expression" dxfId="3" priority="8975">
      <formula>AND(NOT(HasFormula(A4087)),A4087&lt;&gt;"")</formula>
    </cfRule>
  </conditionalFormatting>
  <conditionalFormatting sqref="H4125:H4155 H4159:H4160">
    <cfRule type="expression" dxfId="4" priority="119">
      <formula>AND(NOT(HasFormula(D4126)),D4126&lt;&gt;"")</formula>
    </cfRule>
    <cfRule type="expression" dxfId="3" priority="120">
      <formula>AND(NOT(HasFormula(XFD4125)),XFD4125&lt;&gt;"")</formula>
    </cfRule>
  </conditionalFormatting>
  <conditionalFormatting sqref="D4148:E4149 D4150:E4150">
    <cfRule type="expression" dxfId="3" priority="133">
      <formula>AND(NOT(HasFormula(XEZ4148)),XEZ4148&lt;&gt;"")</formula>
    </cfRule>
  </conditionalFormatting>
  <conditionalFormatting sqref="D4148:D4149 D4150">
    <cfRule type="expression" dxfId="4" priority="132">
      <formula>AND(NOT(HasFormula(XFD4149)),XFD4149&lt;&gt;"")</formula>
    </cfRule>
    <cfRule type="expression" dxfId="2" priority="130">
      <formula>AND(NOT(_xlfn.ISFORMULA(D4148)),D4148&lt;&gt;"")</formula>
    </cfRule>
  </conditionalFormatting>
  <conditionalFormatting sqref="E4148:E4149 E4150">
    <cfRule type="expression" dxfId="4" priority="140">
      <formula>AND(NOT(HasFormula(A4149)),A4149&lt;&gt;"")</formula>
    </cfRule>
  </conditionalFormatting>
  <conditionalFormatting sqref="F4148:F4149 F4150">
    <cfRule type="containsText" dxfId="5" priority="135" operator="between" text="HRB500E">
      <formula>NOT(ISERROR(SEARCH("HRB500E",F4148)))</formula>
    </cfRule>
    <cfRule type="containsText" dxfId="6" priority="134" operator="between" text="12m">
      <formula>NOT(ISERROR(SEARCH("12m",F4148)))</formula>
    </cfRule>
  </conditionalFormatting>
  <conditionalFormatting sqref="I4148:L4149 I4150:L4150">
    <cfRule type="expression" dxfId="3" priority="139">
      <formula>AND(NOT(HasFormula(A4148)),A4148&lt;&gt;"")</formula>
    </cfRule>
    <cfRule type="expression" dxfId="4" priority="138">
      <formula>AND(NOT(HasFormula(E4149)),E4149&lt;&gt;"")</formula>
    </cfRule>
  </conditionalFormatting>
  <conditionalFormatting sqref="L4148:O4149 L4150:O4150">
    <cfRule type="containsText" dxfId="1" priority="129" operator="between" text="送货车型9.6米">
      <formula>NOT(ISERROR(SEARCH("送货车型9.6米",L4148)))</formula>
    </cfRule>
  </conditionalFormatting>
  <conditionalFormatting sqref="D4220:E4224">
    <cfRule type="expression" dxfId="3" priority="112">
      <formula>AND(NOT(HasFormula(XEZ4220)),XEZ4220&lt;&gt;"")</formula>
    </cfRule>
  </conditionalFormatting>
  <conditionalFormatting sqref="D4549 D4552 D4574">
    <cfRule type="expression" dxfId="4" priority="9096">
      <formula>AND(NOT(HasFormula(#REF!)),#REF!&lt;&gt;"")</formula>
    </cfRule>
  </conditionalFormatting>
  <conditionalFormatting sqref="E4549 E4552 E4574">
    <cfRule type="expression" dxfId="4" priority="9097">
      <formula>AND(NOT(HasFormula(#REF!)),#REF!&lt;&gt;"")</formula>
    </cfRule>
  </conditionalFormatting>
  <conditionalFormatting sqref="I4549:L4549 I4552:L4552 I4574:L4574">
    <cfRule type="expression" dxfId="4" priority="9098">
      <formula>AND(NOT(HasFormula(#REF!)),#REF!&lt;&gt;"")</formula>
    </cfRule>
    <cfRule type="expression" dxfId="3" priority="9099">
      <formula>AND(NOT(HasFormula(A4549)),A4549&lt;&gt;"")</formula>
    </cfRule>
  </conditionalFormatting>
  <conditionalFormatting sqref="I4633:L4634">
    <cfRule type="expression" dxfId="4" priority="9111">
      <formula>AND(NOT(HasFormula(E4635)),E4635&lt;&gt;"")</formula>
    </cfRule>
    <cfRule type="expression" dxfId="3" priority="9112">
      <formula>AND(NOT(HasFormula(A4633)),A4633&lt;&gt;"")</formula>
    </cfRule>
  </conditionalFormatting>
  <conditionalFormatting sqref="I4658:L4659">
    <cfRule type="expression" dxfId="4" priority="9145">
      <formula>AND(NOT(HasFormula(E4660)),E4660&lt;&gt;"")</formula>
    </cfRule>
    <cfRule type="expression" dxfId="3" priority="9146">
      <formula>AND(NOT(HasFormula(A4658)),A4658&lt;&gt;"")</formula>
    </cfRule>
  </conditionalFormatting>
  <conditionalFormatting sqref="D4702:D4704 D4725">
    <cfRule type="expression" dxfId="4" priority="9127">
      <formula>AND(NOT(HasFormula(#REF!)),#REF!&lt;&gt;"")</formula>
    </cfRule>
  </conditionalFormatting>
  <conditionalFormatting sqref="E4702:E4704 E4725">
    <cfRule type="expression" dxfId="4" priority="9128">
      <formula>AND(NOT(HasFormula(#REF!)),#REF!&lt;&gt;"")</formula>
    </cfRule>
  </conditionalFormatting>
  <conditionalFormatting sqref="H4702:H4704 H4725">
    <cfRule type="expression" dxfId="4" priority="9125">
      <formula>AND(NOT(HasFormula(#REF!)),#REF!&lt;&gt;"")</formula>
    </cfRule>
    <cfRule type="expression" dxfId="3" priority="9126">
      <formula>AND(NOT(HasFormula(XFD4702)),XFD4702&lt;&gt;"")</formula>
    </cfRule>
  </conditionalFormatting>
  <conditionalFormatting sqref="I4702:L4704 I4725:L4725">
    <cfRule type="expression" dxfId="4" priority="9129">
      <formula>AND(NOT(HasFormula(#REF!)),#REF!&lt;&gt;"")</formula>
    </cfRule>
    <cfRule type="expression" dxfId="3" priority="9130">
      <formula>AND(NOT(HasFormula(A4702)),A4702&lt;&gt;"")</formula>
    </cfRule>
  </conditionalFormatting>
  <conditionalFormatting sqref="H4868:H4883 H4887 H4891:H4906">
    <cfRule type="expression" dxfId="4" priority="13">
      <formula>AND(NOT(HasFormula(D4869)),D4869&lt;&gt;"")</formula>
    </cfRule>
    <cfRule type="expression" dxfId="3" priority="14">
      <formula>AND(NOT(HasFormula(XFD4868)),XFD4868&lt;&gt;"")</formula>
    </cfRule>
  </conditionalFormatting>
  <conditionalFormatting sqref="D4878:E4907">
    <cfRule type="expression" dxfId="3" priority="21">
      <formula>AND(NOT(HasFormula(XEZ4878)),XEZ4878&lt;&gt;"")</formula>
    </cfRule>
  </conditionalFormatting>
  <conditionalFormatting sqref="D4878:D4883 D4887 D4890:D4907">
    <cfRule type="expression" dxfId="2" priority="18">
      <formula>AND(NOT(_xlfn.ISFORMULA(D4878)),D4878&lt;&gt;"")</formula>
    </cfRule>
    <cfRule type="expression" dxfId="4" priority="20">
      <formula>AND(NOT(HasFormula(XFD4879)),XFD4879&lt;&gt;"")</formula>
    </cfRule>
  </conditionalFormatting>
  <conditionalFormatting sqref="E4878:E4883 E4887 E4890:E4907">
    <cfRule type="expression" dxfId="4" priority="28">
      <formula>AND(NOT(HasFormula(A4879)),A4879&lt;&gt;"")</formula>
    </cfRule>
  </conditionalFormatting>
  <conditionalFormatting sqref="I4878:L4883 I4887:L4887 I4890:L4906 I4907:J4907 L4907">
    <cfRule type="expression" dxfId="4" priority="26">
      <formula>AND(NOT(HasFormula(E4879)),E4879&lt;&gt;"")</formula>
    </cfRule>
    <cfRule type="expression" dxfId="3" priority="27">
      <formula>AND(NOT(HasFormula(A4878)),A4878&lt;&gt;"")</formula>
    </cfRule>
  </conditionalFormatting>
  <conditionalFormatting sqref="L4878:O4907">
    <cfRule type="containsText" dxfId="1" priority="17" operator="between" text="送货车型9.6米">
      <formula>NOT(ISERROR(SEARCH("送货车型9.6米",L4878)))</formula>
    </cfRule>
  </conditionalFormatting>
  <conditionalFormatting sqref="I4884:L4886">
    <cfRule type="expression" dxfId="4" priority="9168">
      <formula>AND(NOT(HasFormula(E4887)),E4887&lt;&gt;"")</formula>
    </cfRule>
    <cfRule type="expression" dxfId="3" priority="9169">
      <formula>AND(NOT(HasFormula(A4884)),A4884&lt;&gt;"")</formula>
    </cfRule>
  </conditionalFormatting>
  <conditionalFormatting sqref="I4888:L4889">
    <cfRule type="expression" dxfId="4" priority="9175">
      <formula>AND(NOT(HasFormula(E4890)),E4890&lt;&gt;"")</formula>
    </cfRule>
    <cfRule type="expression" dxfId="3" priority="9176">
      <formula>AND(NOT(HasFormula(A4888)),A4888&lt;&gt;"")</formula>
    </cfRule>
  </conditionalFormatting>
  <conditionalFormatting sqref="I5027:L5028">
    <cfRule type="expression" dxfId="4" priority="9217">
      <formula>AND(NOT(HasFormula(E5029)),E5029&lt;&gt;"")</formula>
    </cfRule>
    <cfRule type="expression" dxfId="3" priority="9218">
      <formula>AND(NOT(HasFormula(A5027)),A5027&lt;&gt;"")</formula>
    </cfRule>
  </conditionalFormatting>
  <conditionalFormatting sqref="D1047521:E1048576">
    <cfRule type="expression" dxfId="4" priority="7656">
      <formula>AND(NOT(HasFormula(XFD1)),XFD1&lt;&gt;"")</formula>
    </cfRule>
    <cfRule type="expression" dxfId="3" priority="7657">
      <formula>AND(NOT(HasFormula(XEZ1047521)),XEZ1047521&lt;&gt;"")</formula>
    </cfRule>
  </conditionalFormatting>
  <conditionalFormatting sqref="I1047527:L1048576">
    <cfRule type="expression" dxfId="4" priority="7758">
      <formula>AND(NOT(HasFormula(E1)),E1&lt;&gt;"")</formula>
    </cfRule>
    <cfRule type="expression" dxfId="3" priority="7759">
      <formula>AND(NOT(HasFormula(A1047527)),A1047527&lt;&gt;"")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28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5013 J5014:J5019 J5020:J5027 J5029: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2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5013 F5014:F5019 F5020:F5027 F5029: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workbookViewId="0">
      <pane xSplit="2" topLeftCell="D1" activePane="topRight" state="frozen"/>
      <selection/>
      <selection pane="topRight" activeCell="A38" sqref="A12 A33 A38"/>
    </sheetView>
  </sheetViews>
  <sheetFormatPr defaultColWidth="9" defaultRowHeight="13.5"/>
  <cols>
    <col min="1" max="1" width="16.25" style="19" customWidth="1"/>
    <col min="2" max="2" width="8.875" style="19" customWidth="1"/>
    <col min="3" max="3" width="7.25" style="20" customWidth="1"/>
    <col min="4" max="4" width="43.75" style="21" customWidth="1"/>
    <col min="5" max="5" width="52.125" style="19" customWidth="1"/>
    <col min="6" max="6" width="25.125" style="19" customWidth="1"/>
    <col min="7" max="7" width="75.875" style="22" customWidth="1"/>
    <col min="8" max="8" width="8.25" style="19" customWidth="1"/>
    <col min="9" max="9" width="10.875" style="19" customWidth="1"/>
    <col min="10" max="10" width="79" style="23" customWidth="1"/>
    <col min="11" max="11" width="26.5" style="24" customWidth="1"/>
    <col min="12" max="12" width="14.75" style="24" hidden="1" customWidth="1"/>
    <col min="13" max="13" width="79.375" style="24" customWidth="1"/>
  </cols>
  <sheetData>
    <row r="1" ht="14.25" customHeight="1" spans="1:13">
      <c r="A1" s="25" t="s">
        <v>4</v>
      </c>
      <c r="B1" s="25" t="s">
        <v>3</v>
      </c>
      <c r="C1" s="26"/>
      <c r="D1" s="27" t="s">
        <v>16</v>
      </c>
      <c r="E1" s="28" t="s">
        <v>243</v>
      </c>
      <c r="F1" s="28" t="s">
        <v>244</v>
      </c>
      <c r="G1" s="27" t="s">
        <v>7</v>
      </c>
      <c r="H1" s="28" t="s">
        <v>8</v>
      </c>
      <c r="I1" s="28" t="s">
        <v>9</v>
      </c>
      <c r="J1" s="28" t="s">
        <v>245</v>
      </c>
      <c r="K1" s="25" t="s">
        <v>2</v>
      </c>
      <c r="L1" s="40" t="s">
        <v>246</v>
      </c>
      <c r="M1" s="25" t="s">
        <v>15</v>
      </c>
    </row>
    <row r="2" spans="1:13">
      <c r="A2" s="29" t="s">
        <v>57</v>
      </c>
      <c r="B2" s="29" t="s">
        <v>247</v>
      </c>
      <c r="C2" s="30"/>
      <c r="D2" s="31" t="s">
        <v>248</v>
      </c>
      <c r="E2" s="32" t="s">
        <v>248</v>
      </c>
      <c r="F2" s="33" t="s">
        <v>249</v>
      </c>
      <c r="G2" s="32" t="s">
        <v>250</v>
      </c>
      <c r="H2" s="33" t="s">
        <v>251</v>
      </c>
      <c r="I2" s="33">
        <v>18980927613</v>
      </c>
      <c r="J2" s="38" t="s">
        <v>252</v>
      </c>
      <c r="K2" s="41"/>
      <c r="L2" s="40"/>
      <c r="M2" s="40"/>
    </row>
    <row r="3" spans="1:13">
      <c r="A3" s="29" t="s">
        <v>53</v>
      </c>
      <c r="B3" s="29" t="s">
        <v>247</v>
      </c>
      <c r="C3" s="30"/>
      <c r="D3" s="31" t="s">
        <v>253</v>
      </c>
      <c r="E3" s="32" t="s">
        <v>253</v>
      </c>
      <c r="F3" s="33" t="s">
        <v>254</v>
      </c>
      <c r="G3" s="32" t="s">
        <v>255</v>
      </c>
      <c r="H3" s="33" t="s">
        <v>256</v>
      </c>
      <c r="I3" s="33">
        <v>18308463588</v>
      </c>
      <c r="J3" s="38" t="s">
        <v>257</v>
      </c>
      <c r="K3" s="41"/>
      <c r="L3" s="40"/>
      <c r="M3" s="40"/>
    </row>
    <row r="4" spans="1:13">
      <c r="A4" s="29" t="s">
        <v>51</v>
      </c>
      <c r="B4" s="29" t="s">
        <v>247</v>
      </c>
      <c r="C4" s="30"/>
      <c r="D4" s="31" t="s">
        <v>258</v>
      </c>
      <c r="E4" s="32" t="s">
        <v>258</v>
      </c>
      <c r="F4" s="33" t="s">
        <v>259</v>
      </c>
      <c r="G4" s="34" t="s">
        <v>260</v>
      </c>
      <c r="H4" s="33" t="s">
        <v>261</v>
      </c>
      <c r="I4" s="33">
        <v>18683358310</v>
      </c>
      <c r="J4" s="38" t="s">
        <v>262</v>
      </c>
      <c r="K4" s="41"/>
      <c r="L4" s="40"/>
      <c r="M4" s="40"/>
    </row>
    <row r="5" spans="1:13">
      <c r="A5" s="29" t="s">
        <v>61</v>
      </c>
      <c r="B5" s="29" t="s">
        <v>247</v>
      </c>
      <c r="C5" s="30"/>
      <c r="D5" s="31" t="s">
        <v>44</v>
      </c>
      <c r="E5" s="32" t="s">
        <v>44</v>
      </c>
      <c r="F5" s="33" t="s">
        <v>263</v>
      </c>
      <c r="G5" s="32" t="s">
        <v>264</v>
      </c>
      <c r="H5" s="33" t="s">
        <v>265</v>
      </c>
      <c r="I5" s="33">
        <v>18384145895</v>
      </c>
      <c r="J5" s="38" t="s">
        <v>266</v>
      </c>
      <c r="K5" s="42" t="s">
        <v>267</v>
      </c>
      <c r="L5" s="40"/>
      <c r="M5" s="32" t="s">
        <v>268</v>
      </c>
    </row>
    <row r="6" spans="1:13">
      <c r="A6" s="33"/>
      <c r="B6" s="33"/>
      <c r="C6" s="30"/>
      <c r="D6" s="31" t="s">
        <v>81</v>
      </c>
      <c r="E6" s="32" t="s">
        <v>81</v>
      </c>
      <c r="F6" s="33" t="s">
        <v>269</v>
      </c>
      <c r="G6" s="32" t="s">
        <v>270</v>
      </c>
      <c r="H6" s="33" t="s">
        <v>271</v>
      </c>
      <c r="I6" s="33">
        <v>15884666220</v>
      </c>
      <c r="J6" s="38" t="s">
        <v>272</v>
      </c>
      <c r="K6" s="42" t="s">
        <v>273</v>
      </c>
      <c r="L6" s="40"/>
      <c r="M6" s="32" t="s">
        <v>274</v>
      </c>
    </row>
    <row r="7" spans="1:13">
      <c r="A7" s="29" t="s">
        <v>49</v>
      </c>
      <c r="B7" s="29" t="s">
        <v>119</v>
      </c>
      <c r="C7" s="30"/>
      <c r="D7" s="31" t="s">
        <v>275</v>
      </c>
      <c r="E7" s="32" t="s">
        <v>275</v>
      </c>
      <c r="F7" s="33" t="s">
        <v>276</v>
      </c>
      <c r="G7" s="32" t="s">
        <v>277</v>
      </c>
      <c r="H7" s="33" t="s">
        <v>278</v>
      </c>
      <c r="I7" s="33">
        <v>18180498749</v>
      </c>
      <c r="J7" s="38" t="s">
        <v>279</v>
      </c>
      <c r="K7" s="43" t="s">
        <v>280</v>
      </c>
      <c r="L7" s="40"/>
      <c r="M7" s="40"/>
    </row>
    <row r="8" spans="1:13">
      <c r="A8" s="29" t="s">
        <v>40</v>
      </c>
      <c r="B8" s="29" t="s">
        <v>119</v>
      </c>
      <c r="C8" s="30"/>
      <c r="D8" s="31" t="s">
        <v>92</v>
      </c>
      <c r="E8" s="32" t="s">
        <v>92</v>
      </c>
      <c r="F8" s="33" t="s">
        <v>281</v>
      </c>
      <c r="G8" s="32" t="s">
        <v>282</v>
      </c>
      <c r="H8" s="33" t="s">
        <v>283</v>
      </c>
      <c r="I8" s="33">
        <v>13458642015</v>
      </c>
      <c r="J8" s="38" t="s">
        <v>284</v>
      </c>
      <c r="K8" s="42" t="s">
        <v>285</v>
      </c>
      <c r="L8" s="40"/>
      <c r="M8" s="32" t="s">
        <v>286</v>
      </c>
    </row>
    <row r="9" spans="1:13">
      <c r="A9" s="29" t="s">
        <v>41</v>
      </c>
      <c r="B9" s="29" t="s">
        <v>119</v>
      </c>
      <c r="C9" s="30"/>
      <c r="D9" s="31" t="s">
        <v>287</v>
      </c>
      <c r="E9" s="35" t="s">
        <v>48</v>
      </c>
      <c r="F9" s="33" t="s">
        <v>281</v>
      </c>
      <c r="G9" s="32" t="str">
        <f>"("&amp;(E9)&amp;")"&amp;"成都市简阳市白金山水库"</f>
        <v>(华西颐海-科创农业生态谷-1号钢筋房)成都市简阳市白金山水库</v>
      </c>
      <c r="H9" s="33" t="s">
        <v>283</v>
      </c>
      <c r="I9" s="33">
        <v>13458642015</v>
      </c>
      <c r="J9" s="38" t="s">
        <v>284</v>
      </c>
      <c r="K9" s="42" t="s">
        <v>288</v>
      </c>
      <c r="L9" s="40"/>
      <c r="M9" s="32" t="s">
        <v>289</v>
      </c>
    </row>
    <row r="10" spans="1:13">
      <c r="A10" s="29" t="s">
        <v>26</v>
      </c>
      <c r="B10" s="29" t="s">
        <v>119</v>
      </c>
      <c r="C10" s="30"/>
      <c r="D10" s="31" t="s">
        <v>287</v>
      </c>
      <c r="E10" s="35" t="s">
        <v>290</v>
      </c>
      <c r="F10" s="33" t="s">
        <v>281</v>
      </c>
      <c r="G10" s="32" t="str">
        <f>"("&amp;(E10)&amp;")"&amp;"成都市简阳市白金山水库"</f>
        <v>(华西颐海-科创农业生态谷-2号钢筋房)成都市简阳市白金山水库</v>
      </c>
      <c r="H10" s="33" t="s">
        <v>283</v>
      </c>
      <c r="I10" s="33">
        <v>13458642015</v>
      </c>
      <c r="J10" s="38" t="s">
        <v>284</v>
      </c>
      <c r="K10" s="42" t="s">
        <v>288</v>
      </c>
      <c r="L10" s="40"/>
      <c r="M10" s="32" t="s">
        <v>289</v>
      </c>
    </row>
    <row r="11" spans="1:13">
      <c r="A11" s="29"/>
      <c r="B11" s="29"/>
      <c r="C11" s="30"/>
      <c r="D11" s="31" t="s">
        <v>291</v>
      </c>
      <c r="E11" s="32" t="s">
        <v>291</v>
      </c>
      <c r="F11" s="33" t="s">
        <v>292</v>
      </c>
      <c r="G11" s="32" t="s">
        <v>293</v>
      </c>
      <c r="H11" s="33" t="s">
        <v>294</v>
      </c>
      <c r="I11" s="33">
        <v>18683201292</v>
      </c>
      <c r="J11" s="38" t="s">
        <v>266</v>
      </c>
      <c r="K11" s="42" t="s">
        <v>295</v>
      </c>
      <c r="L11" s="40"/>
      <c r="M11" s="32" t="s">
        <v>296</v>
      </c>
    </row>
    <row r="12" spans="1:13">
      <c r="A12" s="29" t="s">
        <v>27</v>
      </c>
      <c r="B12" s="29" t="s">
        <v>116</v>
      </c>
      <c r="C12" s="30"/>
      <c r="D12" s="31" t="s">
        <v>297</v>
      </c>
      <c r="E12" s="32" t="s">
        <v>297</v>
      </c>
      <c r="F12" s="33" t="s">
        <v>298</v>
      </c>
      <c r="G12" s="32" t="s">
        <v>299</v>
      </c>
      <c r="H12" s="33" t="s">
        <v>300</v>
      </c>
      <c r="I12" s="33">
        <v>19982812229</v>
      </c>
      <c r="J12" s="38"/>
      <c r="K12" s="42" t="s">
        <v>301</v>
      </c>
      <c r="L12" s="40"/>
      <c r="M12" s="32"/>
    </row>
    <row r="13" spans="1:13">
      <c r="A13" s="29" t="s">
        <v>19</v>
      </c>
      <c r="B13" s="29" t="s">
        <v>116</v>
      </c>
      <c r="C13" s="30"/>
      <c r="D13" s="31" t="s">
        <v>145</v>
      </c>
      <c r="E13" s="32" t="s">
        <v>145</v>
      </c>
      <c r="F13" s="33" t="s">
        <v>302</v>
      </c>
      <c r="G13" s="32" t="s">
        <v>303</v>
      </c>
      <c r="H13" s="33" t="s">
        <v>304</v>
      </c>
      <c r="I13" s="33">
        <v>15528785906</v>
      </c>
      <c r="J13" s="38" t="s">
        <v>305</v>
      </c>
      <c r="K13" s="42" t="s">
        <v>306</v>
      </c>
      <c r="L13" s="40"/>
      <c r="M13" s="32"/>
    </row>
    <row r="14" spans="1:13">
      <c r="A14" s="29" t="s">
        <v>32</v>
      </c>
      <c r="B14" s="29" t="s">
        <v>116</v>
      </c>
      <c r="C14" s="30"/>
      <c r="D14" s="31" t="s">
        <v>307</v>
      </c>
      <c r="E14" s="32" t="s">
        <v>47</v>
      </c>
      <c r="F14" s="33" t="s">
        <v>308</v>
      </c>
      <c r="G14" s="32" t="s">
        <v>309</v>
      </c>
      <c r="H14" s="36" t="s">
        <v>310</v>
      </c>
      <c r="I14" s="33">
        <v>15108211617</v>
      </c>
      <c r="J14" s="38" t="s">
        <v>311</v>
      </c>
      <c r="K14" s="42" t="s">
        <v>312</v>
      </c>
      <c r="L14" s="40"/>
      <c r="M14" s="32" t="s">
        <v>313</v>
      </c>
    </row>
    <row r="15" spans="1:13">
      <c r="A15" s="29" t="s">
        <v>30</v>
      </c>
      <c r="B15" s="29" t="s">
        <v>116</v>
      </c>
      <c r="C15" s="30"/>
      <c r="D15" s="31" t="s">
        <v>307</v>
      </c>
      <c r="E15" s="32" t="s">
        <v>68</v>
      </c>
      <c r="F15" s="33" t="s">
        <v>308</v>
      </c>
      <c r="G15" s="32" t="s">
        <v>314</v>
      </c>
      <c r="H15" s="36" t="s">
        <v>315</v>
      </c>
      <c r="I15" s="33">
        <v>18381899787</v>
      </c>
      <c r="J15" s="38" t="s">
        <v>311</v>
      </c>
      <c r="K15" s="42" t="s">
        <v>312</v>
      </c>
      <c r="L15" s="40"/>
      <c r="M15" s="32" t="s">
        <v>313</v>
      </c>
    </row>
    <row r="16" spans="1:13">
      <c r="A16" s="29" t="s">
        <v>33</v>
      </c>
      <c r="B16" s="29" t="s">
        <v>116</v>
      </c>
      <c r="C16" s="30"/>
      <c r="D16" s="31" t="s">
        <v>307</v>
      </c>
      <c r="E16" s="32" t="s">
        <v>232</v>
      </c>
      <c r="F16" s="33" t="s">
        <v>308</v>
      </c>
      <c r="G16" s="32" t="s">
        <v>316</v>
      </c>
      <c r="H16" s="36" t="s">
        <v>315</v>
      </c>
      <c r="I16" s="33">
        <v>18381899787</v>
      </c>
      <c r="J16" s="38" t="s">
        <v>311</v>
      </c>
      <c r="K16" s="42" t="s">
        <v>312</v>
      </c>
      <c r="L16" s="40"/>
      <c r="M16" s="32" t="s">
        <v>313</v>
      </c>
    </row>
    <row r="17" spans="1:13">
      <c r="A17" s="29" t="s">
        <v>28</v>
      </c>
      <c r="B17" s="29" t="s">
        <v>116</v>
      </c>
      <c r="C17" s="30"/>
      <c r="D17" s="31" t="s">
        <v>307</v>
      </c>
      <c r="E17" s="32" t="s">
        <v>159</v>
      </c>
      <c r="F17" s="33" t="s">
        <v>308</v>
      </c>
      <c r="G17" s="32" t="s">
        <v>317</v>
      </c>
      <c r="H17" s="36" t="s">
        <v>310</v>
      </c>
      <c r="I17" s="33">
        <v>15108211617</v>
      </c>
      <c r="J17" s="38" t="s">
        <v>311</v>
      </c>
      <c r="K17" s="42" t="s">
        <v>312</v>
      </c>
      <c r="L17" s="40"/>
      <c r="M17" s="32" t="s">
        <v>313</v>
      </c>
    </row>
    <row r="18" spans="1:13">
      <c r="A18" s="29" t="s">
        <v>18</v>
      </c>
      <c r="B18" s="29" t="s">
        <v>116</v>
      </c>
      <c r="C18" s="30"/>
      <c r="D18" s="31" t="s">
        <v>307</v>
      </c>
      <c r="E18" s="32" t="s">
        <v>69</v>
      </c>
      <c r="F18" s="33" t="s">
        <v>308</v>
      </c>
      <c r="G18" s="32" t="s">
        <v>318</v>
      </c>
      <c r="H18" s="36" t="s">
        <v>319</v>
      </c>
      <c r="I18" s="33">
        <v>18381904567</v>
      </c>
      <c r="J18" s="38" t="s">
        <v>311</v>
      </c>
      <c r="K18" s="42" t="s">
        <v>312</v>
      </c>
      <c r="L18" s="40"/>
      <c r="M18" s="32" t="s">
        <v>313</v>
      </c>
    </row>
    <row r="19" spans="1:13">
      <c r="A19" s="29" t="s">
        <v>65</v>
      </c>
      <c r="B19" s="29" t="s">
        <v>116</v>
      </c>
      <c r="C19" s="30"/>
      <c r="D19" s="31" t="s">
        <v>307</v>
      </c>
      <c r="E19" s="32" t="s">
        <v>179</v>
      </c>
      <c r="F19" s="33" t="s">
        <v>308</v>
      </c>
      <c r="G19" s="32" t="s">
        <v>320</v>
      </c>
      <c r="H19" s="36" t="s">
        <v>319</v>
      </c>
      <c r="I19" s="33">
        <v>18381904567</v>
      </c>
      <c r="J19" s="38" t="s">
        <v>311</v>
      </c>
      <c r="K19" s="42" t="s">
        <v>312</v>
      </c>
      <c r="L19" s="40"/>
      <c r="M19" s="32" t="s">
        <v>313</v>
      </c>
    </row>
    <row r="20" ht="12.95" customHeight="1" spans="1:13">
      <c r="A20" s="29" t="s">
        <v>52</v>
      </c>
      <c r="B20" s="29" t="s">
        <v>116</v>
      </c>
      <c r="C20" s="30"/>
      <c r="D20" s="31" t="s">
        <v>307</v>
      </c>
      <c r="E20" s="32" t="s">
        <v>56</v>
      </c>
      <c r="F20" s="33" t="s">
        <v>308</v>
      </c>
      <c r="G20" s="32" t="s">
        <v>321</v>
      </c>
      <c r="H20" s="36" t="s">
        <v>319</v>
      </c>
      <c r="I20" s="33">
        <v>18381904567</v>
      </c>
      <c r="J20" s="38" t="s">
        <v>311</v>
      </c>
      <c r="K20" s="42" t="s">
        <v>312</v>
      </c>
      <c r="L20" s="40"/>
      <c r="M20" s="32" t="s">
        <v>313</v>
      </c>
    </row>
    <row r="21" ht="12.95" customHeight="1" spans="1:13">
      <c r="A21" s="29"/>
      <c r="B21" s="29"/>
      <c r="C21" s="30"/>
      <c r="D21" s="31" t="s">
        <v>307</v>
      </c>
      <c r="E21" s="32" t="s">
        <v>180</v>
      </c>
      <c r="F21" s="33" t="s">
        <v>308</v>
      </c>
      <c r="G21" s="32" t="s">
        <v>322</v>
      </c>
      <c r="H21" s="36" t="s">
        <v>319</v>
      </c>
      <c r="I21" s="33">
        <v>18381904567</v>
      </c>
      <c r="J21" s="38" t="s">
        <v>311</v>
      </c>
      <c r="K21" s="42" t="s">
        <v>312</v>
      </c>
      <c r="L21" s="40"/>
      <c r="M21" s="32" t="s">
        <v>313</v>
      </c>
    </row>
    <row r="22" ht="12.95" customHeight="1" spans="1:13">
      <c r="A22" s="29" t="s">
        <v>111</v>
      </c>
      <c r="B22" s="29" t="s">
        <v>116</v>
      </c>
      <c r="C22" s="30"/>
      <c r="D22" s="31" t="s">
        <v>307</v>
      </c>
      <c r="E22" s="32" t="s">
        <v>163</v>
      </c>
      <c r="F22" s="33" t="s">
        <v>308</v>
      </c>
      <c r="G22" s="32" t="s">
        <v>323</v>
      </c>
      <c r="H22" s="36" t="s">
        <v>319</v>
      </c>
      <c r="I22" s="33">
        <v>18381904567</v>
      </c>
      <c r="J22" s="38" t="s">
        <v>311</v>
      </c>
      <c r="K22" s="42" t="s">
        <v>312</v>
      </c>
      <c r="L22" s="40"/>
      <c r="M22" s="32" t="s">
        <v>313</v>
      </c>
    </row>
    <row r="23" ht="12.95" customHeight="1" spans="1:13">
      <c r="A23" s="29" t="s">
        <v>76</v>
      </c>
      <c r="B23" s="29" t="s">
        <v>116</v>
      </c>
      <c r="C23" s="30"/>
      <c r="D23" s="31" t="s">
        <v>307</v>
      </c>
      <c r="E23" s="32" t="s">
        <v>112</v>
      </c>
      <c r="F23" s="33" t="s">
        <v>308</v>
      </c>
      <c r="G23" s="32" t="s">
        <v>324</v>
      </c>
      <c r="H23" s="36" t="s">
        <v>319</v>
      </c>
      <c r="I23" s="33">
        <v>18381904567</v>
      </c>
      <c r="J23" s="38" t="s">
        <v>311</v>
      </c>
      <c r="K23" s="42" t="s">
        <v>312</v>
      </c>
      <c r="L23" s="40"/>
      <c r="M23" s="32" t="s">
        <v>313</v>
      </c>
    </row>
    <row r="24" spans="1:13">
      <c r="A24" s="29" t="s">
        <v>90</v>
      </c>
      <c r="B24" s="29" t="s">
        <v>116</v>
      </c>
      <c r="C24" s="30"/>
      <c r="D24" s="31" t="s">
        <v>307</v>
      </c>
      <c r="E24" s="32" t="s">
        <v>147</v>
      </c>
      <c r="F24" s="33" t="s">
        <v>308</v>
      </c>
      <c r="G24" s="32" t="s">
        <v>325</v>
      </c>
      <c r="H24" s="36" t="s">
        <v>319</v>
      </c>
      <c r="I24" s="33">
        <v>18381904567</v>
      </c>
      <c r="J24" s="38" t="s">
        <v>311</v>
      </c>
      <c r="K24" s="42" t="s">
        <v>312</v>
      </c>
      <c r="L24" s="40"/>
      <c r="M24" s="32" t="s">
        <v>313</v>
      </c>
    </row>
    <row r="25" spans="1:13">
      <c r="A25" s="29" t="s">
        <v>130</v>
      </c>
      <c r="B25" s="29" t="s">
        <v>116</v>
      </c>
      <c r="C25" s="30"/>
      <c r="D25" s="31" t="s">
        <v>326</v>
      </c>
      <c r="E25" s="32" t="s">
        <v>326</v>
      </c>
      <c r="F25" s="33" t="s">
        <v>327</v>
      </c>
      <c r="G25" s="32" t="s">
        <v>328</v>
      </c>
      <c r="H25" s="33" t="s">
        <v>329</v>
      </c>
      <c r="I25" s="33">
        <v>15283947738</v>
      </c>
      <c r="J25" s="38" t="s">
        <v>330</v>
      </c>
      <c r="K25" s="42" t="s">
        <v>331</v>
      </c>
      <c r="L25" s="40"/>
      <c r="M25" s="32" t="s">
        <v>332</v>
      </c>
    </row>
    <row r="26" spans="1:13">
      <c r="A26" s="29" t="s">
        <v>138</v>
      </c>
      <c r="B26" s="29" t="s">
        <v>116</v>
      </c>
      <c r="C26" s="30"/>
      <c r="D26" s="31" t="s">
        <v>333</v>
      </c>
      <c r="E26" s="32" t="s">
        <v>31</v>
      </c>
      <c r="F26" s="33" t="s">
        <v>308</v>
      </c>
      <c r="G26" s="32" t="s">
        <v>334</v>
      </c>
      <c r="H26" s="33" t="s">
        <v>335</v>
      </c>
      <c r="I26" s="33">
        <v>15692885305</v>
      </c>
      <c r="J26" s="38" t="s">
        <v>38</v>
      </c>
      <c r="K26" s="42" t="s">
        <v>336</v>
      </c>
      <c r="L26" s="40"/>
      <c r="M26" s="32" t="s">
        <v>337</v>
      </c>
    </row>
    <row r="27" spans="1:13">
      <c r="A27" s="29" t="s">
        <v>133</v>
      </c>
      <c r="B27" s="29" t="s">
        <v>116</v>
      </c>
      <c r="C27" s="30"/>
      <c r="D27" s="37" t="s">
        <v>338</v>
      </c>
      <c r="E27" s="32" t="s">
        <v>106</v>
      </c>
      <c r="F27" s="33" t="s">
        <v>339</v>
      </c>
      <c r="G27" s="32" t="s">
        <v>122</v>
      </c>
      <c r="H27" s="33" t="s">
        <v>123</v>
      </c>
      <c r="I27" s="33">
        <v>15228205853</v>
      </c>
      <c r="J27" s="38" t="s">
        <v>124</v>
      </c>
      <c r="K27" s="43" t="s">
        <v>121</v>
      </c>
      <c r="L27" s="40"/>
      <c r="M27" s="32" t="s">
        <v>340</v>
      </c>
    </row>
    <row r="28" spans="1:13">
      <c r="A28" s="29" t="s">
        <v>91</v>
      </c>
      <c r="B28" s="29" t="s">
        <v>116</v>
      </c>
      <c r="C28" s="30"/>
      <c r="D28" s="37" t="s">
        <v>338</v>
      </c>
      <c r="E28" s="32" t="s">
        <v>107</v>
      </c>
      <c r="F28" s="33" t="s">
        <v>339</v>
      </c>
      <c r="G28" s="32"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33" t="s">
        <v>123</v>
      </c>
      <c r="I28" s="33">
        <v>15228205853</v>
      </c>
      <c r="J28" s="38" t="s">
        <v>124</v>
      </c>
      <c r="K28" s="42" t="s">
        <v>121</v>
      </c>
      <c r="L28" s="40"/>
      <c r="M28" s="32" t="s">
        <v>340</v>
      </c>
    </row>
    <row r="29" spans="1:13">
      <c r="A29" s="29" t="s">
        <v>77</v>
      </c>
      <c r="B29" s="29" t="s">
        <v>116</v>
      </c>
      <c r="C29" s="30"/>
      <c r="D29" s="37" t="s">
        <v>338</v>
      </c>
      <c r="E29" s="32" t="s">
        <v>155</v>
      </c>
      <c r="F29" s="33" t="s">
        <v>339</v>
      </c>
      <c r="G29" s="32" t="str">
        <f>"("&amp;E29&amp;")"&amp;"宜宾市高县月江镇三转湾(308亩平场项目)"</f>
        <v>(五冶钢构宜宾高县月江镇建设项目-308亩平场项目)宜宾市高县月江镇三转湾(308亩平场项目)</v>
      </c>
      <c r="H29" s="33" t="s">
        <v>123</v>
      </c>
      <c r="I29" s="33">
        <v>15228205853</v>
      </c>
      <c r="J29" s="38" t="s">
        <v>124</v>
      </c>
      <c r="K29" s="42" t="s">
        <v>121</v>
      </c>
      <c r="L29" s="40"/>
      <c r="M29" s="32" t="s">
        <v>340</v>
      </c>
    </row>
    <row r="30" spans="1:13">
      <c r="A30" s="29" t="s">
        <v>86</v>
      </c>
      <c r="B30" s="29" t="s">
        <v>116</v>
      </c>
      <c r="C30" s="30"/>
      <c r="D30" s="37" t="s">
        <v>338</v>
      </c>
      <c r="E30" s="32" t="s">
        <v>171</v>
      </c>
      <c r="F30" s="33" t="s">
        <v>339</v>
      </c>
      <c r="G30" s="32" t="str">
        <f>"("&amp;E30&amp;")"&amp;"四川省宜宾市高县高县庆符镇鹅卵新农村高县广久大道(庆符厂房项目)"</f>
        <v>(五冶钢构宜宾南溪区项目土建4标)四川省宜宾市高县高县庆符镇鹅卵新农村高县广久大道(庆符厂房项目)</v>
      </c>
      <c r="H30" s="33" t="s">
        <v>123</v>
      </c>
      <c r="I30" s="33">
        <v>15228205853</v>
      </c>
      <c r="J30" s="38" t="s">
        <v>124</v>
      </c>
      <c r="K30" s="42" t="s">
        <v>121</v>
      </c>
      <c r="L30" s="40"/>
      <c r="M30" s="32" t="s">
        <v>340</v>
      </c>
    </row>
    <row r="31" spans="1:13">
      <c r="A31" s="33"/>
      <c r="B31" s="33"/>
      <c r="C31" s="30"/>
      <c r="D31" s="31" t="s">
        <v>341</v>
      </c>
      <c r="E31" s="38" t="s">
        <v>17</v>
      </c>
      <c r="F31" s="33" t="s">
        <v>342</v>
      </c>
      <c r="G31" s="32" t="s">
        <v>343</v>
      </c>
      <c r="H31" s="33" t="s">
        <v>344</v>
      </c>
      <c r="I31" s="33">
        <v>13658059919</v>
      </c>
      <c r="J31" s="38" t="s">
        <v>345</v>
      </c>
      <c r="K31" s="43" t="s">
        <v>346</v>
      </c>
      <c r="L31" s="43" t="s">
        <v>347</v>
      </c>
      <c r="M31" s="32" t="s">
        <v>348</v>
      </c>
    </row>
    <row r="32" spans="1:13">
      <c r="A32" s="29" t="s">
        <v>66</v>
      </c>
      <c r="B32" s="29" t="s">
        <v>116</v>
      </c>
      <c r="C32" s="30"/>
      <c r="D32" s="31" t="s">
        <v>341</v>
      </c>
      <c r="E32" s="38" t="s">
        <v>39</v>
      </c>
      <c r="F32" s="33" t="s">
        <v>342</v>
      </c>
      <c r="G32" s="32" t="s">
        <v>349</v>
      </c>
      <c r="H32" s="33" t="s">
        <v>344</v>
      </c>
      <c r="I32" s="33">
        <v>13658059919</v>
      </c>
      <c r="J32" s="38" t="s">
        <v>345</v>
      </c>
      <c r="K32" s="42" t="s">
        <v>346</v>
      </c>
      <c r="L32" s="43" t="s">
        <v>347</v>
      </c>
      <c r="M32" s="32" t="s">
        <v>348</v>
      </c>
    </row>
    <row r="33" spans="1:13">
      <c r="A33" s="29" t="s">
        <v>82</v>
      </c>
      <c r="B33" s="29" t="s">
        <v>116</v>
      </c>
      <c r="C33" s="30"/>
      <c r="D33" s="31" t="s">
        <v>341</v>
      </c>
      <c r="E33" s="38" t="s">
        <v>43</v>
      </c>
      <c r="F33" s="33" t="s">
        <v>342</v>
      </c>
      <c r="G33" s="32" t="s">
        <v>350</v>
      </c>
      <c r="H33" s="33" t="s">
        <v>351</v>
      </c>
      <c r="I33" s="33">
        <v>15982487227</v>
      </c>
      <c r="J33" s="38" t="s">
        <v>345</v>
      </c>
      <c r="K33" s="42" t="s">
        <v>346</v>
      </c>
      <c r="L33" s="43" t="s">
        <v>347</v>
      </c>
      <c r="M33" s="32" t="s">
        <v>348</v>
      </c>
    </row>
    <row r="34" spans="1:13">
      <c r="A34" s="29" t="s">
        <v>45</v>
      </c>
      <c r="B34" s="29" t="s">
        <v>116</v>
      </c>
      <c r="C34" s="30"/>
      <c r="D34" s="31" t="s">
        <v>341</v>
      </c>
      <c r="E34" s="38" t="s">
        <v>104</v>
      </c>
      <c r="F34" s="33" t="s">
        <v>342</v>
      </c>
      <c r="G34" s="32" t="s">
        <v>352</v>
      </c>
      <c r="H34" s="33" t="s">
        <v>351</v>
      </c>
      <c r="I34" s="33">
        <v>15982487227</v>
      </c>
      <c r="J34" s="38" t="s">
        <v>345</v>
      </c>
      <c r="K34" s="42" t="s">
        <v>346</v>
      </c>
      <c r="L34" s="43" t="s">
        <v>347</v>
      </c>
      <c r="M34" s="32" t="s">
        <v>348</v>
      </c>
    </row>
    <row r="35" spans="1:13">
      <c r="A35" s="29" t="s">
        <v>21</v>
      </c>
      <c r="B35" s="29" t="s">
        <v>116</v>
      </c>
      <c r="C35" s="30"/>
      <c r="D35" s="37" t="s">
        <v>150</v>
      </c>
      <c r="E35" s="32" t="s">
        <v>150</v>
      </c>
      <c r="F35" s="33" t="s">
        <v>353</v>
      </c>
      <c r="G35" s="32"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36" t="s">
        <v>354</v>
      </c>
      <c r="I35" s="36">
        <v>19130850820</v>
      </c>
      <c r="J35" s="38" t="s">
        <v>355</v>
      </c>
      <c r="K35" s="43" t="s">
        <v>356</v>
      </c>
      <c r="L35" s="40"/>
      <c r="M35" s="32" t="s">
        <v>357</v>
      </c>
    </row>
    <row r="36" spans="1:13">
      <c r="A36" s="29" t="s">
        <v>58</v>
      </c>
      <c r="B36" s="29" t="s">
        <v>116</v>
      </c>
      <c r="C36" s="30"/>
      <c r="D36" s="37" t="s">
        <v>150</v>
      </c>
      <c r="E36" s="32" t="s">
        <v>150</v>
      </c>
      <c r="F36" s="33" t="s">
        <v>353</v>
      </c>
      <c r="G36" s="32"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36" t="s">
        <v>358</v>
      </c>
      <c r="I36" s="36">
        <v>18208257412</v>
      </c>
      <c r="J36" s="38" t="s">
        <v>355</v>
      </c>
      <c r="K36" s="43" t="s">
        <v>356</v>
      </c>
      <c r="L36" s="40"/>
      <c r="M36" s="32" t="s">
        <v>357</v>
      </c>
    </row>
    <row r="37" s="18" customFormat="1" spans="1:13">
      <c r="A37" s="29" t="s">
        <v>46</v>
      </c>
      <c r="B37" s="29" t="s">
        <v>116</v>
      </c>
      <c r="C37" s="30"/>
      <c r="D37" s="39" t="s">
        <v>128</v>
      </c>
      <c r="E37" s="32" t="s">
        <v>132</v>
      </c>
      <c r="F37" s="33" t="s">
        <v>359</v>
      </c>
      <c r="G37" s="32" t="str">
        <f t="shared" ref="G37:G47" si="0">"("&amp;E37&amp;")"&amp;"宜宾市翠屏区宜宾汽车零部件配套产业基地(纬五路南)"</f>
        <v>(宜宾兴港三江新区长江工业园建设项目-9#厂房)宜宾市翠屏区宜宾汽车零部件配套产业基地(纬五路南)</v>
      </c>
      <c r="H37" s="33" t="s">
        <v>360</v>
      </c>
      <c r="I37" s="33">
        <v>15924731822</v>
      </c>
      <c r="J37" s="44" t="s">
        <v>355</v>
      </c>
      <c r="K37" s="45" t="s">
        <v>361</v>
      </c>
      <c r="L37" s="46"/>
      <c r="M37" s="32" t="s">
        <v>362</v>
      </c>
    </row>
    <row r="38" s="18" customFormat="1" spans="1:13">
      <c r="A38" s="29" t="s">
        <v>22</v>
      </c>
      <c r="B38" s="29" t="s">
        <v>116</v>
      </c>
      <c r="C38" s="30"/>
      <c r="D38" s="37" t="s">
        <v>128</v>
      </c>
      <c r="E38" s="32" t="s">
        <v>135</v>
      </c>
      <c r="F38" s="33" t="s">
        <v>359</v>
      </c>
      <c r="G38" s="32" t="str">
        <f t="shared" si="0"/>
        <v>(宜宾兴港三江新区长江工业园建设项目-M2-2#厂房)宜宾市翠屏区宜宾汽车零部件配套产业基地(纬五路南)</v>
      </c>
      <c r="H38" s="33" t="s">
        <v>363</v>
      </c>
      <c r="I38" s="33">
        <v>17713876279</v>
      </c>
      <c r="J38" s="44" t="s">
        <v>355</v>
      </c>
      <c r="K38" s="45" t="s">
        <v>361</v>
      </c>
      <c r="L38" s="46"/>
      <c r="M38" s="32" t="s">
        <v>362</v>
      </c>
    </row>
    <row r="39" s="18" customFormat="1" spans="1:13">
      <c r="A39" s="29" t="s">
        <v>181</v>
      </c>
      <c r="B39" s="29" t="s">
        <v>116</v>
      </c>
      <c r="C39" s="30"/>
      <c r="D39" s="37" t="s">
        <v>128</v>
      </c>
      <c r="E39" s="32" t="s">
        <v>136</v>
      </c>
      <c r="F39" s="33" t="s">
        <v>359</v>
      </c>
      <c r="G39" s="32" t="str">
        <f t="shared" si="0"/>
        <v>(宜宾兴港三江新区长江工业园建设项目-M2-00-04桩)宜宾市翠屏区宜宾汽车零部件配套产业基地(纬五路南)</v>
      </c>
      <c r="H39" s="33" t="s">
        <v>363</v>
      </c>
      <c r="I39" s="33">
        <v>17713876279</v>
      </c>
      <c r="J39" s="44" t="s">
        <v>355</v>
      </c>
      <c r="K39" s="45" t="s">
        <v>361</v>
      </c>
      <c r="L39" s="46"/>
      <c r="M39" s="32" t="s">
        <v>362</v>
      </c>
    </row>
    <row r="40" s="18" customFormat="1" spans="1:13">
      <c r="A40" s="29" t="s">
        <v>182</v>
      </c>
      <c r="B40" s="29" t="s">
        <v>116</v>
      </c>
      <c r="C40" s="30"/>
      <c r="D40" s="37" t="s">
        <v>128</v>
      </c>
      <c r="E40" s="32" t="s">
        <v>364</v>
      </c>
      <c r="F40" s="33" t="s">
        <v>359</v>
      </c>
      <c r="G40" s="32" t="str">
        <f t="shared" si="0"/>
        <v>(宜宾兴港三江新区长江工业园建设项目-M2-3#厂房)宜宾市翠屏区宜宾汽车零部件配套产业基地(纬五路南)</v>
      </c>
      <c r="H40" s="33" t="s">
        <v>363</v>
      </c>
      <c r="I40" s="33">
        <v>17713876279</v>
      </c>
      <c r="J40" s="44" t="s">
        <v>355</v>
      </c>
      <c r="K40" s="45" t="s">
        <v>361</v>
      </c>
      <c r="L40" s="46"/>
      <c r="M40" s="32" t="s">
        <v>362</v>
      </c>
    </row>
    <row r="41" s="18" customFormat="1" spans="1:13">
      <c r="A41" s="33"/>
      <c r="B41" s="33"/>
      <c r="C41" s="30"/>
      <c r="D41" s="37" t="s">
        <v>128</v>
      </c>
      <c r="E41" s="32" t="s">
        <v>153</v>
      </c>
      <c r="F41" s="33" t="s">
        <v>359</v>
      </c>
      <c r="G41" s="32" t="str">
        <f t="shared" si="0"/>
        <v>(宜宾兴港三江新区长江工业园建设项目-M2-4#厂房)宜宾市翠屏区宜宾汽车零部件配套产业基地(纬五路南)</v>
      </c>
      <c r="H41" s="33" t="s">
        <v>363</v>
      </c>
      <c r="I41" s="33">
        <v>17713876279</v>
      </c>
      <c r="J41" s="44" t="s">
        <v>355</v>
      </c>
      <c r="K41" s="45" t="s">
        <v>361</v>
      </c>
      <c r="L41" s="46"/>
      <c r="M41" s="32" t="s">
        <v>362</v>
      </c>
    </row>
    <row r="42" s="18" customFormat="1" spans="1:13">
      <c r="A42" s="29" t="s">
        <v>205</v>
      </c>
      <c r="B42" s="29" t="s">
        <v>116</v>
      </c>
      <c r="C42" s="30"/>
      <c r="D42" s="37" t="s">
        <v>128</v>
      </c>
      <c r="E42" s="32" t="s">
        <v>154</v>
      </c>
      <c r="F42" s="33" t="s">
        <v>359</v>
      </c>
      <c r="G42" s="32" t="str">
        <f t="shared" si="0"/>
        <v>(宜宾兴港三江新区长江工业园建设项目-M2-5#厂房)宜宾市翠屏区宜宾汽车零部件配套产业基地(纬五路南)</v>
      </c>
      <c r="H42" s="33" t="s">
        <v>363</v>
      </c>
      <c r="I42" s="33">
        <v>17713876279</v>
      </c>
      <c r="J42" s="44" t="s">
        <v>355</v>
      </c>
      <c r="K42" s="45" t="s">
        <v>361</v>
      </c>
      <c r="L42" s="46"/>
      <c r="M42" s="32" t="s">
        <v>362</v>
      </c>
    </row>
    <row r="43" s="18" customFormat="1" spans="1:13">
      <c r="A43" s="29" t="s">
        <v>140</v>
      </c>
      <c r="B43" s="29" t="s">
        <v>116</v>
      </c>
      <c r="C43" s="30"/>
      <c r="D43" s="37" t="s">
        <v>128</v>
      </c>
      <c r="E43" s="32" t="s">
        <v>137</v>
      </c>
      <c r="F43" s="33" t="s">
        <v>359</v>
      </c>
      <c r="G43" s="32" t="str">
        <f t="shared" si="0"/>
        <v>(宜宾兴港三江新区长江工业园建设项目-M2-6#厂房)宜宾市翠屏区宜宾汽车零部件配套产业基地(纬五路南)</v>
      </c>
      <c r="H43" s="33" t="s">
        <v>363</v>
      </c>
      <c r="I43" s="33">
        <v>17713876279</v>
      </c>
      <c r="J43" s="44" t="s">
        <v>355</v>
      </c>
      <c r="K43" s="45" t="s">
        <v>361</v>
      </c>
      <c r="L43" s="46"/>
      <c r="M43" s="32" t="s">
        <v>362</v>
      </c>
    </row>
    <row r="44" s="18" customFormat="1" spans="1:13">
      <c r="A44" s="29" t="s">
        <v>197</v>
      </c>
      <c r="B44" s="29" t="s">
        <v>116</v>
      </c>
      <c r="C44" s="30"/>
      <c r="D44" s="37" t="s">
        <v>128</v>
      </c>
      <c r="E44" s="32" t="s">
        <v>139</v>
      </c>
      <c r="F44" s="33" t="s">
        <v>359</v>
      </c>
      <c r="G44" s="32" t="str">
        <f t="shared" si="0"/>
        <v>(宜宾兴港三江新区长江工业园建设项目-M2-7#厂房)宜宾市翠屏区宜宾汽车零部件配套产业基地(纬五路南)</v>
      </c>
      <c r="H44" s="33" t="s">
        <v>363</v>
      </c>
      <c r="I44" s="33">
        <v>17713876279</v>
      </c>
      <c r="J44" s="44" t="s">
        <v>355</v>
      </c>
      <c r="K44" s="45" t="s">
        <v>361</v>
      </c>
      <c r="L44" s="46"/>
      <c r="M44" s="32" t="s">
        <v>362</v>
      </c>
    </row>
    <row r="45" s="18" customFormat="1" spans="1:13">
      <c r="A45" s="29" t="s">
        <v>198</v>
      </c>
      <c r="B45" s="29" t="s">
        <v>116</v>
      </c>
      <c r="C45" s="20"/>
      <c r="D45" s="37" t="s">
        <v>128</v>
      </c>
      <c r="E45" s="32" t="s">
        <v>131</v>
      </c>
      <c r="F45" s="33" t="s">
        <v>359</v>
      </c>
      <c r="G45" s="32" t="str">
        <f t="shared" si="0"/>
        <v>(宜宾兴港三江新区长江工业园建设项目-11#厂房)宜宾市翠屏区宜宾汽车零部件配套产业基地(纬五路南)</v>
      </c>
      <c r="H45" s="33" t="s">
        <v>360</v>
      </c>
      <c r="I45" s="33">
        <v>15924731822</v>
      </c>
      <c r="J45" s="44" t="s">
        <v>355</v>
      </c>
      <c r="K45" s="45" t="s">
        <v>361</v>
      </c>
      <c r="L45" s="46"/>
      <c r="M45" s="32" t="s">
        <v>362</v>
      </c>
    </row>
    <row r="46" s="18" customFormat="1" spans="1:13">
      <c r="A46" s="29" t="s">
        <v>199</v>
      </c>
      <c r="B46" s="29" t="s">
        <v>116</v>
      </c>
      <c r="C46" s="20"/>
      <c r="D46" s="37" t="s">
        <v>128</v>
      </c>
      <c r="E46" s="32" t="s">
        <v>365</v>
      </c>
      <c r="F46" s="33" t="s">
        <v>359</v>
      </c>
      <c r="G46" s="32" t="str">
        <f t="shared" si="0"/>
        <v>(宜宾兴港三江新区长江工业园建设项目-3#8#9#承台)宜宾市翠屏区宜宾汽车零部件配套产业基地(纬五路南)</v>
      </c>
      <c r="H46" s="33" t="s">
        <v>360</v>
      </c>
      <c r="I46" s="33">
        <v>15924731822</v>
      </c>
      <c r="J46" s="44" t="s">
        <v>355</v>
      </c>
      <c r="K46" s="45" t="s">
        <v>361</v>
      </c>
      <c r="L46" s="47"/>
      <c r="M46" s="32" t="s">
        <v>362</v>
      </c>
    </row>
    <row r="47" s="18" customFormat="1" spans="1:13">
      <c r="A47" s="29" t="s">
        <v>141</v>
      </c>
      <c r="B47" s="29" t="s">
        <v>116</v>
      </c>
      <c r="C47" s="20"/>
      <c r="D47" s="37" t="s">
        <v>128</v>
      </c>
      <c r="E47" s="32" t="s">
        <v>148</v>
      </c>
      <c r="F47" s="33" t="s">
        <v>359</v>
      </c>
      <c r="G47" s="32" t="str">
        <f t="shared" si="0"/>
        <v>(宜宾兴港三江新区长江工业园建设项目-3#8#土建)宜宾市翠屏区宜宾汽车零部件配套产业基地(纬五路南)</v>
      </c>
      <c r="H47" s="33" t="s">
        <v>360</v>
      </c>
      <c r="I47" s="33">
        <v>15924731822</v>
      </c>
      <c r="J47" s="44" t="s">
        <v>355</v>
      </c>
      <c r="K47" s="45" t="s">
        <v>361</v>
      </c>
      <c r="L47" s="47"/>
      <c r="M47" s="32" t="s">
        <v>362</v>
      </c>
    </row>
    <row r="48" s="18" customFormat="1" spans="1:13">
      <c r="A48" s="29" t="s">
        <v>142</v>
      </c>
      <c r="B48" s="29" t="s">
        <v>116</v>
      </c>
      <c r="C48" s="20"/>
      <c r="D48" s="37" t="s">
        <v>128</v>
      </c>
      <c r="E48" s="32" t="s">
        <v>161</v>
      </c>
      <c r="F48" s="33" t="s">
        <v>366</v>
      </c>
      <c r="G48" s="32"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33" t="s">
        <v>367</v>
      </c>
      <c r="I48" s="33">
        <v>13684167136</v>
      </c>
      <c r="J48" s="44" t="s">
        <v>368</v>
      </c>
      <c r="K48" s="45" t="s">
        <v>369</v>
      </c>
      <c r="L48" s="47"/>
      <c r="M48" s="32" t="s">
        <v>370</v>
      </c>
    </row>
    <row r="49" s="18" customFormat="1" spans="1:13">
      <c r="A49" s="29" t="s">
        <v>200</v>
      </c>
      <c r="B49" s="29" t="s">
        <v>116</v>
      </c>
      <c r="C49" s="20"/>
      <c r="D49" s="37" t="s">
        <v>128</v>
      </c>
      <c r="E49" s="32" t="s">
        <v>162</v>
      </c>
      <c r="F49" s="33" t="s">
        <v>366</v>
      </c>
      <c r="G49" s="32" t="str">
        <f t="shared" si="1"/>
        <v>(宜宾兴港三江新区长江工业园保障性租赁住房建设项目-2标)四川省宜宾市翠屏区永善路南段宜宾市三江新区长江工业园区</v>
      </c>
      <c r="H49" s="33" t="s">
        <v>367</v>
      </c>
      <c r="I49" s="33">
        <v>13684167136</v>
      </c>
      <c r="J49" s="44" t="s">
        <v>368</v>
      </c>
      <c r="K49" s="45" t="s">
        <v>369</v>
      </c>
      <c r="L49" s="47"/>
      <c r="M49" s="32" t="s">
        <v>370</v>
      </c>
    </row>
    <row r="50" s="18" customFormat="1" spans="1:13">
      <c r="A50" s="29" t="s">
        <v>201</v>
      </c>
      <c r="B50" s="29" t="s">
        <v>116</v>
      </c>
      <c r="C50" s="20"/>
      <c r="D50" s="37" t="s">
        <v>128</v>
      </c>
      <c r="E50" s="32" t="s">
        <v>194</v>
      </c>
      <c r="F50" s="33" t="s">
        <v>366</v>
      </c>
      <c r="G50" s="32" t="str">
        <f t="shared" si="1"/>
        <v>(宜宾兴港三江新区长江工业园保障性租赁住房建设项目-土建)四川省宜宾市翠屏区永善路南段宜宾市三江新区长江工业园区</v>
      </c>
      <c r="H50" s="33" t="s">
        <v>367</v>
      </c>
      <c r="I50" s="33">
        <v>13684167136</v>
      </c>
      <c r="J50" s="44" t="s">
        <v>368</v>
      </c>
      <c r="K50" s="45" t="s">
        <v>369</v>
      </c>
      <c r="L50" s="47"/>
      <c r="M50" s="32" t="s">
        <v>370</v>
      </c>
    </row>
    <row r="51" s="18" customFormat="1" spans="3:13">
      <c r="C51" s="20"/>
      <c r="D51" s="37" t="s">
        <v>128</v>
      </c>
      <c r="E51" s="32" t="s">
        <v>184</v>
      </c>
      <c r="F51" s="33" t="s">
        <v>366</v>
      </c>
      <c r="G51" s="32" t="str">
        <f t="shared" si="1"/>
        <v>(宜宾兴港三江新区长江工业园保障性租赁住房建设项目-边坡支护)四川省宜宾市翠屏区永善路南段宜宾市三江新区长江工业园区</v>
      </c>
      <c r="H51" s="33" t="s">
        <v>367</v>
      </c>
      <c r="I51" s="33">
        <v>13684167136</v>
      </c>
      <c r="J51" s="44" t="s">
        <v>368</v>
      </c>
      <c r="K51" s="45" t="s">
        <v>369</v>
      </c>
      <c r="L51" s="47"/>
      <c r="M51" s="32" t="s">
        <v>370</v>
      </c>
    </row>
    <row r="52" s="18" customFormat="1" spans="3:13">
      <c r="C52" s="20"/>
      <c r="D52" s="32" t="s">
        <v>371</v>
      </c>
      <c r="E52" s="32" t="s">
        <v>169</v>
      </c>
      <c r="F52" s="33" t="s">
        <v>372</v>
      </c>
      <c r="G52" s="32" t="str">
        <f>"("&amp;E52&amp;")"&amp;"龙泉驿区北川路双堰塘钓鱼东100米(北川路)"</f>
        <v>(五冶建设龙泉芙蓉花语项目-1,3地块)龙泉驿区北川路双堰塘钓鱼东100米(北川路)</v>
      </c>
      <c r="H52" s="33" t="s">
        <v>373</v>
      </c>
      <c r="I52" s="33">
        <v>15583590797</v>
      </c>
      <c r="J52" s="48" t="s">
        <v>374</v>
      </c>
      <c r="K52" s="45" t="s">
        <v>375</v>
      </c>
      <c r="L52" s="47"/>
      <c r="M52" s="32" t="s">
        <v>376</v>
      </c>
    </row>
    <row r="53" s="18" customFormat="1" spans="1:13">
      <c r="A53" s="19"/>
      <c r="B53" s="19"/>
      <c r="C53" s="20"/>
      <c r="D53" s="32" t="s">
        <v>371</v>
      </c>
      <c r="E53" s="32" t="s">
        <v>158</v>
      </c>
      <c r="F53" s="33" t="s">
        <v>372</v>
      </c>
      <c r="G53" s="32" t="str">
        <f>"("&amp;E53&amp;")"&amp;"龙泉驿区北川路双堰塘钓鱼东100米(北川路)"</f>
        <v>(五冶建设龙泉芙蓉花语项目-2地块)龙泉驿区北川路双堰塘钓鱼东100米(北川路)</v>
      </c>
      <c r="H53" s="33" t="s">
        <v>377</v>
      </c>
      <c r="I53" s="33">
        <v>15982002377</v>
      </c>
      <c r="J53" s="48" t="s">
        <v>378</v>
      </c>
      <c r="K53" s="45" t="s">
        <v>375</v>
      </c>
      <c r="L53" s="47"/>
      <c r="M53" s="32" t="s">
        <v>376</v>
      </c>
    </row>
    <row r="54" s="18" customFormat="1" spans="1:13">
      <c r="A54" s="19"/>
      <c r="B54" s="19"/>
      <c r="C54" s="20"/>
      <c r="D54" s="32" t="s">
        <v>167</v>
      </c>
      <c r="E54" s="32" t="s">
        <v>167</v>
      </c>
      <c r="F54" s="33" t="s">
        <v>379</v>
      </c>
      <c r="G54" s="32" t="str">
        <f>"("&amp;E54&amp;")"&amp;"四川省成都市双流区光荣路成都艺体中学南200米"</f>
        <v>(五冶建设扩建艺体中学二期工程)四川省成都市双流区光荣路成都艺体中学南200米</v>
      </c>
      <c r="H54" s="33" t="s">
        <v>380</v>
      </c>
      <c r="I54" s="33">
        <v>13458588232</v>
      </c>
      <c r="J54" s="48" t="s">
        <v>381</v>
      </c>
      <c r="K54" s="45" t="s">
        <v>382</v>
      </c>
      <c r="L54" s="47"/>
      <c r="M54" s="32" t="s">
        <v>376</v>
      </c>
    </row>
    <row r="55" s="18" customFormat="1" spans="1:13">
      <c r="A55" s="19"/>
      <c r="B55" s="19"/>
      <c r="C55" s="20"/>
      <c r="D55" s="32" t="s">
        <v>192</v>
      </c>
      <c r="E55" s="32" t="s">
        <v>192</v>
      </c>
      <c r="F55" s="33" t="s">
        <v>383</v>
      </c>
      <c r="G55" s="32" t="str">
        <f>"("&amp;E55&amp;")"&amp;"四川省成都市青白江区桂平大道成都中远海运陆港多式联运有限公司"</f>
        <v>(五冶建设成都国际铁路港多式联项目)四川省成都市青白江区桂平大道成都中远海运陆港多式联运有限公司</v>
      </c>
      <c r="H55" s="33" t="s">
        <v>384</v>
      </c>
      <c r="I55" s="33">
        <v>13880580196</v>
      </c>
      <c r="J55" s="48" t="s">
        <v>385</v>
      </c>
      <c r="K55" s="45" t="s">
        <v>386</v>
      </c>
      <c r="L55" s="47"/>
      <c r="M55" s="32" t="s">
        <v>376</v>
      </c>
    </row>
    <row r="56" s="18" customFormat="1" spans="1:13">
      <c r="A56" s="19"/>
      <c r="B56" s="19"/>
      <c r="C56" s="20"/>
      <c r="D56" s="32" t="s">
        <v>196</v>
      </c>
      <c r="E56" s="32" t="s">
        <v>196</v>
      </c>
      <c r="F56" s="33" t="s">
        <v>387</v>
      </c>
      <c r="G56" s="32" t="str">
        <f>"("&amp;E56&amp;")"&amp;"四川省成都市成华区大观堰2号(四川师范大学附属中学外国语学校)"</f>
        <v>(五冶建设师大附中外语校新建教学楼工程)四川省成都市成华区大观堰2号(四川师范大学附属中学外国语学校)</v>
      </c>
      <c r="H56" s="33" t="s">
        <v>388</v>
      </c>
      <c r="I56" s="33">
        <v>13980880820</v>
      </c>
      <c r="J56" s="48" t="s">
        <v>389</v>
      </c>
      <c r="K56" s="45" t="s">
        <v>390</v>
      </c>
      <c r="L56" s="47"/>
      <c r="M56" s="32" t="s">
        <v>376</v>
      </c>
    </row>
    <row r="57" s="18" customFormat="1" spans="1:13">
      <c r="A57" s="19"/>
      <c r="B57" s="19"/>
      <c r="C57" s="20"/>
      <c r="D57" s="32" t="s">
        <v>203</v>
      </c>
      <c r="E57" s="32" t="s">
        <v>203</v>
      </c>
      <c r="F57" s="33" t="s">
        <v>391</v>
      </c>
      <c r="G57" s="32"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33" t="s">
        <v>392</v>
      </c>
      <c r="I57" s="33">
        <v>15881190525</v>
      </c>
      <c r="J57" s="48" t="s">
        <v>393</v>
      </c>
      <c r="K57" s="45" t="s">
        <v>394</v>
      </c>
      <c r="L57" s="47"/>
      <c r="M57" s="32" t="s">
        <v>376</v>
      </c>
    </row>
    <row r="58" s="18" customFormat="1" spans="1:13">
      <c r="A58" s="19"/>
      <c r="B58" s="19"/>
      <c r="C58" s="20"/>
      <c r="D58" s="32" t="s">
        <v>208</v>
      </c>
      <c r="E58" s="32" t="s">
        <v>208</v>
      </c>
      <c r="F58" s="33" t="s">
        <v>387</v>
      </c>
      <c r="G58" s="32" t="str">
        <f>"("&amp;E58&amp;")"&amp;"锦江区泰昌路锦江28亩项目部"</f>
        <v>(五冶建设锦江区林家坝片区20号地块商业项目)锦江区泰昌路锦江28亩项目部</v>
      </c>
      <c r="H58" s="33" t="s">
        <v>395</v>
      </c>
      <c r="I58" s="33">
        <v>13980247952</v>
      </c>
      <c r="J58" s="48" t="s">
        <v>396</v>
      </c>
      <c r="K58" s="45" t="s">
        <v>397</v>
      </c>
      <c r="L58" s="47"/>
      <c r="M58" s="32" t="s">
        <v>376</v>
      </c>
    </row>
    <row r="59" s="18" customFormat="1" spans="1:13">
      <c r="A59" s="19"/>
      <c r="B59" s="19"/>
      <c r="C59" s="20"/>
      <c r="D59" s="32" t="s">
        <v>231</v>
      </c>
      <c r="E59" s="32" t="s">
        <v>231</v>
      </c>
      <c r="F59" s="33" t="s">
        <v>387</v>
      </c>
      <c r="G59" s="32" t="str">
        <f>"("&amp;E59&amp;")"&amp;"四川省成都市锦江区春熙路街道盐道街4号（盐道街中学初中部）"</f>
        <v>(五冶建设成都盐道街中学初中部改扩建工程-一标)四川省成都市锦江区春熙路街道盐道街4号（盐道街中学初中部）</v>
      </c>
      <c r="H59" s="33" t="s">
        <v>398</v>
      </c>
      <c r="I59" s="33">
        <v>18228465067</v>
      </c>
      <c r="J59" s="48" t="s">
        <v>399</v>
      </c>
      <c r="K59" s="45" t="s">
        <v>400</v>
      </c>
      <c r="L59" s="47"/>
      <c r="M59" s="32" t="s">
        <v>376</v>
      </c>
    </row>
    <row r="60" s="18" customFormat="1" spans="1:13">
      <c r="A60" s="19"/>
      <c r="B60" s="19"/>
      <c r="C60" s="20"/>
      <c r="D60" s="32" t="s">
        <v>230</v>
      </c>
      <c r="E60" s="32" t="s">
        <v>230</v>
      </c>
      <c r="F60" s="33" t="s">
        <v>387</v>
      </c>
      <c r="G60" s="32" t="str">
        <f>"("&amp;E60&amp;")"&amp;"四川省成都市锦江区春熙路街道盐道街4号（盐道街中学初中部）"</f>
        <v>(五冶建设成都盐道街中学初中部改扩建工程-二标)四川省成都市锦江区春熙路街道盐道街4号（盐道街中学初中部）</v>
      </c>
      <c r="H60" s="33" t="s">
        <v>398</v>
      </c>
      <c r="I60" s="33">
        <v>18228465067</v>
      </c>
      <c r="J60" s="48" t="s">
        <v>399</v>
      </c>
      <c r="K60" s="45" t="s">
        <v>400</v>
      </c>
      <c r="L60" s="47"/>
      <c r="M60" s="32" t="s">
        <v>376</v>
      </c>
    </row>
    <row r="61" s="18" customFormat="1" spans="1:13">
      <c r="A61" s="19"/>
      <c r="B61" s="19"/>
      <c r="C61" s="20"/>
      <c r="D61" s="32" t="s">
        <v>215</v>
      </c>
      <c r="E61" s="32" t="s">
        <v>215</v>
      </c>
      <c r="F61" s="33" t="s">
        <v>401</v>
      </c>
      <c r="G61" s="32" t="str">
        <f>"("&amp;E61&amp;")"&amp;"成都市龙泉驿区董朗路69号龙泉驿一医院5号门"</f>
        <v>(五冶建设龙泉驿一医院配套建设工程)成都市龙泉驿区董朗路69号龙泉驿一医院5号门</v>
      </c>
      <c r="H61" s="33" t="s">
        <v>402</v>
      </c>
      <c r="I61" s="33">
        <v>13617695006</v>
      </c>
      <c r="J61" s="48" t="s">
        <v>403</v>
      </c>
      <c r="K61" s="45" t="s">
        <v>404</v>
      </c>
      <c r="L61" s="47"/>
      <c r="M61" s="32" t="s">
        <v>376</v>
      </c>
    </row>
    <row r="62" s="18" customFormat="1" spans="1:13">
      <c r="A62" s="19"/>
      <c r="B62" s="19"/>
      <c r="C62" s="20"/>
      <c r="D62" s="32" t="s">
        <v>224</v>
      </c>
      <c r="E62" s="32" t="s">
        <v>224</v>
      </c>
      <c r="F62" s="33" t="s">
        <v>405</v>
      </c>
      <c r="G62" s="32" t="str">
        <f t="shared" ref="G62:G67" si="2">"("&amp;E62&amp;")"&amp;"成都市龙泉驿外东洪路地铁2号线惠王陵地铁C口"</f>
        <v>(五冶钢构龙泉东洪片区70亩住宅、商业及配套工程项目一标段)成都市龙泉驿外东洪路地铁2号线惠王陵地铁C口</v>
      </c>
      <c r="H62" s="33" t="s">
        <v>406</v>
      </c>
      <c r="I62" s="33">
        <v>13540231225</v>
      </c>
      <c r="J62" s="48"/>
      <c r="K62" s="45" t="s">
        <v>407</v>
      </c>
      <c r="L62" s="47"/>
      <c r="M62" s="32" t="s">
        <v>408</v>
      </c>
    </row>
    <row r="63" s="18" customFormat="1" spans="1:13">
      <c r="A63" s="19"/>
      <c r="B63" s="19"/>
      <c r="C63" s="20"/>
      <c r="D63" s="32" t="s">
        <v>228</v>
      </c>
      <c r="E63" s="32" t="s">
        <v>228</v>
      </c>
      <c r="F63" s="33" t="s">
        <v>405</v>
      </c>
      <c r="G63" s="32" t="str">
        <f t="shared" si="2"/>
        <v>(五冶钢构龙泉东洪片区70亩住宅、商业及配套工程项目二标段)成都市龙泉驿外东洪路地铁2号线惠王陵地铁C口</v>
      </c>
      <c r="H63" s="33" t="s">
        <v>409</v>
      </c>
      <c r="I63" s="33">
        <v>15014331252</v>
      </c>
      <c r="J63" s="48"/>
      <c r="K63" s="45" t="s">
        <v>410</v>
      </c>
      <c r="L63" s="47"/>
      <c r="M63" s="32" t="s">
        <v>408</v>
      </c>
    </row>
    <row r="64" s="18" customFormat="1" spans="1:13">
      <c r="A64" s="19"/>
      <c r="B64" s="19"/>
      <c r="C64" s="20"/>
      <c r="D64" s="32" t="s">
        <v>240</v>
      </c>
      <c r="E64" s="32" t="s">
        <v>240</v>
      </c>
      <c r="F64" s="33" t="s">
        <v>405</v>
      </c>
      <c r="G64" s="32" t="str">
        <f t="shared" si="2"/>
        <v>(五冶钢构龙泉东洪片区70亩住宅、商业及配套工程项目三标段)成都市龙泉驿外东洪路地铁2号线惠王陵地铁C口</v>
      </c>
      <c r="H64" s="33" t="s">
        <v>409</v>
      </c>
      <c r="I64" s="33">
        <v>15014331252</v>
      </c>
      <c r="J64" s="48"/>
      <c r="K64" s="45" t="s">
        <v>411</v>
      </c>
      <c r="L64" s="47"/>
      <c r="M64" s="32" t="s">
        <v>408</v>
      </c>
    </row>
    <row r="65" s="18" customFormat="1" spans="1:13">
      <c r="A65" s="19"/>
      <c r="B65" s="19"/>
      <c r="C65" s="20"/>
      <c r="D65" s="32" t="s">
        <v>225</v>
      </c>
      <c r="E65" s="32" t="s">
        <v>225</v>
      </c>
      <c r="F65" s="33" t="s">
        <v>405</v>
      </c>
      <c r="G65" s="32" t="str">
        <f t="shared" si="2"/>
        <v>(五冶钢构龙泉东洪片区85亩住宅、商业及配套工程项目一标段)成都市龙泉驿外东洪路地铁2号线惠王陵地铁C口</v>
      </c>
      <c r="H65" s="33" t="s">
        <v>412</v>
      </c>
      <c r="I65" s="33">
        <v>18599951655</v>
      </c>
      <c r="J65" s="48"/>
      <c r="K65" s="45" t="s">
        <v>413</v>
      </c>
      <c r="L65" s="47"/>
      <c r="M65" s="32" t="s">
        <v>408</v>
      </c>
    </row>
    <row r="66" s="18" customFormat="1" spans="1:13">
      <c r="A66" s="19"/>
      <c r="B66" s="19"/>
      <c r="C66" s="20"/>
      <c r="D66" s="32" t="s">
        <v>226</v>
      </c>
      <c r="E66" s="32" t="s">
        <v>226</v>
      </c>
      <c r="F66" s="33" t="s">
        <v>405</v>
      </c>
      <c r="G66" s="32" t="str">
        <f t="shared" si="2"/>
        <v>(五冶钢构龙泉东洪片区85亩住宅、商业及配套工程项目二标段)成都市龙泉驿外东洪路地铁2号线惠王陵地铁C口</v>
      </c>
      <c r="H66" s="33" t="s">
        <v>414</v>
      </c>
      <c r="I66" s="33">
        <v>18381013849</v>
      </c>
      <c r="J66" s="48"/>
      <c r="K66" s="45" t="s">
        <v>415</v>
      </c>
      <c r="L66" s="47"/>
      <c r="M66" s="32" t="s">
        <v>408</v>
      </c>
    </row>
    <row r="67" s="18" customFormat="1" spans="1:13">
      <c r="A67" s="19"/>
      <c r="B67" s="19"/>
      <c r="C67" s="20"/>
      <c r="D67" s="32" t="s">
        <v>229</v>
      </c>
      <c r="E67" s="32" t="s">
        <v>229</v>
      </c>
      <c r="F67" s="33" t="s">
        <v>405</v>
      </c>
      <c r="G67" s="32" t="str">
        <f t="shared" si="2"/>
        <v>(五冶钢构龙泉东洪片区85亩住宅、商业及配套工程项目三标段)成都市龙泉驿外东洪路地铁2号线惠王陵地铁C口</v>
      </c>
      <c r="H67" s="33" t="s">
        <v>416</v>
      </c>
      <c r="I67" s="33">
        <v>13889142392</v>
      </c>
      <c r="J67" s="48"/>
      <c r="K67" s="45" t="s">
        <v>417</v>
      </c>
      <c r="L67" s="47"/>
      <c r="M67" s="32" t="s">
        <v>408</v>
      </c>
    </row>
    <row r="68" s="18" customFormat="1" spans="1:13">
      <c r="A68" s="19"/>
      <c r="B68" s="19"/>
      <c r="C68" s="20"/>
      <c r="D68" s="39" t="s">
        <v>418</v>
      </c>
      <c r="E68" s="32" t="s">
        <v>188</v>
      </c>
      <c r="F68" s="33" t="s">
        <v>401</v>
      </c>
      <c r="G68" s="32" t="str">
        <f>"("&amp;E68&amp;")"&amp;"四川省达州市达川区斌郎街道四川省达州市达川区洞洞湾256米"</f>
        <v>(武汉电气化局成达万高铁强电项目-达州主城区)四川省达州市达川区斌郎街道四川省达州市达川区洞洞湾256米</v>
      </c>
      <c r="H68" s="33" t="s">
        <v>419</v>
      </c>
      <c r="I68" s="33">
        <v>18228076992</v>
      </c>
      <c r="J68" s="44" t="s">
        <v>420</v>
      </c>
      <c r="K68" s="45" t="s">
        <v>421</v>
      </c>
      <c r="L68" s="47"/>
      <c r="M68" s="32" t="s">
        <v>422</v>
      </c>
    </row>
    <row r="69" s="18" customFormat="1" spans="1:13">
      <c r="A69" s="19"/>
      <c r="B69" s="19"/>
      <c r="C69" s="20"/>
      <c r="D69" s="39" t="s">
        <v>418</v>
      </c>
      <c r="E69" s="32" t="s">
        <v>204</v>
      </c>
      <c r="F69" s="33" t="s">
        <v>401</v>
      </c>
      <c r="G69" s="32" t="str">
        <f>"("&amp;E69&amp;")"&amp;"四川省达州市达川区达州南站"</f>
        <v>(武汉电气化局成达万高铁强电项目-达州主城区-达州南站)四川省达州市达川区达州南站</v>
      </c>
      <c r="H69" s="33" t="s">
        <v>423</v>
      </c>
      <c r="I69" s="33">
        <v>18782679099</v>
      </c>
      <c r="J69" s="44" t="s">
        <v>420</v>
      </c>
      <c r="K69" s="45" t="s">
        <v>421</v>
      </c>
      <c r="L69" s="47"/>
      <c r="M69" s="32" t="s">
        <v>422</v>
      </c>
    </row>
    <row r="70" s="18" customFormat="1" spans="1:13">
      <c r="A70" s="19"/>
      <c r="B70" s="19"/>
      <c r="C70" s="20"/>
      <c r="D70" s="39" t="s">
        <v>418</v>
      </c>
      <c r="E70" s="32" t="s">
        <v>424</v>
      </c>
      <c r="F70" s="33" t="s">
        <v>401</v>
      </c>
      <c r="G70" s="32" t="str">
        <f>"("&amp;E70&amp;")"&amp;"四川省达州市达川区斌郎街道四川省达州市达川区洞洞湾256米"</f>
        <v>(武汉电气化局成达万高铁强电项目-开江县)四川省达州市达川区斌郎街道四川省达州市达川区洞洞湾256米</v>
      </c>
      <c r="H70" s="33" t="s">
        <v>419</v>
      </c>
      <c r="I70" s="33">
        <v>18228076992</v>
      </c>
      <c r="J70" s="44" t="s">
        <v>420</v>
      </c>
      <c r="K70" s="45" t="s">
        <v>421</v>
      </c>
      <c r="L70" s="47"/>
      <c r="M70" s="32" t="s">
        <v>422</v>
      </c>
    </row>
    <row r="71" s="18" customFormat="1" spans="1:13">
      <c r="A71" s="19"/>
      <c r="B71" s="19"/>
      <c r="C71" s="20"/>
      <c r="D71" s="39" t="s">
        <v>418</v>
      </c>
      <c r="E71" s="32" t="s">
        <v>176</v>
      </c>
      <c r="F71" s="33" t="s">
        <v>401</v>
      </c>
      <c r="G71" s="32" t="str">
        <f>"("&amp;E71&amp;")"&amp;"四川省达州市渠县渠北镇雷家湾渠县北站旁"</f>
        <v>(武汉电气化局成达万高铁强电项目-渠县)四川省达州市渠县渠北镇雷家湾渠县北站旁</v>
      </c>
      <c r="H71" s="33" t="s">
        <v>425</v>
      </c>
      <c r="I71" s="33">
        <v>18779627939</v>
      </c>
      <c r="J71" s="44" t="s">
        <v>420</v>
      </c>
      <c r="K71" s="45" t="s">
        <v>421</v>
      </c>
      <c r="L71" s="47"/>
      <c r="M71" s="32" t="s">
        <v>422</v>
      </c>
    </row>
    <row r="72" s="18" customFormat="1" spans="1:13">
      <c r="A72" s="19"/>
      <c r="B72" s="19"/>
      <c r="C72" s="20"/>
      <c r="D72" s="39" t="s">
        <v>418</v>
      </c>
      <c r="E72" s="32" t="s">
        <v>426</v>
      </c>
      <c r="F72" s="33" t="s">
        <v>401</v>
      </c>
      <c r="G72" s="32" t="str">
        <f>"("&amp;E72&amp;")"&amp;"四川省达州市达川区斌郎街道四川省达州市达川区洞洞湾256米"</f>
        <v>(武汉电气化局成达万高铁强电项目-重庆开州)四川省达州市达川区斌郎街道四川省达州市达川区洞洞湾256米</v>
      </c>
      <c r="H72" s="33" t="s">
        <v>419</v>
      </c>
      <c r="I72" s="33">
        <v>18228076992</v>
      </c>
      <c r="J72" s="44" t="s">
        <v>420</v>
      </c>
      <c r="K72" s="45" t="s">
        <v>421</v>
      </c>
      <c r="L72" s="47"/>
      <c r="M72" s="32" t="s">
        <v>422</v>
      </c>
    </row>
    <row r="73" s="18" customFormat="1" spans="1:13">
      <c r="A73" s="19"/>
      <c r="B73" s="19"/>
      <c r="C73" s="20"/>
      <c r="D73" s="39" t="s">
        <v>418</v>
      </c>
      <c r="E73" s="32" t="s">
        <v>177</v>
      </c>
      <c r="F73" s="33" t="s">
        <v>401</v>
      </c>
      <c r="G73" s="32" t="str">
        <f>"("&amp;E73&amp;")"&amp;"四川省南充市营山县保真路景阳名城南50米(保真路东)"</f>
        <v>(武汉电气化局成达万高铁强电项目-南充营山)四川省南充市营山县保真路景阳名城南50米(保真路东)</v>
      </c>
      <c r="H73" s="33" t="s">
        <v>427</v>
      </c>
      <c r="I73" s="33">
        <v>18381485052</v>
      </c>
      <c r="J73" s="44" t="s">
        <v>420</v>
      </c>
      <c r="K73" s="45" t="s">
        <v>421</v>
      </c>
      <c r="L73" s="47"/>
      <c r="M73" s="32" t="s">
        <v>422</v>
      </c>
    </row>
    <row r="74" s="18" customFormat="1" spans="1:13">
      <c r="A74" s="19"/>
      <c r="B74" s="19"/>
      <c r="C74" s="20"/>
      <c r="D74" s="37" t="s">
        <v>160</v>
      </c>
      <c r="E74" s="32" t="s">
        <v>160</v>
      </c>
      <c r="F74" s="33" t="s">
        <v>401</v>
      </c>
      <c r="G74" s="32" t="str">
        <f>"("&amp;E74&amp;")"&amp;"重庆市九龙坡区华祥支路与华祥路交叉口重庆建工重庆西站TOD项目部"</f>
        <v>(中铁三局集团西渝高铁康渝段站房四标工程)重庆市九龙坡区华祥支路与华祥路交叉口重庆建工重庆西站TOD项目部</v>
      </c>
      <c r="H74" s="33" t="s">
        <v>428</v>
      </c>
      <c r="I74" s="33">
        <v>18883488177</v>
      </c>
      <c r="J74" s="44" t="s">
        <v>429</v>
      </c>
      <c r="K74" s="45" t="s">
        <v>430</v>
      </c>
      <c r="L74" s="47"/>
      <c r="M74" s="32" t="s">
        <v>431</v>
      </c>
    </row>
    <row r="75" s="18" customFormat="1" spans="1:13">
      <c r="A75" s="19"/>
      <c r="B75" s="19"/>
      <c r="C75" s="20"/>
      <c r="D75" s="32" t="s">
        <v>187</v>
      </c>
      <c r="E75" s="32" t="s">
        <v>187</v>
      </c>
      <c r="F75" s="33" t="s">
        <v>432</v>
      </c>
      <c r="G75" s="32" t="str">
        <f>"("&amp;E75&amp;")"&amp;"四川省乐山市市中区苏稽镇周山嘴"</f>
        <v>(乐山市校地共建产教融合基地建设项目一标段)四川省乐山市市中区苏稽镇周山嘴</v>
      </c>
      <c r="H75" s="33" t="s">
        <v>433</v>
      </c>
      <c r="I75" s="33">
        <v>13668153241</v>
      </c>
      <c r="J75" s="44" t="s">
        <v>434</v>
      </c>
      <c r="K75" s="45" t="s">
        <v>435</v>
      </c>
      <c r="L75" s="47"/>
      <c r="M75" s="32" t="s">
        <v>436</v>
      </c>
    </row>
    <row r="76" s="18" customFormat="1" spans="1:13">
      <c r="A76" s="19"/>
      <c r="B76" s="19"/>
      <c r="C76" s="20"/>
      <c r="D76" s="32" t="s">
        <v>186</v>
      </c>
      <c r="E76" s="32" t="s">
        <v>186</v>
      </c>
      <c r="F76" s="33" t="s">
        <v>432</v>
      </c>
      <c r="G76" s="32" t="str">
        <f>"("&amp;E76&amp;")"&amp;"四川省乐山市市中区苏稽镇"</f>
        <v>(乐山市校地共建产教融合基地建设项目二标段)四川省乐山市市中区苏稽镇</v>
      </c>
      <c r="H76" s="33" t="s">
        <v>437</v>
      </c>
      <c r="I76" s="33">
        <v>13990276572</v>
      </c>
      <c r="J76" s="44" t="s">
        <v>438</v>
      </c>
      <c r="K76" s="45" t="s">
        <v>439</v>
      </c>
      <c r="L76" s="47"/>
      <c r="M76" s="32" t="s">
        <v>440</v>
      </c>
    </row>
    <row r="77" hidden="1" spans="4:13">
      <c r="D77" s="37" t="s">
        <v>441</v>
      </c>
      <c r="E77" s="38" t="s">
        <v>442</v>
      </c>
      <c r="F77" s="33" t="s">
        <v>443</v>
      </c>
      <c r="G77" s="32" t="str">
        <f t="shared" ref="G71:G116" si="3">"("&amp;E77&amp;")"&amp;"四川省南充市顺庆区搬罾街道学府大道二段"</f>
        <v>(五冶钢构医学科学产业园建设项目房建一部-二标（3-3）)四川省南充市顺庆区搬罾街道学府大道二段</v>
      </c>
      <c r="H77" s="33" t="s">
        <v>444</v>
      </c>
      <c r="I77" s="33">
        <v>18141337338</v>
      </c>
      <c r="J77" s="38" t="s">
        <v>445</v>
      </c>
      <c r="K77" s="43" t="s">
        <v>446</v>
      </c>
      <c r="L77" s="40"/>
      <c r="M77" s="32" t="s">
        <v>447</v>
      </c>
    </row>
    <row r="78" hidden="1" spans="4:13">
      <c r="D78" s="37" t="s">
        <v>441</v>
      </c>
      <c r="E78" s="38" t="s">
        <v>448</v>
      </c>
      <c r="F78" s="33" t="s">
        <v>443</v>
      </c>
      <c r="G78" s="32" t="str">
        <f t="shared" si="3"/>
        <v>(五冶钢构医学科学产业园建设项目房建一部-三标（2-1）)四川省南充市顺庆区搬罾街道学府大道二段</v>
      </c>
      <c r="H78" s="33" t="s">
        <v>444</v>
      </c>
      <c r="I78" s="33">
        <v>18141337338</v>
      </c>
      <c r="J78" s="38" t="s">
        <v>445</v>
      </c>
      <c r="K78" s="43" t="s">
        <v>446</v>
      </c>
      <c r="L78" s="40"/>
      <c r="M78" s="32" t="s">
        <v>447</v>
      </c>
    </row>
    <row r="79" hidden="1" spans="4:13">
      <c r="D79" s="37" t="s">
        <v>441</v>
      </c>
      <c r="E79" s="38" t="s">
        <v>449</v>
      </c>
      <c r="F79" s="33" t="s">
        <v>443</v>
      </c>
      <c r="G79" s="32" t="str">
        <f t="shared" si="3"/>
        <v>(五冶钢构医学科学产业园建设项目房建一部-三标（2-2）)四川省南充市顺庆区搬罾街道学府大道二段</v>
      </c>
      <c r="H79" s="33" t="s">
        <v>444</v>
      </c>
      <c r="I79" s="33">
        <v>18141337338</v>
      </c>
      <c r="J79" s="38" t="s">
        <v>445</v>
      </c>
      <c r="K79" s="43" t="s">
        <v>446</v>
      </c>
      <c r="L79" s="40"/>
      <c r="M79" s="32" t="s">
        <v>447</v>
      </c>
    </row>
    <row r="80" hidden="1" spans="4:13">
      <c r="D80" s="37" t="s">
        <v>441</v>
      </c>
      <c r="E80" s="38" t="s">
        <v>450</v>
      </c>
      <c r="F80" s="33" t="s">
        <v>443</v>
      </c>
      <c r="G80" s="32" t="str">
        <f t="shared" si="3"/>
        <v>(五冶钢构医学科学产业园建设项目房建一部-三标（2-3）)四川省南充市顺庆区搬罾街道学府大道二段</v>
      </c>
      <c r="H80" s="33" t="s">
        <v>444</v>
      </c>
      <c r="I80" s="33">
        <v>18141337338</v>
      </c>
      <c r="J80" s="38" t="s">
        <v>445</v>
      </c>
      <c r="K80" s="43" t="s">
        <v>446</v>
      </c>
      <c r="L80" s="40"/>
      <c r="M80" s="32" t="s">
        <v>447</v>
      </c>
    </row>
    <row r="81" hidden="1" spans="4:13">
      <c r="D81" s="37" t="s">
        <v>441</v>
      </c>
      <c r="E81" s="38" t="s">
        <v>451</v>
      </c>
      <c r="F81" s="33" t="s">
        <v>443</v>
      </c>
      <c r="G81" s="32" t="str">
        <f t="shared" si="3"/>
        <v>(五冶钢构医学科学产业园建设项目房建一部-四标（3-4）)四川省南充市顺庆区搬罾街道学府大道二段</v>
      </c>
      <c r="H81" s="33" t="s">
        <v>444</v>
      </c>
      <c r="I81" s="33">
        <v>18141337338</v>
      </c>
      <c r="J81" s="38" t="s">
        <v>445</v>
      </c>
      <c r="K81" s="43" t="s">
        <v>446</v>
      </c>
      <c r="L81" s="40"/>
      <c r="M81" s="32" t="s">
        <v>447</v>
      </c>
    </row>
    <row r="82" hidden="1" spans="4:13">
      <c r="D82" s="37" t="s">
        <v>441</v>
      </c>
      <c r="E82" s="38" t="s">
        <v>452</v>
      </c>
      <c r="F82" s="33" t="s">
        <v>443</v>
      </c>
      <c r="G82" s="32" t="str">
        <f t="shared" si="3"/>
        <v>(五冶钢构医学科学产业园建设项目房建一部-四标（3-5）)四川省南充市顺庆区搬罾街道学府大道二段</v>
      </c>
      <c r="H82" s="33" t="s">
        <v>444</v>
      </c>
      <c r="I82" s="33">
        <v>18141337338</v>
      </c>
      <c r="J82" s="38" t="s">
        <v>445</v>
      </c>
      <c r="K82" s="43" t="s">
        <v>446</v>
      </c>
      <c r="L82" s="40"/>
      <c r="M82" s="32" t="s">
        <v>447</v>
      </c>
    </row>
    <row r="83" hidden="1" spans="4:13">
      <c r="D83" s="37" t="s">
        <v>441</v>
      </c>
      <c r="E83" s="38" t="s">
        <v>453</v>
      </c>
      <c r="F83" s="33" t="s">
        <v>443</v>
      </c>
      <c r="G83" s="32" t="str">
        <f t="shared" si="3"/>
        <v>(五冶钢构医学科学产业园建设项目房建一部-四标（3-6）)四川省南充市顺庆区搬罾街道学府大道二段</v>
      </c>
      <c r="H83" s="33" t="s">
        <v>444</v>
      </c>
      <c r="I83" s="33">
        <v>18141337338</v>
      </c>
      <c r="J83" s="38" t="s">
        <v>445</v>
      </c>
      <c r="K83" s="43" t="s">
        <v>446</v>
      </c>
      <c r="L83" s="40"/>
      <c r="M83" s="32" t="s">
        <v>447</v>
      </c>
    </row>
    <row r="84" hidden="1" spans="4:13">
      <c r="D84" s="37" t="s">
        <v>441</v>
      </c>
      <c r="E84" s="38" t="s">
        <v>151</v>
      </c>
      <c r="F84" s="33" t="s">
        <v>443</v>
      </c>
      <c r="G84" s="32" t="str">
        <f t="shared" si="3"/>
        <v>(五冶钢构医学科学产业园建设项目房建一部-四标（3-7）)四川省南充市顺庆区搬罾街道学府大道二段</v>
      </c>
      <c r="H84" s="33" t="s">
        <v>444</v>
      </c>
      <c r="I84" s="33">
        <v>18141337338</v>
      </c>
      <c r="J84" s="38" t="s">
        <v>445</v>
      </c>
      <c r="K84" s="43" t="s">
        <v>446</v>
      </c>
      <c r="L84" s="40"/>
      <c r="M84" s="32" t="s">
        <v>447</v>
      </c>
    </row>
    <row r="85" hidden="1" spans="4:13">
      <c r="D85" s="37" t="s">
        <v>441</v>
      </c>
      <c r="E85" s="38" t="s">
        <v>454</v>
      </c>
      <c r="F85" s="33" t="s">
        <v>443</v>
      </c>
      <c r="G85" s="32" t="str">
        <f t="shared" si="3"/>
        <v>(五冶钢构医学科学产业园建设项目房建一部-五标（校医院6-1）)四川省南充市顺庆区搬罾街道学府大道二段</v>
      </c>
      <c r="H85" s="33" t="s">
        <v>444</v>
      </c>
      <c r="I85" s="33">
        <v>18141337338</v>
      </c>
      <c r="J85" s="38" t="s">
        <v>445</v>
      </c>
      <c r="K85" s="43" t="s">
        <v>446</v>
      </c>
      <c r="L85" s="40"/>
      <c r="M85" s="32" t="s">
        <v>447</v>
      </c>
    </row>
    <row r="86" hidden="1" spans="4:13">
      <c r="D86" s="37" t="s">
        <v>441</v>
      </c>
      <c r="E86" s="38" t="s">
        <v>455</v>
      </c>
      <c r="F86" s="33" t="s">
        <v>443</v>
      </c>
      <c r="G86" s="32" t="str">
        <f t="shared" si="3"/>
        <v>(五冶钢构医学科学产业园建设项目房建一部-六标（3-1）)四川省南充市顺庆区搬罾街道学府大道二段</v>
      </c>
      <c r="H86" s="33" t="s">
        <v>444</v>
      </c>
      <c r="I86" s="33">
        <v>18141337338</v>
      </c>
      <c r="J86" s="38" t="s">
        <v>445</v>
      </c>
      <c r="K86" s="43" t="s">
        <v>446</v>
      </c>
      <c r="L86" s="40"/>
      <c r="M86" s="32" t="s">
        <v>447</v>
      </c>
    </row>
    <row r="87" hidden="1" spans="4:13">
      <c r="D87" s="37" t="s">
        <v>441</v>
      </c>
      <c r="E87" s="38" t="s">
        <v>456</v>
      </c>
      <c r="F87" s="33" t="s">
        <v>443</v>
      </c>
      <c r="G87" s="32" t="str">
        <f t="shared" si="3"/>
        <v>(五冶钢构医学科学产业园建设项目房建二部-一标（1-3）)四川省南充市顺庆区搬罾街道学府大道二段</v>
      </c>
      <c r="H87" s="33" t="s">
        <v>457</v>
      </c>
      <c r="I87" s="33">
        <v>19950525030</v>
      </c>
      <c r="J87" s="38" t="s">
        <v>445</v>
      </c>
      <c r="K87" s="43" t="s">
        <v>446</v>
      </c>
      <c r="L87" s="40"/>
      <c r="M87" s="32" t="s">
        <v>447</v>
      </c>
    </row>
    <row r="88" hidden="1" spans="4:13">
      <c r="D88" s="37" t="s">
        <v>441</v>
      </c>
      <c r="E88" s="38" t="s">
        <v>458</v>
      </c>
      <c r="F88" s="33" t="s">
        <v>443</v>
      </c>
      <c r="G88" s="32" t="str">
        <f t="shared" si="3"/>
        <v>(五冶钢构医学科学产业园建设项目房建二部-一标（1-4）)四川省南充市顺庆区搬罾街道学府大道二段</v>
      </c>
      <c r="H88" s="33" t="s">
        <v>457</v>
      </c>
      <c r="I88" s="33">
        <v>19950525030</v>
      </c>
      <c r="J88" s="38" t="s">
        <v>445</v>
      </c>
      <c r="K88" s="43" t="s">
        <v>446</v>
      </c>
      <c r="L88" s="40"/>
      <c r="M88" s="32" t="s">
        <v>447</v>
      </c>
    </row>
    <row r="89" hidden="1" spans="4:13">
      <c r="D89" s="37" t="s">
        <v>441</v>
      </c>
      <c r="E89" s="38" t="s">
        <v>459</v>
      </c>
      <c r="F89" s="33" t="s">
        <v>443</v>
      </c>
      <c r="G89" s="32" t="str">
        <f t="shared" si="3"/>
        <v>(五冶钢构医学科学产业园建设项目房建二部-一标（1-6）)四川省南充市顺庆区搬罾街道学府大道二段</v>
      </c>
      <c r="H89" s="33" t="s">
        <v>457</v>
      </c>
      <c r="I89" s="33">
        <v>19950525030</v>
      </c>
      <c r="J89" s="38" t="s">
        <v>445</v>
      </c>
      <c r="K89" s="43" t="s">
        <v>446</v>
      </c>
      <c r="L89" s="40"/>
      <c r="M89" s="32" t="s">
        <v>447</v>
      </c>
    </row>
    <row r="90" hidden="1" spans="4:13">
      <c r="D90" s="37" t="s">
        <v>441</v>
      </c>
      <c r="E90" s="38" t="s">
        <v>460</v>
      </c>
      <c r="F90" s="33" t="s">
        <v>443</v>
      </c>
      <c r="G90" s="32" t="str">
        <f t="shared" si="3"/>
        <v>(五冶钢构医学科学产业园建设项目房建二部-一标（1-7）)四川省南充市顺庆区搬罾街道学府大道二段</v>
      </c>
      <c r="H90" s="33" t="s">
        <v>457</v>
      </c>
      <c r="I90" s="33">
        <v>19950525030</v>
      </c>
      <c r="J90" s="38" t="s">
        <v>445</v>
      </c>
      <c r="K90" s="43" t="s">
        <v>446</v>
      </c>
      <c r="L90" s="40"/>
      <c r="M90" s="32" t="s">
        <v>447</v>
      </c>
    </row>
    <row r="91" hidden="1" spans="4:13">
      <c r="D91" s="37" t="s">
        <v>441</v>
      </c>
      <c r="E91" s="38" t="s">
        <v>461</v>
      </c>
      <c r="F91" s="33" t="s">
        <v>443</v>
      </c>
      <c r="G91" s="32" t="str">
        <f t="shared" si="3"/>
        <v>(五冶钢构医学科学产业园建设项目房建二部-二标（图情信息中心1-1）)四川省南充市顺庆区搬罾街道学府大道二段</v>
      </c>
      <c r="H91" s="33" t="s">
        <v>457</v>
      </c>
      <c r="I91" s="33">
        <v>19950525030</v>
      </c>
      <c r="J91" s="38" t="s">
        <v>445</v>
      </c>
      <c r="K91" s="43" t="s">
        <v>446</v>
      </c>
      <c r="L91" s="40"/>
      <c r="M91" s="32" t="s">
        <v>447</v>
      </c>
    </row>
    <row r="92" hidden="1" spans="4:13">
      <c r="D92" s="37" t="s">
        <v>441</v>
      </c>
      <c r="E92" s="38" t="s">
        <v>59</v>
      </c>
      <c r="F92" s="33" t="s">
        <v>443</v>
      </c>
      <c r="G92" s="32" t="str">
        <f t="shared" si="3"/>
        <v>(五冶钢构医学科学产业园建设项目房建二部-三标（1-2）)四川省南充市顺庆区搬罾街道学府大道二段</v>
      </c>
      <c r="H92" s="33" t="s">
        <v>457</v>
      </c>
      <c r="I92" s="33">
        <v>19950525030</v>
      </c>
      <c r="J92" s="38" t="s">
        <v>445</v>
      </c>
      <c r="K92" s="43" t="s">
        <v>446</v>
      </c>
      <c r="L92" s="40"/>
      <c r="M92" s="32" t="s">
        <v>447</v>
      </c>
    </row>
    <row r="93" hidden="1" spans="4:13">
      <c r="D93" s="37" t="s">
        <v>441</v>
      </c>
      <c r="E93" s="38" t="s">
        <v>71</v>
      </c>
      <c r="F93" s="33" t="s">
        <v>443</v>
      </c>
      <c r="G93" s="32" t="str">
        <f t="shared" si="3"/>
        <v>(五冶钢构医学科学产业园建设项目房建二部-三标（1-5）)四川省南充市顺庆区搬罾街道学府大道二段</v>
      </c>
      <c r="H93" s="33" t="s">
        <v>457</v>
      </c>
      <c r="I93" s="33">
        <v>19950525030</v>
      </c>
      <c r="J93" s="38" t="s">
        <v>445</v>
      </c>
      <c r="K93" s="43" t="s">
        <v>446</v>
      </c>
      <c r="L93" s="40"/>
      <c r="M93" s="32" t="s">
        <v>447</v>
      </c>
    </row>
    <row r="94" hidden="1" spans="4:13">
      <c r="D94" s="37" t="s">
        <v>441</v>
      </c>
      <c r="E94" s="38" t="s">
        <v>462</v>
      </c>
      <c r="F94" s="33" t="s">
        <v>443</v>
      </c>
      <c r="G94" s="32" t="str">
        <f t="shared" si="3"/>
        <v>(五冶钢构医学科学产业园建设项目房建二部-三标（5-1）)四川省南充市顺庆区搬罾街道学府大道二段</v>
      </c>
      <c r="H94" s="33" t="s">
        <v>457</v>
      </c>
      <c r="I94" s="33">
        <v>19950525030</v>
      </c>
      <c r="J94" s="38" t="s">
        <v>445</v>
      </c>
      <c r="K94" s="43" t="s">
        <v>446</v>
      </c>
      <c r="L94" s="40"/>
      <c r="M94" s="32" t="s">
        <v>447</v>
      </c>
    </row>
    <row r="95" hidden="1" spans="4:13">
      <c r="D95" s="37" t="s">
        <v>441</v>
      </c>
      <c r="E95" s="38" t="s">
        <v>463</v>
      </c>
      <c r="F95" s="33" t="s">
        <v>443</v>
      </c>
      <c r="G95" s="32" t="str">
        <f t="shared" si="3"/>
        <v>(五冶钢构医学科学产业园建设项目房建二部-三标（5-2）)四川省南充市顺庆区搬罾街道学府大道二段</v>
      </c>
      <c r="H95" s="33" t="s">
        <v>457</v>
      </c>
      <c r="I95" s="33">
        <v>19950525030</v>
      </c>
      <c r="J95" s="38" t="s">
        <v>445</v>
      </c>
      <c r="K95" s="43" t="s">
        <v>446</v>
      </c>
      <c r="L95" s="40"/>
      <c r="M95" s="32" t="s">
        <v>447</v>
      </c>
    </row>
    <row r="96" hidden="1" spans="4:13">
      <c r="D96" s="37" t="s">
        <v>441</v>
      </c>
      <c r="E96" s="38" t="s">
        <v>464</v>
      </c>
      <c r="F96" s="33" t="s">
        <v>443</v>
      </c>
      <c r="G96" s="32" t="str">
        <f t="shared" si="3"/>
        <v>(五冶钢构医学科学产业园建设项目房建二部-三标（5-3）)四川省南充市顺庆区搬罾街道学府大道二段</v>
      </c>
      <c r="H96" s="33" t="s">
        <v>457</v>
      </c>
      <c r="I96" s="33">
        <v>19950525030</v>
      </c>
      <c r="J96" s="38" t="s">
        <v>445</v>
      </c>
      <c r="K96" s="43" t="s">
        <v>446</v>
      </c>
      <c r="L96" s="40"/>
      <c r="M96" s="32" t="s">
        <v>447</v>
      </c>
    </row>
    <row r="97" hidden="1" spans="4:13">
      <c r="D97" s="37" t="s">
        <v>441</v>
      </c>
      <c r="E97" s="38" t="s">
        <v>88</v>
      </c>
      <c r="F97" s="33" t="s">
        <v>443</v>
      </c>
      <c r="G97" s="32" t="str">
        <f t="shared" si="3"/>
        <v>(五冶钢构医学科学产业园建设项目房建二部-四标（5-4）)四川省南充市顺庆区搬罾街道学府大道二段</v>
      </c>
      <c r="H97" s="33" t="s">
        <v>457</v>
      </c>
      <c r="I97" s="33">
        <v>19950525030</v>
      </c>
      <c r="J97" s="38" t="s">
        <v>445</v>
      </c>
      <c r="K97" s="43" t="s">
        <v>446</v>
      </c>
      <c r="L97" s="40"/>
      <c r="M97" s="32" t="s">
        <v>447</v>
      </c>
    </row>
    <row r="98" hidden="1" spans="4:13">
      <c r="D98" s="37" t="s">
        <v>441</v>
      </c>
      <c r="E98" s="38" t="s">
        <v>465</v>
      </c>
      <c r="F98" s="33" t="s">
        <v>443</v>
      </c>
      <c r="G98" s="32" t="str">
        <f t="shared" si="3"/>
        <v>(五冶钢构医学科学产业园建设项目房建二部-四标（5-5）)四川省南充市顺庆区搬罾街道学府大道二段</v>
      </c>
      <c r="H98" s="33" t="s">
        <v>457</v>
      </c>
      <c r="I98" s="33">
        <v>19950525030</v>
      </c>
      <c r="J98" s="38" t="s">
        <v>445</v>
      </c>
      <c r="K98" s="43" t="s">
        <v>446</v>
      </c>
      <c r="L98" s="40"/>
      <c r="M98" s="32" t="s">
        <v>447</v>
      </c>
    </row>
    <row r="99" hidden="1" spans="4:13">
      <c r="D99" s="37" t="s">
        <v>441</v>
      </c>
      <c r="E99" s="38" t="s">
        <v>113</v>
      </c>
      <c r="F99" s="33" t="s">
        <v>443</v>
      </c>
      <c r="G99" s="32" t="str">
        <f t="shared" si="3"/>
        <v>(五冶钢构医学科学产业园建设项目房建二部-排洪渠（五标）)四川省南充市顺庆区搬罾街道学府大道二段</v>
      </c>
      <c r="H99" s="33" t="s">
        <v>457</v>
      </c>
      <c r="I99" s="33">
        <v>19950525030</v>
      </c>
      <c r="J99" s="38" t="s">
        <v>445</v>
      </c>
      <c r="K99" s="43" t="s">
        <v>446</v>
      </c>
      <c r="L99" s="40"/>
      <c r="M99" s="32" t="s">
        <v>447</v>
      </c>
    </row>
    <row r="100" hidden="1" spans="4:13">
      <c r="D100" s="37" t="s">
        <v>441</v>
      </c>
      <c r="E100" s="38" t="s">
        <v>60</v>
      </c>
      <c r="F100" s="33" t="s">
        <v>443</v>
      </c>
      <c r="G100" s="32" t="str">
        <f t="shared" si="3"/>
        <v>(五冶钢构医学科学产业园建设项目房建二部-六标)四川省南充市顺庆区搬罾街道学府大道二段</v>
      </c>
      <c r="H100" s="33" t="s">
        <v>457</v>
      </c>
      <c r="I100" s="33">
        <v>19950525030</v>
      </c>
      <c r="J100" s="38" t="s">
        <v>445</v>
      </c>
      <c r="K100" s="43" t="s">
        <v>446</v>
      </c>
      <c r="L100" s="40"/>
      <c r="M100" s="32" t="s">
        <v>447</v>
      </c>
    </row>
    <row r="101" hidden="1" spans="4:13">
      <c r="D101" s="37" t="s">
        <v>441</v>
      </c>
      <c r="E101" s="38" t="s">
        <v>72</v>
      </c>
      <c r="F101" s="33" t="s">
        <v>443</v>
      </c>
      <c r="G101" s="32" t="str">
        <f t="shared" si="3"/>
        <v>(五冶钢构医学科学产业园建设项目房建二部-网羽馆（6-5）)四川省南充市顺庆区搬罾街道学府大道二段</v>
      </c>
      <c r="H101" s="33" t="s">
        <v>457</v>
      </c>
      <c r="I101" s="33">
        <v>19950525030</v>
      </c>
      <c r="J101" s="38" t="s">
        <v>445</v>
      </c>
      <c r="K101" s="43" t="s">
        <v>446</v>
      </c>
      <c r="L101" s="40"/>
      <c r="M101" s="32" t="s">
        <v>447</v>
      </c>
    </row>
    <row r="102" hidden="1" spans="4:13">
      <c r="D102" s="37" t="s">
        <v>441</v>
      </c>
      <c r="E102" s="38" t="s">
        <v>466</v>
      </c>
      <c r="F102" s="33" t="s">
        <v>443</v>
      </c>
      <c r="G102" s="32" t="str">
        <f t="shared" si="3"/>
        <v>(五冶钢构医学科学产业园建设项目房建三部-一标（4-1）)四川省南充市顺庆区搬罾街道学府大道二段</v>
      </c>
      <c r="H102" s="33" t="s">
        <v>467</v>
      </c>
      <c r="I102" s="33">
        <v>18349955455</v>
      </c>
      <c r="J102" s="38" t="s">
        <v>445</v>
      </c>
      <c r="K102" s="43" t="s">
        <v>446</v>
      </c>
      <c r="L102" s="40"/>
      <c r="M102" s="32" t="s">
        <v>447</v>
      </c>
    </row>
    <row r="103" hidden="1" spans="4:13">
      <c r="D103" s="37" t="s">
        <v>441</v>
      </c>
      <c r="E103" s="38" t="s">
        <v>468</v>
      </c>
      <c r="F103" s="33" t="s">
        <v>443</v>
      </c>
      <c r="G103" s="32" t="str">
        <f t="shared" si="3"/>
        <v>(五冶钢构医学科学产业园建设项目房建三部-一标（4-2）)四川省南充市顺庆区搬罾街道学府大道二段</v>
      </c>
      <c r="H103" s="33" t="s">
        <v>467</v>
      </c>
      <c r="I103" s="33">
        <v>18349955455</v>
      </c>
      <c r="J103" s="38" t="s">
        <v>445</v>
      </c>
      <c r="K103" s="43" t="s">
        <v>446</v>
      </c>
      <c r="L103" s="40"/>
      <c r="M103" s="32" t="s">
        <v>447</v>
      </c>
    </row>
    <row r="104" hidden="1" spans="4:13">
      <c r="D104" s="37" t="s">
        <v>441</v>
      </c>
      <c r="E104" s="38" t="s">
        <v>469</v>
      </c>
      <c r="F104" s="33" t="s">
        <v>443</v>
      </c>
      <c r="G104" s="32" t="str">
        <f t="shared" si="3"/>
        <v>(五冶钢构医学科学产业园建设项目房建三部-一标（4-3）)四川省南充市顺庆区搬罾街道学府大道二段</v>
      </c>
      <c r="H104" s="33" t="s">
        <v>467</v>
      </c>
      <c r="I104" s="33">
        <v>18349955455</v>
      </c>
      <c r="J104" s="38" t="s">
        <v>445</v>
      </c>
      <c r="K104" s="43" t="s">
        <v>446</v>
      </c>
      <c r="L104" s="40"/>
      <c r="M104" s="32" t="s">
        <v>447</v>
      </c>
    </row>
    <row r="105" hidden="1" spans="4:13">
      <c r="D105" s="37" t="s">
        <v>441</v>
      </c>
      <c r="E105" s="38" t="s">
        <v>470</v>
      </c>
      <c r="F105" s="33" t="s">
        <v>443</v>
      </c>
      <c r="G105" s="32" t="str">
        <f t="shared" si="3"/>
        <v>(五冶钢构医学科学产业园建设项目房建三部-一标（4-4）)四川省南充市顺庆区搬罾街道学府大道二段</v>
      </c>
      <c r="H105" s="33" t="s">
        <v>467</v>
      </c>
      <c r="I105" s="33">
        <v>18349955455</v>
      </c>
      <c r="J105" s="38" t="s">
        <v>445</v>
      </c>
      <c r="K105" s="43" t="s">
        <v>446</v>
      </c>
      <c r="L105" s="40"/>
      <c r="M105" s="32" t="s">
        <v>447</v>
      </c>
    </row>
    <row r="106" hidden="1" spans="4:13">
      <c r="D106" s="37" t="s">
        <v>441</v>
      </c>
      <c r="E106" s="38" t="s">
        <v>471</v>
      </c>
      <c r="F106" s="33" t="s">
        <v>443</v>
      </c>
      <c r="G106" s="32" t="str">
        <f t="shared" si="3"/>
        <v>(五冶钢构医学科学产业园建设项目房建三部-一标（4-5）)四川省南充市顺庆区搬罾街道学府大道二段</v>
      </c>
      <c r="H106" s="33" t="s">
        <v>467</v>
      </c>
      <c r="I106" s="33">
        <v>18349955455</v>
      </c>
      <c r="J106" s="38" t="s">
        <v>445</v>
      </c>
      <c r="K106" s="43" t="s">
        <v>446</v>
      </c>
      <c r="L106" s="40"/>
      <c r="M106" s="32" t="s">
        <v>447</v>
      </c>
    </row>
    <row r="107" hidden="1" spans="4:13">
      <c r="D107" s="37" t="s">
        <v>441</v>
      </c>
      <c r="E107" s="38" t="s">
        <v>472</v>
      </c>
      <c r="F107" s="33" t="s">
        <v>443</v>
      </c>
      <c r="G107" s="32" t="str">
        <f t="shared" si="3"/>
        <v>(五冶钢构医学科学产业园建设项目房建三部-一标（4-6）)四川省南充市顺庆区搬罾街道学府大道二段</v>
      </c>
      <c r="H107" s="33" t="s">
        <v>467</v>
      </c>
      <c r="I107" s="33">
        <v>18349955455</v>
      </c>
      <c r="J107" s="38" t="s">
        <v>445</v>
      </c>
      <c r="K107" s="43" t="s">
        <v>446</v>
      </c>
      <c r="L107" s="40"/>
      <c r="M107" s="32" t="s">
        <v>447</v>
      </c>
    </row>
    <row r="108" hidden="1" spans="4:13">
      <c r="D108" s="37" t="s">
        <v>441</v>
      </c>
      <c r="E108" s="38" t="s">
        <v>73</v>
      </c>
      <c r="F108" s="33" t="s">
        <v>443</v>
      </c>
      <c r="G108" s="32" t="str">
        <f t="shared" si="3"/>
        <v>(五冶钢构医学科学产业园建设项目房建三部-一标（7-1）)四川省南充市顺庆区搬罾街道学府大道二段</v>
      </c>
      <c r="H108" s="33" t="s">
        <v>467</v>
      </c>
      <c r="I108" s="33">
        <v>18349955455</v>
      </c>
      <c r="J108" s="38" t="s">
        <v>445</v>
      </c>
      <c r="K108" s="43" t="s">
        <v>446</v>
      </c>
      <c r="L108" s="40"/>
      <c r="M108" s="32" t="s">
        <v>447</v>
      </c>
    </row>
    <row r="109" hidden="1" spans="4:13">
      <c r="D109" s="37" t="s">
        <v>441</v>
      </c>
      <c r="E109" s="38" t="s">
        <v>20</v>
      </c>
      <c r="F109" s="33" t="s">
        <v>443</v>
      </c>
      <c r="G109" s="32" t="str">
        <f t="shared" si="3"/>
        <v>(五冶钢构医学科学产业园建设项目房建三部-一标（7-2）)四川省南充市顺庆区搬罾街道学府大道二段</v>
      </c>
      <c r="H109" s="33" t="s">
        <v>467</v>
      </c>
      <c r="I109" s="33">
        <v>18349955455</v>
      </c>
      <c r="J109" s="38" t="s">
        <v>445</v>
      </c>
      <c r="K109" s="43" t="s">
        <v>446</v>
      </c>
      <c r="L109" s="40"/>
      <c r="M109" s="32" t="s">
        <v>447</v>
      </c>
    </row>
    <row r="110" hidden="1" spans="4:13">
      <c r="D110" s="37" t="s">
        <v>441</v>
      </c>
      <c r="E110" s="38" t="s">
        <v>23</v>
      </c>
      <c r="F110" s="33" t="s">
        <v>443</v>
      </c>
      <c r="G110" s="32" t="str">
        <f t="shared" si="3"/>
        <v>(五冶钢构医学科学产业园建设项目房建三部-一标（7-3）)四川省南充市顺庆区搬罾街道学府大道二段</v>
      </c>
      <c r="H110" s="33" t="s">
        <v>467</v>
      </c>
      <c r="I110" s="33">
        <v>18349955455</v>
      </c>
      <c r="J110" s="38" t="s">
        <v>445</v>
      </c>
      <c r="K110" s="43" t="s">
        <v>446</v>
      </c>
      <c r="L110" s="40"/>
      <c r="M110" s="32" t="s">
        <v>447</v>
      </c>
    </row>
    <row r="111" hidden="1" spans="4:13">
      <c r="D111" s="37" t="s">
        <v>441</v>
      </c>
      <c r="E111" s="38" t="s">
        <v>24</v>
      </c>
      <c r="F111" s="33" t="s">
        <v>443</v>
      </c>
      <c r="G111" s="32" t="str">
        <f t="shared" si="3"/>
        <v>(五冶钢构医学科学产业园建设项目房建三部-一标（7-4）)四川省南充市顺庆区搬罾街道学府大道二段</v>
      </c>
      <c r="H111" s="33" t="s">
        <v>467</v>
      </c>
      <c r="I111" s="33">
        <v>18349955455</v>
      </c>
      <c r="J111" s="38" t="s">
        <v>445</v>
      </c>
      <c r="K111" s="43" t="s">
        <v>446</v>
      </c>
      <c r="L111" s="40"/>
      <c r="M111" s="32" t="s">
        <v>447</v>
      </c>
    </row>
    <row r="112" hidden="1" spans="4:13">
      <c r="D112" s="37" t="s">
        <v>441</v>
      </c>
      <c r="E112" s="32" t="s">
        <v>89</v>
      </c>
      <c r="F112" s="33" t="s">
        <v>443</v>
      </c>
      <c r="G112" s="32" t="str">
        <f t="shared" si="3"/>
        <v>(五冶钢构医学科学产业园建设项目房建三部-排洪渠)四川省南充市顺庆区搬罾街道学府大道二段</v>
      </c>
      <c r="H112" s="33" t="s">
        <v>467</v>
      </c>
      <c r="I112" s="33">
        <v>18349955455</v>
      </c>
      <c r="J112" s="38" t="s">
        <v>445</v>
      </c>
      <c r="K112" s="43" t="s">
        <v>446</v>
      </c>
      <c r="L112" s="40"/>
      <c r="M112" s="32" t="s">
        <v>447</v>
      </c>
    </row>
    <row r="113" hidden="1" spans="4:13">
      <c r="D113" s="37" t="s">
        <v>441</v>
      </c>
      <c r="E113" s="32" t="s">
        <v>127</v>
      </c>
      <c r="F113" s="33" t="s">
        <v>443</v>
      </c>
      <c r="G113" s="32" t="str">
        <f t="shared" si="3"/>
        <v>(五冶钢构医学科学产业园建设项目房建三部-管网总坪)四川省南充市顺庆区搬罾街道学府大道二段</v>
      </c>
      <c r="H113" s="33" t="s">
        <v>467</v>
      </c>
      <c r="I113" s="33">
        <v>18349955455</v>
      </c>
      <c r="J113" s="38" t="s">
        <v>445</v>
      </c>
      <c r="K113" s="43" t="s">
        <v>446</v>
      </c>
      <c r="L113" s="40"/>
      <c r="M113" s="32" t="s">
        <v>447</v>
      </c>
    </row>
    <row r="114" hidden="1" spans="4:13">
      <c r="D114" s="37" t="s">
        <v>441</v>
      </c>
      <c r="E114" s="32" t="s">
        <v>117</v>
      </c>
      <c r="F114" s="33" t="s">
        <v>443</v>
      </c>
      <c r="G114" s="32" t="str">
        <f t="shared" si="3"/>
        <v>(五冶钢构医学科学产业园建设项目房建三部-配套用房及围墙)四川省南充市顺庆区搬罾街道学府大道二段</v>
      </c>
      <c r="H114" s="33" t="s">
        <v>467</v>
      </c>
      <c r="I114" s="33">
        <v>18349955455</v>
      </c>
      <c r="J114" s="38" t="s">
        <v>445</v>
      </c>
      <c r="K114" s="43" t="s">
        <v>446</v>
      </c>
      <c r="L114" s="40"/>
      <c r="M114" s="32" t="s">
        <v>447</v>
      </c>
    </row>
    <row r="115" hidden="1" spans="4:13">
      <c r="D115" s="37" t="s">
        <v>441</v>
      </c>
      <c r="E115" s="32" t="s">
        <v>473</v>
      </c>
      <c r="F115" s="33" t="s">
        <v>443</v>
      </c>
      <c r="G115" s="32" t="str">
        <f t="shared" si="3"/>
        <v>(五冶钢构医学科学产业园建设项目房建连接线道路工程-1)四川省南充市顺庆区搬罾街道学府大道二段</v>
      </c>
      <c r="H115" s="33" t="s">
        <v>474</v>
      </c>
      <c r="I115" s="33">
        <v>13908143055</v>
      </c>
      <c r="J115" s="38" t="s">
        <v>445</v>
      </c>
      <c r="K115" s="43" t="s">
        <v>446</v>
      </c>
      <c r="L115" s="40"/>
      <c r="M115" s="32" t="s">
        <v>447</v>
      </c>
    </row>
    <row r="116" hidden="1" spans="4:13">
      <c r="D116" s="37" t="s">
        <v>441</v>
      </c>
      <c r="E116" s="32" t="s">
        <v>475</v>
      </c>
      <c r="F116" s="33" t="s">
        <v>443</v>
      </c>
      <c r="G116" s="32" t="str">
        <f t="shared" si="3"/>
        <v>(五冶钢构医学科学产业园建设项目房建连接线道路工程-2)四川省南充市顺庆区搬罾街道学府大道二段</v>
      </c>
      <c r="H116" s="33" t="s">
        <v>476</v>
      </c>
      <c r="I116" s="33">
        <v>15982411682</v>
      </c>
      <c r="J116" s="38" t="s">
        <v>445</v>
      </c>
      <c r="K116" s="43" t="s">
        <v>446</v>
      </c>
      <c r="L116" s="40"/>
      <c r="M116" s="32" t="s">
        <v>447</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18" customFormat="1" spans="1:13">
      <c r="A138" s="19"/>
      <c r="B138" s="19"/>
      <c r="C138" s="20"/>
      <c r="D138" s="19"/>
      <c r="E138" s="19"/>
      <c r="F138" s="19"/>
      <c r="G138" s="22"/>
      <c r="H138" s="19"/>
      <c r="I138" s="19"/>
      <c r="J138" s="23"/>
      <c r="K138" s="24"/>
      <c r="L138" s="24"/>
      <c r="M138" s="24"/>
    </row>
    <row r="139" spans="4:4">
      <c r="D139" s="19"/>
    </row>
    <row r="140" spans="4:4">
      <c r="D140" s="19"/>
    </row>
    <row r="141" spans="4:4">
      <c r="D141" s="19"/>
    </row>
    <row r="142" spans="4:4">
      <c r="D142" s="19"/>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477</v>
      </c>
      <c r="C2" s="14" t="s">
        <v>478</v>
      </c>
    </row>
    <row r="3" spans="1:3">
      <c r="A3" s="14" t="s">
        <v>44</v>
      </c>
      <c r="B3" s="15" t="s">
        <v>477</v>
      </c>
      <c r="C3" s="14" t="s">
        <v>479</v>
      </c>
    </row>
    <row r="4" spans="1:3">
      <c r="A4" s="14" t="s">
        <v>92</v>
      </c>
      <c r="B4" s="15" t="s">
        <v>477</v>
      </c>
      <c r="C4" s="14" t="s">
        <v>480</v>
      </c>
    </row>
    <row r="5" spans="1:3">
      <c r="A5" s="14" t="s">
        <v>275</v>
      </c>
      <c r="B5" s="15" t="s">
        <v>477</v>
      </c>
      <c r="C5" s="14" t="s">
        <v>481</v>
      </c>
    </row>
    <row r="6" spans="1:3">
      <c r="A6" s="14" t="s">
        <v>287</v>
      </c>
      <c r="B6" s="15" t="s">
        <v>477</v>
      </c>
      <c r="C6" s="14" t="s">
        <v>482</v>
      </c>
    </row>
    <row r="7" spans="1:3">
      <c r="A7" s="14" t="s">
        <v>291</v>
      </c>
      <c r="B7" s="15" t="s">
        <v>477</v>
      </c>
      <c r="C7" s="14" t="s">
        <v>483</v>
      </c>
    </row>
    <row r="8" spans="1:3">
      <c r="A8" s="14" t="s">
        <v>186</v>
      </c>
      <c r="B8" s="15" t="s">
        <v>477</v>
      </c>
      <c r="C8" s="14" t="s">
        <v>484</v>
      </c>
    </row>
    <row r="9" spans="1:3">
      <c r="A9" s="14" t="s">
        <v>187</v>
      </c>
      <c r="B9" s="15" t="s">
        <v>477</v>
      </c>
      <c r="C9" s="14" t="s">
        <v>485</v>
      </c>
    </row>
    <row r="10" ht="13.5" spans="1:3">
      <c r="A10" s="14" t="s">
        <v>307</v>
      </c>
      <c r="B10" s="15" t="s">
        <v>477</v>
      </c>
      <c r="C10" s="16" t="s">
        <v>486</v>
      </c>
    </row>
    <row r="11" spans="1:3">
      <c r="A11" s="14" t="s">
        <v>333</v>
      </c>
      <c r="B11" s="15" t="s">
        <v>477</v>
      </c>
      <c r="C11" s="14" t="s">
        <v>487</v>
      </c>
    </row>
    <row r="12" spans="1:3">
      <c r="A12" s="14" t="s">
        <v>253</v>
      </c>
      <c r="B12" s="15" t="s">
        <v>477</v>
      </c>
      <c r="C12" s="14" t="s">
        <v>488</v>
      </c>
    </row>
    <row r="13" spans="1:3">
      <c r="A13" s="14" t="s">
        <v>145</v>
      </c>
      <c r="B13" s="15" t="s">
        <v>477</v>
      </c>
      <c r="C13" s="14" t="s">
        <v>489</v>
      </c>
    </row>
    <row r="14" spans="1:3">
      <c r="A14" s="14" t="s">
        <v>341</v>
      </c>
      <c r="B14" s="15" t="s">
        <v>477</v>
      </c>
      <c r="C14" s="14" t="s">
        <v>490</v>
      </c>
    </row>
    <row r="15" spans="1:3">
      <c r="A15" s="14" t="s">
        <v>228</v>
      </c>
      <c r="B15" s="15" t="s">
        <v>477</v>
      </c>
      <c r="C15" s="14" t="s">
        <v>491</v>
      </c>
    </row>
    <row r="16" spans="1:3">
      <c r="A16" s="14" t="s">
        <v>240</v>
      </c>
      <c r="B16" s="15" t="s">
        <v>477</v>
      </c>
      <c r="C16" s="14" t="s">
        <v>492</v>
      </c>
    </row>
    <row r="17" spans="1:3">
      <c r="A17" s="14" t="s">
        <v>224</v>
      </c>
      <c r="B17" s="15" t="s">
        <v>477</v>
      </c>
      <c r="C17" s="14" t="s">
        <v>493</v>
      </c>
    </row>
    <row r="18" spans="1:3">
      <c r="A18" s="14" t="s">
        <v>226</v>
      </c>
      <c r="B18" s="15" t="s">
        <v>477</v>
      </c>
      <c r="C18" s="14" t="s">
        <v>494</v>
      </c>
    </row>
    <row r="19" spans="1:3">
      <c r="A19" s="14" t="s">
        <v>229</v>
      </c>
      <c r="B19" s="15" t="s">
        <v>477</v>
      </c>
      <c r="C19" s="14" t="s">
        <v>495</v>
      </c>
    </row>
    <row r="20" spans="1:3">
      <c r="A20" s="14" t="s">
        <v>225</v>
      </c>
      <c r="B20" s="15" t="s">
        <v>477</v>
      </c>
      <c r="C20" s="14" t="s">
        <v>496</v>
      </c>
    </row>
    <row r="21" spans="1:3">
      <c r="A21" s="14" t="s">
        <v>338</v>
      </c>
      <c r="B21" s="15" t="s">
        <v>477</v>
      </c>
      <c r="C21" s="14" t="s">
        <v>497</v>
      </c>
    </row>
    <row r="22" spans="1:3">
      <c r="A22" s="14" t="s">
        <v>192</v>
      </c>
      <c r="B22" s="15" t="s">
        <v>477</v>
      </c>
      <c r="C22" s="14" t="s">
        <v>498</v>
      </c>
    </row>
    <row r="23" spans="1:3">
      <c r="A23" s="14" t="s">
        <v>230</v>
      </c>
      <c r="B23" s="15" t="s">
        <v>477</v>
      </c>
      <c r="C23" s="14" t="s">
        <v>499</v>
      </c>
    </row>
    <row r="24" spans="1:3">
      <c r="A24" s="14" t="s">
        <v>231</v>
      </c>
      <c r="B24" s="15" t="s">
        <v>477</v>
      </c>
      <c r="C24" s="14" t="s">
        <v>500</v>
      </c>
    </row>
    <row r="25" spans="1:3">
      <c r="A25" s="14" t="s">
        <v>208</v>
      </c>
      <c r="B25" s="15" t="s">
        <v>477</v>
      </c>
      <c r="C25" s="14" t="s">
        <v>501</v>
      </c>
    </row>
    <row r="26" spans="1:3">
      <c r="A26" s="14" t="s">
        <v>203</v>
      </c>
      <c r="B26" s="15" t="s">
        <v>477</v>
      </c>
      <c r="C26" s="14" t="s">
        <v>502</v>
      </c>
    </row>
    <row r="27" spans="1:3">
      <c r="A27" s="14" t="s">
        <v>167</v>
      </c>
      <c r="B27" s="15" t="s">
        <v>477</v>
      </c>
      <c r="C27" s="14" t="s">
        <v>503</v>
      </c>
    </row>
    <row r="28" spans="1:3">
      <c r="A28" s="14" t="s">
        <v>371</v>
      </c>
      <c r="B28" s="15" t="s">
        <v>477</v>
      </c>
      <c r="C28" s="14" t="s">
        <v>504</v>
      </c>
    </row>
    <row r="29" spans="1:3">
      <c r="A29" s="14" t="s">
        <v>215</v>
      </c>
      <c r="B29" s="15" t="s">
        <v>477</v>
      </c>
      <c r="C29" s="14" t="s">
        <v>505</v>
      </c>
    </row>
    <row r="30" spans="1:3">
      <c r="A30" s="14" t="s">
        <v>196</v>
      </c>
      <c r="B30" s="17" t="s">
        <v>477</v>
      </c>
      <c r="C30" s="14" t="s">
        <v>506</v>
      </c>
    </row>
    <row r="31" spans="1:3">
      <c r="A31" s="14" t="s">
        <v>297</v>
      </c>
      <c r="B31" s="15" t="s">
        <v>477</v>
      </c>
      <c r="C31" s="14" t="s">
        <v>507</v>
      </c>
    </row>
    <row r="32" spans="1:3">
      <c r="A32" s="14" t="s">
        <v>248</v>
      </c>
      <c r="B32" s="15" t="s">
        <v>477</v>
      </c>
      <c r="C32" s="14" t="s">
        <v>508</v>
      </c>
    </row>
    <row r="33" spans="1:3">
      <c r="A33" s="14" t="s">
        <v>258</v>
      </c>
      <c r="B33" s="15" t="s">
        <v>477</v>
      </c>
      <c r="C33" s="14" t="s">
        <v>509</v>
      </c>
    </row>
    <row r="34" spans="1:3">
      <c r="A34" s="14" t="s">
        <v>418</v>
      </c>
      <c r="B34" s="15" t="s">
        <v>477</v>
      </c>
      <c r="C34" s="14" t="s">
        <v>510</v>
      </c>
    </row>
    <row r="35" spans="1:3">
      <c r="A35" s="14" t="s">
        <v>128</v>
      </c>
      <c r="B35" s="15" t="s">
        <v>477</v>
      </c>
      <c r="C35" s="14" t="s">
        <v>511</v>
      </c>
    </row>
    <row r="36" spans="1:3">
      <c r="A36" s="14" t="s">
        <v>150</v>
      </c>
      <c r="B36" s="15" t="s">
        <v>477</v>
      </c>
      <c r="C36" s="14" t="s">
        <v>512</v>
      </c>
    </row>
    <row r="37" spans="1:3">
      <c r="A37" s="14" t="s">
        <v>160</v>
      </c>
      <c r="B37" s="15" t="s">
        <v>477</v>
      </c>
      <c r="C37" s="14" t="s">
        <v>513</v>
      </c>
    </row>
    <row r="38" spans="1:3">
      <c r="A38" s="14" t="s">
        <v>326</v>
      </c>
      <c r="B38" s="15" t="s">
        <v>477</v>
      </c>
      <c r="C38" s="14" t="s">
        <v>514</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515</v>
      </c>
      <c r="B1" s="11" t="s">
        <v>516</v>
      </c>
      <c r="C1" s="11" t="s">
        <v>3</v>
      </c>
      <c r="D1" s="11" t="s">
        <v>4</v>
      </c>
    </row>
    <row r="2" spans="1:4">
      <c r="A2" s="12">
        <f ca="1" t="shared" ref="A2:A12" si="0">TODAY()</f>
        <v>45957</v>
      </c>
      <c r="B2" s="9" t="s">
        <v>517</v>
      </c>
      <c r="C2" s="9" t="str">
        <f>VLOOKUP(D2,辅助信息!A:B,2,FALSE)</f>
        <v>盘螺</v>
      </c>
      <c r="D2" s="9" t="s">
        <v>41</v>
      </c>
    </row>
    <row r="3" spans="1:4">
      <c r="A3" s="12">
        <f ca="1" t="shared" si="0"/>
        <v>45957</v>
      </c>
      <c r="B3" s="9" t="s">
        <v>517</v>
      </c>
      <c r="C3" s="9" t="str">
        <f>VLOOKUP(D3,辅助信息!A:B,2,FALSE)</f>
        <v>螺纹钢</v>
      </c>
      <c r="D3" s="9" t="s">
        <v>27</v>
      </c>
    </row>
    <row r="4" spans="1:4">
      <c r="A4" s="12">
        <f ca="1" t="shared" si="0"/>
        <v>45957</v>
      </c>
      <c r="B4" s="9" t="s">
        <v>517</v>
      </c>
      <c r="C4" s="9" t="str">
        <f>VLOOKUP(D4,辅助信息!A:B,2,FALSE)</f>
        <v>螺纹钢</v>
      </c>
      <c r="D4" s="9" t="s">
        <v>19</v>
      </c>
    </row>
    <row r="5" spans="1:4">
      <c r="A5" s="12">
        <f ca="1" t="shared" si="0"/>
        <v>45957</v>
      </c>
      <c r="B5" s="9" t="s">
        <v>517</v>
      </c>
      <c r="C5" s="9" t="str">
        <f>VLOOKUP(D5,辅助信息!A:B,2,FALSE)</f>
        <v>螺纹钢</v>
      </c>
      <c r="D5" s="9" t="s">
        <v>28</v>
      </c>
    </row>
    <row r="6" spans="1:4">
      <c r="A6" s="12">
        <f ca="1" t="shared" si="0"/>
        <v>45957</v>
      </c>
      <c r="B6" s="9" t="s">
        <v>517</v>
      </c>
      <c r="C6" s="9" t="str">
        <f>VLOOKUP(D6,辅助信息!A:B,2,FALSE)</f>
        <v>螺纹钢</v>
      </c>
      <c r="D6" s="9" t="s">
        <v>52</v>
      </c>
    </row>
    <row r="7" spans="1:4">
      <c r="A7" s="12">
        <f ca="1" t="shared" si="0"/>
        <v>45957</v>
      </c>
      <c r="B7" s="9" t="s">
        <v>517</v>
      </c>
      <c r="C7" s="9" t="str">
        <f>VLOOKUP(D7,辅助信息!A:B,2,FALSE)</f>
        <v>螺纹钢</v>
      </c>
      <c r="D7" s="9" t="s">
        <v>76</v>
      </c>
    </row>
    <row r="8" spans="1:4">
      <c r="A8" s="12">
        <f ca="1" t="shared" si="0"/>
        <v>45957</v>
      </c>
      <c r="B8" s="9" t="s">
        <v>517</v>
      </c>
      <c r="C8" s="9" t="str">
        <f>VLOOKUP(D8,辅助信息!A:B,2,FALSE)</f>
        <v>螺纹钢</v>
      </c>
      <c r="D8" s="9" t="s">
        <v>86</v>
      </c>
    </row>
    <row r="9" spans="1:4">
      <c r="A9" s="12">
        <f ca="1" t="shared" si="0"/>
        <v>45957</v>
      </c>
      <c r="B9" s="9" t="s">
        <v>517</v>
      </c>
      <c r="C9" s="9" t="str">
        <f>VLOOKUP(D9,辅助信息!A:B,2,FALSE)</f>
        <v>螺纹钢</v>
      </c>
      <c r="D9" s="9" t="s">
        <v>82</v>
      </c>
    </row>
    <row r="10" spans="1:4">
      <c r="A10" s="12">
        <f ca="1" t="shared" si="0"/>
        <v>45957</v>
      </c>
      <c r="B10" s="9" t="s">
        <v>517</v>
      </c>
      <c r="C10" s="9" t="str">
        <f>VLOOKUP(D10,辅助信息!A:B,2,FALSE)</f>
        <v>螺纹钢</v>
      </c>
      <c r="D10" s="9" t="s">
        <v>45</v>
      </c>
    </row>
    <row r="11" spans="1:4">
      <c r="A11" s="12">
        <f ca="1" t="shared" si="0"/>
        <v>45957</v>
      </c>
      <c r="B11" s="9" t="s">
        <v>517</v>
      </c>
      <c r="C11" s="9" t="str">
        <f>VLOOKUP(D11,辅助信息!A:B,2,FALSE)</f>
        <v>螺纹钢</v>
      </c>
      <c r="D11" s="9" t="s">
        <v>21</v>
      </c>
    </row>
    <row r="12" ht="18.95" customHeight="1" spans="1:1">
      <c r="A12" s="12">
        <f ca="1" t="shared" si="0"/>
        <v>45957</v>
      </c>
    </row>
    <row r="13" spans="1:4">
      <c r="A13" s="12">
        <f ca="1" t="shared" ref="A13:A26" si="1">TODAY()</f>
        <v>45957</v>
      </c>
      <c r="B13" s="13" t="s">
        <v>518</v>
      </c>
      <c r="C13" s="9" t="str">
        <f>VLOOKUP(D13,辅助信息!A:B,2,FALSE)</f>
        <v>螺纹钢</v>
      </c>
      <c r="D13" s="9" t="s">
        <v>133</v>
      </c>
    </row>
    <row r="14" spans="1:4">
      <c r="A14" s="12">
        <f ca="1" t="shared" si="1"/>
        <v>45957</v>
      </c>
      <c r="B14" s="13" t="s">
        <v>518</v>
      </c>
      <c r="C14" s="9" t="str">
        <f>VLOOKUP(D14,辅助信息!A:B,2,FALSE)</f>
        <v>螺纹钢</v>
      </c>
      <c r="D14" s="9" t="s">
        <v>91</v>
      </c>
    </row>
    <row r="15" spans="1:4">
      <c r="A15" s="12">
        <f ca="1" t="shared" si="1"/>
        <v>45957</v>
      </c>
      <c r="B15" s="13" t="s">
        <v>518</v>
      </c>
      <c r="C15" s="9" t="str">
        <f>VLOOKUP(D15,辅助信息!A:B,2,FALSE)</f>
        <v>螺纹钢</v>
      </c>
      <c r="D15" s="9" t="s">
        <v>77</v>
      </c>
    </row>
    <row r="16" spans="1:4">
      <c r="A16" s="12">
        <f ca="1" t="shared" si="1"/>
        <v>45957</v>
      </c>
      <c r="B16" s="13" t="s">
        <v>518</v>
      </c>
      <c r="C16" s="9" t="str">
        <f>VLOOKUP(D16,辅助信息!A:B,2,FALSE)</f>
        <v>螺纹钢</v>
      </c>
      <c r="D16" s="9" t="s">
        <v>86</v>
      </c>
    </row>
    <row r="17" spans="1:4">
      <c r="A17" s="12">
        <f ca="1" t="shared" si="1"/>
        <v>45957</v>
      </c>
      <c r="B17" s="13" t="s">
        <v>518</v>
      </c>
      <c r="C17" s="9" t="str">
        <f>VLOOKUP(D17,辅助信息!A:B,2,FALSE)</f>
        <v>螺纹钢</v>
      </c>
      <c r="D17" s="9" t="s">
        <v>66</v>
      </c>
    </row>
    <row r="18" spans="1:4">
      <c r="A18" s="12">
        <f ca="1" t="shared" si="1"/>
        <v>45957</v>
      </c>
      <c r="B18" s="13" t="s">
        <v>518</v>
      </c>
      <c r="C18" s="9" t="str">
        <f>VLOOKUP(D18,辅助信息!A:B,2,FALSE)</f>
        <v>螺纹钢</v>
      </c>
      <c r="D18" s="9" t="s">
        <v>82</v>
      </c>
    </row>
    <row r="19" spans="1:4">
      <c r="A19" s="12">
        <f ca="1" t="shared" si="1"/>
        <v>45957</v>
      </c>
      <c r="B19" s="13" t="s">
        <v>518</v>
      </c>
      <c r="C19" s="9" t="str">
        <f>VLOOKUP(D19,辅助信息!A:B,2,FALSE)</f>
        <v>螺纹钢</v>
      </c>
      <c r="D19" s="9" t="s">
        <v>45</v>
      </c>
    </row>
    <row r="20" spans="1:4">
      <c r="A20" s="12">
        <f ca="1" t="shared" si="1"/>
        <v>45957</v>
      </c>
      <c r="B20" s="13" t="s">
        <v>518</v>
      </c>
      <c r="C20" s="9" t="str">
        <f>VLOOKUP(D20,辅助信息!A:B,2,FALSE)</f>
        <v>螺纹钢</v>
      </c>
      <c r="D20" s="9" t="s">
        <v>21</v>
      </c>
    </row>
    <row r="21" spans="1:4">
      <c r="A21" s="12">
        <f ca="1" t="shared" si="1"/>
        <v>45957</v>
      </c>
      <c r="B21" s="13" t="s">
        <v>518</v>
      </c>
      <c r="C21" s="9" t="str">
        <f>VLOOKUP(D21,辅助信息!A:B,2,FALSE)</f>
        <v>螺纹钢</v>
      </c>
      <c r="D21" s="9" t="s">
        <v>58</v>
      </c>
    </row>
    <row r="22" spans="1:4">
      <c r="A22" s="12">
        <f ca="1" t="shared" si="1"/>
        <v>45957</v>
      </c>
      <c r="B22" s="13" t="s">
        <v>518</v>
      </c>
      <c r="C22" s="9" t="str">
        <f>VLOOKUP(D22,辅助信息!A:B,2,FALSE)</f>
        <v>螺纹钢</v>
      </c>
      <c r="D22" s="9" t="s">
        <v>46</v>
      </c>
    </row>
    <row r="23" spans="1:4">
      <c r="A23" s="12">
        <f ca="1" t="shared" si="1"/>
        <v>45957</v>
      </c>
      <c r="B23" s="13" t="s">
        <v>518</v>
      </c>
      <c r="C23" s="9" t="str">
        <f>VLOOKUP(D23,辅助信息!A:B,2,FALSE)</f>
        <v>螺纹钢</v>
      </c>
      <c r="D23" s="9" t="s">
        <v>22</v>
      </c>
    </row>
    <row r="24" spans="1:4">
      <c r="A24" s="12">
        <f ca="1" t="shared" si="1"/>
        <v>45957</v>
      </c>
      <c r="B24" s="13" t="s">
        <v>518</v>
      </c>
      <c r="C24" s="9" t="str">
        <f>VLOOKUP(D24,辅助信息!A:B,2,FALSE)</f>
        <v>螺纹钢</v>
      </c>
      <c r="D24" s="9" t="s">
        <v>181</v>
      </c>
    </row>
    <row r="25" spans="1:4">
      <c r="A25" s="12">
        <f ca="1" t="shared" si="1"/>
        <v>45957</v>
      </c>
      <c r="B25" s="13" t="s">
        <v>518</v>
      </c>
      <c r="C25" s="9" t="str">
        <f>VLOOKUP(D25,辅助信息!A:B,2,FALSE)</f>
        <v>螺纹钢</v>
      </c>
      <c r="D25" s="9" t="s">
        <v>182</v>
      </c>
    </row>
    <row r="26" spans="1:4">
      <c r="A26" s="12">
        <f ca="1" t="shared" si="1"/>
        <v>45957</v>
      </c>
      <c r="B26" s="9" t="s">
        <v>519</v>
      </c>
      <c r="C26" s="9" t="str">
        <f>VLOOKUP(D26,辅助信息!A:B,2,FALSE)</f>
        <v>盘螺</v>
      </c>
      <c r="D26" s="9" t="s">
        <v>49</v>
      </c>
    </row>
    <row r="27" spans="1:4">
      <c r="A27" s="12">
        <f ca="1" t="shared" ref="A27:A36" si="2">TODAY()</f>
        <v>45957</v>
      </c>
      <c r="B27" s="9" t="s">
        <v>519</v>
      </c>
      <c r="C27" s="9" t="str">
        <f>VLOOKUP(D27,辅助信息!A:B,2,FALSE)</f>
        <v>盘螺</v>
      </c>
      <c r="D27" s="9" t="s">
        <v>40</v>
      </c>
    </row>
    <row r="28" spans="1:4">
      <c r="A28" s="12">
        <f ca="1" t="shared" si="2"/>
        <v>45957</v>
      </c>
      <c r="B28" s="9" t="s">
        <v>519</v>
      </c>
      <c r="C28" s="9" t="str">
        <f>VLOOKUP(D28,辅助信息!A:B,2,FALSE)</f>
        <v>盘螺</v>
      </c>
      <c r="D28" s="9" t="s">
        <v>41</v>
      </c>
    </row>
    <row r="29" spans="1:4">
      <c r="A29" s="12">
        <f ca="1" t="shared" si="2"/>
        <v>45957</v>
      </c>
      <c r="B29" s="9" t="s">
        <v>519</v>
      </c>
      <c r="C29" s="9" t="str">
        <f>VLOOKUP(D29,辅助信息!A:B,2,FALSE)</f>
        <v>盘螺</v>
      </c>
      <c r="D29" s="9" t="s">
        <v>26</v>
      </c>
    </row>
    <row r="30" spans="1:4">
      <c r="A30" s="12">
        <f ca="1" t="shared" si="2"/>
        <v>45957</v>
      </c>
      <c r="B30" s="9" t="s">
        <v>519</v>
      </c>
      <c r="C30" s="9" t="e">
        <f>VLOOKUP(D30,辅助信息!A:B,2,FALSE)</f>
        <v>#N/A</v>
      </c>
      <c r="D30" s="9" t="s">
        <v>520</v>
      </c>
    </row>
    <row r="31" spans="1:4">
      <c r="A31" s="12">
        <f ca="1" t="shared" si="2"/>
        <v>45957</v>
      </c>
      <c r="B31" s="9" t="s">
        <v>519</v>
      </c>
      <c r="C31" s="9" t="str">
        <f>VLOOKUP(D31,辅助信息!A:B,2,FALSE)</f>
        <v>螺纹钢</v>
      </c>
      <c r="D31" s="9" t="s">
        <v>27</v>
      </c>
    </row>
    <row r="32" spans="1:4">
      <c r="A32" s="12">
        <f ca="1" t="shared" si="2"/>
        <v>45957</v>
      </c>
      <c r="B32" s="9" t="s">
        <v>519</v>
      </c>
      <c r="C32" s="9" t="str">
        <f>VLOOKUP(D32,辅助信息!A:B,2,FALSE)</f>
        <v>螺纹钢</v>
      </c>
      <c r="D32" s="9" t="s">
        <v>19</v>
      </c>
    </row>
    <row r="33" spans="1:4">
      <c r="A33" s="12">
        <f ca="1" t="shared" si="2"/>
        <v>45957</v>
      </c>
      <c r="B33" s="9" t="s">
        <v>519</v>
      </c>
      <c r="C33" s="9" t="str">
        <f>VLOOKUP(D33,辅助信息!A:B,2,FALSE)</f>
        <v>螺纹钢</v>
      </c>
      <c r="D33" s="9" t="s">
        <v>32</v>
      </c>
    </row>
    <row r="34" spans="1:4">
      <c r="A34" s="12">
        <f ca="1" t="shared" si="2"/>
        <v>45957</v>
      </c>
      <c r="B34" s="9" t="s">
        <v>519</v>
      </c>
      <c r="C34" s="9" t="str">
        <f>VLOOKUP(D34,辅助信息!A:B,2,FALSE)</f>
        <v>螺纹钢</v>
      </c>
      <c r="D34" s="9" t="s">
        <v>33</v>
      </c>
    </row>
    <row r="35" spans="1:4">
      <c r="A35" s="12">
        <f ca="1" t="shared" si="2"/>
        <v>45957</v>
      </c>
      <c r="B35" s="9" t="s">
        <v>519</v>
      </c>
      <c r="C35" s="9" t="str">
        <f>VLOOKUP(D35,辅助信息!A:B,2,FALSE)</f>
        <v>螺纹钢</v>
      </c>
      <c r="D35" s="9" t="s">
        <v>28</v>
      </c>
    </row>
    <row r="36" spans="1:4">
      <c r="A36" s="12">
        <f ca="1" t="shared" si="2"/>
        <v>45957</v>
      </c>
      <c r="B36" s="9" t="s">
        <v>519</v>
      </c>
      <c r="C36" s="9" t="str">
        <f>VLOOKUP(D36,辅助信息!A:B,2,FALSE)</f>
        <v>螺纹钢</v>
      </c>
      <c r="D36" s="9" t="s">
        <v>18</v>
      </c>
    </row>
    <row r="37" spans="1:4">
      <c r="A37" s="12">
        <f ca="1" t="shared" ref="A37:A46" si="3">TODAY()</f>
        <v>45957</v>
      </c>
      <c r="B37" s="9" t="s">
        <v>519</v>
      </c>
      <c r="C37" s="9" t="str">
        <f>VLOOKUP(D37,辅助信息!A:B,2,FALSE)</f>
        <v>螺纹钢</v>
      </c>
      <c r="D37" s="9" t="s">
        <v>65</v>
      </c>
    </row>
    <row r="38" spans="1:4">
      <c r="A38" s="12">
        <f ca="1" t="shared" si="3"/>
        <v>45957</v>
      </c>
      <c r="B38" s="9" t="s">
        <v>519</v>
      </c>
      <c r="C38" s="9" t="str">
        <f>VLOOKUP(D38,辅助信息!A:B,2,FALSE)</f>
        <v>螺纹钢</v>
      </c>
      <c r="D38" s="9" t="s">
        <v>52</v>
      </c>
    </row>
    <row r="39" spans="1:4">
      <c r="A39" s="12">
        <f ca="1" t="shared" si="3"/>
        <v>45957</v>
      </c>
      <c r="B39" s="9" t="s">
        <v>519</v>
      </c>
      <c r="C39" s="9" t="str">
        <f>VLOOKUP(D39,辅助信息!A:B,2,FALSE)</f>
        <v>螺纹钢</v>
      </c>
      <c r="D39" s="9" t="s">
        <v>111</v>
      </c>
    </row>
    <row r="40" spans="1:4">
      <c r="A40" s="12">
        <f ca="1" t="shared" si="3"/>
        <v>45957</v>
      </c>
      <c r="B40" s="9" t="s">
        <v>519</v>
      </c>
      <c r="C40" s="9" t="str">
        <f>VLOOKUP(D40,辅助信息!A:B,2,FALSE)</f>
        <v>螺纹钢</v>
      </c>
      <c r="D40" s="9" t="s">
        <v>76</v>
      </c>
    </row>
    <row r="41" spans="1:4">
      <c r="A41" s="12">
        <f ca="1" t="shared" si="3"/>
        <v>45957</v>
      </c>
      <c r="B41" s="9" t="s">
        <v>519</v>
      </c>
      <c r="C41" s="9" t="str">
        <f>VLOOKUP(D41,辅助信息!A:B,2,FALSE)</f>
        <v>螺纹钢</v>
      </c>
      <c r="D41" s="9" t="s">
        <v>90</v>
      </c>
    </row>
    <row r="42" spans="1:4">
      <c r="A42" s="12">
        <f ca="1" t="shared" si="3"/>
        <v>45957</v>
      </c>
      <c r="B42" s="9" t="s">
        <v>519</v>
      </c>
      <c r="C42" s="9" t="str">
        <f>VLOOKUP(D42,辅助信息!A:B,2,FALSE)</f>
        <v>螺纹钢</v>
      </c>
      <c r="D42" s="9" t="s">
        <v>130</v>
      </c>
    </row>
    <row r="43" spans="1:4">
      <c r="A43" s="12">
        <f ca="1" t="shared" si="3"/>
        <v>45957</v>
      </c>
      <c r="B43" s="9" t="s">
        <v>519</v>
      </c>
      <c r="C43" s="9" t="str">
        <f>VLOOKUP(D43,辅助信息!A:B,2,FALSE)</f>
        <v>螺纹钢</v>
      </c>
      <c r="D43" s="9" t="s">
        <v>133</v>
      </c>
    </row>
    <row r="44" spans="1:4">
      <c r="A44" s="12">
        <f ca="1" t="shared" si="3"/>
        <v>45957</v>
      </c>
      <c r="B44" s="9" t="s">
        <v>519</v>
      </c>
      <c r="C44" s="9" t="str">
        <f>VLOOKUP(D44,辅助信息!A:B,2,FALSE)</f>
        <v>螺纹钢</v>
      </c>
      <c r="D44" s="9" t="s">
        <v>91</v>
      </c>
    </row>
    <row r="45" spans="1:4">
      <c r="A45" s="12">
        <f ca="1" t="shared" si="3"/>
        <v>45957</v>
      </c>
      <c r="B45" s="9" t="s">
        <v>519</v>
      </c>
      <c r="C45" s="9" t="str">
        <f>VLOOKUP(D45,辅助信息!A:B,2,FALSE)</f>
        <v>螺纹钢</v>
      </c>
      <c r="D45" s="9" t="s">
        <v>77</v>
      </c>
    </row>
    <row r="46" spans="1:4">
      <c r="A46" s="12">
        <f ca="1" t="shared" si="3"/>
        <v>45957</v>
      </c>
      <c r="B46" s="9" t="s">
        <v>519</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F5033" sqref="F5033:F503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521</v>
      </c>
      <c r="G1" s="2" t="s">
        <v>7</v>
      </c>
      <c r="H1" s="2" t="str">
        <f>'[1]2025年已发货'!H:H</f>
        <v>联系人</v>
      </c>
      <c r="I1" s="2" t="str">
        <f>'[1]2025年已发货'!I:I</f>
        <v>联系方式</v>
      </c>
      <c r="J1" s="6" t="s">
        <v>16</v>
      </c>
      <c r="K1" s="6" t="s">
        <v>522</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乐山市校地共建产教融合基地建设项目二标段</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乐山市校地共建产教融合基地建设项目二标段</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乐山市校地共建产教融合基地建设项目二标段</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乐山市校地共建产教融合基地建设项目二标段</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乐山市校地共建产教融合基地建设项目二标段</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乐山市校地共建产教融合基地建设项目二标段</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乐山市校地共建产教融合基地建设项目二标段</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乐山市校地共建产教融合基地建设项目二标段</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乐山市校地共建产教融合基地建设项目二标段</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乐山市校地共建产教融合基地建设项目二标段</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乐山市校地共建产教融合基地建设项目二标段</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乐山市校地共建产教融合基地建设项目二标段</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乐山市校地共建产教融合基地建设项目二标段</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乐山市校地共建产教融合基地建设项目二标段</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乐山市校地共建产教融合基地建设项目二标段</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乐山市校地共建产教融合基地建设项目二标段</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乐山市校地共建产教融合基地建设项目二标段</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乐山市校地共建产教融合基地建设项目二标段</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乐山市校地共建产教融合基地建设项目二标段</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乐山市校地共建产教融合基地建设项目二标段</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乐山市校地共建产教融合基地建设项目二标段</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乐山市校地共建产教融合基地建设项目二标段</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乐山市校地共建产教融合基地建设项目二标段</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乐山市校地共建产教融合基地建设项目二标段</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乐山市校地共建产教融合基地建设项目二标段</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乐山市校地共建产教融合基地建设项目二标段</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乐山市校地共建产教融合基地建设项目二标段</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乐山市校地共建产教融合基地建设项目二标段</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乐山市校地共建产教融合基地建设项目二标段</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乐山市校地共建产教融合基地建设项目二标段</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乐山市校地共建产教融合基地建设项目二标段</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乐山市校地共建产教融合基地建设项目二标段</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乐山市校地共建产教融合基地建设项目二标段</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乐山市校地共建产教融合基地建设项目二标段</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乐山市校地共建产教融合基地建设项目二标段</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乐山市校地共建产教融合基地建设项目二标段</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乐山市校地共建产教融合基地建设项目二标段</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乐山市校地共建产教融合基地建设项目二标段</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乐山市校地共建产教融合基地建设项目二标段</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乐山市校地共建产教融合基地建设项目二标段</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乐山市校地共建产教融合基地建设项目二标段</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乐山市校地共建产教融合基地建设项目二标段</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乐山市校地共建产教融合基地建设项目二标段</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乐山市校地共建产教融合基地建设项目二标段</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乐山市校地共建产教融合基地建设项目二标段</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乐山市校地共建产教融合基地建设项目二标段</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乐山市校地共建产教融合基地建设项目二标段</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乐山市校地共建产教融合基地建设项目二标段</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乐山市校地共建产教融合基地建设项目二标段</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乐山市校地共建产教融合基地建设项目二标段</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乐山市校地共建产教融合基地建设项目二标段</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乐山市校地共建产教融合基地建设项目二标段</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乐山市校地共建产教融合基地建设项目二标段</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乐山市校地共建产教融合基地建设项目二标段</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乐山市校地共建产教融合基地建设项目二标段</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乐山市校地共建产教融合基地建设项目二标段</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乐山市校地共建产教融合基地建设项目二标段</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乐山市校地共建产教融合基地建设项目二标段</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乐山市校地共建产教融合基地建设项目二标段</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乐山市校地共建产教融合基地建设项目一标段</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乐山市校地共建产教融合基地建设项目一标段</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乐山市校地共建产教融合基地建设项目一标段</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乐山市校地共建产教融合基地建设项目一标段</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乐山市校地共建产教融合基地建设项目一标段</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乐山市校地共建产教融合基地建设项目一标段</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乐山市校地共建产教融合基地建设项目二标段</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乐山市校地共建产教融合基地建设项目二标段</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乐山市校地共建产教融合基地建设项目二标段</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乐山市校地共建产教融合基地建设项目二标段</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乐山市校地共建产教融合基地建设项目二标段</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乐山市校地共建产教融合基地建设项目二标段</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乐山市校地共建产教融合基地建设项目二标段</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乐山市校地共建产教融合基地建设项目二标段</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乐山市校地共建产教融合基地建设项目二标段</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乐山市校地共建产教融合基地建设项目二标段</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乐山市校地共建产教融合基地建设项目二标段</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乐山市校地共建产教融合基地建设项目二标段</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乐山市校地共建产教融合基地建设项目二标段</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乐山市校地共建产教融合基地建设项目二标段</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乐山市校地共建产教融合基地建设项目二标段</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乐山市校地共建产教融合基地建设项目二标段</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乐山市校地共建产教融合基地建设项目二标段</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乐山市校地共建产教融合基地建设项目二标段</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乐山市校地共建产教融合基地建设项目二标段</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乐山市校地共建产教融合基地建设项目二标段</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乐山市校地共建产教融合基地建设项目二标段</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乐山市校地共建产教融合基地建设项目二标段</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乐山市校地共建产教融合基地建设项目二标段</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乐山市校地共建产教融合基地建设项目二标段</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乐山市校地共建产教融合基地建设项目二标段</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乐山市校地共建产教融合基地建设项目二标段</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乐山市校地共建产教融合基地建设项目二标段</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乐山市校地共建产教融合基地建设项目二标段</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乐山市校地共建产教融合基地建设项目二标段</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乐山市校地共建产教融合基地建设项目二标段</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乐山市校地共建产教融合基地建设项目二标段</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乐山市校地共建产教融合基地建设项目二标段</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乐山市校地共建产教融合基地建设项目二标段</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乐山市校地共建产教融合基地建设项目二标段</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乐山市校地共建产教融合基地建设项目二标段</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乐山市校地共建产教融合基地建设项目二标段</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乐山市校地共建产教融合基地建设项目二标段</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乐山市校地共建产教融合基地建设项目二标段</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乐山市校地共建产教融合基地建设项目二标段</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乐山市校地共建产教融合基地建设项目二标段</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乐山市校地共建产教融合基地建设项目二标段</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乐山市校地共建产教融合基地建设项目二标段</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乐山市校地共建产教融合基地建设项目二标段</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乐山市校地共建产教融合基地建设项目二标段</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乐山市校地共建产教融合基地建设项目二标段</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乐山市校地共建产教融合基地建设项目二标段</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乐山市校地共建产教融合基地建设项目一标段</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乐山市校地共建产教融合基地建设项目一标段</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乐山市校地共建产教融合基地建设项目一标段</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乐山市校地共建产教融合基地建设项目一标段</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乐山市校地共建产教融合基地建设项目一标段</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乐山市校地共建产教融合基地建设项目一标段</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乐山市校地共建产教融合基地建设项目一标段</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乐山市校地共建产教融合基地建设项目一标段</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乐山市校地共建产教融合基地建设项目一标段</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乐山市校地共建产教融合基地建设项目一标段</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乐山市校地共建产教融合基地建设项目二标段</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乐山市校地共建产教融合基地建设项目二标段</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乐山市校地共建产教融合基地建设项目二标段</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乐山市校地共建产教融合基地建设项目二标段</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乐山市校地共建产教融合基地建设项目二标段</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乐山市校地共建产教融合基地建设项目二标段</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乐山市校地共建产教融合基地建设项目二标段</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乐山市校地共建产教融合基地建设项目二标段</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乐山市校地共建产教融合基地建设项目二标段</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乐山市校地共建产教融合基地建设项目二标段</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乐山市校地共建产教融合基地建设项目二标段</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乐山市校地共建产教融合基地建设项目二标段</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乐山市校地共建产教融合基地建设项目二标段</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乐山市校地共建产教融合基地建设项目二标段</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乐山市校地共建产教融合基地建设项目二标段</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乐山市校地共建产教融合基地建设项目二标段</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乐山市校地共建产教融合基地建设项目二标段</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乐山市校地共建产教融合基地建设项目二标段</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乐山市校地共建产教融合基地建设项目二标段</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乐山市校地共建产教融合基地建设项目二标段</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乐山市校地共建产教融合基地建设项目二标段</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乐山市校地共建产教融合基地建设项目二标段</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乐山市校地共建产教融合基地建设项目二标段</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乐山市校地共建产教融合基地建设项目二标段</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乐山市校地共建产教融合基地建设项目二标段</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乐山市校地共建产教融合基地建设项目二标段</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乐山市校地共建产教融合基地建设项目二标段</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乐山市校地共建产教融合基地建设项目二标段</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乐山市校地共建产教融合基地建设项目二标段</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乐山市校地共建产教融合基地建设项目二标段</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乐山市校地共建产教融合基地建设项目二标段</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乐山市校地共建产教融合基地建设项目二标段</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乐山市校地共建产教融合基地建设项目二标段</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乐山市校地共建产教融合基地建设项目二标段</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乐山市校地共建产教融合基地建设项目二标段</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乐山市校地共建产教融合基地建设项目二标段</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乐山市校地共建产教融合基地建设项目一标段</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乐山市校地共建产教融合基地建设项目一标段</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乐山市校地共建产教融合基地建设项目一标段</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乐山市校地共建产教融合基地建设项目一标段</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乐山市校地共建产教融合基地建设项目一标段</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乐山市校地共建产教融合基地建设项目一标段</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乐山市校地共建产教融合基地建设项目一标段</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乐山市校地共建产教融合基地建设项目一标段</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乐山市校地共建产教融合基地建设项目一标段</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乐山市校地共建产教融合基地建设项目一标段</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乐山市校地共建产教融合基地建设项目一标段</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乐山市校地共建产教融合基地建设项目一标段</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乐山市校地共建产教融合基地建设项目二标段</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乐山市校地共建产教融合基地建设项目二标段</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乐山市校地共建产教融合基地建设项目二标段</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乐山市校地共建产教融合基地建设项目二标段</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乐山市校地共建产教融合基地建设项目二标段</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乐山市校地共建产教融合基地建设项目二标段</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乐山市校地共建产教融合基地建设项目二标段</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乐山市校地共建产教融合基地建设项目一标段</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乐山市校地共建产教融合基地建设项目一标段</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乐山市校地共建产教融合基地建设项目一标段</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乐山市校地共建产教融合基地建设项目一标段</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乐山市校地共建产教融合基地建设项目一标段</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乐山市校地共建产教融合基地建设项目一标段</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乐山市校地共建产教融合基地建设项目一标段</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乐山市校地共建产教融合基地建设项目一标段</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乐山市校地共建产教融合基地建设项目一标段</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乐山市校地共建产教融合基地建设项目一标段</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乐山市校地共建产教融合基地建设项目一标段</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乐山市校地共建产教融合基地建设项目一标段</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乐山市校地共建产教融合基地建设项目一标段</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乐山市校地共建产教融合基地建设项目一标段</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乐山市校地共建产教融合基地建设项目一标段</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乐山市校地共建产教融合基地建设项目一标段</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乐山市校地共建产教融合基地建设项目一标段</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乐山市校地共建产教融合基地建设项目一标段</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乐山市校地共建产教融合基地建设项目一标段</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乐山市校地共建产教融合基地建设项目一标段</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乐山市校地共建产教融合基地建设项目二标段</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乐山市校地共建产教融合基地建设项目二标段</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乐山市校地共建产教融合基地建设项目二标段</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乐山市校地共建产教融合基地建设项目二标段</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乐山市校地共建产教融合基地建设项目二标段</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乐山市校地共建产教融合基地建设项目二标段</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乐山市校地共建产教融合基地建设项目二标段</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乐山市校地共建产教融合基地建设项目二标段</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乐山市校地共建产教融合基地建设项目二标段</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乐山市校地共建产教融合基地建设项目二标段</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乐山市校地共建产教融合基地建设项目二标段</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乐山市校地共建产教融合基地建设项目二标段</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乐山市校地共建产教融合基地建设项目二标段</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乐山市校地共建产教融合基地建设项目二标段</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乐山市校地共建产教融合基地建设项目二标段</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乐山市校地共建产教融合基地建设项目二标段</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乐山市校地共建产教融合基地建设项目二标段</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乐山市校地共建产教融合基地建设项目二标段</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乐山市校地共建产教融合基地建设项目二标段</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乐山市校地共建产教融合基地建设项目二标段</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乐山市校地共建产教融合基地建设项目二标段</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乐山市校地共建产教融合基地建设项目二标段</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乐山市校地共建产教融合基地建设项目二标段</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乐山市校地共建产教融合基地建设项目二标段</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乐山市校地共建产教融合基地建设项目二标段</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乐山市校地共建产教融合基地建设项目一标段</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乐山市校地共建产教融合基地建设项目一标段</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乐山市校地共建产教融合基地建设项目一标段</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乐山市校地共建产教融合基地建设项目一标段</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乐山市校地共建产教融合基地建设项目一标段</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乐山市校地共建产教融合基地建设项目二标段</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乐山市校地共建产教融合基地建设项目二标段</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乐山市校地共建产教融合基地建设项目一标段</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乐山市校地共建产教融合基地建设项目一标段</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乐山市校地共建产教融合基地建设项目一标段</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乐山市校地共建产教融合基地建设项目一标段</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乐山市校地共建产教融合基地建设项目一标段</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乐山市校地共建产教融合基地建设项目一标段</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乐山市校地共建产教融合基地建设项目一标段</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乐山市校地共建产教融合基地建设项目一标段</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乐山市校地共建产教融合基地建设项目一标段</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乐山市校地共建产教融合基地建设项目一标段</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乐山市校地共建产教融合基地建设项目一标段</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乐山市校地共建产教融合基地建设项目一标段</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乐山市校地共建产教融合基地建设项目一标段</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乐山市校地共建产教融合基地建设项目一标段</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乐山市校地共建产教融合基地建设项目一标段</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乐山市校地共建产教融合基地建设项目一标段</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乐山市校地共建产教融合基地建设项目二标段</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乐山市校地共建产教融合基地建设项目二标段</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乐山市校地共建产教融合基地建设项目二标段</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乐山市校地共建产教融合基地建设项目二标段</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乐山市校地共建产教融合基地建设项目二标段</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乐山市校地共建产教融合基地建设项目二标段</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乐山市校地共建产教融合基地建设项目二标段</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乐山市校地共建产教融合基地建设项目二标段</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乐山市校地共建产教融合基地建设项目二标段</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乐山市校地共建产教融合基地建设项目二标段</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乐山市校地共建产教融合基地建设项目二标段</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乐山市校地共建产教融合基地建设项目二标段</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乐山市校地共建产教融合基地建设项目二标段</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乐山市校地共建产教融合基地建设项目二标段</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乐山市校地共建产教融合基地建设项目二标段</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乐山市校地共建产教融合基地建设项目二标段</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乐山市校地共建产教融合基地建设项目二标段</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乐山市校地共建产教融合基地建设项目二标段</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乐山市校地共建产教融合基地建设项目二标段</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乐山市校地共建产教融合基地建设项目二标段</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乐山市校地共建产教融合基地建设项目二标段</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乐山市校地共建产教融合基地建设项目二标段</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乐山市校地共建产教融合基地建设项目二标段</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乐山市校地共建产教融合基地建设项目二标段</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乐山市校地共建产教融合基地建设项目二标段</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乐山市校地共建产教融合基地建设项目一标段</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乐山市校地共建产教融合基地建设项目一标段</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乐山市校地共建产教融合基地建设项目一标段</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乐山市校地共建产教融合基地建设项目一标段</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乐山市校地共建产教融合基地建设项目一标段</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乐山市校地共建产教融合基地建设项目一标段</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乐山市校地共建产教融合基地建设项目一标段</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乐山市校地共建产教融合基地建设项目一标段</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乐山市校地共建产教融合基地建设项目一标段</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乐山市校地共建产教融合基地建设项目一标段</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乐山市校地共建产教融合基地建设项目一标段</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乐山市校地共建产教融合基地建设项目一标段</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乐山市校地共建产教融合基地建设项目一标段</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乐山市校地共建产教融合基地建设项目一标段</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乐山市校地共建产教融合基地建设项目一标段</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乐山市校地共建产教融合基地建设项目二标段</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乐山市校地共建产教融合基地建设项目二标段</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乐山市校地共建产教融合基地建设项目二标段</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乐山市校地共建产教融合基地建设项目二标段</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乐山市校地共建产教融合基地建设项目二标段</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乐山市校地共建产教融合基地建设项目二标段</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乐山市校地共建产教融合基地建设项目二标段</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乐山市校地共建产教融合基地建设项目二标段</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乐山市校地共建产教融合基地建设项目二标段</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乐山市校地共建产教融合基地建设项目二标段</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乐山市校地共建产教融合基地建设项目二标段</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乐山市校地共建产教融合基地建设项目二标段</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乐山市校地共建产教融合基地建设项目一标段</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乐山市校地共建产教融合基地建设项目一标段</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乐山市校地共建产教融合基地建设项目一标段</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乐山市校地共建产教融合基地建设项目一标段</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乐山市校地共建产教融合基地建设项目一标段</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乐山市校地共建产教融合基地建设项目一标段</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乐山市校地共建产教融合基地建设项目一标段</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乐山市校地共建产教融合基地建设项目一标段</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乐山市校地共建产教融合基地建设项目一标段</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乐山市校地共建产教融合基地建设项目一标段</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乐山市校地共建产教融合基地建设项目一标段</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乐山市校地共建产教融合基地建设项目一标段</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乐山市校地共建产教融合基地建设项目一标段</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乐山市校地共建产教融合基地建设项目一标段</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乐山市校地共建产教融合基地建设项目一标段</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乐山市校地共建产教融合基地建设项目二标段</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乐山市校地共建产教融合基地建设项目二标段</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乐山市校地共建产教融合基地建设项目二标段</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乐山市校地共建产教融合基地建设项目二标段</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乐山市校地共建产教融合基地建设项目二标段</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乐山市校地共建产教融合基地建设项目二标段</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乐山市校地共建产教融合基地建设项目二标段</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乐山市校地共建产教融合基地建设项目二标段</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乐山市校地共建产教融合基地建设项目二标段</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乐山市校地共建产教融合基地建设项目二标段</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乐山市校地共建产教融合基地建设项目二标段</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乐山市校地共建产教融合基地建设项目二标段</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乐山市校地共建产教融合基地建设项目二标段</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乐山市校地共建产教融合基地建设项目二标段</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乐山市校地共建产教融合基地建设项目二标段</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乐山市校地共建产教融合基地建设项目二标段</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乐山市校地共建产教融合基地建设项目二标段</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乐山市校地共建产教融合基地建设项目二标段</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乐山市校地共建产教融合基地建设项目二标段</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乐山市校地共建产教融合基地建设项目二标段</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乐山市校地共建产教融合基地建设项目二标段</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乐山市校地共建产教融合基地建设项目二标段</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乐山市校地共建产教融合基地建设项目二标段</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乐山市校地共建产教融合基地建设项目二标段</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乐山市校地共建产教融合基地建设项目二标段</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乐山市校地共建产教融合基地建设项目二标段</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乐山市校地共建产教融合基地建设项目二标段</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乐山市校地共建产教融合基地建设项目二标段</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乐山市校地共建产教融合基地建设项目二标段</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乐山市校地共建产教融合基地建设项目二标段</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乐山市校地共建产教融合基地建设项目二标段</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乐山市校地共建产教融合基地建设项目二标段</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乐山市校地共建产教融合基地建设项目二标段</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乐山市校地共建产教融合基地建设项目二标段</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乐山市校地共建产教融合基地建设项目二标段</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乐山市校地共建产教融合基地建设项目二标段</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乐山市校地共建产教融合基地建设项目二标段</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乐山市校地共建产教融合基地建设项目二标段</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乐山市校地共建产教融合基地建设项目二标段</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乐山市校地共建产教融合基地建设项目二标段</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乐山市校地共建产教融合基地建设项目二标段</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乐山市校地共建产教融合基地建设项目二标段</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乐山市校地共建产教融合基地建设项目二标段</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乐山市校地共建产教融合基地建设项目二标段</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乐山市校地共建产教融合基地建设项目二标段</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乐山市校地共建产教融合基地建设项目二标段</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乐山市校地共建产教融合基地建设项目二标段</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乐山市校地共建产教融合基地建设项目二标段</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乐山市校地共建产教融合基地建设项目二标段</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乐山市校地共建产教融合基地建设项目二标段</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乐山市校地共建产教融合基地建设项目二标段</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乐山市校地共建产教融合基地建设项目二标段</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乐山市校地共建产教融合基地建设项目二标段</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乐山市校地共建产教融合基地建设项目二标段</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乐山市校地共建产教融合基地建设项目二标段</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乐山市校地共建产教融合基地建设项目二标段</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乐山市校地共建产教融合基地建设项目二标段</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乐山市校地共建产教融合基地建设项目二标段</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乐山市校地共建产教融合基地建设项目二标段</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乐山市校地共建产教融合基地建设项目二标段</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乐山市校地共建产教融合基地建设项目二标段</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乐山市校地共建产教融合基地建设项目二标段</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乐山市校地共建产教融合基地建设项目二标段</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乐山市校地共建产教融合基地建设项目二标段</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乐山市校地共建产教融合基地建设项目二标段</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乐山市校地共建产教融合基地建设项目二标段</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乐山市校地共建产教融合基地建设项目二标段</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乐山市校地共建产教融合基地建设项目二标段</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乐山市校地共建产教融合基地建设项目二标段</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乐山市校地共建产教融合基地建设项目二标段</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乐山市校地共建产教融合基地建设项目二标段</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乐山市校地共建产教融合基地建设项目二标段</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乐山市校地共建产教融合基地建设项目二标段</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乐山市校地共建产教融合基地建设项目二标段</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乐山市校地共建产教融合基地建设项目二标段</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乐山市校地共建产教融合基地建设项目二标段</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乐山市校地共建产教融合基地建设项目二标段</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乐山市校地共建产教融合基地建设项目二标段</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乐山市校地共建产教融合基地建设项目二标段</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乐山市校地共建产教融合基地建设项目二标段</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乐山市校地共建产教融合基地建设项目二标段</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乐山市校地共建产教融合基地建设项目二标段</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乐山市校地共建产教融合基地建设项目二标段</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乐山市校地共建产教融合基地建设项目二标段</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乐山市校地共建产教融合基地建设项目一标段</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乐山市校地共建产教融合基地建设项目一标段</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乐山市校地共建产教融合基地建设项目一标段</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乐山市校地共建产教融合基地建设项目一标段</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乐山市校地共建产教融合基地建设项目一标段</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乐山市校地共建产教融合基地建设项目一标段</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乐山市校地共建产教融合基地建设项目一标段</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乐山市校地共建产教融合基地建设项目二标段</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乐山市校地共建产教融合基地建设项目二标段</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乐山市校地共建产教融合基地建设项目二标段</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乐山市校地共建产教融合基地建设项目二标段</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乐山市校地共建产教融合基地建设项目二标段</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乐山市校地共建产教融合基地建设项目二标段</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乐山市校地共建产教融合基地建设项目二标段</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乐山市校地共建产教融合基地建设项目二标段</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乐山市校地共建产教融合基地建设项目二标段</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乐山市校地共建产教融合基地建设项目二标段</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乐山市校地共建产教融合基地建设项目二标段</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乐山市校地共建产教融合基地建设项目二标段</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乐山市校地共建产教融合基地建设项目二标段</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乐山市校地共建产教融合基地建设项目二标段</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乐山市校地共建产教融合基地建设项目二标段</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乐山市校地共建产教融合基地建设项目二标段</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乐山市校地共建产教融合基地建设项目二标段</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乐山市校地共建产教融合基地建设项目二标段</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乐山市校地共建产教融合基地建设项目二标段</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乐山市校地共建产教融合基地建设项目二标段</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乐山市校地共建产教融合基地建设项目二标段</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乐山市校地共建产教融合基地建设项目一标段</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乐山市校地共建产教融合基地建设项目一标段</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乐山市校地共建产教融合基地建设项目一标段</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乐山市校地共建产教融合基地建设项目一标段</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乐山市校地共建产教融合基地建设项目一标段</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乐山市校地共建产教融合基地建设项目一标段</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乐山市校地共建产教融合基地建设项目一标段</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乐山市校地共建产教融合基地建设项目一标段</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乐山市校地共建产教融合基地建设项目一标段</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乐山市校地共建产教融合基地建设项目一标段</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乐山市校地共建产教融合基地建设项目一标段</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乐山市校地共建产教融合基地建设项目二标段</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乐山市校地共建产教融合基地建设项目二标段</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五冶钢构龙泉东洪片区70亩住宅、商业及配套工程项目一标段</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五冶钢构龙泉东洪片区70亩住宅、商业及配套工程项目一标段</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五冶钢构龙泉东洪片区70亩住宅、商业及配套工程项目一标段</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五冶钢构龙泉东洪片区70亩住宅、商业及配套工程项目一标段</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五冶钢构龙泉东洪片区70亩住宅、商业及配套工程项目一标段</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五冶钢构龙泉东洪片区70亩住宅、商业及配套工程项目一标段</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五冶钢构龙泉东洪片区70亩住宅、商业及配套工程项目一标段</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五冶钢构龙泉东洪片区70亩住宅、商业及配套工程项目一标段</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五冶钢构龙泉东洪片区70亩住宅、商业及配套工程项目一标段</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五冶钢构龙泉东洪片区85亩住宅、商业及配套工程项目一标段</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五冶钢构龙泉东洪片区85亩住宅、商业及配套工程项目一标段</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五冶钢构龙泉东洪片区85亩住宅、商业及配套工程项目一标段</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五冶钢构龙泉东洪片区85亩住宅、商业及配套工程项目一标段</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五冶钢构龙泉东洪片区85亩住宅、商业及配套工程项目一标段</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五冶钢构龙泉东洪片区85亩住宅、商业及配套工程项目一标段</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五冶钢构龙泉东洪片区85亩住宅、商业及配套工程项目一标段</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五冶钢构龙泉东洪片区85亩住宅、商业及配套工程项目一标段</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五冶钢构龙泉东洪片区85亩住宅、商业及配套工程项目一标段</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五冶钢构龙泉东洪片区85亩住宅、商业及配套工程项目一标段</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五冶钢构龙泉东洪片区85亩住宅、商业及配套工程项目二标段</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五冶钢构龙泉东洪片区85亩住宅、商业及配套工程项目二标段</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五冶钢构龙泉东洪片区85亩住宅、商业及配套工程项目二标段</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五冶钢构龙泉东洪片区85亩住宅、商业及配套工程项目二标段</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五冶钢构龙泉东洪片区85亩住宅、商业及配套工程项目二标段</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乐山市校地共建产教融合基地建设项目一标段</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乐山市校地共建产教融合基地建设项目一标段</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乐山市校地共建产教融合基地建设项目一标段</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乐山市校地共建产教融合基地建设项目一标段</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乐山市校地共建产教融合基地建设项目一标段</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五冶钢构龙泉东洪片区85亩住宅、商业及配套工程项目二标段</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五冶钢构龙泉东洪片区85亩住宅、商业及配套工程项目二标段</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五冶钢构龙泉东洪片区85亩住宅、商业及配套工程项目二标段</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五冶钢构龙泉东洪片区85亩住宅、商业及配套工程项目二标段</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五冶钢构龙泉东洪片区70亩住宅、商业及配套工程项目二标段</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五冶钢构龙泉东洪片区70亩住宅、商业及配套工程项目二标段</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五冶钢构龙泉东洪片区70亩住宅、商业及配套工程项目二标段</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五冶钢构龙泉东洪片区70亩住宅、商业及配套工程项目二标段</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五冶钢构龙泉东洪片区70亩住宅、商业及配套工程项目二标段</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五冶钢构龙泉东洪片区70亩住宅、商业及配套工程项目二标段</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五冶钢构龙泉东洪片区70亩住宅、商业及配套工程项目二标段</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五冶钢构龙泉东洪片区70亩住宅、商业及配套工程项目一标段</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五冶钢构龙泉东洪片区70亩住宅、商业及配套工程项目一标段</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五冶钢构龙泉东洪片区70亩住宅、商业及配套工程项目一标段</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五冶钢构龙泉东洪片区70亩住宅、商业及配套工程项目一标段</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五冶钢构龙泉东洪片区70亩住宅、商业及配套工程项目一标段</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五冶钢构龙泉东洪片区70亩住宅、商业及配套工程项目一标段</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五冶钢构龙泉东洪片区85亩住宅、商业及配套工程项目三标段</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五冶钢构龙泉东洪片区85亩住宅、商业及配套工程项目三标段</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五冶钢构龙泉东洪片区85亩住宅、商业及配套工程项目三标段</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五冶钢构龙泉东洪片区85亩住宅、商业及配套工程项目三标段</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五冶钢构龙泉东洪片区85亩住宅、商业及配套工程项目三标段</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五冶钢构龙泉东洪片区85亩住宅、商业及配套工程项目三标段</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五冶钢构龙泉东洪片区85亩住宅、商业及配套工程项目三标段</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五冶钢构龙泉东洪片区85亩住宅、商业及配套工程项目三标段</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五冶钢构龙泉东洪片区85亩住宅、商业及配套工程项目三标段</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五冶钢构龙泉东洪片区85亩住宅、商业及配套工程项目三标段</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五冶钢构龙泉东洪片区85亩住宅、商业及配套工程项目三标段</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五冶钢构龙泉东洪片区85亩住宅、商业及配套工程项目三标段</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五冶钢构龙泉东洪片区85亩住宅、商业及配套工程项目三标段</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五冶钢构龙泉东洪片区85亩住宅、商业及配套工程项目三标段</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五冶钢构龙泉东洪片区85亩住宅、商业及配套工程项目三标段</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五冶钢构龙泉东洪片区85亩住宅、商业及配套工程项目三标段</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五冶钢构龙泉东洪片区85亩住宅、商业及配套工程项目三标段</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五冶钢构龙泉东洪片区85亩住宅、商业及配套工程项目三标段</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五冶钢构龙泉东洪片区85亩住宅、商业及配套工程项目三标段</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五冶钢构龙泉东洪片区85亩住宅、商业及配套工程项目三标段</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五冶钢构龙泉东洪片区85亩住宅、商业及配套工程项目三标段</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五冶钢构龙泉东洪片区85亩住宅、商业及配套工程项目三标段</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五冶钢构龙泉东洪片区85亩住宅、商业及配套工程项目三标段</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五冶钢构龙泉东洪片区85亩住宅、商业及配套工程项目三标段</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五冶钢构龙泉东洪片区85亩住宅、商业及配套工程项目三标段</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五冶钢构龙泉东洪片区85亩住宅、商业及配套工程项目三标段</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五冶钢构龙泉东洪片区85亩住宅、商业及配套工程项目三标段</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五冶钢构龙泉东洪片区85亩住宅、商业及配套工程项目三标段</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五冶钢构龙泉东洪片区85亩住宅、商业及配套工程项目三标段</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五冶钢构龙泉东洪片区85亩住宅、商业及配套工程项目三标段</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五冶钢构龙泉东洪片区85亩住宅、商业及配套工程项目三标段</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五冶钢构龙泉东洪片区85亩住宅、商业及配套工程项目三标段</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五冶钢构龙泉东洪片区85亩住宅、商业及配套工程项目三标段</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五冶钢构龙泉东洪片区85亩住宅、商业及配套工程项目三标段</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五冶钢构龙泉东洪片区85亩住宅、商业及配套工程项目三标段</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五冶钢构龙泉东洪片区85亩住宅、商业及配套工程项目三标段</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五冶钢构龙泉东洪片区85亩住宅、商业及配套工程项目二标段</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五冶钢构龙泉东洪片区85亩住宅、商业及配套工程项目二标段</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五冶钢构龙泉东洪片区85亩住宅、商业及配套工程项目二标段</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五冶钢构龙泉东洪片区85亩住宅、商业及配套工程项目二标段</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五冶钢构龙泉东洪片区70亩住宅、商业及配套工程项目二标段</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五冶钢构龙泉东洪片区70亩住宅、商业及配套工程项目二标段</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五冶钢构龙泉东洪片区70亩住宅、商业及配套工程项目二标段</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五冶钢构龙泉东洪片区70亩住宅、商业及配套工程项目二标段</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五冶钢构龙泉东洪片区85亩住宅、商业及配套工程项目一标段</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五冶钢构龙泉东洪片区85亩住宅、商业及配套工程项目一标段</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乐山市校地共建产教融合基地建设项目一标段</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乐山市校地共建产教融合基地建设项目一标段</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乐山市校地共建产教融合基地建设项目一标段</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乐山市校地共建产教融合基地建设项目一标段</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乐山市校地共建产教融合基地建设项目一标段</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乐山市校地共建产教融合基地建设项目一标段</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乐山市校地共建产教融合基地建设项目一标段</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乐山市校地共建产教融合基地建设项目一标段</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乐山市校地共建产教融合基地建设项目一标段</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乐山市校地共建产教融合基地建设项目二标段</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乐山市校地共建产教融合基地建设项目二标段</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乐山市校地共建产教融合基地建设项目二标段</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乐山市校地共建产教融合基地建设项目二标段</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乐山市校地共建产教融合基地建设项目二标段</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乐山市校地共建产教融合基地建设项目二标段</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乐山市校地共建产教融合基地建设项目二标段</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乐山市校地共建产教融合基地建设项目二标段</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乐山市校地共建产教融合基地建设项目二标段</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乐山市校地共建产教融合基地建设项目二标段</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乐山市校地共建产教融合基地建设项目二标段</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乐山市校地共建产教融合基地建设项目二标段</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乐山市校地共建产教融合基地建设项目二标段</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乐山市校地共建产教融合基地建设项目二标段</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乐山市校地共建产教融合基地建设项目二标段</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乐山市校地共建产教融合基地建设项目二标段</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乐山市校地共建产教融合基地建设项目二标段</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五冶建设成都盐道街中学初中部改扩建工程-一标</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五冶建设成都盐道街中学初中部改扩建工程-二标</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五冶建设成都盐道街中学初中部改扩建工程-二标</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五冶建设成都盐道街中学初中部改扩建工程-一标</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五冶建设成都盐道街中学初中部改扩建工程-二标</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五冶建设成都盐道街中学初中部改扩建工程-一标</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五冶建设成都盐道街中学初中部改扩建工程-一标</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乐山市校地共建产教融合基地建设项目一标段</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乐山市校地共建产教融合基地建设项目一标段</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乐山市校地共建产教融合基地建设项目一标段</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乐山市校地共建产教融合基地建设项目一标段</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乐山市校地共建产教融合基地建设项目一标段</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乐山市校地共建产教融合基地建设项目一标段</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乐山市校地共建产教融合基地建设项目一标段</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乐山市校地共建产教融合基地建设项目一标段</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乐山市校地共建产教融合基地建设项目一标段</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乐山市校地共建产教融合基地建设项目二标段</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乐山市校地共建产教融合基地建设项目二标段</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乐山市校地共建产教融合基地建设项目一标段</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乐山市校地共建产教融合基地建设项目一标段</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乐山市校地共建产教融合基地建设项目一标段</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乐山市校地共建产教融合基地建设项目二标段</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乐山市校地共建产教融合基地建设项目二标段</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乐山市校地共建产教融合基地建设项目一标段</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五冶钢构龙泉东洪片区85亩住宅、商业及配套工程项目一标段</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乐山市校地共建产教融合基地建设项目二标段</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乐山市校地共建产教融合基地建设项目二标段</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乐山市校地共建产教融合基地建设项目二标段</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五冶钢构龙泉东洪片区70亩住宅、商业及配套工程项目二标段</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五冶建设成都盐道街中学初中部改扩建工程-一标</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五冶建设成都盐道街中学初中部改扩建工程-一标</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五冶建设成都盐道街中学初中部改扩建工程-一标</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五冶建设成都盐道街中学初中部改扩建工程-一标</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五冶建设成都盐道街中学初中部改扩建工程-一标</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五冶建设成都盐道街中学初中部改扩建工程-一标</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五冶建设成都盐道街中学初中部改扩建工程-一标</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五冶建设成都盐道街中学初中部改扩建工程-一标</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乐山市校地共建产教融合基地建设项目一标段</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乐山市校地共建产教融合基地建设项目一标段</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乐山市校地共建产教融合基地建设项目一标段</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乐山市校地共建产教融合基地建设项目一标段</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乐山市校地共建产教融合基地建设项目一标段</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五冶钢构龙泉东洪片区70亩住宅、商业及配套工程项目二标段</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五冶钢构龙泉东洪片区70亩住宅、商业及配套工程项目二标段</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五冶钢构龙泉东洪片区70亩住宅、商业及配套工程项目二标段</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五冶钢构龙泉东洪片区70亩住宅、商业及配套工程项目二标段</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五冶钢构龙泉东洪片区70亩住宅、商业及配套工程项目一标段</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五冶钢构龙泉东洪片区70亩住宅、商业及配套工程项目一标段</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五冶钢构龙泉东洪片区70亩住宅、商业及配套工程项目一标段</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五冶钢构龙泉东洪片区70亩住宅、商业及配套工程项目一标段</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五冶钢构龙泉东洪片区70亩住宅、商业及配套工程项目一标段</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五冶钢构龙泉东洪片区70亩住宅、商业及配套工程项目一标段</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五冶钢构龙泉东洪片区70亩住宅、商业及配套工程项目一标段</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五冶钢构龙泉东洪片区70亩住宅、商业及配套工程项目一标段</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五冶钢构龙泉东洪片区85亩住宅、商业及配套工程项目二标段</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五冶钢构龙泉东洪片区85亩住宅、商业及配套工程项目二标段</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五冶钢构龙泉东洪片区85亩住宅、商业及配套工程项目二标段</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五冶钢构龙泉东洪片区85亩住宅、商业及配套工程项目二标段</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五冶钢构龙泉东洪片区85亩住宅、商业及配套工程项目二标段</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五冶钢构龙泉东洪片区85亩住宅、商业及配套工程项目三标段</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五冶钢构龙泉东洪片区85亩住宅、商业及配套工程项目三标段</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五冶钢构龙泉东洪片区85亩住宅、商业及配套工程项目三标段</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五冶钢构龙泉东洪片区85亩住宅、商业及配套工程项目三标段</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五冶钢构龙泉东洪片区85亩住宅、商业及配套工程项目三标段</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五冶钢构龙泉东洪片区85亩住宅、商业及配套工程项目三标段</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五冶钢构龙泉东洪片区85亩住宅、商业及配套工程项目三标段</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五冶钢构龙泉东洪片区85亩住宅、商业及配套工程项目三标段</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五冶钢构龙泉东洪片区70亩住宅、商业及配套工程项目二标段</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乐山市校地共建产教融合基地建设项目一标段</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乐山市校地共建产教融合基地建设项目一标段</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乐山市校地共建产教融合基地建设项目一标段</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乐山市校地共建产教融合基地建设项目一标段</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乐山市校地共建产教融合基地建设项目一标段</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乐山市校地共建产教融合基地建设项目一标段</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乐山市校地共建产教融合基地建设项目一标段</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乐山市校地共建产教融合基地建设项目一标段</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乐山市校地共建产教融合基地建设项目一标段</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乐山市校地共建产教融合基地建设项目一标段</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乐山市校地共建产教融合基地建设项目一标段</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乐山市校地共建产教融合基地建设项目一标段</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乐山市校地共建产教融合基地建设项目一标段</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五冶建设成都盐道街中学初中部改扩建工程-一标</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五冶建设成都盐道街中学初中部改扩建工程-一标</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五冶建设成都盐道街中学初中部改扩建工程-一标</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五冶建设成都盐道街中学初中部改扩建工程-一标</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五冶建设成都盐道街中学初中部改扩建工程-一标</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五冶钢构龙泉东洪片区70亩住宅、商业及配套工程项目一标段</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五冶钢构龙泉东洪片区85亩住宅、商业及配套工程项目二标段</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五冶钢构龙泉东洪片区85亩住宅、商业及配套工程项目二标段</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五冶钢构龙泉东洪片区85亩住宅、商业及配套工程项目三标段</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五冶钢构龙泉东洪片区85亩住宅、商业及配套工程项目三标段</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五冶钢构龙泉东洪片区70亩住宅、商业及配套工程项目三标段</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五冶钢构龙泉东洪片区70亩住宅、商业及配套工程项目三标段</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五冶钢构龙泉东洪片区70亩住宅、商业及配套工程项目三标段</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五冶钢构龙泉东洪片区70亩住宅、商业及配套工程项目三标段</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五冶钢构龙泉东洪片区70亩住宅、商业及配套工程项目三标段</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五冶钢构龙泉东洪片区70亩住宅、商业及配套工程项目三标段</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五冶钢构龙泉东洪片区70亩住宅、商业及配套工程项目三标段</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五冶钢构龙泉东洪片区70亩住宅、商业及配套工程项目三标段</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五冶钢构龙泉东洪片区70亩住宅、商业及配套工程项目三标段</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五冶钢构龙泉东洪片区70亩住宅、商业及配套工程项目三标段</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五冶钢构龙泉东洪片区70亩住宅、商业及配套工程项目三标段</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五冶钢构龙泉东洪片区70亩住宅、商业及配套工程项目三标段</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五冶建设成都盐道街中学初中部改扩建工程-一标</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五冶建设成都盐道街中学初中部改扩建工程-一标</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五冶建设成都盐道街中学初中部改扩建工程-一标</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五冶建设成都盐道街中学初中部改扩建工程-一标</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五冶建设成都盐道街中学初中部改扩建工程-一标</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五冶建设成都盐道街中学初中部改扩建工程-一标</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五冶建设成都盐道街中学初中部改扩建工程-一标</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五冶建设成都盐道街中学初中部改扩建工程-一标</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五冶钢构龙泉东洪片区70亩住宅、商业及配套工程项目二标段</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五冶钢构龙泉东洪片区70亩住宅、商业及配套工程项目二标段</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五冶钢构龙泉东洪片区85亩住宅、商业及配套工程项目一标段</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五冶钢构龙泉东洪片区85亩住宅、商业及配套工程项目一标段</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五冶钢构龙泉东洪片区85亩住宅、商业及配套工程项目一标段</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五冶钢构龙泉东洪片区85亩住宅、商业及配套工程项目一标段</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五冶钢构龙泉东洪片区85亩住宅、商业及配套工程项目一标段</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五冶钢构龙泉东洪片区85亩住宅、商业及配套工程项目一标段</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五冶钢构龙泉东洪片区70亩住宅、商业及配套工程项目二标段</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五冶钢构龙泉东洪片区70亩住宅、商业及配套工程项目二标段</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五冶钢构龙泉东洪片区85亩住宅、商业及配套工程项目一标段</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五冶钢构龙泉东洪片区85亩住宅、商业及配套工程项目一标段</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五冶钢构龙泉东洪片区85亩住宅、商业及配套工程项目一标段</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五冶钢构龙泉东洪片区70亩住宅、商业及配套工程项目一标段</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五冶钢构龙泉东洪片区70亩住宅、商业及配套工程项目一标段</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五冶钢构龙泉东洪片区70亩住宅、商业及配套工程项目一标段</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乐山市校地共建产教融合基地建设项目一标段</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乐山市校地共建产教融合基地建设项目一标段</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乐山市校地共建产教融合基地建设项目一标段</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乐山市校地共建产教融合基地建设项目一标段</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乐山市校地共建产教融合基地建设项目一标段</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五冶钢构龙泉东洪片区85亩住宅、商业及配套工程项目三标段</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五冶钢构龙泉东洪片区85亩住宅、商业及配套工程项目三标段</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五冶钢构龙泉东洪片区85亩住宅、商业及配套工程项目三标段</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五冶钢构龙泉东洪片区85亩住宅、商业及配套工程项目三标段</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五冶钢构龙泉东洪片区85亩住宅、商业及配套工程项目三标段</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五冶钢构龙泉东洪片区70亩住宅、商业及配套工程项目二标段</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五冶钢构龙泉东洪片区70亩住宅、商业及配套工程项目二标段</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五冶钢构龙泉东洪片区70亩住宅、商业及配套工程项目二标段</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五冶钢构龙泉东洪片区70亩住宅、商业及配套工程项目二标段</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五冶钢构龙泉东洪片区70亩住宅、商业及配套工程项目二标段</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五冶建设成都盐道街中学初中部改扩建工程-一标</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五冶建设成都盐道街中学初中部改扩建工程-一标</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五冶钢构龙泉东洪片区85亩住宅、商业及配套工程项目三标段</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五冶钢构龙泉东洪片区85亩住宅、商业及配套工程项目三标段</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五冶钢构龙泉东洪片区85亩住宅、商业及配套工程项目三标段</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五冶钢构龙泉东洪片区85亩住宅、商业及配套工程项目一标段</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五冶钢构龙泉东洪片区85亩住宅、商业及配套工程项目一标段</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五冶钢构龙泉东洪片区85亩住宅、商业及配套工程项目一标段</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五冶钢构龙泉东洪片区70亩住宅、商业及配套工程项目二标段</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五冶钢构龙泉东洪片区70亩住宅、商业及配套工程项目一标段</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五冶钢构龙泉东洪片区70亩住宅、商业及配套工程项目一标段</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五冶钢构龙泉东洪片区70亩住宅、商业及配套工程项目一标段</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五冶钢构龙泉东洪片区70亩住宅、商业及配套工程项目一标段</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五冶钢构龙泉东洪片区70亩住宅、商业及配套工程项目一标段</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五冶钢构龙泉东洪片区70亩住宅、商业及配套工程项目一标段</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乐山市校地共建产教融合基地建设项目一标段</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乐山市校地共建产教融合基地建设项目一标段</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乐山市校地共建产教融合基地建设项目一标段</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五冶钢构龙泉东洪片区70亩住宅、商业及配套工程项目三标段</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五冶钢构龙泉东洪片区70亩住宅、商业及配套工程项目三标段</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五冶钢构龙泉东洪片区70亩住宅、商业及配套工程项目三标段</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五冶钢构龙泉东洪片区70亩住宅、商业及配套工程项目三标段</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五冶建设成都盐道街中学初中部改扩建工程-一标</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五冶建设成都盐道街中学初中部改扩建工程-一标</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五冶建设成都盐道街中学初中部改扩建工程-一标</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五冶钢构龙泉东洪片区85亩住宅、商业及配套工程项目二标段</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五冶钢构龙泉东洪片区85亩住宅、商业及配套工程项目二标段</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五冶钢构龙泉东洪片区85亩住宅、商业及配套工程项目二标段</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五冶钢构龙泉东洪片区85亩住宅、商业及配套工程项目二标段</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五冶钢构龙泉东洪片区85亩住宅、商业及配套工程项目三标段</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五冶钢构龙泉东洪片区85亩住宅、商业及配套工程项目三标段</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五冶钢构龙泉东洪片区85亩住宅、商业及配套工程项目三标段</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五冶钢构龙泉东洪片区85亩住宅、商业及配套工程项目三标段</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五冶钢构龙泉东洪片区85亩住宅、商业及配套工程项目三标段</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五冶钢构龙泉东洪片区85亩住宅、商业及配套工程项目三标段</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五冶钢构龙泉东洪片区85亩住宅、商业及配套工程项目三标段</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五冶钢构龙泉东洪片区85亩住宅、商业及配套工程项目三标段</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五冶钢构龙泉东洪片区85亩住宅、商业及配套工程项目三标段</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五冶钢构龙泉东洪片区85亩住宅、商业及配套工程项目三标段</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五冶钢构龙泉东洪片区85亩住宅、商业及配套工程项目三标段</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五冶钢构龙泉东洪片区85亩住宅、商业及配套工程项目三标段</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五冶钢构龙泉东洪片区85亩住宅、商业及配套工程项目三标段</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五冶钢构龙泉东洪片区85亩住宅、商业及配套工程项目三标段</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五冶钢构龙泉东洪片区85亩住宅、商业及配套工程项目三标段</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五冶钢构龙泉东洪片区70亩住宅、商业及配套工程项目二标段</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五冶钢构龙泉东洪片区70亩住宅、商业及配套工程项目二标段</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五冶钢构龙泉东洪片区70亩住宅、商业及配套工程项目二标段</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五冶钢构龙泉东洪片区70亩住宅、商业及配套工程项目二标段</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五冶钢构龙泉东洪片区70亩住宅、商业及配套工程项目二标段</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五冶钢构龙泉东洪片区70亩住宅、商业及配套工程项目二标段</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五冶钢构龙泉东洪片区70亩住宅、商业及配套工程项目二标段</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五冶钢构龙泉东洪片区70亩住宅、商业及配套工程项目二标段</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Φ20 9m</v>
      </c>
      <c r="D8957" s="2" t="str">
        <f>'[1]2025年已发货'!D:D</f>
        <v>吨</v>
      </c>
      <c r="E8957" s="2">
        <f>'[1]2025年已发货'!E:E</f>
        <v>8</v>
      </c>
      <c r="F8957" s="4">
        <f>'[1]2025年已发货'!F:F</f>
        <v>45956</v>
      </c>
      <c r="G8957" s="2" t="str">
        <f>'[1]2025年已发货'!G:G</f>
        <v>(中铁科研院宜宾泥溪项目)中铁科研院集团有限公司宜宾市泥溪东互通式立交下穿成贵客专铁路工程项目钢筋加工厂</v>
      </c>
      <c r="H8957" s="2" t="str">
        <f>'[1]2025年已发货'!H:H</f>
        <v>蔡鹏</v>
      </c>
      <c r="I8957" s="2">
        <f>'[1]2025年已发货'!I:I</f>
        <v>19130850820</v>
      </c>
      <c r="J8957" s="2" t="str">
        <f>_xlfn._xlws.FILTER(辅助信息!D:D,辅助信息!G:G=G8957)</f>
        <v>中铁科研院宜宾泥溪项目</v>
      </c>
    </row>
    <row r="8958" spans="1:10">
      <c r="A8958" s="2" t="str">
        <f>'[1]2025年已发货'!A:A</f>
        <v>德胜</v>
      </c>
      <c r="B8958" s="2" t="str">
        <f>'[1]2025年已发货'!B:B</f>
        <v>螺纹钢</v>
      </c>
      <c r="C8958" s="2" t="str">
        <f>'[1]2025年已发货'!C:C</f>
        <v>HRB400E Φ22 9m</v>
      </c>
      <c r="D8958" s="2" t="str">
        <f>'[1]2025年已发货'!D:D</f>
        <v>吨</v>
      </c>
      <c r="E8958" s="2">
        <f>'[1]2025年已发货'!E:E</f>
        <v>6</v>
      </c>
      <c r="F8958" s="4">
        <f>'[1]2025年已发货'!F:F</f>
        <v>45956</v>
      </c>
      <c r="G8958" s="2" t="str">
        <f>'[1]2025年已发货'!G:G</f>
        <v>(中铁科研院宜宾泥溪项目)中铁科研院集团有限公司宜宾市泥溪东互通式立交下穿成贵客专铁路工程项目钢筋加工厂</v>
      </c>
      <c r="H8958" s="2" t="str">
        <f>'[1]2025年已发货'!H:H</f>
        <v>蔡鹏</v>
      </c>
      <c r="I8958" s="2">
        <f>'[1]2025年已发货'!I:I</f>
        <v>19130850820</v>
      </c>
      <c r="J8958" s="2" t="str">
        <f>_xlfn._xlws.FILTER(辅助信息!D:D,辅助信息!G:G=G8958)</f>
        <v>中铁科研院宜宾泥溪项目</v>
      </c>
    </row>
    <row r="8959" spans="1:10">
      <c r="A8959" s="2" t="str">
        <f>'[1]2025年已发货'!A:A</f>
        <v>德胜</v>
      </c>
      <c r="B8959" s="2" t="str">
        <f>'[1]2025年已发货'!B:B</f>
        <v>螺纹钢</v>
      </c>
      <c r="C8959" s="2" t="str">
        <f>'[1]2025年已发货'!C:C</f>
        <v>HRB400E Φ28 9m</v>
      </c>
      <c r="D8959" s="2" t="str">
        <f>'[1]2025年已发货'!D:D</f>
        <v>吨</v>
      </c>
      <c r="E8959" s="2">
        <f>'[1]2025年已发货'!E:E</f>
        <v>20</v>
      </c>
      <c r="F8959" s="4">
        <f>'[1]2025年已发货'!F:F</f>
        <v>45956</v>
      </c>
      <c r="G8959" s="2" t="str">
        <f>'[1]2025年已发货'!G:G</f>
        <v>(中铁科研院宜宾泥溪项目)中铁科研院集团有限公司宜宾市泥溪东互通式立交下穿成贵客专铁路工程项目钢筋加工厂</v>
      </c>
      <c r="H8959" s="2" t="str">
        <f>'[1]2025年已发货'!H:H</f>
        <v>蔡鹏</v>
      </c>
      <c r="I8959" s="2">
        <f>'[1]2025年已发货'!I:I</f>
        <v>19130850820</v>
      </c>
      <c r="J8959" s="2" t="str">
        <f>_xlfn._xlws.FILTER(辅助信息!D:D,辅助信息!G:G=G8959)</f>
        <v>中铁科研院宜宾泥溪项目</v>
      </c>
    </row>
    <row r="8960" spans="1:10">
      <c r="A8960" s="2" t="str">
        <f>'[1]2025年已发货'!A:A</f>
        <v>德胜</v>
      </c>
      <c r="B8960" s="2" t="str">
        <f>'[1]2025年已发货'!B:B</f>
        <v>螺纹钢</v>
      </c>
      <c r="C8960" s="2" t="str">
        <f>'[1]2025年已发货'!C:C</f>
        <v>HRB400E Φ16 12m</v>
      </c>
      <c r="D8960" s="2" t="str">
        <f>'[1]2025年已发货'!D:D</f>
        <v>吨</v>
      </c>
      <c r="E8960" s="2">
        <f>'[1]2025年已发货'!E:E</f>
        <v>25</v>
      </c>
      <c r="F8960" s="4">
        <f>'[1]2025年已发货'!F:F</f>
        <v>45956</v>
      </c>
      <c r="G8960" s="2" t="str">
        <f>'[1]2025年已发货'!G:G</f>
        <v>(五冶建设锦江区林家坝片区20号地块商业项目)锦江区泰昌路锦江28亩项目部</v>
      </c>
      <c r="H8960" s="2" t="str">
        <f>'[1]2025年已发货'!H:H</f>
        <v>陶杰</v>
      </c>
      <c r="I8960" s="2">
        <f>'[1]2025年已发货'!I:I</f>
        <v>13980247952</v>
      </c>
      <c r="J8960" s="2" t="str">
        <f>_xlfn._xlws.FILTER(辅助信息!D:D,辅助信息!G:G=G8960)</f>
        <v>五冶建设锦江区林家坝片区20号地块商业项目</v>
      </c>
    </row>
    <row r="8961" spans="1:10">
      <c r="A8961" s="2" t="str">
        <f>'[1]2025年已发货'!A:A</f>
        <v>德胜</v>
      </c>
      <c r="B8961" s="2" t="str">
        <f>'[1]2025年已发货'!B:B</f>
        <v>螺纹钢</v>
      </c>
      <c r="C8961" s="2" t="str">
        <f>'[1]2025年已发货'!C:C</f>
        <v>HRB400E Φ25 12m</v>
      </c>
      <c r="D8961" s="2" t="str">
        <f>'[1]2025年已发货'!D:D</f>
        <v>吨</v>
      </c>
      <c r="E8961" s="2">
        <f>'[1]2025年已发货'!E:E</f>
        <v>10</v>
      </c>
      <c r="F8961" s="4">
        <f>'[1]2025年已发货'!F:F</f>
        <v>45956</v>
      </c>
      <c r="G8961" s="2" t="str">
        <f>'[1]2025年已发货'!G:G</f>
        <v>(五冶建设锦江区林家坝片区20号地块商业项目)锦江区泰昌路锦江28亩项目部</v>
      </c>
      <c r="H8961" s="2" t="str">
        <f>'[1]2025年已发货'!H:H</f>
        <v>陶杰</v>
      </c>
      <c r="I8961" s="2">
        <f>'[1]2025年已发货'!I:I</f>
        <v>13980247952</v>
      </c>
      <c r="J8961" s="2" t="str">
        <f>_xlfn._xlws.FILTER(辅助信息!D:D,辅助信息!G:G=G8961)</f>
        <v>五冶建设锦江区林家坝片区20号地块商业项目</v>
      </c>
    </row>
    <row r="8962" spans="1:10">
      <c r="A8962" s="2" t="str">
        <f>'[1]2025年已发货'!A:A</f>
        <v>德胜</v>
      </c>
      <c r="B8962" s="2" t="str">
        <f>'[1]2025年已发货'!B:B</f>
        <v>螺纹钢</v>
      </c>
      <c r="C8962" s="2" t="str">
        <f>'[1]2025年已发货'!C:C</f>
        <v>HRB400E Φ18 9m</v>
      </c>
      <c r="D8962" s="2" t="str">
        <f>'[1]2025年已发货'!D:D</f>
        <v>吨</v>
      </c>
      <c r="E8962" s="2">
        <f>'[1]2025年已发货'!E:E</f>
        <v>105</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v>
      </c>
      <c r="B8963" s="2" t="str">
        <f>'[1]2025年已发货'!B:B</f>
        <v>螺纹钢</v>
      </c>
      <c r="C8963" s="2" t="str">
        <f>'[1]2025年已发货'!C:C</f>
        <v>HRB500E Φ18</v>
      </c>
      <c r="D8963" s="2" t="str">
        <f>'[1]2025年已发货'!D:D</f>
        <v>吨</v>
      </c>
      <c r="E8963" s="2">
        <f>'[1]2025年已发货'!E:E</f>
        <v>35</v>
      </c>
      <c r="F8963" s="4">
        <f>'[1]2025年已发货'!F:F</f>
        <v>45956</v>
      </c>
      <c r="G8963" s="2" t="str">
        <f>'[1]2025年已发货'!G:G</f>
        <v>（商投建工达州中医药科技园-4工区-9号楼）达州市通川区达州中医药职业学院犀牛大道北段</v>
      </c>
      <c r="H8963" s="2" t="str">
        <f>'[1]2025年已发货'!H:H</f>
        <v>张扬</v>
      </c>
      <c r="I8963" s="2">
        <f>'[1]2025年已发货'!I:I</f>
        <v>18381904567</v>
      </c>
      <c r="J8963" s="2" t="str">
        <f>_xlfn._xlws.FILTER(辅助信息!D:D,辅助信息!G:G=G8963)</f>
        <v>商投建工达州中医药科技园</v>
      </c>
    </row>
    <row r="8964" spans="1:10">
      <c r="A8964" s="2" t="str">
        <f>'[1]2025年已发货'!A:A</f>
        <v>德胜</v>
      </c>
      <c r="B8964" s="2" t="str">
        <f>'[1]2025年已发货'!B:B</f>
        <v>螺纹钢</v>
      </c>
      <c r="C8964" s="2" t="str">
        <f>'[1]2025年已发货'!C:C</f>
        <v>HRB500E Φ18</v>
      </c>
      <c r="D8964" s="2" t="str">
        <f>'[1]2025年已发货'!D:D</f>
        <v>吨</v>
      </c>
      <c r="E8964" s="2">
        <f>'[1]2025年已发货'!E:E</f>
        <v>15</v>
      </c>
      <c r="F8964" s="4">
        <f>'[1]2025年已发货'!F:F</f>
        <v>45956</v>
      </c>
      <c r="G8964" s="2" t="str">
        <f>'[1]2025年已发货'!G:G</f>
        <v>（商投建工达州中医药科技园-2工区-2号桥）达州市通川区达州中医药职业学院犀牛大道北段</v>
      </c>
      <c r="H8964" s="2" t="str">
        <f>'[1]2025年已发货'!H:H</f>
        <v>李波</v>
      </c>
      <c r="I8964" s="2">
        <f>'[1]2025年已发货'!I:I</f>
        <v>18381899787</v>
      </c>
      <c r="J8964" s="2" t="str">
        <f>_xlfn._xlws.FILTER(辅助信息!D:D,辅助信息!G:G=G8964)</f>
        <v>商投建工达州中医药科技园</v>
      </c>
    </row>
    <row r="8965" spans="1:10">
      <c r="A8965" s="2" t="str">
        <f>'[1]2025年已发货'!A:A</f>
        <v>德胜</v>
      </c>
      <c r="B8965" s="2" t="str">
        <f>'[1]2025年已发货'!B:B</f>
        <v>螺纹钢</v>
      </c>
      <c r="C8965" s="2" t="str">
        <f>'[1]2025年已发货'!C:C</f>
        <v>HRB500E Φ20</v>
      </c>
      <c r="D8965" s="2" t="str">
        <f>'[1]2025年已发货'!D:D</f>
        <v>吨</v>
      </c>
      <c r="E8965" s="2">
        <f>'[1]2025年已发货'!E:E</f>
        <v>18</v>
      </c>
      <c r="F8965" s="4">
        <f>'[1]2025年已发货'!F:F</f>
        <v>45956</v>
      </c>
      <c r="G8965" s="2" t="str">
        <f>'[1]2025年已发货'!G:G</f>
        <v>（商投建工达州中医药科技园-2工区-2号桥）达州市通川区达州中医药职业学院犀牛大道北段</v>
      </c>
      <c r="H8965" s="2" t="str">
        <f>'[1]2025年已发货'!H:H</f>
        <v>李波</v>
      </c>
      <c r="I8965" s="2">
        <f>'[1]2025年已发货'!I:I</f>
        <v>18381899787</v>
      </c>
      <c r="J8965" s="2" t="str">
        <f>_xlfn._xlws.FILTER(辅助信息!D:D,辅助信息!G:G=G8965)</f>
        <v>商投建工达州中医药科技园</v>
      </c>
    </row>
    <row r="8966" spans="1:10">
      <c r="A8966" s="2" t="str">
        <f>'[1]2025年已发货'!A:A</f>
        <v>德胜恒嘉</v>
      </c>
      <c r="B8966" s="2" t="str">
        <f>'[1]2025年已发货'!B:B</f>
        <v>螺纹钢</v>
      </c>
      <c r="C8966" s="2" t="str">
        <f>'[1]2025年已发货'!C:C</f>
        <v>HRB400E Φ12×9米</v>
      </c>
      <c r="D8966" s="2" t="str">
        <f>'[1]2025年已发货'!D:D</f>
        <v>吨</v>
      </c>
      <c r="E8966" s="2">
        <f>'[1]2025年已发货'!E:E</f>
        <v>35</v>
      </c>
      <c r="F8966" s="4">
        <f>'[1]2025年已发货'!F:F</f>
        <v>45956</v>
      </c>
      <c r="G8966" s="2" t="str">
        <f>'[1]2025年已发货'!G:G</f>
        <v>（自永1标八局二分公司二分部）自贡市仙市枢纽</v>
      </c>
      <c r="H8966" s="2" t="str">
        <f>'[1]2025年已发货'!H:H</f>
        <v>李锐</v>
      </c>
      <c r="I8966" s="2">
        <f>'[1]2025年已发货'!I:I</f>
        <v>13890668545</v>
      </c>
      <c r="J8966" s="2" vm="1" t="e">
        <f>_xlfn._xlws.FILTER(辅助信息!D:D,辅助信息!G:G=G8966)</f>
        <v>#VALUE!</v>
      </c>
    </row>
    <row r="8967" spans="1:10">
      <c r="A8967" s="2" t="str">
        <f>'[1]2025年已发货'!A:A</f>
        <v>德胜恒嘉</v>
      </c>
      <c r="B8967" s="2" t="str">
        <f>'[1]2025年已发货'!B:B</f>
        <v>螺纹钢</v>
      </c>
      <c r="C8967" s="2" t="str">
        <f>'[1]2025年已发货'!C:C</f>
        <v>HRB400E Φ28×9米</v>
      </c>
      <c r="D8967" s="2" t="str">
        <f>'[1]2025年已发货'!D:D</f>
        <v>吨</v>
      </c>
      <c r="E8967" s="2">
        <f>'[1]2025年已发货'!E:E</f>
        <v>35</v>
      </c>
      <c r="F8967" s="4">
        <f>'[1]2025年已发货'!F:F</f>
        <v>45956</v>
      </c>
      <c r="G8967" s="2" t="str">
        <f>'[1]2025年已发货'!G:G</f>
        <v>（自永1标八局二分公司二分部）自贡市仙市枢纽</v>
      </c>
      <c r="H8967" s="2" t="str">
        <f>'[1]2025年已发货'!H:H</f>
        <v>李锐</v>
      </c>
      <c r="I8967" s="2">
        <f>'[1]2025年已发货'!I:I</f>
        <v>13890668545</v>
      </c>
      <c r="J8967" s="2" vm="1" t="e">
        <f>_xlfn._xlws.FILTER(辅助信息!D:D,辅助信息!G:G=G8967)</f>
        <v>#VALUE!</v>
      </c>
    </row>
    <row r="8968" spans="1:10">
      <c r="A8968" s="2" t="str">
        <f>'[1]2025年已发货'!A:A</f>
        <v>德胜恒嘉</v>
      </c>
      <c r="B8968" s="2" t="str">
        <f>'[1]2025年已发货'!B:B</f>
        <v>螺纹钢</v>
      </c>
      <c r="C8968" s="2" t="str">
        <f>'[1]2025年已发货'!C:C</f>
        <v>HRB400E Φ25×12米</v>
      </c>
      <c r="D8968" s="2" t="str">
        <f>'[1]2025年已发货'!D:D</f>
        <v>吨</v>
      </c>
      <c r="E8968" s="2">
        <f>'[1]2025年已发货'!E:E</f>
        <v>14</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德胜恒嘉</v>
      </c>
      <c r="B8969" s="2" t="str">
        <f>'[1]2025年已发货'!B:B</f>
        <v>螺纹钢</v>
      </c>
      <c r="C8969" s="2" t="str">
        <f>'[1]2025年已发货'!C:C</f>
        <v>HRB400E Φ20×12米</v>
      </c>
      <c r="D8969" s="2" t="str">
        <f>'[1]2025年已发货'!D:D</f>
        <v>吨</v>
      </c>
      <c r="E8969" s="2">
        <f>'[1]2025年已发货'!E:E</f>
        <v>18</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德胜恒嘉</v>
      </c>
      <c r="B8970" s="2" t="str">
        <f>'[1]2025年已发货'!B:B</f>
        <v>螺纹钢</v>
      </c>
      <c r="C8970" s="2" t="str">
        <f>'[1]2025年已发货'!C:C</f>
        <v>HRB400E Φ16×12米</v>
      </c>
      <c r="D8970" s="2" t="str">
        <f>'[1]2025年已发货'!D:D</f>
        <v>吨</v>
      </c>
      <c r="E8970" s="2">
        <f>'[1]2025年已发货'!E:E</f>
        <v>17</v>
      </c>
      <c r="F8970" s="4">
        <f>'[1]2025年已发货'!F:F</f>
        <v>45956</v>
      </c>
      <c r="G8970" s="2" t="str">
        <f>'[1]2025年已发货'!G:G</f>
        <v>（自永2标九局西南分公司钢筋棚）四川省自贡市回龙镇群英村</v>
      </c>
      <c r="H8970" s="2" t="str">
        <f>'[1]2025年已发货'!H:H</f>
        <v>钟润</v>
      </c>
      <c r="I8970" s="2">
        <f>'[1]2025年已发货'!I:I</f>
        <v>18728409968</v>
      </c>
      <c r="J8970" s="2" vm="1" t="e">
        <f>_xlfn._xlws.FILTER(辅助信息!D:D,辅助信息!G:G=G8970)</f>
        <v>#VALUE!</v>
      </c>
    </row>
    <row r="8971" spans="1:10">
      <c r="A8971" s="2" t="str">
        <f>'[1]2025年已发货'!A:A</f>
        <v>德胜恒嘉</v>
      </c>
      <c r="B8971" s="2" t="str">
        <f>'[1]2025年已发货'!B:B</f>
        <v>螺纹钢</v>
      </c>
      <c r="C8971" s="2" t="str">
        <f>'[1]2025年已发货'!C:C</f>
        <v>HRB400E Φ14×12米</v>
      </c>
      <c r="D8971" s="2" t="str">
        <f>'[1]2025年已发货'!D:D</f>
        <v>吨</v>
      </c>
      <c r="E8971" s="2">
        <f>'[1]2025年已发货'!E:E</f>
        <v>20</v>
      </c>
      <c r="F8971" s="4">
        <f>'[1]2025年已发货'!F:F</f>
        <v>45956</v>
      </c>
      <c r="G8971" s="2" t="str">
        <f>'[1]2025年已发货'!G:G</f>
        <v>（自永2标九局西南分公司钢筋棚）四川省自贡市回龙镇群英村</v>
      </c>
      <c r="H8971" s="2" t="str">
        <f>'[1]2025年已发货'!H:H</f>
        <v>钟润</v>
      </c>
      <c r="I8971" s="2">
        <f>'[1]2025年已发货'!I:I</f>
        <v>18728409968</v>
      </c>
      <c r="J8971" s="2" vm="1" t="e">
        <f>_xlfn._xlws.FILTER(辅助信息!D:D,辅助信息!G:G=G8971)</f>
        <v>#VALUE!</v>
      </c>
    </row>
    <row r="8972" spans="1:10">
      <c r="A8972" s="2" t="str">
        <f>'[1]2025年已发货'!A:A</f>
        <v>泸钢</v>
      </c>
      <c r="B8972" s="2" t="str">
        <f>'[1]2025年已发货'!B:B</f>
        <v>盘螺</v>
      </c>
      <c r="C8972" s="2" t="str">
        <f>'[1]2025年已发货'!C:C</f>
        <v>HRB400E Φ12</v>
      </c>
      <c r="D8972" s="2" t="str">
        <f>'[1]2025年已发货'!D:D</f>
        <v>吨</v>
      </c>
      <c r="E8972" s="2">
        <f>'[1]2025年已发货'!E:E</f>
        <v>35</v>
      </c>
      <c r="F8972" s="4">
        <f>'[1]2025年已发货'!F:F</f>
        <v>45956</v>
      </c>
      <c r="G8972" s="2" t="str">
        <f>'[1]2025年已发货'!G:G</f>
        <v>（自永2标九局西南分公司钢筋棚）四川省自贡市回龙镇群英村</v>
      </c>
      <c r="H8972" s="2" t="str">
        <f>'[1]2025年已发货'!H:H</f>
        <v>钟润</v>
      </c>
      <c r="I8972" s="2">
        <f>'[1]2025年已发货'!I:I</f>
        <v>18728409968</v>
      </c>
      <c r="J8972" s="2" vm="1" t="e">
        <f>_xlfn._xlws.FILTER(辅助信息!D:D,辅助信息!G:G=G8972)</f>
        <v>#VALUE!</v>
      </c>
    </row>
    <row r="8973" spans="1:10">
      <c r="A8973" s="2" t="str">
        <f>'[1]2025年已发货'!A:A</f>
        <v>润耀</v>
      </c>
      <c r="B8973" s="2" t="str">
        <f>'[1]2025年已发货'!B:B</f>
        <v>螺纹钢</v>
      </c>
      <c r="C8973" s="2" t="str">
        <f>'[1]2025年已发货'!C:C</f>
        <v>HRB400EФ12*9m</v>
      </c>
      <c r="D8973" s="2" t="str">
        <f>'[1]2025年已发货'!D:D</f>
        <v>吨</v>
      </c>
      <c r="E8973" s="2">
        <f>'[1]2025年已发货'!E:E</f>
        <v>35</v>
      </c>
      <c r="F8973" s="4">
        <f>'[1]2025年已发货'!F:F</f>
        <v>45956</v>
      </c>
      <c r="G8973" s="2" t="str">
        <f>'[1]2025年已发货'!G:G</f>
        <v>（中核中原-温江北林医养综合体项目）四川省成都市温江区万春大道第三人民医院东</v>
      </c>
      <c r="H8973" s="2" t="str">
        <f>'[1]2025年已发货'!H:H</f>
        <v>蔡杰</v>
      </c>
      <c r="I8973" s="2">
        <f>'[1]2025年已发货'!I:I</f>
        <v>18875129329</v>
      </c>
      <c r="J8973" s="2" vm="1" t="e">
        <f>_xlfn._xlws.FILTER(辅助信息!D:D,辅助信息!G:G=G8973)</f>
        <v>#VALUE!</v>
      </c>
    </row>
    <row r="8974" spans="1:10">
      <c r="A8974" s="2" t="str">
        <f>'[1]2025年已发货'!A:A</f>
        <v>润耀</v>
      </c>
      <c r="B8974" s="2" t="str">
        <f>'[1]2025年已发货'!B:B</f>
        <v>螺纹钢</v>
      </c>
      <c r="C8974" s="2" t="str">
        <f>'[1]2025年已发货'!C:C</f>
        <v>HRB500EФ20*9m</v>
      </c>
      <c r="D8974" s="2" t="str">
        <f>'[1]2025年已发货'!D:D</f>
        <v>吨</v>
      </c>
      <c r="E8974" s="2">
        <f>'[1]2025年已发货'!E:E</f>
        <v>35</v>
      </c>
      <c r="F8974" s="4">
        <f>'[1]2025年已发货'!F:F</f>
        <v>45956</v>
      </c>
      <c r="G8974" s="2" t="str">
        <f>'[1]2025年已发货'!G:G</f>
        <v>（中核中原-温江北林医养综合体项目）四川省成都市温江区万春大道第三人民医院东</v>
      </c>
      <c r="H8974" s="2" t="str">
        <f>'[1]2025年已发货'!H:H</f>
        <v>蔡杰</v>
      </c>
      <c r="I8974" s="2">
        <f>'[1]2025年已发货'!I:I</f>
        <v>18875129329</v>
      </c>
      <c r="J8974" s="2" vm="1" t="e">
        <f>_xlfn._xlws.FILTER(辅助信息!D:D,辅助信息!G:G=G8974)</f>
        <v>#VALUE!</v>
      </c>
    </row>
    <row r="8975" spans="1:10">
      <c r="A8975" s="2">
        <f>'[1]2025年已发货'!A:A</f>
        <v>0</v>
      </c>
      <c r="B8975" s="2">
        <f>'[1]2025年已发货'!B:B</f>
        <v>0</v>
      </c>
      <c r="C8975" s="2">
        <f>'[1]2025年已发货'!C:C</f>
        <v>0</v>
      </c>
      <c r="D8975" s="2">
        <f>'[1]2025年已发货'!D:D</f>
        <v>0</v>
      </c>
      <c r="E8975" s="2">
        <f>'[1]2025年已发货'!E:E</f>
        <v>0</v>
      </c>
      <c r="F8975" s="4">
        <f>'[1]2025年已发货'!F:F</f>
        <v>0</v>
      </c>
      <c r="G8975" s="2">
        <f>'[1]2025年已发货'!G:G</f>
        <v>0</v>
      </c>
      <c r="H8975" s="2">
        <f>'[1]2025年已发货'!H:H</f>
        <v>0</v>
      </c>
      <c r="I8975" s="2">
        <f>'[1]2025年已发货'!I:I</f>
        <v>0</v>
      </c>
      <c r="J8975" s="2" vm="1" t="e">
        <f>_xlfn._xlws.FILTER(辅助信息!D:D,辅助信息!G:G=G8975)</f>
        <v>#VALUE!</v>
      </c>
    </row>
    <row r="8976" spans="1:10">
      <c r="A8976" s="2">
        <f>'[1]2025年已发货'!A:A</f>
        <v>0</v>
      </c>
      <c r="B8976" s="2">
        <f>'[1]2025年已发货'!B:B</f>
        <v>0</v>
      </c>
      <c r="C8976" s="2">
        <f>'[1]2025年已发货'!C:C</f>
        <v>0</v>
      </c>
      <c r="D8976" s="2">
        <f>'[1]2025年已发货'!D:D</f>
        <v>0</v>
      </c>
      <c r="E8976" s="2">
        <f>'[1]2025年已发货'!E:E</f>
        <v>0</v>
      </c>
      <c r="F8976" s="4">
        <f>'[1]2025年已发货'!F:F</f>
        <v>0</v>
      </c>
      <c r="G8976" s="2">
        <f>'[1]2025年已发货'!G:G</f>
        <v>0</v>
      </c>
      <c r="H8976" s="2">
        <f>'[1]2025年已发货'!H:H</f>
        <v>0</v>
      </c>
      <c r="I8976" s="2">
        <f>'[1]2025年已发货'!I:I</f>
        <v>0</v>
      </c>
      <c r="J8976" s="2" vm="1" t="e">
        <f>_xlfn._xlws.FILTER(辅助信息!D:D,辅助信息!G:G=G8976)</f>
        <v>#VALUE!</v>
      </c>
    </row>
    <row r="8977" spans="1:10">
      <c r="A8977" s="2">
        <f>'[1]2025年已发货'!A:A</f>
        <v>0</v>
      </c>
      <c r="B8977" s="2">
        <f>'[1]2025年已发货'!B:B</f>
        <v>0</v>
      </c>
      <c r="C8977" s="2">
        <f>'[1]2025年已发货'!C:C</f>
        <v>0</v>
      </c>
      <c r="D8977" s="2">
        <f>'[1]2025年已发货'!D:D</f>
        <v>0</v>
      </c>
      <c r="E8977" s="2">
        <f>'[1]2025年已发货'!E:E</f>
        <v>0</v>
      </c>
      <c r="F8977" s="4">
        <f>'[1]2025年已发货'!F:F</f>
        <v>0</v>
      </c>
      <c r="G8977" s="2">
        <f>'[1]2025年已发货'!G:G</f>
        <v>0</v>
      </c>
      <c r="H8977" s="2">
        <f>'[1]2025年已发货'!H:H</f>
        <v>0</v>
      </c>
      <c r="I8977" s="2">
        <f>'[1]2025年已发货'!I:I</f>
        <v>0</v>
      </c>
      <c r="J8977" s="2" vm="1" t="e">
        <f>_xlfn._xlws.FILTER(辅助信息!D:D,辅助信息!G:G=G8977)</f>
        <v>#VALUE!</v>
      </c>
    </row>
    <row r="8978" spans="1:10">
      <c r="A8978" s="2">
        <f>'[1]2025年已发货'!A:A</f>
        <v>0</v>
      </c>
      <c r="B8978" s="2">
        <f>'[1]2025年已发货'!B:B</f>
        <v>0</v>
      </c>
      <c r="C8978" s="2">
        <f>'[1]2025年已发货'!C:C</f>
        <v>0</v>
      </c>
      <c r="D8978" s="2">
        <f>'[1]2025年已发货'!D:D</f>
        <v>0</v>
      </c>
      <c r="E8978" s="2">
        <f>'[1]2025年已发货'!E:E</f>
        <v>0</v>
      </c>
      <c r="F8978" s="4">
        <f>'[1]2025年已发货'!F:F</f>
        <v>0</v>
      </c>
      <c r="G8978" s="2">
        <f>'[1]2025年已发货'!G:G</f>
        <v>0</v>
      </c>
      <c r="H8978" s="2">
        <f>'[1]2025年已发货'!H:H</f>
        <v>0</v>
      </c>
      <c r="I8978" s="2">
        <f>'[1]2025年已发货'!I:I</f>
        <v>0</v>
      </c>
      <c r="J8978" s="2" vm="1" t="e">
        <f>_xlfn._xlws.FILTER(辅助信息!D:D,辅助信息!G:G=G8978)</f>
        <v>#VALUE!</v>
      </c>
    </row>
    <row r="8979" spans="1:10">
      <c r="A8979" s="2">
        <f>'[1]2025年已发货'!A:A</f>
        <v>0</v>
      </c>
      <c r="B8979" s="2">
        <f>'[1]2025年已发货'!B:B</f>
        <v>0</v>
      </c>
      <c r="C8979" s="2">
        <f>'[1]2025年已发货'!C:C</f>
        <v>0</v>
      </c>
      <c r="D8979" s="2">
        <f>'[1]2025年已发货'!D:D</f>
        <v>0</v>
      </c>
      <c r="E8979" s="2">
        <f>'[1]2025年已发货'!E:E</f>
        <v>0</v>
      </c>
      <c r="F8979" s="4">
        <f>'[1]2025年已发货'!F:F</f>
        <v>0</v>
      </c>
      <c r="G8979" s="2">
        <f>'[1]2025年已发货'!G:G</f>
        <v>0</v>
      </c>
      <c r="H8979" s="2">
        <f>'[1]2025年已发货'!H:H</f>
        <v>0</v>
      </c>
      <c r="I8979" s="2">
        <f>'[1]2025年已发货'!I:I</f>
        <v>0</v>
      </c>
      <c r="J8979" s="2" vm="1" t="e">
        <f>_xlfn._xlws.FILTER(辅助信息!D:D,辅助信息!G:G=G8979)</f>
        <v>#VALUE!</v>
      </c>
    </row>
    <row r="8980" spans="1:10">
      <c r="A8980" s="2">
        <f>'[1]2025年已发货'!A:A</f>
        <v>0</v>
      </c>
      <c r="B8980" s="2">
        <f>'[1]2025年已发货'!B:B</f>
        <v>0</v>
      </c>
      <c r="C8980" s="2">
        <f>'[1]2025年已发货'!C:C</f>
        <v>0</v>
      </c>
      <c r="D8980" s="2">
        <f>'[1]2025年已发货'!D:D</f>
        <v>0</v>
      </c>
      <c r="E8980" s="2">
        <f>'[1]2025年已发货'!E:E</f>
        <v>0</v>
      </c>
      <c r="F8980" s="4">
        <f>'[1]2025年已发货'!F:F</f>
        <v>0</v>
      </c>
      <c r="G8980" s="2">
        <f>'[1]2025年已发货'!G:G</f>
        <v>0</v>
      </c>
      <c r="H8980" s="2">
        <f>'[1]2025年已发货'!H:H</f>
        <v>0</v>
      </c>
      <c r="I8980" s="2">
        <f>'[1]2025年已发货'!I:I</f>
        <v>0</v>
      </c>
      <c r="J8980" s="2" vm="1" t="e">
        <f>_xlfn._xlws.FILTER(辅助信息!D:D,辅助信息!G:G=G8980)</f>
        <v>#VALUE!</v>
      </c>
    </row>
    <row r="8981" spans="1:10">
      <c r="A8981" s="2">
        <f>'[1]2025年已发货'!A:A</f>
        <v>0</v>
      </c>
      <c r="B8981" s="2">
        <f>'[1]2025年已发货'!B:B</f>
        <v>0</v>
      </c>
      <c r="C8981" s="2">
        <f>'[1]2025年已发货'!C:C</f>
        <v>0</v>
      </c>
      <c r="D8981" s="2">
        <f>'[1]2025年已发货'!D:D</f>
        <v>0</v>
      </c>
      <c r="E8981" s="2">
        <f>'[1]2025年已发货'!E:E</f>
        <v>0</v>
      </c>
      <c r="F8981" s="4">
        <f>'[1]2025年已发货'!F:F</f>
        <v>0</v>
      </c>
      <c r="G8981" s="2">
        <f>'[1]2025年已发货'!G:G</f>
        <v>0</v>
      </c>
      <c r="H8981" s="2">
        <f>'[1]2025年已发货'!H:H</f>
        <v>0</v>
      </c>
      <c r="I8981" s="2">
        <f>'[1]2025年已发货'!I:I</f>
        <v>0</v>
      </c>
      <c r="J8981" s="2" vm="1" t="e">
        <f>_xlfn._xlws.FILTER(辅助信息!D:D,辅助信息!G:G=G8981)</f>
        <v>#VALUE!</v>
      </c>
    </row>
    <row r="8982" spans="1:10">
      <c r="A8982" s="2">
        <f>'[1]2025年已发货'!A:A</f>
        <v>0</v>
      </c>
      <c r="B8982" s="2">
        <f>'[1]2025年已发货'!B:B</f>
        <v>0</v>
      </c>
      <c r="C8982" s="2">
        <f>'[1]2025年已发货'!C:C</f>
        <v>0</v>
      </c>
      <c r="D8982" s="2">
        <f>'[1]2025年已发货'!D:D</f>
        <v>0</v>
      </c>
      <c r="E8982" s="2">
        <f>'[1]2025年已发货'!E:E</f>
        <v>0</v>
      </c>
      <c r="F8982" s="4">
        <f>'[1]2025年已发货'!F:F</f>
        <v>0</v>
      </c>
      <c r="G8982" s="2">
        <f>'[1]2025年已发货'!G:G</f>
        <v>0</v>
      </c>
      <c r="H8982" s="2">
        <f>'[1]2025年已发货'!H:H</f>
        <v>0</v>
      </c>
      <c r="I8982" s="2">
        <f>'[1]2025年已发货'!I:I</f>
        <v>0</v>
      </c>
      <c r="J8982" s="2" vm="1" t="e">
        <f>_xlfn._xlws.FILTER(辅助信息!D:D,辅助信息!G:G=G8982)</f>
        <v>#VALUE!</v>
      </c>
    </row>
    <row r="8983" spans="1:10">
      <c r="A8983" s="2">
        <f>'[1]2025年已发货'!A:A</f>
        <v>0</v>
      </c>
      <c r="B8983" s="2">
        <f>'[1]2025年已发货'!B:B</f>
        <v>0</v>
      </c>
      <c r="C8983" s="2">
        <f>'[1]2025年已发货'!C:C</f>
        <v>0</v>
      </c>
      <c r="D8983" s="2">
        <f>'[1]2025年已发货'!D:D</f>
        <v>0</v>
      </c>
      <c r="E8983" s="2">
        <f>'[1]2025年已发货'!E:E</f>
        <v>0</v>
      </c>
      <c r="F8983" s="4">
        <f>'[1]2025年已发货'!F:F</f>
        <v>0</v>
      </c>
      <c r="G8983" s="2">
        <f>'[1]2025年已发货'!G:G</f>
        <v>0</v>
      </c>
      <c r="H8983" s="2">
        <f>'[1]2025年已发货'!H:H</f>
        <v>0</v>
      </c>
      <c r="I8983" s="2">
        <f>'[1]2025年已发货'!I:I</f>
        <v>0</v>
      </c>
      <c r="J8983" s="2" vm="1" t="e">
        <f>_xlfn._xlws.FILTER(辅助信息!D:D,辅助信息!G:G=G8983)</f>
        <v>#VALUE!</v>
      </c>
    </row>
    <row r="8984" spans="1:10">
      <c r="A8984" s="2">
        <f>'[1]2025年已发货'!A:A</f>
        <v>0</v>
      </c>
      <c r="B8984" s="2">
        <f>'[1]2025年已发货'!B:B</f>
        <v>0</v>
      </c>
      <c r="C8984" s="2">
        <f>'[1]2025年已发货'!C:C</f>
        <v>0</v>
      </c>
      <c r="D8984" s="2">
        <f>'[1]2025年已发货'!D:D</f>
        <v>0</v>
      </c>
      <c r="E8984" s="2">
        <f>'[1]2025年已发货'!E:E</f>
        <v>0</v>
      </c>
      <c r="F8984" s="4">
        <f>'[1]2025年已发货'!F:F</f>
        <v>0</v>
      </c>
      <c r="G8984" s="2">
        <f>'[1]2025年已发货'!G:G</f>
        <v>0</v>
      </c>
      <c r="H8984" s="2">
        <f>'[1]2025年已发货'!H:H</f>
        <v>0</v>
      </c>
      <c r="I8984" s="2">
        <f>'[1]2025年已发货'!I:I</f>
        <v>0</v>
      </c>
      <c r="J8984" s="2" vm="1" t="e">
        <f>_xlfn._xlws.FILTER(辅助信息!D:D,辅助信息!G:G=G8984)</f>
        <v>#VALUE!</v>
      </c>
    </row>
    <row r="8985" spans="1:10">
      <c r="A8985" s="2">
        <f>'[1]2025年已发货'!A:A</f>
        <v>0</v>
      </c>
      <c r="B8985" s="2">
        <f>'[1]2025年已发货'!B:B</f>
        <v>0</v>
      </c>
      <c r="C8985" s="2">
        <f>'[1]2025年已发货'!C:C</f>
        <v>0</v>
      </c>
      <c r="D8985" s="2">
        <f>'[1]2025年已发货'!D:D</f>
        <v>0</v>
      </c>
      <c r="E8985" s="2">
        <f>'[1]2025年已发货'!E:E</f>
        <v>0</v>
      </c>
      <c r="F8985" s="4">
        <f>'[1]2025年已发货'!F:F</f>
        <v>0</v>
      </c>
      <c r="G8985" s="2">
        <f>'[1]2025年已发货'!G:G</f>
        <v>0</v>
      </c>
      <c r="H8985" s="2">
        <f>'[1]2025年已发货'!H:H</f>
        <v>0</v>
      </c>
      <c r="I8985" s="2">
        <f>'[1]2025年已发货'!I:I</f>
        <v>0</v>
      </c>
      <c r="J8985" s="2" vm="1" t="e">
        <f>_xlfn._xlws.FILTER(辅助信息!D:D,辅助信息!G:G=G8985)</f>
        <v>#VALUE!</v>
      </c>
    </row>
    <row r="8986" spans="1:10">
      <c r="A8986" s="2">
        <f>'[1]2025年已发货'!A:A</f>
        <v>0</v>
      </c>
      <c r="B8986" s="2">
        <f>'[1]2025年已发货'!B:B</f>
        <v>0</v>
      </c>
      <c r="C8986" s="2">
        <f>'[1]2025年已发货'!C:C</f>
        <v>0</v>
      </c>
      <c r="D8986" s="2">
        <f>'[1]2025年已发货'!D:D</f>
        <v>0</v>
      </c>
      <c r="E8986" s="2">
        <f>'[1]2025年已发货'!E:E</f>
        <v>0</v>
      </c>
      <c r="F8986" s="4">
        <f>'[1]2025年已发货'!F:F</f>
        <v>0</v>
      </c>
      <c r="G8986" s="2">
        <f>'[1]2025年已发货'!G:G</f>
        <v>0</v>
      </c>
      <c r="H8986" s="2">
        <f>'[1]2025年已发货'!H:H</f>
        <v>0</v>
      </c>
      <c r="I8986" s="2">
        <f>'[1]2025年已发货'!I:I</f>
        <v>0</v>
      </c>
      <c r="J8986" s="2" vm="1" t="e">
        <f>_xlfn._xlws.FILTER(辅助信息!D:D,辅助信息!G:G=G8986)</f>
        <v>#VALUE!</v>
      </c>
    </row>
    <row r="8987" spans="1:10">
      <c r="A8987" s="2">
        <f>'[1]2025年已发货'!A:A</f>
        <v>0</v>
      </c>
      <c r="B8987" s="2">
        <f>'[1]2025年已发货'!B:B</f>
        <v>0</v>
      </c>
      <c r="C8987" s="2">
        <f>'[1]2025年已发货'!C:C</f>
        <v>0</v>
      </c>
      <c r="D8987" s="2">
        <f>'[1]2025年已发货'!D:D</f>
        <v>0</v>
      </c>
      <c r="E8987" s="2">
        <f>'[1]2025年已发货'!E:E</f>
        <v>0</v>
      </c>
      <c r="F8987" s="4">
        <f>'[1]2025年已发货'!F:F</f>
        <v>0</v>
      </c>
      <c r="G8987" s="2">
        <f>'[1]2025年已发货'!G:G</f>
        <v>0</v>
      </c>
      <c r="H8987" s="2">
        <f>'[1]2025年已发货'!H:H</f>
        <v>0</v>
      </c>
      <c r="I8987" s="2">
        <f>'[1]2025年已发货'!I:I</f>
        <v>0</v>
      </c>
      <c r="J8987" s="2" vm="1" t="e">
        <f>_xlfn._xlws.FILTER(辅助信息!D:D,辅助信息!G:G=G8987)</f>
        <v>#VALUE!</v>
      </c>
    </row>
    <row r="8988" spans="1:10">
      <c r="A8988" s="2">
        <f>'[1]2025年已发货'!A:A</f>
        <v>0</v>
      </c>
      <c r="B8988" s="2">
        <f>'[1]2025年已发货'!B:B</f>
        <v>0</v>
      </c>
      <c r="C8988" s="2">
        <f>'[1]2025年已发货'!C:C</f>
        <v>0</v>
      </c>
      <c r="D8988" s="2">
        <f>'[1]2025年已发货'!D:D</f>
        <v>0</v>
      </c>
      <c r="E8988" s="2">
        <f>'[1]2025年已发货'!E:E</f>
        <v>0</v>
      </c>
      <c r="F8988" s="4">
        <f>'[1]2025年已发货'!F:F</f>
        <v>0</v>
      </c>
      <c r="G8988" s="2">
        <f>'[1]2025年已发货'!G:G</f>
        <v>0</v>
      </c>
      <c r="H8988" s="2">
        <f>'[1]2025年已发货'!H:H</f>
        <v>0</v>
      </c>
      <c r="I8988" s="2">
        <f>'[1]2025年已发货'!I:I</f>
        <v>0</v>
      </c>
      <c r="J8988" s="2" vm="1" t="e">
        <f>_xlfn._xlws.FILTER(辅助信息!D:D,辅助信息!G:G=G8988)</f>
        <v>#VALUE!</v>
      </c>
    </row>
    <row r="8989" spans="1:10">
      <c r="A8989" s="2">
        <f>'[1]2025年已发货'!A:A</f>
        <v>0</v>
      </c>
      <c r="B8989" s="2">
        <f>'[1]2025年已发货'!B:B</f>
        <v>0</v>
      </c>
      <c r="C8989" s="2">
        <f>'[1]2025年已发货'!C:C</f>
        <v>0</v>
      </c>
      <c r="D8989" s="2">
        <f>'[1]2025年已发货'!D:D</f>
        <v>0</v>
      </c>
      <c r="E8989" s="2">
        <f>'[1]2025年已发货'!E:E</f>
        <v>0</v>
      </c>
      <c r="F8989" s="4">
        <f>'[1]2025年已发货'!F:F</f>
        <v>0</v>
      </c>
      <c r="G8989" s="2">
        <f>'[1]2025年已发货'!G:G</f>
        <v>0</v>
      </c>
      <c r="H8989" s="2">
        <f>'[1]2025年已发货'!H:H</f>
        <v>0</v>
      </c>
      <c r="I8989" s="2">
        <f>'[1]2025年已发货'!I:I</f>
        <v>0</v>
      </c>
      <c r="J8989" s="2" vm="1" t="e">
        <f>_xlfn._xlws.FILTER(辅助信息!D:D,辅助信息!G:G=G8989)</f>
        <v>#VALUE!</v>
      </c>
    </row>
    <row r="8990" spans="1:10">
      <c r="A8990" s="2">
        <f>'[1]2025年已发货'!A:A</f>
        <v>0</v>
      </c>
      <c r="B8990" s="2">
        <f>'[1]2025年已发货'!B:B</f>
        <v>0</v>
      </c>
      <c r="C8990" s="2">
        <f>'[1]2025年已发货'!C:C</f>
        <v>0</v>
      </c>
      <c r="D8990" s="2">
        <f>'[1]2025年已发货'!D:D</f>
        <v>0</v>
      </c>
      <c r="E8990" s="2">
        <f>'[1]2025年已发货'!E:E</f>
        <v>0</v>
      </c>
      <c r="F8990" s="4">
        <f>'[1]2025年已发货'!F:F</f>
        <v>0</v>
      </c>
      <c r="G8990" s="2">
        <f>'[1]2025年已发货'!G:G</f>
        <v>0</v>
      </c>
      <c r="H8990" s="2">
        <f>'[1]2025年已发货'!H:H</f>
        <v>0</v>
      </c>
      <c r="I8990" s="2">
        <f>'[1]2025年已发货'!I:I</f>
        <v>0</v>
      </c>
      <c r="J8990" s="2" vm="1" t="e">
        <f>_xlfn._xlws.FILTER(辅助信息!D:D,辅助信息!G:G=G8990)</f>
        <v>#VALUE!</v>
      </c>
    </row>
    <row r="8991" spans="1:10">
      <c r="A8991" s="2">
        <f>'[1]2025年已发货'!A:A</f>
        <v>0</v>
      </c>
      <c r="B8991" s="2">
        <f>'[1]2025年已发货'!B:B</f>
        <v>0</v>
      </c>
      <c r="C8991" s="2">
        <f>'[1]2025年已发货'!C:C</f>
        <v>0</v>
      </c>
      <c r="D8991" s="2">
        <f>'[1]2025年已发货'!D:D</f>
        <v>0</v>
      </c>
      <c r="E8991" s="2">
        <f>'[1]2025年已发货'!E:E</f>
        <v>0</v>
      </c>
      <c r="F8991" s="4">
        <f>'[1]2025年已发货'!F:F</f>
        <v>0</v>
      </c>
      <c r="G8991" s="2">
        <f>'[1]2025年已发货'!G:G</f>
        <v>0</v>
      </c>
      <c r="H8991" s="2">
        <f>'[1]2025年已发货'!H:H</f>
        <v>0</v>
      </c>
      <c r="I8991" s="2">
        <f>'[1]2025年已发货'!I:I</f>
        <v>0</v>
      </c>
      <c r="J8991" s="2" vm="1" t="e">
        <f>_xlfn._xlws.FILTER(辅助信息!D:D,辅助信息!G:G=G8991)</f>
        <v>#VALUE!</v>
      </c>
    </row>
    <row r="8992" spans="1:10">
      <c r="A8992" s="2">
        <f>'[1]2025年已发货'!A:A</f>
        <v>0</v>
      </c>
      <c r="B8992" s="2">
        <f>'[1]2025年已发货'!B:B</f>
        <v>0</v>
      </c>
      <c r="C8992" s="2">
        <f>'[1]2025年已发货'!C:C</f>
        <v>0</v>
      </c>
      <c r="D8992" s="2">
        <f>'[1]2025年已发货'!D:D</f>
        <v>0</v>
      </c>
      <c r="E8992" s="2">
        <f>'[1]2025年已发货'!E:E</f>
        <v>0</v>
      </c>
      <c r="F8992" s="4">
        <f>'[1]2025年已发货'!F:F</f>
        <v>0</v>
      </c>
      <c r="G8992" s="2">
        <f>'[1]2025年已发货'!G:G</f>
        <v>0</v>
      </c>
      <c r="H8992" s="2">
        <f>'[1]2025年已发货'!H:H</f>
        <v>0</v>
      </c>
      <c r="I8992" s="2">
        <f>'[1]2025年已发货'!I:I</f>
        <v>0</v>
      </c>
      <c r="J8992" s="2" vm="1" t="e">
        <f>_xlfn._xlws.FILTER(辅助信息!D:D,辅助信息!G:G=G8992)</f>
        <v>#VALUE!</v>
      </c>
    </row>
    <row r="8993" spans="1:10">
      <c r="A8993" s="2">
        <f>'[1]2025年已发货'!A:A</f>
        <v>0</v>
      </c>
      <c r="B8993" s="2">
        <f>'[1]2025年已发货'!B:B</f>
        <v>0</v>
      </c>
      <c r="C8993" s="2">
        <f>'[1]2025年已发货'!C:C</f>
        <v>0</v>
      </c>
      <c r="D8993" s="2">
        <f>'[1]2025年已发货'!D:D</f>
        <v>0</v>
      </c>
      <c r="E8993" s="2">
        <f>'[1]2025年已发货'!E:E</f>
        <v>0</v>
      </c>
      <c r="F8993" s="4">
        <f>'[1]2025年已发货'!F:F</f>
        <v>0</v>
      </c>
      <c r="G8993" s="2">
        <f>'[1]2025年已发货'!G:G</f>
        <v>0</v>
      </c>
      <c r="H8993" s="2">
        <f>'[1]2025年已发货'!H:H</f>
        <v>0</v>
      </c>
      <c r="I8993" s="2">
        <f>'[1]2025年已发货'!I:I</f>
        <v>0</v>
      </c>
      <c r="J8993" s="2" vm="1" t="e">
        <f>_xlfn._xlws.FILTER(辅助信息!D:D,辅助信息!G:G=G8993)</f>
        <v>#VALUE!</v>
      </c>
    </row>
    <row r="8994" spans="1:10">
      <c r="A8994" s="2">
        <f>'[1]2025年已发货'!A:A</f>
        <v>0</v>
      </c>
      <c r="B8994" s="2">
        <f>'[1]2025年已发货'!B:B</f>
        <v>0</v>
      </c>
      <c r="C8994" s="2">
        <f>'[1]2025年已发货'!C:C</f>
        <v>0</v>
      </c>
      <c r="D8994" s="2">
        <f>'[1]2025年已发货'!D:D</f>
        <v>0</v>
      </c>
      <c r="E8994" s="2">
        <f>'[1]2025年已发货'!E:E</f>
        <v>0</v>
      </c>
      <c r="F8994" s="4">
        <f>'[1]2025年已发货'!F:F</f>
        <v>0</v>
      </c>
      <c r="G8994" s="2">
        <f>'[1]2025年已发货'!G:G</f>
        <v>0</v>
      </c>
      <c r="H8994" s="2">
        <f>'[1]2025年已发货'!H:H</f>
        <v>0</v>
      </c>
      <c r="I8994" s="2">
        <f>'[1]2025年已发货'!I:I</f>
        <v>0</v>
      </c>
      <c r="J8994" s="2" vm="1" t="e">
        <f>_xlfn._xlws.FILTER(辅助信息!D:D,辅助信息!G:G=G8994)</f>
        <v>#VALUE!</v>
      </c>
    </row>
    <row r="8995" spans="1:10">
      <c r="A8995" s="2">
        <f>'[1]2025年已发货'!A:A</f>
        <v>0</v>
      </c>
      <c r="B8995" s="2">
        <f>'[1]2025年已发货'!B:B</f>
        <v>0</v>
      </c>
      <c r="C8995" s="2">
        <f>'[1]2025年已发货'!C:C</f>
        <v>0</v>
      </c>
      <c r="D8995" s="2">
        <f>'[1]2025年已发货'!D:D</f>
        <v>0</v>
      </c>
      <c r="E8995" s="2">
        <f>'[1]2025年已发货'!E:E</f>
        <v>0</v>
      </c>
      <c r="F8995" s="4">
        <f>'[1]2025年已发货'!F:F</f>
        <v>0</v>
      </c>
      <c r="G8995" s="2">
        <f>'[1]2025年已发货'!G:G</f>
        <v>0</v>
      </c>
      <c r="H8995" s="2">
        <f>'[1]2025年已发货'!H:H</f>
        <v>0</v>
      </c>
      <c r="I8995" s="2">
        <f>'[1]2025年已发货'!I:I</f>
        <v>0</v>
      </c>
      <c r="J8995" s="2" vm="1" t="e">
        <f>_xlfn._xlws.FILTER(辅助信息!D:D,辅助信息!G:G=G8995)</f>
        <v>#VALUE!</v>
      </c>
    </row>
    <row r="8996" spans="1:10">
      <c r="A8996" s="2">
        <f>'[1]2025年已发货'!A:A</f>
        <v>0</v>
      </c>
      <c r="B8996" s="2">
        <f>'[1]2025年已发货'!B:B</f>
        <v>0</v>
      </c>
      <c r="C8996" s="2">
        <f>'[1]2025年已发货'!C:C</f>
        <v>0</v>
      </c>
      <c r="D8996" s="2">
        <f>'[1]2025年已发货'!D:D</f>
        <v>0</v>
      </c>
      <c r="E8996" s="2">
        <f>'[1]2025年已发货'!E:E</f>
        <v>0</v>
      </c>
      <c r="F8996" s="4">
        <f>'[1]2025年已发货'!F:F</f>
        <v>0</v>
      </c>
      <c r="G8996" s="2">
        <f>'[1]2025年已发货'!G:G</f>
        <v>0</v>
      </c>
      <c r="H8996" s="2">
        <f>'[1]2025年已发货'!H:H</f>
        <v>0</v>
      </c>
      <c r="I8996" s="2">
        <f>'[1]2025年已发货'!I:I</f>
        <v>0</v>
      </c>
      <c r="J8996" s="2" vm="1" t="e">
        <f>_xlfn._xlws.FILTER(辅助信息!D:D,辅助信息!G:G=G8996)</f>
        <v>#VALUE!</v>
      </c>
    </row>
    <row r="8997" spans="1:10">
      <c r="A8997" s="2">
        <f>'[1]2025年已发货'!A:A</f>
        <v>0</v>
      </c>
      <c r="B8997" s="2">
        <f>'[1]2025年已发货'!B:B</f>
        <v>0</v>
      </c>
      <c r="C8997" s="2">
        <f>'[1]2025年已发货'!C:C</f>
        <v>0</v>
      </c>
      <c r="D8997" s="2">
        <f>'[1]2025年已发货'!D:D</f>
        <v>0</v>
      </c>
      <c r="E8997" s="2">
        <f>'[1]2025年已发货'!E:E</f>
        <v>0</v>
      </c>
      <c r="F8997" s="4">
        <f>'[1]2025年已发货'!F:F</f>
        <v>0</v>
      </c>
      <c r="G8997" s="2">
        <f>'[1]2025年已发货'!G:G</f>
        <v>0</v>
      </c>
      <c r="H8997" s="2">
        <f>'[1]2025年已发货'!H:H</f>
        <v>0</v>
      </c>
      <c r="I8997" s="2">
        <f>'[1]2025年已发货'!I:I</f>
        <v>0</v>
      </c>
      <c r="J8997" s="2" vm="1" t="e">
        <f>_xlfn._xlws.FILTER(辅助信息!D:D,辅助信息!G:G=G8997)</f>
        <v>#VALUE!</v>
      </c>
    </row>
    <row r="8998" spans="1:10">
      <c r="A8998" s="2">
        <f>'[1]2025年已发货'!A:A</f>
        <v>0</v>
      </c>
      <c r="B8998" s="2">
        <f>'[1]2025年已发货'!B:B</f>
        <v>0</v>
      </c>
      <c r="C8998" s="2">
        <f>'[1]2025年已发货'!C:C</f>
        <v>0</v>
      </c>
      <c r="D8998" s="2">
        <f>'[1]2025年已发货'!D:D</f>
        <v>0</v>
      </c>
      <c r="E8998" s="2">
        <f>'[1]2025年已发货'!E:E</f>
        <v>0</v>
      </c>
      <c r="F8998" s="4">
        <f>'[1]2025年已发货'!F:F</f>
        <v>0</v>
      </c>
      <c r="G8998" s="2">
        <f>'[1]2025年已发货'!G:G</f>
        <v>0</v>
      </c>
      <c r="H8998" s="2">
        <f>'[1]2025年已发货'!H:H</f>
        <v>0</v>
      </c>
      <c r="I8998" s="2">
        <f>'[1]2025年已发货'!I:I</f>
        <v>0</v>
      </c>
      <c r="J8998" s="2" vm="1" t="e">
        <f>_xlfn._xlws.FILTER(辅助信息!D:D,辅助信息!G:G=G8998)</f>
        <v>#VALUE!</v>
      </c>
    </row>
    <row r="8999" spans="1:10">
      <c r="A8999" s="2">
        <f>'[1]2025年已发货'!A:A</f>
        <v>0</v>
      </c>
      <c r="B8999" s="2">
        <f>'[1]2025年已发货'!B:B</f>
        <v>0</v>
      </c>
      <c r="C8999" s="2">
        <f>'[1]2025年已发货'!C:C</f>
        <v>0</v>
      </c>
      <c r="D8999" s="2">
        <f>'[1]2025年已发货'!D:D</f>
        <v>0</v>
      </c>
      <c r="E8999" s="2">
        <f>'[1]2025年已发货'!E:E</f>
        <v>0</v>
      </c>
      <c r="F8999" s="4">
        <f>'[1]2025年已发货'!F:F</f>
        <v>0</v>
      </c>
      <c r="G8999" s="2">
        <f>'[1]2025年已发货'!G:G</f>
        <v>0</v>
      </c>
      <c r="H8999" s="2">
        <f>'[1]2025年已发货'!H:H</f>
        <v>0</v>
      </c>
      <c r="I8999" s="2">
        <f>'[1]2025年已发货'!I:I</f>
        <v>0</v>
      </c>
      <c r="J8999" s="2" vm="1" t="e">
        <f>_xlfn._xlws.FILTER(辅助信息!D:D,辅助信息!G:G=G8999)</f>
        <v>#VALUE!</v>
      </c>
    </row>
    <row r="9000" spans="1:10">
      <c r="A9000" s="2">
        <f>'[1]2025年已发货'!A:A</f>
        <v>0</v>
      </c>
      <c r="B9000" s="2">
        <f>'[1]2025年已发货'!B:B</f>
        <v>0</v>
      </c>
      <c r="C9000" s="2">
        <f>'[1]2025年已发货'!C:C</f>
        <v>0</v>
      </c>
      <c r="D9000" s="2">
        <f>'[1]2025年已发货'!D:D</f>
        <v>0</v>
      </c>
      <c r="E9000" s="2">
        <f>'[1]2025年已发货'!E:E</f>
        <v>0</v>
      </c>
      <c r="F9000" s="4">
        <f>'[1]2025年已发货'!F:F</f>
        <v>0</v>
      </c>
      <c r="G9000" s="2">
        <f>'[1]2025年已发货'!G:G</f>
        <v>0</v>
      </c>
      <c r="H9000" s="2">
        <f>'[1]2025年已发货'!H:H</f>
        <v>0</v>
      </c>
      <c r="I9000" s="2">
        <f>'[1]2025年已发货'!I:I</f>
        <v>0</v>
      </c>
      <c r="J9000" s="2" vm="1" t="e">
        <f>_xlfn._xlws.FILTER(辅助信息!D:D,辅助信息!G:G=G9000)</f>
        <v>#VALUE!</v>
      </c>
    </row>
    <row r="9001" spans="1:10">
      <c r="A9001" s="2">
        <f>'[1]2025年已发货'!A:A</f>
        <v>0</v>
      </c>
      <c r="B9001" s="2">
        <f>'[1]2025年已发货'!B:B</f>
        <v>0</v>
      </c>
      <c r="C9001" s="2">
        <f>'[1]2025年已发货'!C:C</f>
        <v>0</v>
      </c>
      <c r="D9001" s="2">
        <f>'[1]2025年已发货'!D:D</f>
        <v>0</v>
      </c>
      <c r="E9001" s="2">
        <f>'[1]2025年已发货'!E:E</f>
        <v>0</v>
      </c>
      <c r="F9001" s="4">
        <f>'[1]2025年已发货'!F:F</f>
        <v>0</v>
      </c>
      <c r="G9001" s="2">
        <f>'[1]2025年已发货'!G:G</f>
        <v>0</v>
      </c>
      <c r="H9001" s="2">
        <f>'[1]2025年已发货'!H:H</f>
        <v>0</v>
      </c>
      <c r="I9001" s="2">
        <f>'[1]2025年已发货'!I:I</f>
        <v>0</v>
      </c>
      <c r="J9001" s="2" vm="1" t="e">
        <f>_xlfn._xlws.FILTER(辅助信息!D:D,辅助信息!G:G=G9001)</f>
        <v>#VALUE!</v>
      </c>
    </row>
    <row r="9002" spans="1:10">
      <c r="A9002" s="2">
        <f>'[1]2025年已发货'!A:A</f>
        <v>0</v>
      </c>
      <c r="B9002" s="2">
        <f>'[1]2025年已发货'!B:B</f>
        <v>0</v>
      </c>
      <c r="C9002" s="2">
        <f>'[1]2025年已发货'!C:C</f>
        <v>0</v>
      </c>
      <c r="D9002" s="2">
        <f>'[1]2025年已发货'!D:D</f>
        <v>0</v>
      </c>
      <c r="E9002" s="2">
        <f>'[1]2025年已发货'!E:E</f>
        <v>0</v>
      </c>
      <c r="F9002" s="4">
        <f>'[1]2025年已发货'!F:F</f>
        <v>0</v>
      </c>
      <c r="G9002" s="2">
        <f>'[1]2025年已发货'!G:G</f>
        <v>0</v>
      </c>
      <c r="H9002" s="2">
        <f>'[1]2025年已发货'!H:H</f>
        <v>0</v>
      </c>
      <c r="I9002" s="2">
        <f>'[1]2025年已发货'!I:I</f>
        <v>0</v>
      </c>
      <c r="J9002" s="2" vm="1" t="e">
        <f>_xlfn._xlws.FILTER(辅助信息!D:D,辅助信息!G:G=G9002)</f>
        <v>#VALUE!</v>
      </c>
    </row>
    <row r="9003" spans="1:10">
      <c r="A9003" s="2">
        <f>'[1]2025年已发货'!A:A</f>
        <v>0</v>
      </c>
      <c r="B9003" s="2">
        <f>'[1]2025年已发货'!B:B</f>
        <v>0</v>
      </c>
      <c r="C9003" s="2">
        <f>'[1]2025年已发货'!C:C</f>
        <v>0</v>
      </c>
      <c r="D9003" s="2">
        <f>'[1]2025年已发货'!D:D</f>
        <v>0</v>
      </c>
      <c r="E9003" s="2">
        <f>'[1]2025年已发货'!E:E</f>
        <v>0</v>
      </c>
      <c r="F9003" s="4">
        <f>'[1]2025年已发货'!F:F</f>
        <v>0</v>
      </c>
      <c r="G9003" s="2">
        <f>'[1]2025年已发货'!G:G</f>
        <v>0</v>
      </c>
      <c r="H9003" s="2">
        <f>'[1]2025年已发货'!H:H</f>
        <v>0</v>
      </c>
      <c r="I9003" s="2">
        <f>'[1]2025年已发货'!I:I</f>
        <v>0</v>
      </c>
      <c r="J9003" s="2" vm="1" t="e">
        <f>_xlfn._xlws.FILTER(辅助信息!D:D,辅助信息!G:G=G9003)</f>
        <v>#VALUE!</v>
      </c>
    </row>
    <row r="9004" spans="1:10">
      <c r="A9004" s="2">
        <f>'[1]2025年已发货'!A:A</f>
        <v>0</v>
      </c>
      <c r="B9004" s="2">
        <f>'[1]2025年已发货'!B:B</f>
        <v>0</v>
      </c>
      <c r="C9004" s="2">
        <f>'[1]2025年已发货'!C:C</f>
        <v>0</v>
      </c>
      <c r="D9004" s="2">
        <f>'[1]2025年已发货'!D:D</f>
        <v>0</v>
      </c>
      <c r="E9004" s="2">
        <f>'[1]2025年已发货'!E:E</f>
        <v>0</v>
      </c>
      <c r="F9004" s="4">
        <f>'[1]2025年已发货'!F:F</f>
        <v>0</v>
      </c>
      <c r="G9004" s="2">
        <f>'[1]2025年已发货'!G:G</f>
        <v>0</v>
      </c>
      <c r="H9004" s="2">
        <f>'[1]2025年已发货'!H:H</f>
        <v>0</v>
      </c>
      <c r="I9004" s="2">
        <f>'[1]2025年已发货'!I:I</f>
        <v>0</v>
      </c>
      <c r="J9004" s="2" vm="1" t="e">
        <f>_xlfn._xlws.FILTER(辅助信息!D:D,辅助信息!G:G=G9004)</f>
        <v>#VALUE!</v>
      </c>
    </row>
    <row r="9005" spans="1:10">
      <c r="A9005" s="2">
        <f>'[1]2025年已发货'!A:A</f>
        <v>0</v>
      </c>
      <c r="B9005" s="2">
        <f>'[1]2025年已发货'!B:B</f>
        <v>0</v>
      </c>
      <c r="C9005" s="2">
        <f>'[1]2025年已发货'!C:C</f>
        <v>0</v>
      </c>
      <c r="D9005" s="2">
        <f>'[1]2025年已发货'!D:D</f>
        <v>0</v>
      </c>
      <c r="E9005" s="2">
        <f>'[1]2025年已发货'!E:E</f>
        <v>0</v>
      </c>
      <c r="F9005" s="4">
        <f>'[1]2025年已发货'!F:F</f>
        <v>0</v>
      </c>
      <c r="G9005" s="2">
        <f>'[1]2025年已发货'!G:G</f>
        <v>0</v>
      </c>
      <c r="H9005" s="2">
        <f>'[1]2025年已发货'!H:H</f>
        <v>0</v>
      </c>
      <c r="I9005" s="2">
        <f>'[1]2025年已发货'!I:I</f>
        <v>0</v>
      </c>
      <c r="J9005" s="2" vm="1" t="e">
        <f>_xlfn._xlws.FILTER(辅助信息!D:D,辅助信息!G:G=G9005)</f>
        <v>#VALUE!</v>
      </c>
    </row>
    <row r="9006" spans="1:10">
      <c r="A9006" s="2">
        <f>'[1]2025年已发货'!A:A</f>
        <v>0</v>
      </c>
      <c r="B9006" s="2">
        <f>'[1]2025年已发货'!B:B</f>
        <v>0</v>
      </c>
      <c r="C9006" s="2">
        <f>'[1]2025年已发货'!C:C</f>
        <v>0</v>
      </c>
      <c r="D9006" s="2">
        <f>'[1]2025年已发货'!D:D</f>
        <v>0</v>
      </c>
      <c r="E9006" s="2">
        <f>'[1]2025年已发货'!E:E</f>
        <v>0</v>
      </c>
      <c r="F9006" s="4">
        <f>'[1]2025年已发货'!F:F</f>
        <v>0</v>
      </c>
      <c r="G9006" s="2">
        <f>'[1]2025年已发货'!G:G</f>
        <v>0</v>
      </c>
      <c r="H9006" s="2">
        <f>'[1]2025年已发货'!H:H</f>
        <v>0</v>
      </c>
      <c r="I9006" s="2">
        <f>'[1]2025年已发货'!I:I</f>
        <v>0</v>
      </c>
      <c r="J9006" s="2" vm="1" t="e">
        <f>_xlfn._xlws.FILTER(辅助信息!D:D,辅助信息!G:G=G9006)</f>
        <v>#VALUE!</v>
      </c>
    </row>
    <row r="9007" spans="1:10">
      <c r="A9007" s="2">
        <f>'[1]2025年已发货'!A:A</f>
        <v>0</v>
      </c>
      <c r="B9007" s="2">
        <f>'[1]2025年已发货'!B:B</f>
        <v>0</v>
      </c>
      <c r="C9007" s="2">
        <f>'[1]2025年已发货'!C:C</f>
        <v>0</v>
      </c>
      <c r="D9007" s="2">
        <f>'[1]2025年已发货'!D:D</f>
        <v>0</v>
      </c>
      <c r="E9007" s="2">
        <f>'[1]2025年已发货'!E:E</f>
        <v>0</v>
      </c>
      <c r="F9007" s="4">
        <f>'[1]2025年已发货'!F:F</f>
        <v>0</v>
      </c>
      <c r="G9007" s="2">
        <f>'[1]2025年已发货'!G:G</f>
        <v>0</v>
      </c>
      <c r="H9007" s="2">
        <f>'[1]2025年已发货'!H:H</f>
        <v>0</v>
      </c>
      <c r="I9007" s="2">
        <f>'[1]2025年已发货'!I:I</f>
        <v>0</v>
      </c>
      <c r="J9007" s="2" vm="1" t="e">
        <f>_xlfn._xlws.FILTER(辅助信息!D:D,辅助信息!G:G=G9007)</f>
        <v>#VALUE!</v>
      </c>
    </row>
    <row r="9008" spans="1:10">
      <c r="A9008" s="2">
        <f>'[1]2025年已发货'!A:A</f>
        <v>0</v>
      </c>
      <c r="B9008" s="2">
        <f>'[1]2025年已发货'!B:B</f>
        <v>0</v>
      </c>
      <c r="C9008" s="2">
        <f>'[1]2025年已发货'!C:C</f>
        <v>0</v>
      </c>
      <c r="D9008" s="2">
        <f>'[1]2025年已发货'!D:D</f>
        <v>0</v>
      </c>
      <c r="E9008" s="2">
        <f>'[1]2025年已发货'!E:E</f>
        <v>0</v>
      </c>
      <c r="F9008" s="4">
        <f>'[1]2025年已发货'!F:F</f>
        <v>0</v>
      </c>
      <c r="G9008" s="2">
        <f>'[1]2025年已发货'!G:G</f>
        <v>0</v>
      </c>
      <c r="H9008" s="2">
        <f>'[1]2025年已发货'!H:H</f>
        <v>0</v>
      </c>
      <c r="I9008" s="2">
        <f>'[1]2025年已发货'!I:I</f>
        <v>0</v>
      </c>
      <c r="J9008" s="2" vm="1" t="e">
        <f>_xlfn._xlws.FILTER(辅助信息!D:D,辅助信息!G:G=G9008)</f>
        <v>#VALUE!</v>
      </c>
    </row>
    <row r="9009" spans="1:10">
      <c r="A9009" s="2">
        <f>'[1]2025年已发货'!A:A</f>
        <v>0</v>
      </c>
      <c r="B9009" s="2">
        <f>'[1]2025年已发货'!B:B</f>
        <v>0</v>
      </c>
      <c r="C9009" s="2">
        <f>'[1]2025年已发货'!C:C</f>
        <v>0</v>
      </c>
      <c r="D9009" s="2">
        <f>'[1]2025年已发货'!D:D</f>
        <v>0</v>
      </c>
      <c r="E9009" s="2">
        <f>'[1]2025年已发货'!E:E</f>
        <v>0</v>
      </c>
      <c r="F9009" s="4">
        <f>'[1]2025年已发货'!F:F</f>
        <v>0</v>
      </c>
      <c r="G9009" s="2">
        <f>'[1]2025年已发货'!G:G</f>
        <v>0</v>
      </c>
      <c r="H9009" s="2">
        <f>'[1]2025年已发货'!H:H</f>
        <v>0</v>
      </c>
      <c r="I9009" s="2">
        <f>'[1]2025年已发货'!I:I</f>
        <v>0</v>
      </c>
      <c r="J9009" s="2" vm="1" t="e">
        <f>_xlfn._xlws.FILTER(辅助信息!D:D,辅助信息!G:G=G9009)</f>
        <v>#VALUE!</v>
      </c>
    </row>
    <row r="9010" spans="1:10">
      <c r="A9010" s="2">
        <f>'[1]2025年已发货'!A:A</f>
        <v>0</v>
      </c>
      <c r="B9010" s="2">
        <f>'[1]2025年已发货'!B:B</f>
        <v>0</v>
      </c>
      <c r="C9010" s="2">
        <f>'[1]2025年已发货'!C:C</f>
        <v>0</v>
      </c>
      <c r="D9010" s="2">
        <f>'[1]2025年已发货'!D:D</f>
        <v>0</v>
      </c>
      <c r="E9010" s="2">
        <f>'[1]2025年已发货'!E:E</f>
        <v>0</v>
      </c>
      <c r="F9010" s="4">
        <f>'[1]2025年已发货'!F:F</f>
        <v>0</v>
      </c>
      <c r="G9010" s="2">
        <f>'[1]2025年已发货'!G:G</f>
        <v>0</v>
      </c>
      <c r="H9010" s="2">
        <f>'[1]2025年已发货'!H:H</f>
        <v>0</v>
      </c>
      <c r="I9010" s="2">
        <f>'[1]2025年已发货'!I:I</f>
        <v>0</v>
      </c>
      <c r="J9010" s="2" vm="1" t="e">
        <f>_xlfn._xlws.FILTER(辅助信息!D:D,辅助信息!G:G=G9010)</f>
        <v>#VALUE!</v>
      </c>
    </row>
    <row r="9011" spans="1:10">
      <c r="A9011" s="2">
        <f>'[1]2025年已发货'!A:A</f>
        <v>0</v>
      </c>
      <c r="B9011" s="2">
        <f>'[1]2025年已发货'!B:B</f>
        <v>0</v>
      </c>
      <c r="C9011" s="2">
        <f>'[1]2025年已发货'!C:C</f>
        <v>0</v>
      </c>
      <c r="D9011" s="2">
        <f>'[1]2025年已发货'!D:D</f>
        <v>0</v>
      </c>
      <c r="E9011" s="2">
        <f>'[1]2025年已发货'!E:E</f>
        <v>0</v>
      </c>
      <c r="F9011" s="4">
        <f>'[1]2025年已发货'!F:F</f>
        <v>0</v>
      </c>
      <c r="G9011" s="2">
        <f>'[1]2025年已发货'!G:G</f>
        <v>0</v>
      </c>
      <c r="H9011" s="2">
        <f>'[1]2025年已发货'!H:H</f>
        <v>0</v>
      </c>
      <c r="I9011" s="2">
        <f>'[1]2025年已发货'!I:I</f>
        <v>0</v>
      </c>
      <c r="J9011" s="2" vm="1" t="e">
        <f>_xlfn._xlws.FILTER(辅助信息!D:D,辅助信息!G:G=G9011)</f>
        <v>#VALUE!</v>
      </c>
    </row>
    <row r="9012" spans="1:10">
      <c r="A9012" s="2">
        <f>'[1]2025年已发货'!A:A</f>
        <v>0</v>
      </c>
      <c r="B9012" s="2">
        <f>'[1]2025年已发货'!B:B</f>
        <v>0</v>
      </c>
      <c r="C9012" s="2">
        <f>'[1]2025年已发货'!C:C</f>
        <v>0</v>
      </c>
      <c r="D9012" s="2">
        <f>'[1]2025年已发货'!D:D</f>
        <v>0</v>
      </c>
      <c r="E9012" s="2">
        <f>'[1]2025年已发货'!E:E</f>
        <v>0</v>
      </c>
      <c r="F9012" s="4">
        <f>'[1]2025年已发货'!F:F</f>
        <v>0</v>
      </c>
      <c r="G9012" s="2">
        <f>'[1]2025年已发货'!G:G</f>
        <v>0</v>
      </c>
      <c r="H9012" s="2">
        <f>'[1]2025年已发货'!H:H</f>
        <v>0</v>
      </c>
      <c r="I9012" s="2">
        <f>'[1]2025年已发货'!I:I</f>
        <v>0</v>
      </c>
      <c r="J9012" s="2" vm="1" t="e">
        <f>_xlfn._xlws.FILTER(辅助信息!D:D,辅助信息!G:G=G9012)</f>
        <v>#VALUE!</v>
      </c>
    </row>
    <row r="9013" spans="1:10">
      <c r="A9013" s="2">
        <f>'[1]2025年已发货'!A:A</f>
        <v>0</v>
      </c>
      <c r="B9013" s="2">
        <f>'[1]2025年已发货'!B:B</f>
        <v>0</v>
      </c>
      <c r="C9013" s="2">
        <f>'[1]2025年已发货'!C:C</f>
        <v>0</v>
      </c>
      <c r="D9013" s="2">
        <f>'[1]2025年已发货'!D:D</f>
        <v>0</v>
      </c>
      <c r="E9013" s="2">
        <f>'[1]2025年已发货'!E:E</f>
        <v>0</v>
      </c>
      <c r="F9013" s="4">
        <f>'[1]2025年已发货'!F:F</f>
        <v>0</v>
      </c>
      <c r="G9013" s="2">
        <f>'[1]2025年已发货'!G:G</f>
        <v>0</v>
      </c>
      <c r="H9013" s="2">
        <f>'[1]2025年已发货'!H:H</f>
        <v>0</v>
      </c>
      <c r="I9013" s="2">
        <f>'[1]2025年已发货'!I:I</f>
        <v>0</v>
      </c>
      <c r="J9013" s="2" vm="1" t="e">
        <f>_xlfn._xlws.FILTER(辅助信息!D:D,辅助信息!G:G=G9013)</f>
        <v>#VALUE!</v>
      </c>
    </row>
    <row r="9014" spans="1:10">
      <c r="A9014" s="2">
        <f>'[1]2025年已发货'!A:A</f>
        <v>0</v>
      </c>
      <c r="B9014" s="2">
        <f>'[1]2025年已发货'!B:B</f>
        <v>0</v>
      </c>
      <c r="C9014" s="2">
        <f>'[1]2025年已发货'!C:C</f>
        <v>0</v>
      </c>
      <c r="D9014" s="2">
        <f>'[1]2025年已发货'!D:D</f>
        <v>0</v>
      </c>
      <c r="E9014" s="2">
        <f>'[1]2025年已发货'!E:E</f>
        <v>0</v>
      </c>
      <c r="F9014" s="4">
        <f>'[1]2025年已发货'!F:F</f>
        <v>0</v>
      </c>
      <c r="G9014" s="2">
        <f>'[1]2025年已发货'!G:G</f>
        <v>0</v>
      </c>
      <c r="H9014" s="2">
        <f>'[1]2025年已发货'!H:H</f>
        <v>0</v>
      </c>
      <c r="I9014" s="2">
        <f>'[1]2025年已发货'!I:I</f>
        <v>0</v>
      </c>
      <c r="J9014" s="2" vm="1" t="e">
        <f>_xlfn._xlws.FILTER(辅助信息!D:D,辅助信息!G:G=G9014)</f>
        <v>#VALUE!</v>
      </c>
    </row>
    <row r="9015" spans="1:10">
      <c r="A9015" s="2">
        <f>'[1]2025年已发货'!A:A</f>
        <v>0</v>
      </c>
      <c r="B9015" s="2">
        <f>'[1]2025年已发货'!B:B</f>
        <v>0</v>
      </c>
      <c r="C9015" s="2">
        <f>'[1]2025年已发货'!C:C</f>
        <v>0</v>
      </c>
      <c r="D9015" s="2">
        <f>'[1]2025年已发货'!D:D</f>
        <v>0</v>
      </c>
      <c r="E9015" s="2">
        <f>'[1]2025年已发货'!E:E</f>
        <v>0</v>
      </c>
      <c r="F9015" s="4">
        <f>'[1]2025年已发货'!F:F</f>
        <v>0</v>
      </c>
      <c r="G9015" s="2">
        <f>'[1]2025年已发货'!G:G</f>
        <v>0</v>
      </c>
      <c r="H9015" s="2">
        <f>'[1]2025年已发货'!H:H</f>
        <v>0</v>
      </c>
      <c r="I9015" s="2">
        <f>'[1]2025年已发货'!I:I</f>
        <v>0</v>
      </c>
      <c r="J9015" s="2" vm="1" t="e">
        <f>_xlfn._xlws.FILTER(辅助信息!D:D,辅助信息!G:G=G9015)</f>
        <v>#VALUE!</v>
      </c>
    </row>
    <row r="9016" spans="1:10">
      <c r="A9016" s="2">
        <f>'[1]2025年已发货'!A:A</f>
        <v>0</v>
      </c>
      <c r="B9016" s="2">
        <f>'[1]2025年已发货'!B:B</f>
        <v>0</v>
      </c>
      <c r="C9016" s="2">
        <f>'[1]2025年已发货'!C:C</f>
        <v>0</v>
      </c>
      <c r="D9016" s="2">
        <f>'[1]2025年已发货'!D:D</f>
        <v>0</v>
      </c>
      <c r="E9016" s="2">
        <f>'[1]2025年已发货'!E:E</f>
        <v>0</v>
      </c>
      <c r="F9016" s="4">
        <f>'[1]2025年已发货'!F:F</f>
        <v>0</v>
      </c>
      <c r="G9016" s="2">
        <f>'[1]2025年已发货'!G:G</f>
        <v>0</v>
      </c>
      <c r="H9016" s="2">
        <f>'[1]2025年已发货'!H:H</f>
        <v>0</v>
      </c>
      <c r="I9016" s="2">
        <f>'[1]2025年已发货'!I:I</f>
        <v>0</v>
      </c>
      <c r="J9016" s="2" vm="1" t="e">
        <f>_xlfn._xlws.FILTER(辅助信息!D:D,辅助信息!G:G=G9016)</f>
        <v>#VALUE!</v>
      </c>
    </row>
    <row r="9017" spans="1:10">
      <c r="A9017" s="2">
        <f>'[1]2025年已发货'!A:A</f>
        <v>0</v>
      </c>
      <c r="B9017" s="2">
        <f>'[1]2025年已发货'!B:B</f>
        <v>0</v>
      </c>
      <c r="C9017" s="2">
        <f>'[1]2025年已发货'!C:C</f>
        <v>0</v>
      </c>
      <c r="D9017" s="2">
        <f>'[1]2025年已发货'!D:D</f>
        <v>0</v>
      </c>
      <c r="E9017" s="2">
        <f>'[1]2025年已发货'!E:E</f>
        <v>0</v>
      </c>
      <c r="F9017" s="4">
        <f>'[1]2025年已发货'!F:F</f>
        <v>0</v>
      </c>
      <c r="G9017" s="2">
        <f>'[1]2025年已发货'!G:G</f>
        <v>0</v>
      </c>
      <c r="H9017" s="2">
        <f>'[1]2025年已发货'!H:H</f>
        <v>0</v>
      </c>
      <c r="I9017" s="2">
        <f>'[1]2025年已发货'!I:I</f>
        <v>0</v>
      </c>
      <c r="J9017" s="2" vm="1" t="e">
        <f>_xlfn._xlws.FILTER(辅助信息!D:D,辅助信息!G:G=G9017)</f>
        <v>#VALUE!</v>
      </c>
    </row>
    <row r="9018" spans="1:10">
      <c r="A9018" s="2">
        <f>'[1]2025年已发货'!A:A</f>
        <v>0</v>
      </c>
      <c r="B9018" s="2">
        <f>'[1]2025年已发货'!B:B</f>
        <v>0</v>
      </c>
      <c r="C9018" s="2">
        <f>'[1]2025年已发货'!C:C</f>
        <v>0</v>
      </c>
      <c r="D9018" s="2">
        <f>'[1]2025年已发货'!D:D</f>
        <v>0</v>
      </c>
      <c r="E9018" s="2">
        <f>'[1]2025年已发货'!E:E</f>
        <v>0</v>
      </c>
      <c r="F9018" s="4">
        <f>'[1]2025年已发货'!F:F</f>
        <v>0</v>
      </c>
      <c r="G9018" s="2">
        <f>'[1]2025年已发货'!G:G</f>
        <v>0</v>
      </c>
      <c r="H9018" s="2">
        <f>'[1]2025年已发货'!H:H</f>
        <v>0</v>
      </c>
      <c r="I9018" s="2">
        <f>'[1]2025年已发货'!I:I</f>
        <v>0</v>
      </c>
      <c r="J9018" s="2" vm="1" t="e">
        <f>_xlfn._xlws.FILTER(辅助信息!D:D,辅助信息!G:G=G9018)</f>
        <v>#VALUE!</v>
      </c>
    </row>
    <row r="9019" spans="1:10">
      <c r="A9019" s="2">
        <f>'[1]2025年已发货'!A:A</f>
        <v>0</v>
      </c>
      <c r="B9019" s="2">
        <f>'[1]2025年已发货'!B:B</f>
        <v>0</v>
      </c>
      <c r="C9019" s="2">
        <f>'[1]2025年已发货'!C:C</f>
        <v>0</v>
      </c>
      <c r="D9019" s="2">
        <f>'[1]2025年已发货'!D:D</f>
        <v>0</v>
      </c>
      <c r="E9019" s="2">
        <f>'[1]2025年已发货'!E:E</f>
        <v>0</v>
      </c>
      <c r="F9019" s="4">
        <f>'[1]2025年已发货'!F:F</f>
        <v>0</v>
      </c>
      <c r="G9019" s="2">
        <f>'[1]2025年已发货'!G:G</f>
        <v>0</v>
      </c>
      <c r="H9019" s="2">
        <f>'[1]2025年已发货'!H:H</f>
        <v>0</v>
      </c>
      <c r="I9019" s="2">
        <f>'[1]2025年已发货'!I:I</f>
        <v>0</v>
      </c>
      <c r="J9019" s="2" vm="1" t="e">
        <f>_xlfn._xlws.FILTER(辅助信息!D:D,辅助信息!G:G=G9019)</f>
        <v>#VALUE!</v>
      </c>
    </row>
    <row r="9020" spans="1:10">
      <c r="A9020" s="2">
        <f>'[1]2025年已发货'!A:A</f>
        <v>0</v>
      </c>
      <c r="B9020" s="2">
        <f>'[1]2025年已发货'!B:B</f>
        <v>0</v>
      </c>
      <c r="C9020" s="2">
        <f>'[1]2025年已发货'!C:C</f>
        <v>0</v>
      </c>
      <c r="D9020" s="2">
        <f>'[1]2025年已发货'!D:D</f>
        <v>0</v>
      </c>
      <c r="E9020" s="2">
        <f>'[1]2025年已发货'!E:E</f>
        <v>0</v>
      </c>
      <c r="F9020" s="4">
        <f>'[1]2025年已发货'!F:F</f>
        <v>0</v>
      </c>
      <c r="G9020" s="2">
        <f>'[1]2025年已发货'!G:G</f>
        <v>0</v>
      </c>
      <c r="H9020" s="2">
        <f>'[1]2025年已发货'!H:H</f>
        <v>0</v>
      </c>
      <c r="I9020" s="2">
        <f>'[1]2025年已发货'!I:I</f>
        <v>0</v>
      </c>
      <c r="J9020" s="2" vm="1" t="e">
        <f>_xlfn._xlws.FILTER(辅助信息!D:D,辅助信息!G:G=G9020)</f>
        <v>#VALUE!</v>
      </c>
    </row>
    <row r="9021" spans="1:10">
      <c r="A9021" s="2">
        <f>'[1]2025年已发货'!A:A</f>
        <v>0</v>
      </c>
      <c r="B9021" s="2">
        <f>'[1]2025年已发货'!B:B</f>
        <v>0</v>
      </c>
      <c r="C9021" s="2">
        <f>'[1]2025年已发货'!C:C</f>
        <v>0</v>
      </c>
      <c r="D9021" s="2">
        <f>'[1]2025年已发货'!D:D</f>
        <v>0</v>
      </c>
      <c r="E9021" s="2">
        <f>'[1]2025年已发货'!E:E</f>
        <v>0</v>
      </c>
      <c r="F9021" s="4">
        <f>'[1]2025年已发货'!F:F</f>
        <v>0</v>
      </c>
      <c r="G9021" s="2">
        <f>'[1]2025年已发货'!G:G</f>
        <v>0</v>
      </c>
      <c r="H9021" s="2">
        <f>'[1]2025年已发货'!H:H</f>
        <v>0</v>
      </c>
      <c r="I9021" s="2">
        <f>'[1]2025年已发货'!I:I</f>
        <v>0</v>
      </c>
      <c r="J9021" s="2" vm="1" t="e">
        <f>_xlfn._xlws.FILTER(辅助信息!D:D,辅助信息!G:G=G9021)</f>
        <v>#VALUE!</v>
      </c>
    </row>
    <row r="9022" spans="1:10">
      <c r="A9022" s="2">
        <f>'[1]2025年已发货'!A:A</f>
        <v>0</v>
      </c>
      <c r="B9022" s="2">
        <f>'[1]2025年已发货'!B:B</f>
        <v>0</v>
      </c>
      <c r="C9022" s="2">
        <f>'[1]2025年已发货'!C:C</f>
        <v>0</v>
      </c>
      <c r="D9022" s="2">
        <f>'[1]2025年已发货'!D:D</f>
        <v>0</v>
      </c>
      <c r="E9022" s="2">
        <f>'[1]2025年已发货'!E:E</f>
        <v>0</v>
      </c>
      <c r="F9022" s="4">
        <f>'[1]2025年已发货'!F:F</f>
        <v>0</v>
      </c>
      <c r="G9022" s="2">
        <f>'[1]2025年已发货'!G:G</f>
        <v>0</v>
      </c>
      <c r="H9022" s="2">
        <f>'[1]2025年已发货'!H:H</f>
        <v>0</v>
      </c>
      <c r="I9022" s="2">
        <f>'[1]2025年已发货'!I:I</f>
        <v>0</v>
      </c>
      <c r="J9022" s="2" vm="1" t="e">
        <f>_xlfn._xlws.FILTER(辅助信息!D:D,辅助信息!G:G=G9022)</f>
        <v>#VALUE!</v>
      </c>
    </row>
    <row r="9023" spans="1:10">
      <c r="A9023" s="2">
        <f>'[1]2025年已发货'!A:A</f>
        <v>0</v>
      </c>
      <c r="B9023" s="2">
        <f>'[1]2025年已发货'!B:B</f>
        <v>0</v>
      </c>
      <c r="C9023" s="2">
        <f>'[1]2025年已发货'!C:C</f>
        <v>0</v>
      </c>
      <c r="D9023" s="2">
        <f>'[1]2025年已发货'!D:D</f>
        <v>0</v>
      </c>
      <c r="E9023" s="2">
        <f>'[1]2025年已发货'!E:E</f>
        <v>0</v>
      </c>
      <c r="F9023" s="4">
        <f>'[1]2025年已发货'!F:F</f>
        <v>0</v>
      </c>
      <c r="G9023" s="2">
        <f>'[1]2025年已发货'!G:G</f>
        <v>0</v>
      </c>
      <c r="H9023" s="2">
        <f>'[1]2025年已发货'!H:H</f>
        <v>0</v>
      </c>
      <c r="I9023" s="2">
        <f>'[1]2025年已发货'!I:I</f>
        <v>0</v>
      </c>
      <c r="J9023" s="2" vm="1" t="e">
        <f>_xlfn._xlws.FILTER(辅助信息!D:D,辅助信息!G:G=G9023)</f>
        <v>#VALUE!</v>
      </c>
    </row>
    <row r="9024" spans="1:10">
      <c r="A9024" s="2">
        <f>'[1]2025年已发货'!A:A</f>
        <v>0</v>
      </c>
      <c r="B9024" s="2">
        <f>'[1]2025年已发货'!B:B</f>
        <v>0</v>
      </c>
      <c r="C9024" s="2">
        <f>'[1]2025年已发货'!C:C</f>
        <v>0</v>
      </c>
      <c r="D9024" s="2">
        <f>'[1]2025年已发货'!D:D</f>
        <v>0</v>
      </c>
      <c r="E9024" s="2">
        <f>'[1]2025年已发货'!E:E</f>
        <v>0</v>
      </c>
      <c r="F9024" s="4">
        <f>'[1]2025年已发货'!F:F</f>
        <v>0</v>
      </c>
      <c r="G9024" s="2">
        <f>'[1]2025年已发货'!G:G</f>
        <v>0</v>
      </c>
      <c r="H9024" s="2">
        <f>'[1]2025年已发货'!H:H</f>
        <v>0</v>
      </c>
      <c r="I9024" s="2">
        <f>'[1]2025年已发货'!I:I</f>
        <v>0</v>
      </c>
      <c r="J9024" s="2" vm="1" t="e">
        <f>_xlfn._xlws.FILTER(辅助信息!D:D,辅助信息!G:G=G9024)</f>
        <v>#VALUE!</v>
      </c>
    </row>
    <row r="9025" spans="1:10">
      <c r="A9025" s="2">
        <f>'[1]2025年已发货'!A:A</f>
        <v>0</v>
      </c>
      <c r="B9025" s="2">
        <f>'[1]2025年已发货'!B:B</f>
        <v>0</v>
      </c>
      <c r="C9025" s="2">
        <f>'[1]2025年已发货'!C:C</f>
        <v>0</v>
      </c>
      <c r="D9025" s="2">
        <f>'[1]2025年已发货'!D:D</f>
        <v>0</v>
      </c>
      <c r="E9025" s="2">
        <f>'[1]2025年已发货'!E:E</f>
        <v>0</v>
      </c>
      <c r="F9025" s="4">
        <f>'[1]2025年已发货'!F:F</f>
        <v>0</v>
      </c>
      <c r="G9025" s="2">
        <f>'[1]2025年已发货'!G:G</f>
        <v>0</v>
      </c>
      <c r="H9025" s="2">
        <f>'[1]2025年已发货'!H:H</f>
        <v>0</v>
      </c>
      <c r="I9025" s="2">
        <f>'[1]2025年已发货'!I:I</f>
        <v>0</v>
      </c>
      <c r="J9025" s="2" vm="1" t="e">
        <f>_xlfn._xlws.FILTER(辅助信息!D:D,辅助信息!G:G=G9025)</f>
        <v>#VALUE!</v>
      </c>
    </row>
    <row r="9026" spans="1:10">
      <c r="A9026" s="2">
        <f>'[1]2025年已发货'!A:A</f>
        <v>0</v>
      </c>
      <c r="B9026" s="2">
        <f>'[1]2025年已发货'!B:B</f>
        <v>0</v>
      </c>
      <c r="C9026" s="2">
        <f>'[1]2025年已发货'!C:C</f>
        <v>0</v>
      </c>
      <c r="D9026" s="2">
        <f>'[1]2025年已发货'!D:D</f>
        <v>0</v>
      </c>
      <c r="E9026" s="2">
        <f>'[1]2025年已发货'!E:E</f>
        <v>0</v>
      </c>
      <c r="F9026" s="4">
        <f>'[1]2025年已发货'!F:F</f>
        <v>0</v>
      </c>
      <c r="G9026" s="2">
        <f>'[1]2025年已发货'!G:G</f>
        <v>0</v>
      </c>
      <c r="H9026" s="2">
        <f>'[1]2025年已发货'!H:H</f>
        <v>0</v>
      </c>
      <c r="I9026" s="2">
        <f>'[1]2025年已发货'!I:I</f>
        <v>0</v>
      </c>
      <c r="J9026" s="2" vm="1" t="e">
        <f>_xlfn._xlws.FILTER(辅助信息!D:D,辅助信息!G:G=G9026)</f>
        <v>#VALUE!</v>
      </c>
    </row>
    <row r="9027" spans="1:10">
      <c r="A9027" s="2">
        <f>'[1]2025年已发货'!A:A</f>
        <v>0</v>
      </c>
      <c r="B9027" s="2">
        <f>'[1]2025年已发货'!B:B</f>
        <v>0</v>
      </c>
      <c r="C9027" s="2">
        <f>'[1]2025年已发货'!C:C</f>
        <v>0</v>
      </c>
      <c r="D9027" s="2">
        <f>'[1]2025年已发货'!D:D</f>
        <v>0</v>
      </c>
      <c r="E9027" s="2">
        <f>'[1]2025年已发货'!E:E</f>
        <v>0</v>
      </c>
      <c r="F9027" s="4">
        <f>'[1]2025年已发货'!F:F</f>
        <v>0</v>
      </c>
      <c r="G9027" s="2">
        <f>'[1]2025年已发货'!G:G</f>
        <v>0</v>
      </c>
      <c r="H9027" s="2">
        <f>'[1]2025年已发货'!H:H</f>
        <v>0</v>
      </c>
      <c r="I9027" s="2">
        <f>'[1]2025年已发货'!I:I</f>
        <v>0</v>
      </c>
      <c r="J9027" s="2" vm="1" t="e">
        <f>_xlfn._xlws.FILTER(辅助信息!D:D,辅助信息!G:G=G9027)</f>
        <v>#VALUE!</v>
      </c>
    </row>
    <row r="9028" spans="1:10">
      <c r="A9028" s="2">
        <f>'[1]2025年已发货'!A:A</f>
        <v>0</v>
      </c>
      <c r="B9028" s="2">
        <f>'[1]2025年已发货'!B:B</f>
        <v>0</v>
      </c>
      <c r="C9028" s="2">
        <f>'[1]2025年已发货'!C:C</f>
        <v>0</v>
      </c>
      <c r="D9028" s="2">
        <f>'[1]2025年已发货'!D:D</f>
        <v>0</v>
      </c>
      <c r="E9028" s="2">
        <f>'[1]2025年已发货'!E:E</f>
        <v>0</v>
      </c>
      <c r="F9028" s="4">
        <f>'[1]2025年已发货'!F:F</f>
        <v>0</v>
      </c>
      <c r="G9028" s="2">
        <f>'[1]2025年已发货'!G:G</f>
        <v>0</v>
      </c>
      <c r="H9028" s="2">
        <f>'[1]2025年已发货'!H:H</f>
        <v>0</v>
      </c>
      <c r="I9028" s="2">
        <f>'[1]2025年已发货'!I:I</f>
        <v>0</v>
      </c>
      <c r="J9028" s="2" vm="1" t="e">
        <f>_xlfn._xlws.FILTER(辅助信息!D:D,辅助信息!G:G=G9028)</f>
        <v>#VALUE!</v>
      </c>
    </row>
    <row r="9029" spans="1:10">
      <c r="A9029" s="2">
        <f>'[1]2025年已发货'!A:A</f>
        <v>0</v>
      </c>
      <c r="B9029" s="2">
        <f>'[1]2025年已发货'!B:B</f>
        <v>0</v>
      </c>
      <c r="C9029" s="2">
        <f>'[1]2025年已发货'!C:C</f>
        <v>0</v>
      </c>
      <c r="D9029" s="2">
        <f>'[1]2025年已发货'!D:D</f>
        <v>0</v>
      </c>
      <c r="E9029" s="2">
        <f>'[1]2025年已发货'!E:E</f>
        <v>0</v>
      </c>
      <c r="F9029" s="4">
        <f>'[1]2025年已发货'!F:F</f>
        <v>0</v>
      </c>
      <c r="G9029" s="2">
        <f>'[1]2025年已发货'!G:G</f>
        <v>0</v>
      </c>
      <c r="H9029" s="2">
        <f>'[1]2025年已发货'!H:H</f>
        <v>0</v>
      </c>
      <c r="I9029" s="2">
        <f>'[1]2025年已发货'!I:I</f>
        <v>0</v>
      </c>
      <c r="J9029" s="2" vm="1" t="e">
        <f>_xlfn._xlws.FILTER(辅助信息!D:D,辅助信息!G:G=G9029)</f>
        <v>#VALUE!</v>
      </c>
    </row>
    <row r="9030" spans="1:10">
      <c r="A9030" s="2">
        <f>'[1]2025年已发货'!A:A</f>
        <v>0</v>
      </c>
      <c r="B9030" s="2">
        <f>'[1]2025年已发货'!B:B</f>
        <v>0</v>
      </c>
      <c r="C9030" s="2">
        <f>'[1]2025年已发货'!C:C</f>
        <v>0</v>
      </c>
      <c r="D9030" s="2">
        <f>'[1]2025年已发货'!D:D</f>
        <v>0</v>
      </c>
      <c r="E9030" s="2">
        <f>'[1]2025年已发货'!E:E</f>
        <v>0</v>
      </c>
      <c r="F9030" s="4">
        <f>'[1]2025年已发货'!F:F</f>
        <v>0</v>
      </c>
      <c r="G9030" s="2">
        <f>'[1]2025年已发货'!G:G</f>
        <v>0</v>
      </c>
      <c r="H9030" s="2">
        <f>'[1]2025年已发货'!H:H</f>
        <v>0</v>
      </c>
      <c r="I9030" s="2">
        <f>'[1]2025年已发货'!I:I</f>
        <v>0</v>
      </c>
      <c r="J9030" s="2" vm="1" t="e">
        <f>_xlfn._xlws.FILTER(辅助信息!D:D,辅助信息!G:G=G9030)</f>
        <v>#VALUE!</v>
      </c>
    </row>
    <row r="9031" spans="1:10">
      <c r="A9031" s="2">
        <f>'[1]2025年已发货'!A:A</f>
        <v>0</v>
      </c>
      <c r="B9031" s="2">
        <f>'[1]2025年已发货'!B:B</f>
        <v>0</v>
      </c>
      <c r="C9031" s="2">
        <f>'[1]2025年已发货'!C:C</f>
        <v>0</v>
      </c>
      <c r="D9031" s="2">
        <f>'[1]2025年已发货'!D:D</f>
        <v>0</v>
      </c>
      <c r="E9031" s="2">
        <f>'[1]2025年已发货'!E:E</f>
        <v>0</v>
      </c>
      <c r="F9031" s="4">
        <f>'[1]2025年已发货'!F:F</f>
        <v>0</v>
      </c>
      <c r="G9031" s="2">
        <f>'[1]2025年已发货'!G:G</f>
        <v>0</v>
      </c>
      <c r="H9031" s="2">
        <f>'[1]2025年已发货'!H:H</f>
        <v>0</v>
      </c>
      <c r="I9031" s="2">
        <f>'[1]2025年已发货'!I:I</f>
        <v>0</v>
      </c>
      <c r="J9031" s="2" vm="1" t="e">
        <f>_xlfn._xlws.FILTER(辅助信息!D:D,辅助信息!G:G=G9031)</f>
        <v>#VALUE!</v>
      </c>
    </row>
    <row r="9032" spans="1:10">
      <c r="A9032" s="2">
        <f>'[1]2025年已发货'!A:A</f>
        <v>0</v>
      </c>
      <c r="B9032" s="2">
        <f>'[1]2025年已发货'!B:B</f>
        <v>0</v>
      </c>
      <c r="C9032" s="2">
        <f>'[1]2025年已发货'!C:C</f>
        <v>0</v>
      </c>
      <c r="D9032" s="2">
        <f>'[1]2025年已发货'!D:D</f>
        <v>0</v>
      </c>
      <c r="E9032" s="2">
        <f>'[1]2025年已发货'!E:E</f>
        <v>0</v>
      </c>
      <c r="F9032" s="4">
        <f>'[1]2025年已发货'!F:F</f>
        <v>0</v>
      </c>
      <c r="G9032" s="2">
        <f>'[1]2025年已发货'!G:G</f>
        <v>0</v>
      </c>
      <c r="H9032" s="2">
        <f>'[1]2025年已发货'!H:H</f>
        <v>0</v>
      </c>
      <c r="I9032" s="2">
        <f>'[1]2025年已发货'!I:I</f>
        <v>0</v>
      </c>
      <c r="J9032" s="2" vm="1" t="e">
        <f>_xlfn._xlws.FILTER(辅助信息!D:D,辅助信息!G:G=G9032)</f>
        <v>#VALUE!</v>
      </c>
    </row>
    <row r="9033" spans="1:10">
      <c r="A9033" s="2">
        <f>'[1]2025年已发货'!A:A</f>
        <v>0</v>
      </c>
      <c r="B9033" s="2">
        <f>'[1]2025年已发货'!B:B</f>
        <v>0</v>
      </c>
      <c r="C9033" s="2">
        <f>'[1]2025年已发货'!C:C</f>
        <v>0</v>
      </c>
      <c r="D9033" s="2">
        <f>'[1]2025年已发货'!D:D</f>
        <v>0</v>
      </c>
      <c r="E9033" s="2">
        <f>'[1]2025年已发货'!E:E</f>
        <v>0</v>
      </c>
      <c r="F9033" s="4">
        <f>'[1]2025年已发货'!F:F</f>
        <v>0</v>
      </c>
      <c r="G9033" s="2">
        <f>'[1]2025年已发货'!G:G</f>
        <v>0</v>
      </c>
      <c r="H9033" s="2">
        <f>'[1]2025年已发货'!H:H</f>
        <v>0</v>
      </c>
      <c r="I9033" s="2">
        <f>'[1]2025年已发货'!I:I</f>
        <v>0</v>
      </c>
      <c r="J9033" s="2" vm="1" t="e">
        <f>_xlfn._xlws.FILTER(辅助信息!D:D,辅助信息!G:G=G9033)</f>
        <v>#VALUE!</v>
      </c>
    </row>
    <row r="9034" spans="1:10">
      <c r="A9034" s="2">
        <f>'[1]2025年已发货'!A:A</f>
        <v>0</v>
      </c>
      <c r="B9034" s="2">
        <f>'[1]2025年已发货'!B:B</f>
        <v>0</v>
      </c>
      <c r="C9034" s="2">
        <f>'[1]2025年已发货'!C:C</f>
        <v>0</v>
      </c>
      <c r="D9034" s="2">
        <f>'[1]2025年已发货'!D:D</f>
        <v>0</v>
      </c>
      <c r="E9034" s="2">
        <f>'[1]2025年已发货'!E:E</f>
        <v>0</v>
      </c>
      <c r="F9034" s="4">
        <f>'[1]2025年已发货'!F:F</f>
        <v>0</v>
      </c>
      <c r="G9034" s="2">
        <f>'[1]2025年已发货'!G:G</f>
        <v>0</v>
      </c>
      <c r="H9034" s="2">
        <f>'[1]2025年已发货'!H:H</f>
        <v>0</v>
      </c>
      <c r="I9034" s="2">
        <f>'[1]2025年已发货'!I:I</f>
        <v>0</v>
      </c>
      <c r="J9034" s="2" vm="1" t="e">
        <f>_xlfn._xlws.FILTER(辅助信息!D:D,辅助信息!G:G=G9034)</f>
        <v>#VALUE!</v>
      </c>
    </row>
    <row r="9035" spans="1:10">
      <c r="A9035" s="2">
        <f>'[1]2025年已发货'!A:A</f>
        <v>0</v>
      </c>
      <c r="B9035" s="2">
        <f>'[1]2025年已发货'!B:B</f>
        <v>0</v>
      </c>
      <c r="C9035" s="2">
        <f>'[1]2025年已发货'!C:C</f>
        <v>0</v>
      </c>
      <c r="D9035" s="2">
        <f>'[1]2025年已发货'!D:D</f>
        <v>0</v>
      </c>
      <c r="E9035" s="2">
        <f>'[1]2025年已发货'!E:E</f>
        <v>0</v>
      </c>
      <c r="F9035" s="4">
        <f>'[1]2025年已发货'!F:F</f>
        <v>0</v>
      </c>
      <c r="G9035" s="2">
        <f>'[1]2025年已发货'!G:G</f>
        <v>0</v>
      </c>
      <c r="H9035" s="2">
        <f>'[1]2025年已发货'!H:H</f>
        <v>0</v>
      </c>
      <c r="I9035" s="2">
        <f>'[1]2025年已发货'!I:I</f>
        <v>0</v>
      </c>
      <c r="J9035" s="2" vm="1" t="e">
        <f>_xlfn._xlws.FILTER(辅助信息!D:D,辅助信息!G:G=G9035)</f>
        <v>#VALUE!</v>
      </c>
    </row>
    <row r="9036" spans="1:10">
      <c r="A9036" s="2">
        <f>'[1]2025年已发货'!A:A</f>
        <v>0</v>
      </c>
      <c r="B9036" s="2">
        <f>'[1]2025年已发货'!B:B</f>
        <v>0</v>
      </c>
      <c r="C9036" s="2">
        <f>'[1]2025年已发货'!C:C</f>
        <v>0</v>
      </c>
      <c r="D9036" s="2">
        <f>'[1]2025年已发货'!D:D</f>
        <v>0</v>
      </c>
      <c r="E9036" s="2">
        <f>'[1]2025年已发货'!E:E</f>
        <v>0</v>
      </c>
      <c r="F9036" s="4">
        <f>'[1]2025年已发货'!F:F</f>
        <v>0</v>
      </c>
      <c r="G9036" s="2">
        <f>'[1]2025年已发货'!G:G</f>
        <v>0</v>
      </c>
      <c r="H9036" s="2">
        <f>'[1]2025年已发货'!H:H</f>
        <v>0</v>
      </c>
      <c r="I9036" s="2">
        <f>'[1]2025年已发货'!I:I</f>
        <v>0</v>
      </c>
      <c r="J9036" s="2" vm="1" t="e">
        <f>_xlfn._xlws.FILTER(辅助信息!D:D,辅助信息!G:G=G9036)</f>
        <v>#VALUE!</v>
      </c>
    </row>
    <row r="9037" spans="1:10">
      <c r="A9037" s="2">
        <f>'[1]2025年已发货'!A:A</f>
        <v>0</v>
      </c>
      <c r="B9037" s="2">
        <f>'[1]2025年已发货'!B:B</f>
        <v>0</v>
      </c>
      <c r="C9037" s="2">
        <f>'[1]2025年已发货'!C:C</f>
        <v>0</v>
      </c>
      <c r="D9037" s="2">
        <f>'[1]2025年已发货'!D:D</f>
        <v>0</v>
      </c>
      <c r="E9037" s="2">
        <f>'[1]2025年已发货'!E:E</f>
        <v>0</v>
      </c>
      <c r="F9037" s="4">
        <f>'[1]2025年已发货'!F:F</f>
        <v>0</v>
      </c>
      <c r="G9037" s="2">
        <f>'[1]2025年已发货'!G:G</f>
        <v>0</v>
      </c>
      <c r="H9037" s="2">
        <f>'[1]2025年已发货'!H:H</f>
        <v>0</v>
      </c>
      <c r="I9037" s="2">
        <f>'[1]2025年已发货'!I:I</f>
        <v>0</v>
      </c>
      <c r="J9037" s="2" vm="1" t="e">
        <f>_xlfn._xlws.FILTER(辅助信息!D:D,辅助信息!G:G=G9037)</f>
        <v>#VALUE!</v>
      </c>
    </row>
    <row r="9038" spans="1:10">
      <c r="A9038" s="2">
        <f>'[1]2025年已发货'!A:A</f>
        <v>0</v>
      </c>
      <c r="B9038" s="2">
        <f>'[1]2025年已发货'!B:B</f>
        <v>0</v>
      </c>
      <c r="C9038" s="2">
        <f>'[1]2025年已发货'!C:C</f>
        <v>0</v>
      </c>
      <c r="D9038" s="2">
        <f>'[1]2025年已发货'!D:D</f>
        <v>0</v>
      </c>
      <c r="E9038" s="2">
        <f>'[1]2025年已发货'!E:E</f>
        <v>0</v>
      </c>
      <c r="F9038" s="4">
        <f>'[1]2025年已发货'!F:F</f>
        <v>0</v>
      </c>
      <c r="G9038" s="2">
        <f>'[1]2025年已发货'!G:G</f>
        <v>0</v>
      </c>
      <c r="H9038" s="2">
        <f>'[1]2025年已发货'!H:H</f>
        <v>0</v>
      </c>
      <c r="I9038" s="2">
        <f>'[1]2025年已发货'!I:I</f>
        <v>0</v>
      </c>
      <c r="J9038" s="2" vm="1" t="e">
        <f>_xlfn._xlws.FILTER(辅助信息!D:D,辅助信息!G:G=G9038)</f>
        <v>#VALUE!</v>
      </c>
    </row>
    <row r="9039" spans="1:10">
      <c r="A9039" s="2">
        <f>'[1]2025年已发货'!A:A</f>
        <v>0</v>
      </c>
      <c r="B9039" s="2">
        <f>'[1]2025年已发货'!B:B</f>
        <v>0</v>
      </c>
      <c r="C9039" s="2">
        <f>'[1]2025年已发货'!C:C</f>
        <v>0</v>
      </c>
      <c r="D9039" s="2">
        <f>'[1]2025年已发货'!D:D</f>
        <v>0</v>
      </c>
      <c r="E9039" s="2">
        <f>'[1]2025年已发货'!E:E</f>
        <v>0</v>
      </c>
      <c r="F9039" s="4">
        <f>'[1]2025年已发货'!F:F</f>
        <v>0</v>
      </c>
      <c r="G9039" s="2">
        <f>'[1]2025年已发货'!G:G</f>
        <v>0</v>
      </c>
      <c r="H9039" s="2">
        <f>'[1]2025年已发货'!H:H</f>
        <v>0</v>
      </c>
      <c r="I9039" s="2">
        <f>'[1]2025年已发货'!I:I</f>
        <v>0</v>
      </c>
      <c r="J9039" s="2" vm="1" t="e">
        <f>_xlfn._xlws.FILTER(辅助信息!D:D,辅助信息!G:G=G9039)</f>
        <v>#VALUE!</v>
      </c>
    </row>
    <row r="9040" spans="1:10">
      <c r="A9040" s="2">
        <f>'[1]2025年已发货'!A:A</f>
        <v>0</v>
      </c>
      <c r="B9040" s="2">
        <f>'[1]2025年已发货'!B:B</f>
        <v>0</v>
      </c>
      <c r="C9040" s="2">
        <f>'[1]2025年已发货'!C:C</f>
        <v>0</v>
      </c>
      <c r="D9040" s="2">
        <f>'[1]2025年已发货'!D:D</f>
        <v>0</v>
      </c>
      <c r="E9040" s="2">
        <f>'[1]2025年已发货'!E:E</f>
        <v>0</v>
      </c>
      <c r="F9040" s="4">
        <f>'[1]2025年已发货'!F:F</f>
        <v>0</v>
      </c>
      <c r="G9040" s="2">
        <f>'[1]2025年已发货'!G:G</f>
        <v>0</v>
      </c>
      <c r="H9040" s="2">
        <f>'[1]2025年已发货'!H:H</f>
        <v>0</v>
      </c>
      <c r="I9040" s="2">
        <f>'[1]2025年已发货'!I:I</f>
        <v>0</v>
      </c>
      <c r="J9040" s="2" vm="1" t="e">
        <f>_xlfn._xlws.FILTER(辅助信息!D:D,辅助信息!G:G=G9040)</f>
        <v>#VALUE!</v>
      </c>
    </row>
    <row r="9041" spans="1:10">
      <c r="A9041" s="2">
        <f>'[1]2025年已发货'!A:A</f>
        <v>0</v>
      </c>
      <c r="B9041" s="2">
        <f>'[1]2025年已发货'!B:B</f>
        <v>0</v>
      </c>
      <c r="C9041" s="2">
        <f>'[1]2025年已发货'!C:C</f>
        <v>0</v>
      </c>
      <c r="D9041" s="2">
        <f>'[1]2025年已发货'!D:D</f>
        <v>0</v>
      </c>
      <c r="E9041" s="2">
        <f>'[1]2025年已发货'!E:E</f>
        <v>0</v>
      </c>
      <c r="F9041" s="4">
        <f>'[1]2025年已发货'!F:F</f>
        <v>0</v>
      </c>
      <c r="G9041" s="2">
        <f>'[1]2025年已发货'!G:G</f>
        <v>0</v>
      </c>
      <c r="H9041" s="2">
        <f>'[1]2025年已发货'!H:H</f>
        <v>0</v>
      </c>
      <c r="I9041" s="2">
        <f>'[1]2025年已发货'!I:I</f>
        <v>0</v>
      </c>
      <c r="J9041" s="2" vm="1" t="e">
        <f>_xlfn._xlws.FILTER(辅助信息!D:D,辅助信息!G:G=G9041)</f>
        <v>#VALUE!</v>
      </c>
    </row>
    <row r="9042" spans="1:10">
      <c r="A9042" s="2">
        <f>'[1]2025年已发货'!A:A</f>
        <v>0</v>
      </c>
      <c r="B9042" s="2">
        <f>'[1]2025年已发货'!B:B</f>
        <v>0</v>
      </c>
      <c r="C9042" s="2">
        <f>'[1]2025年已发货'!C:C</f>
        <v>0</v>
      </c>
      <c r="D9042" s="2">
        <f>'[1]2025年已发货'!D:D</f>
        <v>0</v>
      </c>
      <c r="E9042" s="2">
        <f>'[1]2025年已发货'!E:E</f>
        <v>0</v>
      </c>
      <c r="F9042" s="4">
        <f>'[1]2025年已发货'!F:F</f>
        <v>0</v>
      </c>
      <c r="G9042" s="2">
        <f>'[1]2025年已发货'!G:G</f>
        <v>0</v>
      </c>
      <c r="H9042" s="2">
        <f>'[1]2025年已发货'!H:H</f>
        <v>0</v>
      </c>
      <c r="I9042" s="2">
        <f>'[1]2025年已发货'!I:I</f>
        <v>0</v>
      </c>
      <c r="J9042" s="2" vm="1" t="e">
        <f>_xlfn._xlws.FILTER(辅助信息!D:D,辅助信息!G:G=G9042)</f>
        <v>#VALUE!</v>
      </c>
    </row>
    <row r="9043" spans="1:10">
      <c r="A9043" s="2">
        <f>'[1]2025年已发货'!A:A</f>
        <v>0</v>
      </c>
      <c r="B9043" s="2">
        <f>'[1]2025年已发货'!B:B</f>
        <v>0</v>
      </c>
      <c r="C9043" s="2">
        <f>'[1]2025年已发货'!C:C</f>
        <v>0</v>
      </c>
      <c r="D9043" s="2">
        <f>'[1]2025年已发货'!D:D</f>
        <v>0</v>
      </c>
      <c r="E9043" s="2">
        <f>'[1]2025年已发货'!E:E</f>
        <v>0</v>
      </c>
      <c r="F9043" s="4">
        <f>'[1]2025年已发货'!F:F</f>
        <v>0</v>
      </c>
      <c r="G9043" s="2">
        <f>'[1]2025年已发货'!G:G</f>
        <v>0</v>
      </c>
      <c r="H9043" s="2">
        <f>'[1]2025年已发货'!H:H</f>
        <v>0</v>
      </c>
      <c r="I9043" s="2">
        <f>'[1]2025年已发货'!I:I</f>
        <v>0</v>
      </c>
      <c r="J9043" s="2" vm="1" t="e">
        <f>_xlfn._xlws.FILTER(辅助信息!D:D,辅助信息!G:G=G9043)</f>
        <v>#VALUE!</v>
      </c>
    </row>
    <row r="9044" spans="1:10">
      <c r="A9044" s="2">
        <f>'[1]2025年已发货'!A:A</f>
        <v>0</v>
      </c>
      <c r="B9044" s="2">
        <f>'[1]2025年已发货'!B:B</f>
        <v>0</v>
      </c>
      <c r="C9044" s="2">
        <f>'[1]2025年已发货'!C:C</f>
        <v>0</v>
      </c>
      <c r="D9044" s="2">
        <f>'[1]2025年已发货'!D:D</f>
        <v>0</v>
      </c>
      <c r="E9044" s="2">
        <f>'[1]2025年已发货'!E:E</f>
        <v>0</v>
      </c>
      <c r="F9044" s="4">
        <f>'[1]2025年已发货'!F:F</f>
        <v>0</v>
      </c>
      <c r="G9044" s="2">
        <f>'[1]2025年已发货'!G:G</f>
        <v>0</v>
      </c>
      <c r="H9044" s="2">
        <f>'[1]2025年已发货'!H:H</f>
        <v>0</v>
      </c>
      <c r="I9044" s="2">
        <f>'[1]2025年已发货'!I:I</f>
        <v>0</v>
      </c>
      <c r="J9044" s="2" vm="1" t="e">
        <f>_xlfn._xlws.FILTER(辅助信息!D:D,辅助信息!G:G=G9044)</f>
        <v>#VALUE!</v>
      </c>
    </row>
    <row r="9045" spans="1:10">
      <c r="A9045" s="2">
        <f>'[1]2025年已发货'!A:A</f>
        <v>0</v>
      </c>
      <c r="B9045" s="2">
        <f>'[1]2025年已发货'!B:B</f>
        <v>0</v>
      </c>
      <c r="C9045" s="2">
        <f>'[1]2025年已发货'!C:C</f>
        <v>0</v>
      </c>
      <c r="D9045" s="2">
        <f>'[1]2025年已发货'!D:D</f>
        <v>0</v>
      </c>
      <c r="E9045" s="2">
        <f>'[1]2025年已发货'!E:E</f>
        <v>0</v>
      </c>
      <c r="F9045" s="4">
        <f>'[1]2025年已发货'!F:F</f>
        <v>0</v>
      </c>
      <c r="G9045" s="2">
        <f>'[1]2025年已发货'!G:G</f>
        <v>0</v>
      </c>
      <c r="H9045" s="2">
        <f>'[1]2025年已发货'!H:H</f>
        <v>0</v>
      </c>
      <c r="I9045" s="2">
        <f>'[1]2025年已发货'!I:I</f>
        <v>0</v>
      </c>
      <c r="J9045" s="2" vm="1" t="e">
        <f>_xlfn._xlws.FILTER(辅助信息!D:D,辅助信息!G:G=G9045)</f>
        <v>#VALUE!</v>
      </c>
    </row>
    <row r="9046" spans="1:10">
      <c r="A9046" s="2">
        <f>'[1]2025年已发货'!A:A</f>
        <v>0</v>
      </c>
      <c r="B9046" s="2">
        <f>'[1]2025年已发货'!B:B</f>
        <v>0</v>
      </c>
      <c r="C9046" s="2">
        <f>'[1]2025年已发货'!C:C</f>
        <v>0</v>
      </c>
      <c r="D9046" s="2">
        <f>'[1]2025年已发货'!D:D</f>
        <v>0</v>
      </c>
      <c r="E9046" s="2">
        <f>'[1]2025年已发货'!E:E</f>
        <v>0</v>
      </c>
      <c r="F9046" s="4">
        <f>'[1]2025年已发货'!F:F</f>
        <v>0</v>
      </c>
      <c r="G9046" s="2">
        <f>'[1]2025年已发货'!G:G</f>
        <v>0</v>
      </c>
      <c r="H9046" s="2">
        <f>'[1]2025年已发货'!H:H</f>
        <v>0</v>
      </c>
      <c r="I9046" s="2">
        <f>'[1]2025年已发货'!I:I</f>
        <v>0</v>
      </c>
      <c r="J9046" s="2" vm="1" t="e">
        <f>_xlfn._xlws.FILTER(辅助信息!D:D,辅助信息!G:G=G9046)</f>
        <v>#VALUE!</v>
      </c>
    </row>
    <row r="9047" spans="1:10">
      <c r="A9047" s="2">
        <f>'[1]2025年已发货'!A:A</f>
        <v>0</v>
      </c>
      <c r="B9047" s="2">
        <f>'[1]2025年已发货'!B:B</f>
        <v>0</v>
      </c>
      <c r="C9047" s="2">
        <f>'[1]2025年已发货'!C:C</f>
        <v>0</v>
      </c>
      <c r="D9047" s="2">
        <f>'[1]2025年已发货'!D:D</f>
        <v>0</v>
      </c>
      <c r="E9047" s="2">
        <f>'[1]2025年已发货'!E:E</f>
        <v>0</v>
      </c>
      <c r="F9047" s="4">
        <f>'[1]2025年已发货'!F:F</f>
        <v>0</v>
      </c>
      <c r="G9047" s="2">
        <f>'[1]2025年已发货'!G:G</f>
        <v>0</v>
      </c>
      <c r="H9047" s="2">
        <f>'[1]2025年已发货'!H:H</f>
        <v>0</v>
      </c>
      <c r="I9047" s="2">
        <f>'[1]2025年已发货'!I:I</f>
        <v>0</v>
      </c>
      <c r="J9047" s="2" vm="1" t="e">
        <f>_xlfn._xlws.FILTER(辅助信息!D:D,辅助信息!G:G=G9047)</f>
        <v>#VALUE!</v>
      </c>
    </row>
    <row r="9048" spans="1:10">
      <c r="A9048" s="2">
        <f>'[1]2025年已发货'!A:A</f>
        <v>0</v>
      </c>
      <c r="B9048" s="2">
        <f>'[1]2025年已发货'!B:B</f>
        <v>0</v>
      </c>
      <c r="C9048" s="2">
        <f>'[1]2025年已发货'!C:C</f>
        <v>0</v>
      </c>
      <c r="D9048" s="2">
        <f>'[1]2025年已发货'!D:D</f>
        <v>0</v>
      </c>
      <c r="E9048" s="2">
        <f>'[1]2025年已发货'!E:E</f>
        <v>0</v>
      </c>
      <c r="F9048" s="4">
        <f>'[1]2025年已发货'!F:F</f>
        <v>0</v>
      </c>
      <c r="G9048" s="2">
        <f>'[1]2025年已发货'!G:G</f>
        <v>0</v>
      </c>
      <c r="H9048" s="2">
        <f>'[1]2025年已发货'!H:H</f>
        <v>0</v>
      </c>
      <c r="I9048" s="2">
        <f>'[1]2025年已发货'!I:I</f>
        <v>0</v>
      </c>
      <c r="J9048" s="2" vm="1" t="e">
        <f>_xlfn._xlws.FILTER(辅助信息!D:D,辅助信息!G:G=G9048)</f>
        <v>#VALUE!</v>
      </c>
    </row>
    <row r="9049" spans="1:10">
      <c r="A9049" s="2">
        <f>'[1]2025年已发货'!A:A</f>
        <v>0</v>
      </c>
      <c r="B9049" s="2">
        <f>'[1]2025年已发货'!B:B</f>
        <v>0</v>
      </c>
      <c r="C9049" s="2">
        <f>'[1]2025年已发货'!C:C</f>
        <v>0</v>
      </c>
      <c r="D9049" s="2">
        <f>'[1]2025年已发货'!D:D</f>
        <v>0</v>
      </c>
      <c r="E9049" s="2">
        <f>'[1]2025年已发货'!E:E</f>
        <v>0</v>
      </c>
      <c r="F9049" s="4">
        <f>'[1]2025年已发货'!F:F</f>
        <v>0</v>
      </c>
      <c r="G9049" s="2">
        <f>'[1]2025年已发货'!G:G</f>
        <v>0</v>
      </c>
      <c r="H9049" s="2">
        <f>'[1]2025年已发货'!H:H</f>
        <v>0</v>
      </c>
      <c r="I9049" s="2">
        <f>'[1]2025年已发货'!I:I</f>
        <v>0</v>
      </c>
      <c r="J9049" s="2" vm="1" t="e">
        <f>_xlfn._xlws.FILTER(辅助信息!D:D,辅助信息!G:G=G9049)</f>
        <v>#VALUE!</v>
      </c>
    </row>
    <row r="9050" spans="1:10">
      <c r="A9050" s="2">
        <f>'[1]2025年已发货'!A:A</f>
        <v>0</v>
      </c>
      <c r="B9050" s="2">
        <f>'[1]2025年已发货'!B:B</f>
        <v>0</v>
      </c>
      <c r="C9050" s="2">
        <f>'[1]2025年已发货'!C:C</f>
        <v>0</v>
      </c>
      <c r="D9050" s="2">
        <f>'[1]2025年已发货'!D:D</f>
        <v>0</v>
      </c>
      <c r="E9050" s="2">
        <f>'[1]2025年已发货'!E:E</f>
        <v>0</v>
      </c>
      <c r="F9050" s="4">
        <f>'[1]2025年已发货'!F:F</f>
        <v>0</v>
      </c>
      <c r="G9050" s="2">
        <f>'[1]2025年已发货'!G:G</f>
        <v>0</v>
      </c>
      <c r="H9050" s="2">
        <f>'[1]2025年已发货'!H:H</f>
        <v>0</v>
      </c>
      <c r="I9050" s="2">
        <f>'[1]2025年已发货'!I:I</f>
        <v>0</v>
      </c>
      <c r="J9050" s="2" vm="1" t="e">
        <f>_xlfn._xlws.FILTER(辅助信息!D:D,辅助信息!G:G=G9050)</f>
        <v>#VALUE!</v>
      </c>
    </row>
    <row r="9051" spans="1:10">
      <c r="A9051" s="2">
        <f>'[1]2025年已发货'!A:A</f>
        <v>0</v>
      </c>
      <c r="B9051" s="2">
        <f>'[1]2025年已发货'!B:B</f>
        <v>0</v>
      </c>
      <c r="C9051" s="2">
        <f>'[1]2025年已发货'!C:C</f>
        <v>0</v>
      </c>
      <c r="D9051" s="2">
        <f>'[1]2025年已发货'!D:D</f>
        <v>0</v>
      </c>
      <c r="E9051" s="2">
        <f>'[1]2025年已发货'!E:E</f>
        <v>0</v>
      </c>
      <c r="F9051" s="4">
        <f>'[1]2025年已发货'!F:F</f>
        <v>0</v>
      </c>
      <c r="G9051" s="2">
        <f>'[1]2025年已发货'!G:G</f>
        <v>0</v>
      </c>
      <c r="H9051" s="2">
        <f>'[1]2025年已发货'!H:H</f>
        <v>0</v>
      </c>
      <c r="I9051" s="2">
        <f>'[1]2025年已发货'!I:I</f>
        <v>0</v>
      </c>
      <c r="J9051" s="2" vm="1" t="e">
        <f>_xlfn._xlws.FILTER(辅助信息!D:D,辅助信息!G:G=G9051)</f>
        <v>#VALUE!</v>
      </c>
    </row>
    <row r="9052" spans="1:10">
      <c r="A9052" s="2">
        <f>'[1]2025年已发货'!A:A</f>
        <v>0</v>
      </c>
      <c r="B9052" s="2">
        <f>'[1]2025年已发货'!B:B</f>
        <v>0</v>
      </c>
      <c r="C9052" s="2">
        <f>'[1]2025年已发货'!C:C</f>
        <v>0</v>
      </c>
      <c r="D9052" s="2">
        <f>'[1]2025年已发货'!D:D</f>
        <v>0</v>
      </c>
      <c r="E9052" s="2">
        <f>'[1]2025年已发货'!E:E</f>
        <v>0</v>
      </c>
      <c r="F9052" s="4">
        <f>'[1]2025年已发货'!F:F</f>
        <v>0</v>
      </c>
      <c r="G9052" s="2">
        <f>'[1]2025年已发货'!G:G</f>
        <v>0</v>
      </c>
      <c r="H9052" s="2">
        <f>'[1]2025年已发货'!H:H</f>
        <v>0</v>
      </c>
      <c r="I9052" s="2">
        <f>'[1]2025年已发货'!I:I</f>
        <v>0</v>
      </c>
      <c r="J9052" s="2" vm="1" t="e">
        <f>_xlfn._xlws.FILTER(辅助信息!D:D,辅助信息!G:G=G9052)</f>
        <v>#VALUE!</v>
      </c>
    </row>
    <row r="9053" spans="1:10">
      <c r="A9053" s="2">
        <f>'[1]2025年已发货'!A:A</f>
        <v>0</v>
      </c>
      <c r="B9053" s="2">
        <f>'[1]2025年已发货'!B:B</f>
        <v>0</v>
      </c>
      <c r="C9053" s="2">
        <f>'[1]2025年已发货'!C:C</f>
        <v>0</v>
      </c>
      <c r="D9053" s="2">
        <f>'[1]2025年已发货'!D:D</f>
        <v>0</v>
      </c>
      <c r="E9053" s="2">
        <f>'[1]2025年已发货'!E:E</f>
        <v>0</v>
      </c>
      <c r="F9053" s="4">
        <f>'[1]2025年已发货'!F:F</f>
        <v>0</v>
      </c>
      <c r="G9053" s="2">
        <f>'[1]2025年已发货'!G:G</f>
        <v>0</v>
      </c>
      <c r="H9053" s="2">
        <f>'[1]2025年已发货'!H:H</f>
        <v>0</v>
      </c>
      <c r="I9053" s="2">
        <f>'[1]2025年已发货'!I:I</f>
        <v>0</v>
      </c>
      <c r="J9053" s="2" vm="1" t="e">
        <f>_xlfn._xlws.FILTER(辅助信息!D:D,辅助信息!G:G=G9053)</f>
        <v>#VALUE!</v>
      </c>
    </row>
    <row r="9054" spans="1:10">
      <c r="A9054" s="2">
        <f>'[1]2025年已发货'!A:A</f>
        <v>0</v>
      </c>
      <c r="B9054" s="2">
        <f>'[1]2025年已发货'!B:B</f>
        <v>0</v>
      </c>
      <c r="C9054" s="2">
        <f>'[1]2025年已发货'!C:C</f>
        <v>0</v>
      </c>
      <c r="D9054" s="2">
        <f>'[1]2025年已发货'!D:D</f>
        <v>0</v>
      </c>
      <c r="E9054" s="2">
        <f>'[1]2025年已发货'!E:E</f>
        <v>0</v>
      </c>
      <c r="F9054" s="4">
        <f>'[1]2025年已发货'!F:F</f>
        <v>0</v>
      </c>
      <c r="G9054" s="2">
        <f>'[1]2025年已发货'!G:G</f>
        <v>0</v>
      </c>
      <c r="H9054" s="2">
        <f>'[1]2025年已发货'!H:H</f>
        <v>0</v>
      </c>
      <c r="I9054" s="2">
        <f>'[1]2025年已发货'!I:I</f>
        <v>0</v>
      </c>
      <c r="J9054" s="2" vm="1" t="e">
        <f>_xlfn._xlws.FILTER(辅助信息!D:D,辅助信息!G:G=G9054)</f>
        <v>#VALUE!</v>
      </c>
    </row>
    <row r="9055" spans="1:10">
      <c r="A9055" s="2">
        <f>'[1]2025年已发货'!A:A</f>
        <v>0</v>
      </c>
      <c r="B9055" s="2">
        <f>'[1]2025年已发货'!B:B</f>
        <v>0</v>
      </c>
      <c r="C9055" s="2">
        <f>'[1]2025年已发货'!C:C</f>
        <v>0</v>
      </c>
      <c r="D9055" s="2">
        <f>'[1]2025年已发货'!D:D</f>
        <v>0</v>
      </c>
      <c r="E9055" s="2">
        <f>'[1]2025年已发货'!E:E</f>
        <v>0</v>
      </c>
      <c r="F9055" s="4">
        <f>'[1]2025年已发货'!F:F</f>
        <v>0</v>
      </c>
      <c r="G9055" s="2">
        <f>'[1]2025年已发货'!G:G</f>
        <v>0</v>
      </c>
      <c r="H9055" s="2">
        <f>'[1]2025年已发货'!H:H</f>
        <v>0</v>
      </c>
      <c r="I9055" s="2">
        <f>'[1]2025年已发货'!I:I</f>
        <v>0</v>
      </c>
      <c r="J9055" s="2" vm="1" t="e">
        <f>_xlfn._xlws.FILTER(辅助信息!D:D,辅助信息!G:G=G9055)</f>
        <v>#VALUE!</v>
      </c>
    </row>
    <row r="9056" spans="1:10">
      <c r="A9056" s="2">
        <f>'[1]2025年已发货'!A:A</f>
        <v>0</v>
      </c>
      <c r="B9056" s="2">
        <f>'[1]2025年已发货'!B:B</f>
        <v>0</v>
      </c>
      <c r="C9056" s="2">
        <f>'[1]2025年已发货'!C:C</f>
        <v>0</v>
      </c>
      <c r="D9056" s="2">
        <f>'[1]2025年已发货'!D:D</f>
        <v>0</v>
      </c>
      <c r="E9056" s="2">
        <f>'[1]2025年已发货'!E:E</f>
        <v>0</v>
      </c>
      <c r="F9056" s="4">
        <f>'[1]2025年已发货'!F:F</f>
        <v>0</v>
      </c>
      <c r="G9056" s="2">
        <f>'[1]2025年已发货'!G:G</f>
        <v>0</v>
      </c>
      <c r="H9056" s="2">
        <f>'[1]2025年已发货'!H:H</f>
        <v>0</v>
      </c>
      <c r="I9056" s="2">
        <f>'[1]2025年已发货'!I:I</f>
        <v>0</v>
      </c>
      <c r="J9056" s="2" vm="1" t="e">
        <f>_xlfn._xlws.FILTER(辅助信息!D:D,辅助信息!G:G=G9056)</f>
        <v>#VALUE!</v>
      </c>
    </row>
    <row r="9057" spans="1:10">
      <c r="A9057" s="2">
        <f>'[1]2025年已发货'!A:A</f>
        <v>0</v>
      </c>
      <c r="B9057" s="2">
        <f>'[1]2025年已发货'!B:B</f>
        <v>0</v>
      </c>
      <c r="C9057" s="2">
        <f>'[1]2025年已发货'!C:C</f>
        <v>0</v>
      </c>
      <c r="D9057" s="2">
        <f>'[1]2025年已发货'!D:D</f>
        <v>0</v>
      </c>
      <c r="E9057" s="2">
        <f>'[1]2025年已发货'!E:E</f>
        <v>0</v>
      </c>
      <c r="F9057" s="4">
        <f>'[1]2025年已发货'!F:F</f>
        <v>0</v>
      </c>
      <c r="G9057" s="2">
        <f>'[1]2025年已发货'!G:G</f>
        <v>0</v>
      </c>
      <c r="H9057" s="2">
        <f>'[1]2025年已发货'!H:H</f>
        <v>0</v>
      </c>
      <c r="I9057" s="2">
        <f>'[1]2025年已发货'!I:I</f>
        <v>0</v>
      </c>
      <c r="J9057" s="2" vm="1" t="e">
        <f>_xlfn._xlws.FILTER(辅助信息!D:D,辅助信息!G:G=G9057)</f>
        <v>#VALUE!</v>
      </c>
    </row>
    <row r="9058" spans="1:10">
      <c r="A9058" s="2">
        <f>'[1]2025年已发货'!A:A</f>
        <v>0</v>
      </c>
      <c r="B9058" s="2">
        <f>'[1]2025年已发货'!B:B</f>
        <v>0</v>
      </c>
      <c r="C9058" s="2">
        <f>'[1]2025年已发货'!C:C</f>
        <v>0</v>
      </c>
      <c r="D9058" s="2">
        <f>'[1]2025年已发货'!D:D</f>
        <v>0</v>
      </c>
      <c r="E9058" s="2">
        <f>'[1]2025年已发货'!E:E</f>
        <v>0</v>
      </c>
      <c r="F9058" s="4">
        <f>'[1]2025年已发货'!F:F</f>
        <v>0</v>
      </c>
      <c r="G9058" s="2">
        <f>'[1]2025年已发货'!G:G</f>
        <v>0</v>
      </c>
      <c r="H9058" s="2">
        <f>'[1]2025年已发货'!H:H</f>
        <v>0</v>
      </c>
      <c r="I9058" s="2">
        <f>'[1]2025年已发货'!I:I</f>
        <v>0</v>
      </c>
      <c r="J9058" s="2" vm="1" t="e">
        <f>_xlfn._xlws.FILTER(辅助信息!D:D,辅助信息!G:G=G9058)</f>
        <v>#VALUE!</v>
      </c>
    </row>
    <row r="9059" spans="1:10">
      <c r="A9059" s="2">
        <f>'[1]2025年已发货'!A:A</f>
        <v>0</v>
      </c>
      <c r="B9059" s="2">
        <f>'[1]2025年已发货'!B:B</f>
        <v>0</v>
      </c>
      <c r="C9059" s="2">
        <f>'[1]2025年已发货'!C:C</f>
        <v>0</v>
      </c>
      <c r="D9059" s="2">
        <f>'[1]2025年已发货'!D:D</f>
        <v>0</v>
      </c>
      <c r="E9059" s="2">
        <f>'[1]2025年已发货'!E:E</f>
        <v>0</v>
      </c>
      <c r="F9059" s="4">
        <f>'[1]2025年已发货'!F:F</f>
        <v>0</v>
      </c>
      <c r="G9059" s="2">
        <f>'[1]2025年已发货'!G:G</f>
        <v>0</v>
      </c>
      <c r="H9059" s="2">
        <f>'[1]2025年已发货'!H:H</f>
        <v>0</v>
      </c>
      <c r="I9059" s="2">
        <f>'[1]2025年已发货'!I:I</f>
        <v>0</v>
      </c>
      <c r="J9059" s="2" vm="1" t="e">
        <f>_xlfn._xlws.FILTER(辅助信息!D:D,辅助信息!G:G=G9059)</f>
        <v>#VALUE!</v>
      </c>
    </row>
    <row r="9060" spans="1:10">
      <c r="A9060" s="2">
        <f>'[1]2025年已发货'!A:A</f>
        <v>0</v>
      </c>
      <c r="B9060" s="2">
        <f>'[1]2025年已发货'!B:B</f>
        <v>0</v>
      </c>
      <c r="C9060" s="2">
        <f>'[1]2025年已发货'!C:C</f>
        <v>0</v>
      </c>
      <c r="D9060" s="2">
        <f>'[1]2025年已发货'!D:D</f>
        <v>0</v>
      </c>
      <c r="E9060" s="2">
        <f>'[1]2025年已发货'!E:E</f>
        <v>0</v>
      </c>
      <c r="F9060" s="4">
        <f>'[1]2025年已发货'!F:F</f>
        <v>0</v>
      </c>
      <c r="G9060" s="2">
        <f>'[1]2025年已发货'!G:G</f>
        <v>0</v>
      </c>
      <c r="H9060" s="2">
        <f>'[1]2025年已发货'!H:H</f>
        <v>0</v>
      </c>
      <c r="I9060" s="2">
        <f>'[1]2025年已发货'!I:I</f>
        <v>0</v>
      </c>
      <c r="J9060" s="2" vm="1" t="e">
        <f>_xlfn._xlws.FILTER(辅助信息!D:D,辅助信息!G:G=G9060)</f>
        <v>#VALUE!</v>
      </c>
    </row>
    <row r="9061" spans="1:10">
      <c r="A9061" s="2">
        <f>'[1]2025年已发货'!A:A</f>
        <v>0</v>
      </c>
      <c r="B9061" s="2">
        <f>'[1]2025年已发货'!B:B</f>
        <v>0</v>
      </c>
      <c r="C9061" s="2">
        <f>'[1]2025年已发货'!C:C</f>
        <v>0</v>
      </c>
      <c r="D9061" s="2">
        <f>'[1]2025年已发货'!D:D</f>
        <v>0</v>
      </c>
      <c r="E9061" s="2">
        <f>'[1]2025年已发货'!E:E</f>
        <v>0</v>
      </c>
      <c r="F9061" s="4">
        <f>'[1]2025年已发货'!F:F</f>
        <v>0</v>
      </c>
      <c r="G9061" s="2">
        <f>'[1]2025年已发货'!G:G</f>
        <v>0</v>
      </c>
      <c r="H9061" s="2">
        <f>'[1]2025年已发货'!H:H</f>
        <v>0</v>
      </c>
      <c r="I9061" s="2">
        <f>'[1]2025年已发货'!I:I</f>
        <v>0</v>
      </c>
      <c r="J9061" s="2" vm="1" t="e">
        <f>_xlfn._xlws.FILTER(辅助信息!D:D,辅助信息!G:G=G9061)</f>
        <v>#VALUE!</v>
      </c>
    </row>
    <row r="9062" spans="1:10">
      <c r="A9062" s="2">
        <f>'[1]2025年已发货'!A:A</f>
        <v>0</v>
      </c>
      <c r="B9062" s="2">
        <f>'[1]2025年已发货'!B:B</f>
        <v>0</v>
      </c>
      <c r="C9062" s="2">
        <f>'[1]2025年已发货'!C:C</f>
        <v>0</v>
      </c>
      <c r="D9062" s="2">
        <f>'[1]2025年已发货'!D:D</f>
        <v>0</v>
      </c>
      <c r="E9062" s="2">
        <f>'[1]2025年已发货'!E:E</f>
        <v>0</v>
      </c>
      <c r="F9062" s="4">
        <f>'[1]2025年已发货'!F:F</f>
        <v>0</v>
      </c>
      <c r="G9062" s="2">
        <f>'[1]2025年已发货'!G:G</f>
        <v>0</v>
      </c>
      <c r="H9062" s="2">
        <f>'[1]2025年已发货'!H:H</f>
        <v>0</v>
      </c>
      <c r="I9062" s="2">
        <f>'[1]2025年已发货'!I:I</f>
        <v>0</v>
      </c>
      <c r="J9062" s="2" vm="1" t="e">
        <f>_xlfn._xlws.FILTER(辅助信息!D:D,辅助信息!G:G=G9062)</f>
        <v>#VALUE!</v>
      </c>
    </row>
    <row r="9063" spans="1:10">
      <c r="A9063" s="2">
        <f>'[1]2025年已发货'!A:A</f>
        <v>0</v>
      </c>
      <c r="B9063" s="2">
        <f>'[1]2025年已发货'!B:B</f>
        <v>0</v>
      </c>
      <c r="C9063" s="2">
        <f>'[1]2025年已发货'!C:C</f>
        <v>0</v>
      </c>
      <c r="D9063" s="2">
        <f>'[1]2025年已发货'!D:D</f>
        <v>0</v>
      </c>
      <c r="E9063" s="2">
        <f>'[1]2025年已发货'!E:E</f>
        <v>0</v>
      </c>
      <c r="F9063" s="4">
        <f>'[1]2025年已发货'!F:F</f>
        <v>0</v>
      </c>
      <c r="G9063" s="2">
        <f>'[1]2025年已发货'!G:G</f>
        <v>0</v>
      </c>
      <c r="H9063" s="2">
        <f>'[1]2025年已发货'!H:H</f>
        <v>0</v>
      </c>
      <c r="I9063" s="2">
        <f>'[1]2025年已发货'!I:I</f>
        <v>0</v>
      </c>
      <c r="J9063" s="2" vm="1" t="e">
        <f>_xlfn._xlws.FILTER(辅助信息!D:D,辅助信息!G:G=G9063)</f>
        <v>#VALUE!</v>
      </c>
    </row>
    <row r="9064" spans="1:10">
      <c r="A9064" s="2">
        <f>'[1]2025年已发货'!A:A</f>
        <v>0</v>
      </c>
      <c r="B9064" s="2">
        <f>'[1]2025年已发货'!B:B</f>
        <v>0</v>
      </c>
      <c r="C9064" s="2">
        <f>'[1]2025年已发货'!C:C</f>
        <v>0</v>
      </c>
      <c r="D9064" s="2">
        <f>'[1]2025年已发货'!D:D</f>
        <v>0</v>
      </c>
      <c r="E9064" s="2">
        <f>'[1]2025年已发货'!E:E</f>
        <v>0</v>
      </c>
      <c r="F9064" s="4">
        <f>'[1]2025年已发货'!F:F</f>
        <v>0</v>
      </c>
      <c r="G9064" s="2">
        <f>'[1]2025年已发货'!G:G</f>
        <v>0</v>
      </c>
      <c r="H9064" s="2">
        <f>'[1]2025年已发货'!H:H</f>
        <v>0</v>
      </c>
      <c r="I9064" s="2">
        <f>'[1]2025年已发货'!I:I</f>
        <v>0</v>
      </c>
      <c r="J9064" s="2" vm="1" t="e">
        <f>_xlfn._xlws.FILTER(辅助信息!D:D,辅助信息!G:G=G9064)</f>
        <v>#VALUE!</v>
      </c>
    </row>
    <row r="9065" spans="1:10">
      <c r="A9065" s="2">
        <f>'[1]2025年已发货'!A:A</f>
        <v>0</v>
      </c>
      <c r="B9065" s="2">
        <f>'[1]2025年已发货'!B:B</f>
        <v>0</v>
      </c>
      <c r="C9065" s="2">
        <f>'[1]2025年已发货'!C:C</f>
        <v>0</v>
      </c>
      <c r="D9065" s="2">
        <f>'[1]2025年已发货'!D:D</f>
        <v>0</v>
      </c>
      <c r="E9065" s="2">
        <f>'[1]2025年已发货'!E:E</f>
        <v>0</v>
      </c>
      <c r="F9065" s="4">
        <f>'[1]2025年已发货'!F:F</f>
        <v>0</v>
      </c>
      <c r="G9065" s="2">
        <f>'[1]2025年已发货'!G:G</f>
        <v>0</v>
      </c>
      <c r="H9065" s="2">
        <f>'[1]2025年已发货'!H:H</f>
        <v>0</v>
      </c>
      <c r="I9065" s="2">
        <f>'[1]2025年已发货'!I:I</f>
        <v>0</v>
      </c>
      <c r="J9065" s="2" vm="1" t="e">
        <f>_xlfn._xlws.FILTER(辅助信息!D:D,辅助信息!G:G=G9065)</f>
        <v>#VALUE!</v>
      </c>
    </row>
    <row r="9066" spans="1:10">
      <c r="A9066" s="2">
        <f>'[1]2025年已发货'!A:A</f>
        <v>0</v>
      </c>
      <c r="B9066" s="2">
        <f>'[1]2025年已发货'!B:B</f>
        <v>0</v>
      </c>
      <c r="C9066" s="2">
        <f>'[1]2025年已发货'!C:C</f>
        <v>0</v>
      </c>
      <c r="D9066" s="2">
        <f>'[1]2025年已发货'!D:D</f>
        <v>0</v>
      </c>
      <c r="E9066" s="2">
        <f>'[1]2025年已发货'!E:E</f>
        <v>0</v>
      </c>
      <c r="F9066" s="4">
        <f>'[1]2025年已发货'!F:F</f>
        <v>0</v>
      </c>
      <c r="G9066" s="2">
        <f>'[1]2025年已发货'!G:G</f>
        <v>0</v>
      </c>
      <c r="H9066" s="2">
        <f>'[1]2025年已发货'!H:H</f>
        <v>0</v>
      </c>
      <c r="I9066" s="2">
        <f>'[1]2025年已发货'!I:I</f>
        <v>0</v>
      </c>
      <c r="J9066" s="2" vm="1" t="e">
        <f>_xlfn._xlws.FILTER(辅助信息!D:D,辅助信息!G:G=G9066)</f>
        <v>#VALUE!</v>
      </c>
    </row>
    <row r="9067" spans="1:10">
      <c r="A9067" s="2">
        <f>'[1]2025年已发货'!A:A</f>
        <v>0</v>
      </c>
      <c r="B9067" s="2">
        <f>'[1]2025年已发货'!B:B</f>
        <v>0</v>
      </c>
      <c r="C9067" s="2">
        <f>'[1]2025年已发货'!C:C</f>
        <v>0</v>
      </c>
      <c r="D9067" s="2">
        <f>'[1]2025年已发货'!D:D</f>
        <v>0</v>
      </c>
      <c r="E9067" s="2">
        <f>'[1]2025年已发货'!E:E</f>
        <v>0</v>
      </c>
      <c r="F9067" s="4">
        <f>'[1]2025年已发货'!F:F</f>
        <v>0</v>
      </c>
      <c r="G9067" s="2">
        <f>'[1]2025年已发货'!G:G</f>
        <v>0</v>
      </c>
      <c r="H9067" s="2">
        <f>'[1]2025年已发货'!H:H</f>
        <v>0</v>
      </c>
      <c r="I9067" s="2">
        <f>'[1]2025年已发货'!I:I</f>
        <v>0</v>
      </c>
      <c r="J9067" s="2" vm="1" t="e">
        <f>_xlfn._xlws.FILTER(辅助信息!D:D,辅助信息!G:G=G9067)</f>
        <v>#VALUE!</v>
      </c>
    </row>
    <row r="9068" spans="1:10">
      <c r="A9068" s="2">
        <f>'[1]2025年已发货'!A:A</f>
        <v>0</v>
      </c>
      <c r="B9068" s="2">
        <f>'[1]2025年已发货'!B:B</f>
        <v>0</v>
      </c>
      <c r="C9068" s="2">
        <f>'[1]2025年已发货'!C:C</f>
        <v>0</v>
      </c>
      <c r="D9068" s="2">
        <f>'[1]2025年已发货'!D:D</f>
        <v>0</v>
      </c>
      <c r="E9068" s="2">
        <f>'[1]2025年已发货'!E:E</f>
        <v>0</v>
      </c>
      <c r="F9068" s="4">
        <f>'[1]2025年已发货'!F:F</f>
        <v>0</v>
      </c>
      <c r="G9068" s="2">
        <f>'[1]2025年已发货'!G:G</f>
        <v>0</v>
      </c>
      <c r="H9068" s="2">
        <f>'[1]2025年已发货'!H:H</f>
        <v>0</v>
      </c>
      <c r="I9068" s="2">
        <f>'[1]2025年已发货'!I:I</f>
        <v>0</v>
      </c>
      <c r="J9068" s="2" vm="1" t="e">
        <f>_xlfn._xlws.FILTER(辅助信息!D:D,辅助信息!G:G=G9068)</f>
        <v>#VALUE!</v>
      </c>
    </row>
    <row r="9069" spans="1:10">
      <c r="A9069" s="2">
        <f>'[1]2025年已发货'!A:A</f>
        <v>0</v>
      </c>
      <c r="B9069" s="2">
        <f>'[1]2025年已发货'!B:B</f>
        <v>0</v>
      </c>
      <c r="C9069" s="2">
        <f>'[1]2025年已发货'!C:C</f>
        <v>0</v>
      </c>
      <c r="D9069" s="2">
        <f>'[1]2025年已发货'!D:D</f>
        <v>0</v>
      </c>
      <c r="E9069" s="2">
        <f>'[1]2025年已发货'!E:E</f>
        <v>0</v>
      </c>
      <c r="F9069" s="4">
        <f>'[1]2025年已发货'!F:F</f>
        <v>0</v>
      </c>
      <c r="G9069" s="2">
        <f>'[1]2025年已发货'!G:G</f>
        <v>0</v>
      </c>
      <c r="H9069" s="2">
        <f>'[1]2025年已发货'!H:H</f>
        <v>0</v>
      </c>
      <c r="I9069" s="2">
        <f>'[1]2025年已发货'!I:I</f>
        <v>0</v>
      </c>
      <c r="J9069" s="2" vm="1" t="e">
        <f>_xlfn._xlws.FILTER(辅助信息!D:D,辅助信息!G:G=G9069)</f>
        <v>#VALUE!</v>
      </c>
    </row>
    <row r="9070" spans="1:10">
      <c r="A9070" s="2">
        <f>'[1]2025年已发货'!A:A</f>
        <v>0</v>
      </c>
      <c r="B9070" s="2">
        <f>'[1]2025年已发货'!B:B</f>
        <v>0</v>
      </c>
      <c r="C9070" s="2">
        <f>'[1]2025年已发货'!C:C</f>
        <v>0</v>
      </c>
      <c r="D9070" s="2">
        <f>'[1]2025年已发货'!D:D</f>
        <v>0</v>
      </c>
      <c r="E9070" s="2">
        <f>'[1]2025年已发货'!E:E</f>
        <v>0</v>
      </c>
      <c r="F9070" s="4">
        <f>'[1]2025年已发货'!F:F</f>
        <v>0</v>
      </c>
      <c r="G9070" s="2">
        <f>'[1]2025年已发货'!G:G</f>
        <v>0</v>
      </c>
      <c r="H9070" s="2">
        <f>'[1]2025年已发货'!H:H</f>
        <v>0</v>
      </c>
      <c r="I9070" s="2">
        <f>'[1]2025年已发货'!I:I</f>
        <v>0</v>
      </c>
      <c r="J9070" s="2" vm="1" t="e">
        <f>_xlfn._xlws.FILTER(辅助信息!D:D,辅助信息!G:G=G9070)</f>
        <v>#VALUE!</v>
      </c>
    </row>
    <row r="9071" spans="1:10">
      <c r="A9071" s="2">
        <f>'[1]2025年已发货'!A:A</f>
        <v>0</v>
      </c>
      <c r="B9071" s="2">
        <f>'[1]2025年已发货'!B:B</f>
        <v>0</v>
      </c>
      <c r="C9071" s="2">
        <f>'[1]2025年已发货'!C:C</f>
        <v>0</v>
      </c>
      <c r="D9071" s="2">
        <f>'[1]2025年已发货'!D:D</f>
        <v>0</v>
      </c>
      <c r="E9071" s="2">
        <f>'[1]2025年已发货'!E:E</f>
        <v>0</v>
      </c>
      <c r="F9071" s="4">
        <f>'[1]2025年已发货'!F:F</f>
        <v>0</v>
      </c>
      <c r="G9071" s="2">
        <f>'[1]2025年已发货'!G:G</f>
        <v>0</v>
      </c>
      <c r="H9071" s="2">
        <f>'[1]2025年已发货'!H:H</f>
        <v>0</v>
      </c>
      <c r="I9071" s="2">
        <f>'[1]2025年已发货'!I:I</f>
        <v>0</v>
      </c>
      <c r="J9071" s="2" vm="1" t="e">
        <f>_xlfn._xlws.FILTER(辅助信息!D:D,辅助信息!G:G=G9071)</f>
        <v>#VALUE!</v>
      </c>
    </row>
    <row r="9072" spans="1:10">
      <c r="A9072" s="2">
        <f>'[1]2025年已发货'!A:A</f>
        <v>0</v>
      </c>
      <c r="B9072" s="2">
        <f>'[1]2025年已发货'!B:B</f>
        <v>0</v>
      </c>
      <c r="C9072" s="2">
        <f>'[1]2025年已发货'!C:C</f>
        <v>0</v>
      </c>
      <c r="D9072" s="2">
        <f>'[1]2025年已发货'!D:D</f>
        <v>0</v>
      </c>
      <c r="E9072" s="2">
        <f>'[1]2025年已发货'!E:E</f>
        <v>0</v>
      </c>
      <c r="F9072" s="4">
        <f>'[1]2025年已发货'!F:F</f>
        <v>0</v>
      </c>
      <c r="G9072" s="2">
        <f>'[1]2025年已发货'!G:G</f>
        <v>0</v>
      </c>
      <c r="H9072" s="2">
        <f>'[1]2025年已发货'!H:H</f>
        <v>0</v>
      </c>
      <c r="I9072" s="2">
        <f>'[1]2025年已发货'!I:I</f>
        <v>0</v>
      </c>
      <c r="J9072" s="2" vm="1" t="e">
        <f>_xlfn._xlws.FILTER(辅助信息!D:D,辅助信息!G:G=G9072)</f>
        <v>#VALUE!</v>
      </c>
    </row>
    <row r="9073" spans="1:10">
      <c r="A9073" s="2">
        <f>'[1]2025年已发货'!A:A</f>
        <v>0</v>
      </c>
      <c r="B9073" s="2">
        <f>'[1]2025年已发货'!B:B</f>
        <v>0</v>
      </c>
      <c r="C9073" s="2">
        <f>'[1]2025年已发货'!C:C</f>
        <v>0</v>
      </c>
      <c r="D9073" s="2">
        <f>'[1]2025年已发货'!D:D</f>
        <v>0</v>
      </c>
      <c r="E9073" s="2">
        <f>'[1]2025年已发货'!E:E</f>
        <v>0</v>
      </c>
      <c r="F9073" s="4">
        <f>'[1]2025年已发货'!F:F</f>
        <v>0</v>
      </c>
      <c r="G9073" s="2">
        <f>'[1]2025年已发货'!G:G</f>
        <v>0</v>
      </c>
      <c r="H9073" s="2">
        <f>'[1]2025年已发货'!H:H</f>
        <v>0</v>
      </c>
      <c r="I9073" s="2">
        <f>'[1]2025年已发货'!I:I</f>
        <v>0</v>
      </c>
      <c r="J9073" s="2" vm="1" t="e">
        <f>_xlfn._xlws.FILTER(辅助信息!D:D,辅助信息!G:G=G9073)</f>
        <v>#VALUE!</v>
      </c>
    </row>
    <row r="9074" spans="1:10">
      <c r="A9074" s="2">
        <f>'[1]2025年已发货'!A:A</f>
        <v>0</v>
      </c>
      <c r="B9074" s="2">
        <f>'[1]2025年已发货'!B:B</f>
        <v>0</v>
      </c>
      <c r="C9074" s="2">
        <f>'[1]2025年已发货'!C:C</f>
        <v>0</v>
      </c>
      <c r="D9074" s="2">
        <f>'[1]2025年已发货'!D:D</f>
        <v>0</v>
      </c>
      <c r="E9074" s="2">
        <f>'[1]2025年已发货'!E:E</f>
        <v>0</v>
      </c>
      <c r="F9074" s="4">
        <f>'[1]2025年已发货'!F:F</f>
        <v>0</v>
      </c>
      <c r="G9074" s="2">
        <f>'[1]2025年已发货'!G:G</f>
        <v>0</v>
      </c>
      <c r="H9074" s="2">
        <f>'[1]2025年已发货'!H:H</f>
        <v>0</v>
      </c>
      <c r="I9074" s="2">
        <f>'[1]2025年已发货'!I:I</f>
        <v>0</v>
      </c>
      <c r="J9074" s="2" vm="1" t="e">
        <f>_xlfn._xlws.FILTER(辅助信息!D:D,辅助信息!G:G=G9074)</f>
        <v>#VALUE!</v>
      </c>
    </row>
    <row r="9075" spans="1:10">
      <c r="A9075" s="2">
        <f>'[1]2025年已发货'!A:A</f>
        <v>0</v>
      </c>
      <c r="B9075" s="2">
        <f>'[1]2025年已发货'!B:B</f>
        <v>0</v>
      </c>
      <c r="C9075" s="2">
        <f>'[1]2025年已发货'!C:C</f>
        <v>0</v>
      </c>
      <c r="D9075" s="2">
        <f>'[1]2025年已发货'!D:D</f>
        <v>0</v>
      </c>
      <c r="E9075" s="2">
        <f>'[1]2025年已发货'!E:E</f>
        <v>0</v>
      </c>
      <c r="F9075" s="4">
        <f>'[1]2025年已发货'!F:F</f>
        <v>0</v>
      </c>
      <c r="G9075" s="2">
        <f>'[1]2025年已发货'!G:G</f>
        <v>0</v>
      </c>
      <c r="H9075" s="2">
        <f>'[1]2025年已发货'!H:H</f>
        <v>0</v>
      </c>
      <c r="I9075" s="2">
        <f>'[1]2025年已发货'!I:I</f>
        <v>0</v>
      </c>
      <c r="J9075" s="2" vm="1" t="e">
        <f>_xlfn._xlws.FILTER(辅助信息!D:D,辅助信息!G:G=G9075)</f>
        <v>#VALUE!</v>
      </c>
    </row>
    <row r="9076" spans="1:10">
      <c r="A9076" s="2">
        <f>'[1]2025年已发货'!A:A</f>
        <v>0</v>
      </c>
      <c r="B9076" s="2">
        <f>'[1]2025年已发货'!B:B</f>
        <v>0</v>
      </c>
      <c r="C9076" s="2">
        <f>'[1]2025年已发货'!C:C</f>
        <v>0</v>
      </c>
      <c r="D9076" s="2">
        <f>'[1]2025年已发货'!D:D</f>
        <v>0</v>
      </c>
      <c r="E9076" s="2">
        <f>'[1]2025年已发货'!E:E</f>
        <v>0</v>
      </c>
      <c r="F9076" s="4">
        <f>'[1]2025年已发货'!F:F</f>
        <v>0</v>
      </c>
      <c r="G9076" s="2">
        <f>'[1]2025年已发货'!G:G</f>
        <v>0</v>
      </c>
      <c r="H9076" s="2">
        <f>'[1]2025年已发货'!H:H</f>
        <v>0</v>
      </c>
      <c r="I9076" s="2">
        <f>'[1]2025年已发货'!I:I</f>
        <v>0</v>
      </c>
      <c r="J9076" s="2" vm="1" t="e">
        <f>_xlfn._xlws.FILTER(辅助信息!D:D,辅助信息!G:G=G9076)</f>
        <v>#VALUE!</v>
      </c>
    </row>
    <row r="9077" spans="1:10">
      <c r="A9077" s="2">
        <f>'[1]2025年已发货'!A:A</f>
        <v>0</v>
      </c>
      <c r="B9077" s="2">
        <f>'[1]2025年已发货'!B:B</f>
        <v>0</v>
      </c>
      <c r="C9077" s="2">
        <f>'[1]2025年已发货'!C:C</f>
        <v>0</v>
      </c>
      <c r="D9077" s="2">
        <f>'[1]2025年已发货'!D:D</f>
        <v>0</v>
      </c>
      <c r="E9077" s="2">
        <f>'[1]2025年已发货'!E:E</f>
        <v>0</v>
      </c>
      <c r="F9077" s="4">
        <f>'[1]2025年已发货'!F:F</f>
        <v>0</v>
      </c>
      <c r="G9077" s="2">
        <f>'[1]2025年已发货'!G:G</f>
        <v>0</v>
      </c>
      <c r="H9077" s="2">
        <f>'[1]2025年已发货'!H:H</f>
        <v>0</v>
      </c>
      <c r="I9077" s="2">
        <f>'[1]2025年已发货'!I:I</f>
        <v>0</v>
      </c>
      <c r="J9077" s="2" vm="1" t="e">
        <f>_xlfn._xlws.FILTER(辅助信息!D:D,辅助信息!G:G=G9077)</f>
        <v>#VALUE!</v>
      </c>
    </row>
    <row r="9078" spans="1:10">
      <c r="A9078" s="2">
        <f>'[1]2025年已发货'!A:A</f>
        <v>0</v>
      </c>
      <c r="B9078" s="2">
        <f>'[1]2025年已发货'!B:B</f>
        <v>0</v>
      </c>
      <c r="C9078" s="2">
        <f>'[1]2025年已发货'!C:C</f>
        <v>0</v>
      </c>
      <c r="D9078" s="2">
        <f>'[1]2025年已发货'!D:D</f>
        <v>0</v>
      </c>
      <c r="E9078" s="2">
        <f>'[1]2025年已发货'!E:E</f>
        <v>0</v>
      </c>
      <c r="F9078" s="4">
        <f>'[1]2025年已发货'!F:F</f>
        <v>0</v>
      </c>
      <c r="G9078" s="2">
        <f>'[1]2025年已发货'!G:G</f>
        <v>0</v>
      </c>
      <c r="H9078" s="2">
        <f>'[1]2025年已发货'!H:H</f>
        <v>0</v>
      </c>
      <c r="I9078" s="2">
        <f>'[1]2025年已发货'!I:I</f>
        <v>0</v>
      </c>
      <c r="J9078" s="2" vm="1" t="e">
        <f>_xlfn._xlws.FILTER(辅助信息!D:D,辅助信息!G:G=G9078)</f>
        <v>#VALUE!</v>
      </c>
    </row>
    <row r="9079" spans="1:10">
      <c r="A9079" s="2">
        <f>'[1]2025年已发货'!A:A</f>
        <v>0</v>
      </c>
      <c r="B9079" s="2">
        <f>'[1]2025年已发货'!B:B</f>
        <v>0</v>
      </c>
      <c r="C9079" s="2">
        <f>'[1]2025年已发货'!C:C</f>
        <v>0</v>
      </c>
      <c r="D9079" s="2">
        <f>'[1]2025年已发货'!D:D</f>
        <v>0</v>
      </c>
      <c r="E9079" s="2">
        <f>'[1]2025年已发货'!E:E</f>
        <v>0</v>
      </c>
      <c r="F9079" s="4">
        <f>'[1]2025年已发货'!F:F</f>
        <v>0</v>
      </c>
      <c r="G9079" s="2">
        <f>'[1]2025年已发货'!G:G</f>
        <v>0</v>
      </c>
      <c r="H9079" s="2">
        <f>'[1]2025年已发货'!H:H</f>
        <v>0</v>
      </c>
      <c r="I9079" s="2">
        <f>'[1]2025年已发货'!I:I</f>
        <v>0</v>
      </c>
      <c r="J9079" s="2" vm="1" t="e">
        <f>_xlfn._xlws.FILTER(辅助信息!D:D,辅助信息!G:G=G9079)</f>
        <v>#VALUE!</v>
      </c>
    </row>
    <row r="9080" spans="1:10">
      <c r="A9080" s="2">
        <f>'[1]2025年已发货'!A:A</f>
        <v>0</v>
      </c>
      <c r="B9080" s="2">
        <f>'[1]2025年已发货'!B:B</f>
        <v>0</v>
      </c>
      <c r="C9080" s="2">
        <f>'[1]2025年已发货'!C:C</f>
        <v>0</v>
      </c>
      <c r="D9080" s="2">
        <f>'[1]2025年已发货'!D:D</f>
        <v>0</v>
      </c>
      <c r="E9080" s="2">
        <f>'[1]2025年已发货'!E:E</f>
        <v>0</v>
      </c>
      <c r="F9080" s="4">
        <f>'[1]2025年已发货'!F:F</f>
        <v>0</v>
      </c>
      <c r="G9080" s="2">
        <f>'[1]2025年已发货'!G:G</f>
        <v>0</v>
      </c>
      <c r="H9080" s="2">
        <f>'[1]2025年已发货'!H:H</f>
        <v>0</v>
      </c>
      <c r="I9080" s="2">
        <f>'[1]2025年已发货'!I:I</f>
        <v>0</v>
      </c>
      <c r="J9080" s="2" vm="1" t="e">
        <f>_xlfn._xlws.FILTER(辅助信息!D:D,辅助信息!G:G=G9080)</f>
        <v>#VALUE!</v>
      </c>
    </row>
    <row r="9081" spans="1:10">
      <c r="A9081" s="2">
        <f>'[1]2025年已发货'!A:A</f>
        <v>0</v>
      </c>
      <c r="B9081" s="2">
        <f>'[1]2025年已发货'!B:B</f>
        <v>0</v>
      </c>
      <c r="C9081" s="2">
        <f>'[1]2025年已发货'!C:C</f>
        <v>0</v>
      </c>
      <c r="D9081" s="2">
        <f>'[1]2025年已发货'!D:D</f>
        <v>0</v>
      </c>
      <c r="E9081" s="2">
        <f>'[1]2025年已发货'!E:E</f>
        <v>0</v>
      </c>
      <c r="F9081" s="4">
        <f>'[1]2025年已发货'!F:F</f>
        <v>0</v>
      </c>
      <c r="G9081" s="2">
        <f>'[1]2025年已发货'!G:G</f>
        <v>0</v>
      </c>
      <c r="H9081" s="2">
        <f>'[1]2025年已发货'!H:H</f>
        <v>0</v>
      </c>
      <c r="I9081" s="2">
        <f>'[1]2025年已发货'!I:I</f>
        <v>0</v>
      </c>
      <c r="J9081" s="2" vm="1" t="e">
        <f>_xlfn._xlws.FILTER(辅助信息!D:D,辅助信息!G:G=G9081)</f>
        <v>#VALUE!</v>
      </c>
    </row>
    <row r="9082" spans="1:10">
      <c r="A9082" s="2">
        <f>'[1]2025年已发货'!A:A</f>
        <v>0</v>
      </c>
      <c r="B9082" s="2">
        <f>'[1]2025年已发货'!B:B</f>
        <v>0</v>
      </c>
      <c r="C9082" s="2">
        <f>'[1]2025年已发货'!C:C</f>
        <v>0</v>
      </c>
      <c r="D9082" s="2">
        <f>'[1]2025年已发货'!D:D</f>
        <v>0</v>
      </c>
      <c r="E9082" s="2">
        <f>'[1]2025年已发货'!E:E</f>
        <v>0</v>
      </c>
      <c r="F9082" s="4">
        <f>'[1]2025年已发货'!F:F</f>
        <v>0</v>
      </c>
      <c r="G9082" s="2">
        <f>'[1]2025年已发货'!G:G</f>
        <v>0</v>
      </c>
      <c r="H9082" s="2">
        <f>'[1]2025年已发货'!H:H</f>
        <v>0</v>
      </c>
      <c r="I9082" s="2">
        <f>'[1]2025年已发货'!I:I</f>
        <v>0</v>
      </c>
      <c r="J9082" s="2" vm="1" t="e">
        <f>_xlfn._xlws.FILTER(辅助信息!D:D,辅助信息!G:G=G9082)</f>
        <v>#VALUE!</v>
      </c>
    </row>
    <row r="9083" spans="1:10">
      <c r="A9083" s="2">
        <f>'[1]2025年已发货'!A:A</f>
        <v>0</v>
      </c>
      <c r="B9083" s="2">
        <f>'[1]2025年已发货'!B:B</f>
        <v>0</v>
      </c>
      <c r="C9083" s="2">
        <f>'[1]2025年已发货'!C:C</f>
        <v>0</v>
      </c>
      <c r="D9083" s="2">
        <f>'[1]2025年已发货'!D:D</f>
        <v>0</v>
      </c>
      <c r="E9083" s="2">
        <f>'[1]2025年已发货'!E:E</f>
        <v>0</v>
      </c>
      <c r="F9083" s="4">
        <f>'[1]2025年已发货'!F:F</f>
        <v>0</v>
      </c>
      <c r="G9083" s="2">
        <f>'[1]2025年已发货'!G:G</f>
        <v>0</v>
      </c>
      <c r="H9083" s="2">
        <f>'[1]2025年已发货'!H:H</f>
        <v>0</v>
      </c>
      <c r="I9083" s="2">
        <f>'[1]2025年已发货'!I:I</f>
        <v>0</v>
      </c>
      <c r="J9083" s="2" vm="1" t="e">
        <f>_xlfn._xlws.FILTER(辅助信息!D:D,辅助信息!G:G=G9083)</f>
        <v>#VALUE!</v>
      </c>
    </row>
    <row r="9084" spans="1:10">
      <c r="A9084" s="2">
        <f>'[1]2025年已发货'!A:A</f>
        <v>0</v>
      </c>
      <c r="B9084" s="2">
        <f>'[1]2025年已发货'!B:B</f>
        <v>0</v>
      </c>
      <c r="C9084" s="2">
        <f>'[1]2025年已发货'!C:C</f>
        <v>0</v>
      </c>
      <c r="D9084" s="2">
        <f>'[1]2025年已发货'!D:D</f>
        <v>0</v>
      </c>
      <c r="E9084" s="2">
        <f>'[1]2025年已发货'!E:E</f>
        <v>0</v>
      </c>
      <c r="F9084" s="4">
        <f>'[1]2025年已发货'!F:F</f>
        <v>0</v>
      </c>
      <c r="G9084" s="2">
        <f>'[1]2025年已发货'!G:G</f>
        <v>0</v>
      </c>
      <c r="H9084" s="2">
        <f>'[1]2025年已发货'!H:H</f>
        <v>0</v>
      </c>
      <c r="I9084" s="2">
        <f>'[1]2025年已发货'!I:I</f>
        <v>0</v>
      </c>
      <c r="J9084" s="2" vm="1" t="e">
        <f>_xlfn._xlws.FILTER(辅助信息!D:D,辅助信息!G:G=G9084)</f>
        <v>#VALUE!</v>
      </c>
    </row>
    <row r="9085" spans="1:10">
      <c r="A9085" s="2">
        <f>'[1]2025年已发货'!A:A</f>
        <v>0</v>
      </c>
      <c r="B9085" s="2">
        <f>'[1]2025年已发货'!B:B</f>
        <v>0</v>
      </c>
      <c r="C9085" s="2">
        <f>'[1]2025年已发货'!C:C</f>
        <v>0</v>
      </c>
      <c r="D9085" s="2">
        <f>'[1]2025年已发货'!D:D</f>
        <v>0</v>
      </c>
      <c r="E9085" s="2">
        <f>'[1]2025年已发货'!E:E</f>
        <v>0</v>
      </c>
      <c r="F9085" s="4">
        <f>'[1]2025年已发货'!F:F</f>
        <v>0</v>
      </c>
      <c r="G9085" s="2">
        <f>'[1]2025年已发货'!G:G</f>
        <v>0</v>
      </c>
      <c r="H9085" s="2">
        <f>'[1]2025年已发货'!H:H</f>
        <v>0</v>
      </c>
      <c r="I9085" s="2">
        <f>'[1]2025年已发货'!I:I</f>
        <v>0</v>
      </c>
      <c r="J9085" s="2" vm="1" t="e">
        <f>_xlfn._xlws.FILTER(辅助信息!D:D,辅助信息!G:G=G9085)</f>
        <v>#VALUE!</v>
      </c>
    </row>
    <row r="9086" spans="1:10">
      <c r="A9086" s="2">
        <f>'[1]2025年已发货'!A:A</f>
        <v>0</v>
      </c>
      <c r="B9086" s="2">
        <f>'[1]2025年已发货'!B:B</f>
        <v>0</v>
      </c>
      <c r="C9086" s="2">
        <f>'[1]2025年已发货'!C:C</f>
        <v>0</v>
      </c>
      <c r="D9086" s="2">
        <f>'[1]2025年已发货'!D:D</f>
        <v>0</v>
      </c>
      <c r="E9086" s="2">
        <f>'[1]2025年已发货'!E:E</f>
        <v>0</v>
      </c>
      <c r="F9086" s="4">
        <f>'[1]2025年已发货'!F:F</f>
        <v>0</v>
      </c>
      <c r="G9086" s="2">
        <f>'[1]2025年已发货'!G:G</f>
        <v>0</v>
      </c>
      <c r="H9086" s="2">
        <f>'[1]2025年已发货'!H:H</f>
        <v>0</v>
      </c>
      <c r="I9086" s="2">
        <f>'[1]2025年已发货'!I:I</f>
        <v>0</v>
      </c>
      <c r="J9086" s="2" vm="1" t="e">
        <f>_xlfn._xlws.FILTER(辅助信息!D:D,辅助信息!G:G=G9086)</f>
        <v>#VALUE!</v>
      </c>
    </row>
    <row r="9087" spans="1:10">
      <c r="A9087" s="2">
        <f>'[1]2025年已发货'!A:A</f>
        <v>0</v>
      </c>
      <c r="B9087" s="2">
        <f>'[1]2025年已发货'!B:B</f>
        <v>0</v>
      </c>
      <c r="C9087" s="2">
        <f>'[1]2025年已发货'!C:C</f>
        <v>0</v>
      </c>
      <c r="D9087" s="2">
        <f>'[1]2025年已发货'!D:D</f>
        <v>0</v>
      </c>
      <c r="E9087" s="2">
        <f>'[1]2025年已发货'!E:E</f>
        <v>0</v>
      </c>
      <c r="F9087" s="4">
        <f>'[1]2025年已发货'!F:F</f>
        <v>0</v>
      </c>
      <c r="G9087" s="2">
        <f>'[1]2025年已发货'!G:G</f>
        <v>0</v>
      </c>
      <c r="H9087" s="2">
        <f>'[1]2025年已发货'!H:H</f>
        <v>0</v>
      </c>
      <c r="I9087" s="2">
        <f>'[1]2025年已发货'!I:I</f>
        <v>0</v>
      </c>
      <c r="J9087" s="2" vm="1" t="e">
        <f>_xlfn._xlws.FILTER(辅助信息!D:D,辅助信息!G:G=G9087)</f>
        <v>#VALUE!</v>
      </c>
    </row>
    <row r="9088" spans="1:10">
      <c r="A9088" s="2">
        <f>'[1]2025年已发货'!A:A</f>
        <v>0</v>
      </c>
      <c r="B9088" s="2">
        <f>'[1]2025年已发货'!B:B</f>
        <v>0</v>
      </c>
      <c r="C9088" s="2">
        <f>'[1]2025年已发货'!C:C</f>
        <v>0</v>
      </c>
      <c r="D9088" s="2">
        <f>'[1]2025年已发货'!D:D</f>
        <v>0</v>
      </c>
      <c r="E9088" s="2">
        <f>'[1]2025年已发货'!E:E</f>
        <v>0</v>
      </c>
      <c r="F9088" s="4">
        <f>'[1]2025年已发货'!F:F</f>
        <v>0</v>
      </c>
      <c r="G9088" s="2">
        <f>'[1]2025年已发货'!G:G</f>
        <v>0</v>
      </c>
      <c r="H9088" s="2">
        <f>'[1]2025年已发货'!H:H</f>
        <v>0</v>
      </c>
      <c r="I9088" s="2">
        <f>'[1]2025年已发货'!I:I</f>
        <v>0</v>
      </c>
      <c r="J9088" s="2" vm="1" t="e">
        <f>_xlfn._xlws.FILTER(辅助信息!D:D,辅助信息!G:G=G9088)</f>
        <v>#VALUE!</v>
      </c>
    </row>
    <row r="9089" spans="1:10">
      <c r="A9089" s="2">
        <f>'[1]2025年已发货'!A:A</f>
        <v>0</v>
      </c>
      <c r="B9089" s="2">
        <f>'[1]2025年已发货'!B:B</f>
        <v>0</v>
      </c>
      <c r="C9089" s="2">
        <f>'[1]2025年已发货'!C:C</f>
        <v>0</v>
      </c>
      <c r="D9089" s="2">
        <f>'[1]2025年已发货'!D:D</f>
        <v>0</v>
      </c>
      <c r="E9089" s="2">
        <f>'[1]2025年已发货'!E:E</f>
        <v>0</v>
      </c>
      <c r="F9089" s="4">
        <f>'[1]2025年已发货'!F:F</f>
        <v>0</v>
      </c>
      <c r="G9089" s="2">
        <f>'[1]2025年已发货'!G:G</f>
        <v>0</v>
      </c>
      <c r="H9089" s="2">
        <f>'[1]2025年已发货'!H:H</f>
        <v>0</v>
      </c>
      <c r="I9089" s="2">
        <f>'[1]2025年已发货'!I:I</f>
        <v>0</v>
      </c>
      <c r="J9089" s="2" vm="1" t="e">
        <f>_xlfn._xlws.FILTER(辅助信息!D:D,辅助信息!G:G=G9089)</f>
        <v>#VALUE!</v>
      </c>
    </row>
    <row r="9090" spans="1:10">
      <c r="A9090" s="2">
        <f>'[1]2025年已发货'!A:A</f>
        <v>0</v>
      </c>
      <c r="B9090" s="2">
        <f>'[1]2025年已发货'!B:B</f>
        <v>0</v>
      </c>
      <c r="C9090" s="2">
        <f>'[1]2025年已发货'!C:C</f>
        <v>0</v>
      </c>
      <c r="D9090" s="2">
        <f>'[1]2025年已发货'!D:D</f>
        <v>0</v>
      </c>
      <c r="E9090" s="2">
        <f>'[1]2025年已发货'!E:E</f>
        <v>0</v>
      </c>
      <c r="F9090" s="4">
        <f>'[1]2025年已发货'!F:F</f>
        <v>0</v>
      </c>
      <c r="G9090" s="2">
        <f>'[1]2025年已发货'!G:G</f>
        <v>0</v>
      </c>
      <c r="H9090" s="2">
        <f>'[1]2025年已发货'!H:H</f>
        <v>0</v>
      </c>
      <c r="I9090" s="2">
        <f>'[1]2025年已发货'!I:I</f>
        <v>0</v>
      </c>
      <c r="J9090" s="2" vm="1" t="e">
        <f>_xlfn._xlws.FILTER(辅助信息!D:D,辅助信息!G:G=G9090)</f>
        <v>#VALUE!</v>
      </c>
    </row>
    <row r="9091" spans="1:10">
      <c r="A9091" s="2">
        <f>'[1]2025年已发货'!A:A</f>
        <v>0</v>
      </c>
      <c r="B9091" s="2">
        <f>'[1]2025年已发货'!B:B</f>
        <v>0</v>
      </c>
      <c r="C9091" s="2">
        <f>'[1]2025年已发货'!C:C</f>
        <v>0</v>
      </c>
      <c r="D9091" s="2">
        <f>'[1]2025年已发货'!D:D</f>
        <v>0</v>
      </c>
      <c r="E9091" s="2">
        <f>'[1]2025年已发货'!E:E</f>
        <v>0</v>
      </c>
      <c r="F9091" s="4">
        <f>'[1]2025年已发货'!F:F</f>
        <v>0</v>
      </c>
      <c r="G9091" s="2">
        <f>'[1]2025年已发货'!G:G</f>
        <v>0</v>
      </c>
      <c r="H9091" s="2">
        <f>'[1]2025年已发货'!H:H</f>
        <v>0</v>
      </c>
      <c r="I9091" s="2">
        <f>'[1]2025年已发货'!I:I</f>
        <v>0</v>
      </c>
      <c r="J9091" s="2" vm="1" t="e">
        <f>_xlfn._xlws.FILTER(辅助信息!D:D,辅助信息!G:G=G9091)</f>
        <v>#VALUE!</v>
      </c>
    </row>
    <row r="9092" spans="1:10">
      <c r="A9092" s="2">
        <f>'[1]2025年已发货'!A:A</f>
        <v>0</v>
      </c>
      <c r="B9092" s="2">
        <f>'[1]2025年已发货'!B:B</f>
        <v>0</v>
      </c>
      <c r="C9092" s="2">
        <f>'[1]2025年已发货'!C:C</f>
        <v>0</v>
      </c>
      <c r="D9092" s="2">
        <f>'[1]2025年已发货'!D:D</f>
        <v>0</v>
      </c>
      <c r="E9092" s="2">
        <f>'[1]2025年已发货'!E:E</f>
        <v>0</v>
      </c>
      <c r="F9092" s="4">
        <f>'[1]2025年已发货'!F:F</f>
        <v>0</v>
      </c>
      <c r="G9092" s="2">
        <f>'[1]2025年已发货'!G:G</f>
        <v>0</v>
      </c>
      <c r="H9092" s="2">
        <f>'[1]2025年已发货'!H:H</f>
        <v>0</v>
      </c>
      <c r="I9092" s="2">
        <f>'[1]2025年已发货'!I:I</f>
        <v>0</v>
      </c>
      <c r="J9092" s="2" vm="1" t="e">
        <f>_xlfn._xlws.FILTER(辅助信息!D:D,辅助信息!G:G=G9092)</f>
        <v>#VALUE!</v>
      </c>
    </row>
    <row r="9093" spans="1:10">
      <c r="A9093" s="2">
        <f>'[1]2025年已发货'!A:A</f>
        <v>0</v>
      </c>
      <c r="B9093" s="2">
        <f>'[1]2025年已发货'!B:B</f>
        <v>0</v>
      </c>
      <c r="C9093" s="2">
        <f>'[1]2025年已发货'!C:C</f>
        <v>0</v>
      </c>
      <c r="D9093" s="2">
        <f>'[1]2025年已发货'!D:D</f>
        <v>0</v>
      </c>
      <c r="E9093" s="2">
        <f>'[1]2025年已发货'!E:E</f>
        <v>0</v>
      </c>
      <c r="F9093" s="4">
        <f>'[1]2025年已发货'!F:F</f>
        <v>0</v>
      </c>
      <c r="G9093" s="2">
        <f>'[1]2025年已发货'!G:G</f>
        <v>0</v>
      </c>
      <c r="H9093" s="2">
        <f>'[1]2025年已发货'!H:H</f>
        <v>0</v>
      </c>
      <c r="I9093" s="2">
        <f>'[1]2025年已发货'!I:I</f>
        <v>0</v>
      </c>
      <c r="J9093" s="2" vm="1" t="e">
        <f>_xlfn._xlws.FILTER(辅助信息!D:D,辅助信息!G:G=G9093)</f>
        <v>#VALUE!</v>
      </c>
    </row>
    <row r="9094" spans="1:10">
      <c r="A9094" s="2">
        <f>'[1]2025年已发货'!A:A</f>
        <v>0</v>
      </c>
      <c r="B9094" s="2">
        <f>'[1]2025年已发货'!B:B</f>
        <v>0</v>
      </c>
      <c r="C9094" s="2">
        <f>'[1]2025年已发货'!C:C</f>
        <v>0</v>
      </c>
      <c r="D9094" s="2">
        <f>'[1]2025年已发货'!D:D</f>
        <v>0</v>
      </c>
      <c r="E9094" s="2">
        <f>'[1]2025年已发货'!E:E</f>
        <v>0</v>
      </c>
      <c r="F9094" s="4">
        <f>'[1]2025年已发货'!F:F</f>
        <v>0</v>
      </c>
      <c r="G9094" s="2">
        <f>'[1]2025年已发货'!G:G</f>
        <v>0</v>
      </c>
      <c r="H9094" s="2">
        <f>'[1]2025年已发货'!H:H</f>
        <v>0</v>
      </c>
      <c r="I9094" s="2">
        <f>'[1]2025年已发货'!I:I</f>
        <v>0</v>
      </c>
      <c r="J9094" s="2" vm="1" t="e">
        <f>_xlfn._xlws.FILTER(辅助信息!D:D,辅助信息!G:G=G9094)</f>
        <v>#VALUE!</v>
      </c>
    </row>
    <row r="9095" spans="1:10">
      <c r="A9095" s="2">
        <f>'[1]2025年已发货'!A:A</f>
        <v>0</v>
      </c>
      <c r="B9095" s="2">
        <f>'[1]2025年已发货'!B:B</f>
        <v>0</v>
      </c>
      <c r="C9095" s="2">
        <f>'[1]2025年已发货'!C:C</f>
        <v>0</v>
      </c>
      <c r="D9095" s="2">
        <f>'[1]2025年已发货'!D:D</f>
        <v>0</v>
      </c>
      <c r="E9095" s="2">
        <f>'[1]2025年已发货'!E:E</f>
        <v>0</v>
      </c>
      <c r="F9095" s="4">
        <f>'[1]2025年已发货'!F:F</f>
        <v>0</v>
      </c>
      <c r="G9095" s="2">
        <f>'[1]2025年已发货'!G:G</f>
        <v>0</v>
      </c>
      <c r="H9095" s="2">
        <f>'[1]2025年已发货'!H:H</f>
        <v>0</v>
      </c>
      <c r="I9095" s="2">
        <f>'[1]2025年已发货'!I:I</f>
        <v>0</v>
      </c>
      <c r="J9095" s="2" vm="1" t="e">
        <f>_xlfn._xlws.FILTER(辅助信息!D:D,辅助信息!G:G=G9095)</f>
        <v>#VALUE!</v>
      </c>
    </row>
    <row r="9096" spans="1:10">
      <c r="A9096" s="2">
        <f>'[1]2025年已发货'!A:A</f>
        <v>0</v>
      </c>
      <c r="B9096" s="2">
        <f>'[1]2025年已发货'!B:B</f>
        <v>0</v>
      </c>
      <c r="C9096" s="2">
        <f>'[1]2025年已发货'!C:C</f>
        <v>0</v>
      </c>
      <c r="D9096" s="2">
        <f>'[1]2025年已发货'!D:D</f>
        <v>0</v>
      </c>
      <c r="E9096" s="2">
        <f>'[1]2025年已发货'!E:E</f>
        <v>0</v>
      </c>
      <c r="F9096" s="4">
        <f>'[1]2025年已发货'!F:F</f>
        <v>0</v>
      </c>
      <c r="G9096" s="2">
        <f>'[1]2025年已发货'!G:G</f>
        <v>0</v>
      </c>
      <c r="H9096" s="2">
        <f>'[1]2025年已发货'!H:H</f>
        <v>0</v>
      </c>
      <c r="I9096" s="2">
        <f>'[1]2025年已发货'!I:I</f>
        <v>0</v>
      </c>
      <c r="J9096" s="2" vm="1" t="e">
        <f>_xlfn._xlws.FILTER(辅助信息!D:D,辅助信息!G:G=G9096)</f>
        <v>#VALUE!</v>
      </c>
    </row>
    <row r="9097" spans="1:10">
      <c r="A9097" s="2">
        <f>'[1]2025年已发货'!A:A</f>
        <v>0</v>
      </c>
      <c r="B9097" s="2">
        <f>'[1]2025年已发货'!B:B</f>
        <v>0</v>
      </c>
      <c r="C9097" s="2">
        <f>'[1]2025年已发货'!C:C</f>
        <v>0</v>
      </c>
      <c r="D9097" s="2">
        <f>'[1]2025年已发货'!D:D</f>
        <v>0</v>
      </c>
      <c r="E9097" s="2">
        <f>'[1]2025年已发货'!E:E</f>
        <v>0</v>
      </c>
      <c r="F9097" s="4">
        <f>'[1]2025年已发货'!F:F</f>
        <v>0</v>
      </c>
      <c r="G9097" s="2">
        <f>'[1]2025年已发货'!G:G</f>
        <v>0</v>
      </c>
      <c r="H9097" s="2">
        <f>'[1]2025年已发货'!H:H</f>
        <v>0</v>
      </c>
      <c r="I9097" s="2">
        <f>'[1]2025年已发货'!I:I</f>
        <v>0</v>
      </c>
      <c r="J9097" s="2" vm="1" t="e">
        <f>_xlfn._xlws.FILTER(辅助信息!D:D,辅助信息!G:G=G9097)</f>
        <v>#VALUE!</v>
      </c>
    </row>
    <row r="9098" spans="1:10">
      <c r="A9098" s="2">
        <f>'[1]2025年已发货'!A:A</f>
        <v>0</v>
      </c>
      <c r="B9098" s="2">
        <f>'[1]2025年已发货'!B:B</f>
        <v>0</v>
      </c>
      <c r="C9098" s="2">
        <f>'[1]2025年已发货'!C:C</f>
        <v>0</v>
      </c>
      <c r="D9098" s="2">
        <f>'[1]2025年已发货'!D:D</f>
        <v>0</v>
      </c>
      <c r="E9098" s="2">
        <f>'[1]2025年已发货'!E:E</f>
        <v>0</v>
      </c>
      <c r="F9098" s="4">
        <f>'[1]2025年已发货'!F:F</f>
        <v>0</v>
      </c>
      <c r="G9098" s="2">
        <f>'[1]2025年已发货'!G:G</f>
        <v>0</v>
      </c>
      <c r="H9098" s="2">
        <f>'[1]2025年已发货'!H:H</f>
        <v>0</v>
      </c>
      <c r="I9098" s="2">
        <f>'[1]2025年已发货'!I:I</f>
        <v>0</v>
      </c>
      <c r="J9098" s="2" vm="1" t="e">
        <f>_xlfn._xlws.FILTER(辅助信息!D:D,辅助信息!G:G=G9098)</f>
        <v>#VALUE!</v>
      </c>
    </row>
    <row r="9099" spans="1:10">
      <c r="A9099" s="2">
        <f>'[1]2025年已发货'!A:A</f>
        <v>0</v>
      </c>
      <c r="B9099" s="2">
        <f>'[1]2025年已发货'!B:B</f>
        <v>0</v>
      </c>
      <c r="C9099" s="2">
        <f>'[1]2025年已发货'!C:C</f>
        <v>0</v>
      </c>
      <c r="D9099" s="2">
        <f>'[1]2025年已发货'!D:D</f>
        <v>0</v>
      </c>
      <c r="E9099" s="2">
        <f>'[1]2025年已发货'!E:E</f>
        <v>0</v>
      </c>
      <c r="F9099" s="4">
        <f>'[1]2025年已发货'!F:F</f>
        <v>0</v>
      </c>
      <c r="G9099" s="2">
        <f>'[1]2025年已发货'!G:G</f>
        <v>0</v>
      </c>
      <c r="H9099" s="2">
        <f>'[1]2025年已发货'!H:H</f>
        <v>0</v>
      </c>
      <c r="I9099" s="2">
        <f>'[1]2025年已发货'!I:I</f>
        <v>0</v>
      </c>
      <c r="J9099" s="2" vm="1" t="e">
        <f>_xlfn._xlws.FILTER(辅助信息!D:D,辅助信息!G:G=G9099)</f>
        <v>#VALUE!</v>
      </c>
    </row>
    <row r="9100" spans="1:10">
      <c r="A9100" s="2">
        <f>'[1]2025年已发货'!A:A</f>
        <v>0</v>
      </c>
      <c r="B9100" s="2">
        <f>'[1]2025年已发货'!B:B</f>
        <v>0</v>
      </c>
      <c r="C9100" s="2">
        <f>'[1]2025年已发货'!C:C</f>
        <v>0</v>
      </c>
      <c r="D9100" s="2">
        <f>'[1]2025年已发货'!D:D</f>
        <v>0</v>
      </c>
      <c r="E9100" s="2">
        <f>'[1]2025年已发货'!E:E</f>
        <v>0</v>
      </c>
      <c r="F9100" s="4">
        <f>'[1]2025年已发货'!F:F</f>
        <v>0</v>
      </c>
      <c r="G9100" s="2">
        <f>'[1]2025年已发货'!G:G</f>
        <v>0</v>
      </c>
      <c r="H9100" s="2">
        <f>'[1]2025年已发货'!H:H</f>
        <v>0</v>
      </c>
      <c r="I9100" s="2">
        <f>'[1]2025年已发货'!I:I</f>
        <v>0</v>
      </c>
      <c r="J9100" s="2" vm="1" t="e">
        <f>_xlfn._xlws.FILTER(辅助信息!D:D,辅助信息!G:G=G9100)</f>
        <v>#VALUE!</v>
      </c>
    </row>
    <row r="9101" spans="1:10">
      <c r="A9101" s="2">
        <f>'[1]2025年已发货'!A:A</f>
        <v>0</v>
      </c>
      <c r="B9101" s="2">
        <f>'[1]2025年已发货'!B:B</f>
        <v>0</v>
      </c>
      <c r="C9101" s="2">
        <f>'[1]2025年已发货'!C:C</f>
        <v>0</v>
      </c>
      <c r="D9101" s="2">
        <f>'[1]2025年已发货'!D:D</f>
        <v>0</v>
      </c>
      <c r="E9101" s="2">
        <f>'[1]2025年已发货'!E:E</f>
        <v>0</v>
      </c>
      <c r="F9101" s="4">
        <f>'[1]2025年已发货'!F:F</f>
        <v>0</v>
      </c>
      <c r="G9101" s="2">
        <f>'[1]2025年已发货'!G:G</f>
        <v>0</v>
      </c>
      <c r="H9101" s="2">
        <f>'[1]2025年已发货'!H:H</f>
        <v>0</v>
      </c>
      <c r="I9101" s="2">
        <f>'[1]2025年已发货'!I:I</f>
        <v>0</v>
      </c>
      <c r="J9101" s="2" vm="1" t="e">
        <f>_xlfn._xlws.FILTER(辅助信息!D:D,辅助信息!G:G=G9101)</f>
        <v>#VALUE!</v>
      </c>
    </row>
    <row r="9102" spans="1:10">
      <c r="A9102" s="2">
        <f>'[1]2025年已发货'!A:A</f>
        <v>0</v>
      </c>
      <c r="B9102" s="2">
        <f>'[1]2025年已发货'!B:B</f>
        <v>0</v>
      </c>
      <c r="C9102" s="2">
        <f>'[1]2025年已发货'!C:C</f>
        <v>0</v>
      </c>
      <c r="D9102" s="2">
        <f>'[1]2025年已发货'!D:D</f>
        <v>0</v>
      </c>
      <c r="E9102" s="2">
        <f>'[1]2025年已发货'!E:E</f>
        <v>0</v>
      </c>
      <c r="F9102" s="4">
        <f>'[1]2025年已发货'!F:F</f>
        <v>0</v>
      </c>
      <c r="G9102" s="2">
        <f>'[1]2025年已发货'!G:G</f>
        <v>0</v>
      </c>
      <c r="H9102" s="2">
        <f>'[1]2025年已发货'!H:H</f>
        <v>0</v>
      </c>
      <c r="I9102" s="2">
        <f>'[1]2025年已发货'!I:I</f>
        <v>0</v>
      </c>
      <c r="J9102" s="2" vm="1" t="e">
        <f>_xlfn._xlws.FILTER(辅助信息!D:D,辅助信息!G:G=G9102)</f>
        <v>#VALUE!</v>
      </c>
    </row>
    <row r="9103" spans="1:10">
      <c r="A9103" s="2">
        <f>'[1]2025年已发货'!A:A</f>
        <v>0</v>
      </c>
      <c r="B9103" s="2">
        <f>'[1]2025年已发货'!B:B</f>
        <v>0</v>
      </c>
      <c r="C9103" s="2">
        <f>'[1]2025年已发货'!C:C</f>
        <v>0</v>
      </c>
      <c r="D9103" s="2">
        <f>'[1]2025年已发货'!D:D</f>
        <v>0</v>
      </c>
      <c r="E9103" s="2">
        <f>'[1]2025年已发货'!E:E</f>
        <v>0</v>
      </c>
      <c r="F9103" s="4">
        <f>'[1]2025年已发货'!F:F</f>
        <v>0</v>
      </c>
      <c r="G9103" s="2">
        <f>'[1]2025年已发货'!G:G</f>
        <v>0</v>
      </c>
      <c r="H9103" s="2">
        <f>'[1]2025年已发货'!H:H</f>
        <v>0</v>
      </c>
      <c r="I9103" s="2">
        <f>'[1]2025年已发货'!I:I</f>
        <v>0</v>
      </c>
      <c r="J9103" s="2" vm="1" t="e">
        <f>_xlfn._xlws.FILTER(辅助信息!D:D,辅助信息!G:G=G9103)</f>
        <v>#VALUE!</v>
      </c>
    </row>
    <row r="9104" spans="1:10">
      <c r="A9104" s="2">
        <f>'[1]2025年已发货'!A:A</f>
        <v>0</v>
      </c>
      <c r="B9104" s="2">
        <f>'[1]2025年已发货'!B:B</f>
        <v>0</v>
      </c>
      <c r="C9104" s="2">
        <f>'[1]2025年已发货'!C:C</f>
        <v>0</v>
      </c>
      <c r="D9104" s="2">
        <f>'[1]2025年已发货'!D:D</f>
        <v>0</v>
      </c>
      <c r="E9104" s="2">
        <f>'[1]2025年已发货'!E:E</f>
        <v>0</v>
      </c>
      <c r="F9104" s="4">
        <f>'[1]2025年已发货'!F:F</f>
        <v>0</v>
      </c>
      <c r="G9104" s="2">
        <f>'[1]2025年已发货'!G:G</f>
        <v>0</v>
      </c>
      <c r="H9104" s="2">
        <f>'[1]2025年已发货'!H:H</f>
        <v>0</v>
      </c>
      <c r="I9104" s="2">
        <f>'[1]2025年已发货'!I:I</f>
        <v>0</v>
      </c>
      <c r="J9104" s="2" vm="1" t="e">
        <f>_xlfn._xlws.FILTER(辅助信息!D:D,辅助信息!G:G=G9104)</f>
        <v>#VALUE!</v>
      </c>
    </row>
    <row r="9105" spans="1:10">
      <c r="A9105" s="2">
        <f>'[1]2025年已发货'!A:A</f>
        <v>0</v>
      </c>
      <c r="B9105" s="2">
        <f>'[1]2025年已发货'!B:B</f>
        <v>0</v>
      </c>
      <c r="C9105" s="2">
        <f>'[1]2025年已发货'!C:C</f>
        <v>0</v>
      </c>
      <c r="D9105" s="2">
        <f>'[1]2025年已发货'!D:D</f>
        <v>0</v>
      </c>
      <c r="E9105" s="2">
        <f>'[1]2025年已发货'!E:E</f>
        <v>0</v>
      </c>
      <c r="F9105" s="4">
        <f>'[1]2025年已发货'!F:F</f>
        <v>0</v>
      </c>
      <c r="G9105" s="2">
        <f>'[1]2025年已发货'!G:G</f>
        <v>0</v>
      </c>
      <c r="H9105" s="2">
        <f>'[1]2025年已发货'!H:H</f>
        <v>0</v>
      </c>
      <c r="I9105" s="2">
        <f>'[1]2025年已发货'!I:I</f>
        <v>0</v>
      </c>
      <c r="J9105" s="2" vm="1" t="e">
        <f>_xlfn._xlws.FILTER(辅助信息!D:D,辅助信息!G:G=G9105)</f>
        <v>#VALUE!</v>
      </c>
    </row>
    <row r="9106" spans="1:10">
      <c r="A9106" s="2">
        <f>'[1]2025年已发货'!A:A</f>
        <v>0</v>
      </c>
      <c r="B9106" s="2">
        <f>'[1]2025年已发货'!B:B</f>
        <v>0</v>
      </c>
      <c r="C9106" s="2">
        <f>'[1]2025年已发货'!C:C</f>
        <v>0</v>
      </c>
      <c r="D9106" s="2">
        <f>'[1]2025年已发货'!D:D</f>
        <v>0</v>
      </c>
      <c r="E9106" s="2">
        <f>'[1]2025年已发货'!E:E</f>
        <v>0</v>
      </c>
      <c r="F9106" s="4">
        <f>'[1]2025年已发货'!F:F</f>
        <v>0</v>
      </c>
      <c r="G9106" s="2">
        <f>'[1]2025年已发货'!G:G</f>
        <v>0</v>
      </c>
      <c r="H9106" s="2">
        <f>'[1]2025年已发货'!H:H</f>
        <v>0</v>
      </c>
      <c r="I9106" s="2">
        <f>'[1]2025年已发货'!I:I</f>
        <v>0</v>
      </c>
      <c r="J9106" s="2" vm="1" t="e">
        <f>_xlfn._xlws.FILTER(辅助信息!D:D,辅助信息!G:G=G9106)</f>
        <v>#VALUE!</v>
      </c>
    </row>
    <row r="9107" spans="1:10">
      <c r="A9107" s="2">
        <f>'[1]2025年已发货'!A:A</f>
        <v>0</v>
      </c>
      <c r="B9107" s="2">
        <f>'[1]2025年已发货'!B:B</f>
        <v>0</v>
      </c>
      <c r="C9107" s="2">
        <f>'[1]2025年已发货'!C:C</f>
        <v>0</v>
      </c>
      <c r="D9107" s="2">
        <f>'[1]2025年已发货'!D:D</f>
        <v>0</v>
      </c>
      <c r="E9107" s="2">
        <f>'[1]2025年已发货'!E:E</f>
        <v>0</v>
      </c>
      <c r="F9107" s="4">
        <f>'[1]2025年已发货'!F:F</f>
        <v>0</v>
      </c>
      <c r="G9107" s="2">
        <f>'[1]2025年已发货'!G:G</f>
        <v>0</v>
      </c>
      <c r="H9107" s="2">
        <f>'[1]2025年已发货'!H:H</f>
        <v>0</v>
      </c>
      <c r="I9107" s="2">
        <f>'[1]2025年已发货'!I:I</f>
        <v>0</v>
      </c>
      <c r="J9107" s="2" vm="1" t="e">
        <f>_xlfn._xlws.FILTER(辅助信息!D:D,辅助信息!G:G=G9107)</f>
        <v>#VALUE!</v>
      </c>
    </row>
    <row r="9108" spans="1:10">
      <c r="A9108" s="2">
        <f>'[1]2025年已发货'!A:A</f>
        <v>0</v>
      </c>
      <c r="B9108" s="2">
        <f>'[1]2025年已发货'!B:B</f>
        <v>0</v>
      </c>
      <c r="C9108" s="2">
        <f>'[1]2025年已发货'!C:C</f>
        <v>0</v>
      </c>
      <c r="D9108" s="2">
        <f>'[1]2025年已发货'!D:D</f>
        <v>0</v>
      </c>
      <c r="E9108" s="2">
        <f>'[1]2025年已发货'!E:E</f>
        <v>0</v>
      </c>
      <c r="F9108" s="4">
        <f>'[1]2025年已发货'!F:F</f>
        <v>0</v>
      </c>
      <c r="G9108" s="2">
        <f>'[1]2025年已发货'!G:G</f>
        <v>0</v>
      </c>
      <c r="H9108" s="2">
        <f>'[1]2025年已发货'!H:H</f>
        <v>0</v>
      </c>
      <c r="I9108" s="2">
        <f>'[1]2025年已发货'!I:I</f>
        <v>0</v>
      </c>
      <c r="J9108" s="2" vm="1" t="e">
        <f>_xlfn._xlws.FILTER(辅助信息!D:D,辅助信息!G:G=G9108)</f>
        <v>#VALUE!</v>
      </c>
    </row>
    <row r="9109" spans="1:10">
      <c r="A9109" s="2">
        <f>'[1]2025年已发货'!A:A</f>
        <v>0</v>
      </c>
      <c r="B9109" s="2">
        <f>'[1]2025年已发货'!B:B</f>
        <v>0</v>
      </c>
      <c r="C9109" s="2">
        <f>'[1]2025年已发货'!C:C</f>
        <v>0</v>
      </c>
      <c r="D9109" s="2">
        <f>'[1]2025年已发货'!D:D</f>
        <v>0</v>
      </c>
      <c r="E9109" s="2">
        <f>'[1]2025年已发货'!E:E</f>
        <v>0</v>
      </c>
      <c r="F9109" s="4">
        <f>'[1]2025年已发货'!F:F</f>
        <v>0</v>
      </c>
      <c r="G9109" s="2">
        <f>'[1]2025年已发货'!G:G</f>
        <v>0</v>
      </c>
      <c r="H9109" s="2">
        <f>'[1]2025年已发货'!H:H</f>
        <v>0</v>
      </c>
      <c r="I9109" s="2">
        <f>'[1]2025年已发货'!I:I</f>
        <v>0</v>
      </c>
      <c r="J9109" s="2" vm="1" t="e">
        <f>_xlfn._xlws.FILTER(辅助信息!D:D,辅助信息!G:G=G9109)</f>
        <v>#VALUE!</v>
      </c>
    </row>
    <row r="9110" spans="1:10">
      <c r="A9110" s="2">
        <f>'[1]2025年已发货'!A:A</f>
        <v>0</v>
      </c>
      <c r="B9110" s="2">
        <f>'[1]2025年已发货'!B:B</f>
        <v>0</v>
      </c>
      <c r="C9110" s="2">
        <f>'[1]2025年已发货'!C:C</f>
        <v>0</v>
      </c>
      <c r="D9110" s="2">
        <f>'[1]2025年已发货'!D:D</f>
        <v>0</v>
      </c>
      <c r="E9110" s="2">
        <f>'[1]2025年已发货'!E:E</f>
        <v>0</v>
      </c>
      <c r="F9110" s="4">
        <f>'[1]2025年已发货'!F:F</f>
        <v>0</v>
      </c>
      <c r="G9110" s="2">
        <f>'[1]2025年已发货'!G:G</f>
        <v>0</v>
      </c>
      <c r="H9110" s="2">
        <f>'[1]2025年已发货'!H:H</f>
        <v>0</v>
      </c>
      <c r="I9110" s="2">
        <f>'[1]2025年已发货'!I:I</f>
        <v>0</v>
      </c>
      <c r="J9110" s="2" vm="1" t="e">
        <f>_xlfn._xlws.FILTER(辅助信息!D:D,辅助信息!G:G=G9110)</f>
        <v>#VALUE!</v>
      </c>
    </row>
    <row r="9111" spans="1:10">
      <c r="A9111" s="2">
        <f>'[1]2025年已发货'!A:A</f>
        <v>0</v>
      </c>
      <c r="B9111" s="2">
        <f>'[1]2025年已发货'!B:B</f>
        <v>0</v>
      </c>
      <c r="C9111" s="2">
        <f>'[1]2025年已发货'!C:C</f>
        <v>0</v>
      </c>
      <c r="D9111" s="2">
        <f>'[1]2025年已发货'!D:D</f>
        <v>0</v>
      </c>
      <c r="E9111" s="2">
        <f>'[1]2025年已发货'!E:E</f>
        <v>0</v>
      </c>
      <c r="F9111" s="4">
        <f>'[1]2025年已发货'!F:F</f>
        <v>0</v>
      </c>
      <c r="G9111" s="2">
        <f>'[1]2025年已发货'!G:G</f>
        <v>0</v>
      </c>
      <c r="H9111" s="2">
        <f>'[1]2025年已发货'!H:H</f>
        <v>0</v>
      </c>
      <c r="I9111" s="2">
        <f>'[1]2025年已发货'!I:I</f>
        <v>0</v>
      </c>
      <c r="J9111" s="2" vm="1" t="e">
        <f>_xlfn._xlws.FILTER(辅助信息!D:D,辅助信息!G:G=G9111)</f>
        <v>#VALUE!</v>
      </c>
    </row>
    <row r="9112" spans="1:10">
      <c r="A9112" s="2">
        <f>'[1]2025年已发货'!A:A</f>
        <v>0</v>
      </c>
      <c r="B9112" s="2">
        <f>'[1]2025年已发货'!B:B</f>
        <v>0</v>
      </c>
      <c r="C9112" s="2">
        <f>'[1]2025年已发货'!C:C</f>
        <v>0</v>
      </c>
      <c r="D9112" s="2">
        <f>'[1]2025年已发货'!D:D</f>
        <v>0</v>
      </c>
      <c r="E9112" s="2">
        <f>'[1]2025年已发货'!E:E</f>
        <v>0</v>
      </c>
      <c r="F9112" s="4">
        <f>'[1]2025年已发货'!F:F</f>
        <v>0</v>
      </c>
      <c r="G9112" s="2">
        <f>'[1]2025年已发货'!G:G</f>
        <v>0</v>
      </c>
      <c r="H9112" s="2">
        <f>'[1]2025年已发货'!H:H</f>
        <v>0</v>
      </c>
      <c r="I9112" s="2">
        <f>'[1]2025年已发货'!I:I</f>
        <v>0</v>
      </c>
      <c r="J9112" s="2" vm="1" t="e">
        <f>_xlfn._xlws.FILTER(辅助信息!D:D,辅助信息!G:G=G9112)</f>
        <v>#VALUE!</v>
      </c>
    </row>
    <row r="9113" spans="1:10">
      <c r="A9113" s="2">
        <f>'[1]2025年已发货'!A:A</f>
        <v>0</v>
      </c>
      <c r="B9113" s="2">
        <f>'[1]2025年已发货'!B:B</f>
        <v>0</v>
      </c>
      <c r="C9113" s="2">
        <f>'[1]2025年已发货'!C:C</f>
        <v>0</v>
      </c>
      <c r="D9113" s="2">
        <f>'[1]2025年已发货'!D:D</f>
        <v>0</v>
      </c>
      <c r="E9113" s="2">
        <f>'[1]2025年已发货'!E:E</f>
        <v>0</v>
      </c>
      <c r="F9113" s="4">
        <f>'[1]2025年已发货'!F:F</f>
        <v>0</v>
      </c>
      <c r="G9113" s="2">
        <f>'[1]2025年已发货'!G:G</f>
        <v>0</v>
      </c>
      <c r="H9113" s="2">
        <f>'[1]2025年已发货'!H:H</f>
        <v>0</v>
      </c>
      <c r="I9113" s="2">
        <f>'[1]2025年已发货'!I:I</f>
        <v>0</v>
      </c>
      <c r="J9113" s="2" vm="1" t="e">
        <f>_xlfn._xlws.FILTER(辅助信息!D:D,辅助信息!G:G=G9113)</f>
        <v>#VALUE!</v>
      </c>
    </row>
    <row r="9114" spans="1:10">
      <c r="A9114" s="2">
        <f>'[1]2025年已发货'!A:A</f>
        <v>0</v>
      </c>
      <c r="B9114" s="2">
        <f>'[1]2025年已发货'!B:B</f>
        <v>0</v>
      </c>
      <c r="C9114" s="2">
        <f>'[1]2025年已发货'!C:C</f>
        <v>0</v>
      </c>
      <c r="D9114" s="2">
        <f>'[1]2025年已发货'!D:D</f>
        <v>0</v>
      </c>
      <c r="E9114" s="2">
        <f>'[1]2025年已发货'!E:E</f>
        <v>0</v>
      </c>
      <c r="F9114" s="4">
        <f>'[1]2025年已发货'!F:F</f>
        <v>0</v>
      </c>
      <c r="G9114" s="2">
        <f>'[1]2025年已发货'!G:G</f>
        <v>0</v>
      </c>
      <c r="H9114" s="2">
        <f>'[1]2025年已发货'!H:H</f>
        <v>0</v>
      </c>
      <c r="I9114" s="2">
        <f>'[1]2025年已发货'!I:I</f>
        <v>0</v>
      </c>
      <c r="J9114" s="2" vm="1" t="e">
        <f>_xlfn._xlws.FILTER(辅助信息!D:D,辅助信息!G:G=G9114)</f>
        <v>#VALUE!</v>
      </c>
    </row>
    <row r="9115" spans="1:10">
      <c r="A9115" s="2">
        <f>'[1]2025年已发货'!A:A</f>
        <v>0</v>
      </c>
      <c r="B9115" s="2">
        <f>'[1]2025年已发货'!B:B</f>
        <v>0</v>
      </c>
      <c r="C9115" s="2">
        <f>'[1]2025年已发货'!C:C</f>
        <v>0</v>
      </c>
      <c r="D9115" s="2">
        <f>'[1]2025年已发货'!D:D</f>
        <v>0</v>
      </c>
      <c r="E9115" s="2">
        <f>'[1]2025年已发货'!E:E</f>
        <v>0</v>
      </c>
      <c r="F9115" s="4">
        <f>'[1]2025年已发货'!F:F</f>
        <v>0</v>
      </c>
      <c r="G9115" s="2">
        <f>'[1]2025年已发货'!G:G</f>
        <v>0</v>
      </c>
      <c r="H9115" s="2">
        <f>'[1]2025年已发货'!H:H</f>
        <v>0</v>
      </c>
      <c r="I9115" s="2">
        <f>'[1]2025年已发货'!I:I</f>
        <v>0</v>
      </c>
      <c r="J9115" s="2" vm="1" t="e">
        <f>_xlfn._xlws.FILTER(辅助信息!D:D,辅助信息!G:G=G9115)</f>
        <v>#VALUE!</v>
      </c>
    </row>
    <row r="9116" spans="1:10">
      <c r="A9116" s="2">
        <f>'[1]2025年已发货'!A:A</f>
        <v>0</v>
      </c>
      <c r="B9116" s="2">
        <f>'[1]2025年已发货'!B:B</f>
        <v>0</v>
      </c>
      <c r="C9116" s="2">
        <f>'[1]2025年已发货'!C:C</f>
        <v>0</v>
      </c>
      <c r="D9116" s="2">
        <f>'[1]2025年已发货'!D:D</f>
        <v>0</v>
      </c>
      <c r="E9116" s="2">
        <f>'[1]2025年已发货'!E:E</f>
        <v>0</v>
      </c>
      <c r="F9116" s="4">
        <f>'[1]2025年已发货'!F:F</f>
        <v>0</v>
      </c>
      <c r="G9116" s="2">
        <f>'[1]2025年已发货'!G:G</f>
        <v>0</v>
      </c>
      <c r="H9116" s="2">
        <f>'[1]2025年已发货'!H:H</f>
        <v>0</v>
      </c>
      <c r="I9116" s="2">
        <f>'[1]2025年已发货'!I:I</f>
        <v>0</v>
      </c>
      <c r="J9116" s="2" vm="1" t="e">
        <f>_xlfn._xlws.FILTER(辅助信息!D:D,辅助信息!G:G=G9116)</f>
        <v>#VALUE!</v>
      </c>
    </row>
    <row r="9117" spans="1:10">
      <c r="A9117" s="2">
        <f>'[1]2025年已发货'!A:A</f>
        <v>0</v>
      </c>
      <c r="B9117" s="2">
        <f>'[1]2025年已发货'!B:B</f>
        <v>0</v>
      </c>
      <c r="C9117" s="2">
        <f>'[1]2025年已发货'!C:C</f>
        <v>0</v>
      </c>
      <c r="D9117" s="2">
        <f>'[1]2025年已发货'!D:D</f>
        <v>0</v>
      </c>
      <c r="E9117" s="2">
        <f>'[1]2025年已发货'!E:E</f>
        <v>0</v>
      </c>
      <c r="F9117" s="4">
        <f>'[1]2025年已发货'!F:F</f>
        <v>0</v>
      </c>
      <c r="G9117" s="2">
        <f>'[1]2025年已发货'!G:G</f>
        <v>0</v>
      </c>
      <c r="H9117" s="2">
        <f>'[1]2025年已发货'!H:H</f>
        <v>0</v>
      </c>
      <c r="I9117" s="2">
        <f>'[1]2025年已发货'!I:I</f>
        <v>0</v>
      </c>
      <c r="J9117" s="2" vm="1" t="e">
        <f>_xlfn._xlws.FILTER(辅助信息!D:D,辅助信息!G:G=G9117)</f>
        <v>#VALUE!</v>
      </c>
    </row>
    <row r="9118" spans="1:10">
      <c r="A9118" s="2">
        <f>'[1]2025年已发货'!A:A</f>
        <v>0</v>
      </c>
      <c r="B9118" s="2">
        <f>'[1]2025年已发货'!B:B</f>
        <v>0</v>
      </c>
      <c r="C9118" s="2">
        <f>'[1]2025年已发货'!C:C</f>
        <v>0</v>
      </c>
      <c r="D9118" s="2">
        <f>'[1]2025年已发货'!D:D</f>
        <v>0</v>
      </c>
      <c r="E9118" s="2">
        <f>'[1]2025年已发货'!E:E</f>
        <v>0</v>
      </c>
      <c r="F9118" s="4">
        <f>'[1]2025年已发货'!F:F</f>
        <v>0</v>
      </c>
      <c r="G9118" s="2">
        <f>'[1]2025年已发货'!G:G</f>
        <v>0</v>
      </c>
      <c r="H9118" s="2">
        <f>'[1]2025年已发货'!H:H</f>
        <v>0</v>
      </c>
      <c r="I9118" s="2">
        <f>'[1]2025年已发货'!I:I</f>
        <v>0</v>
      </c>
      <c r="J9118" s="2" vm="1" t="e">
        <f>_xlfn._xlws.FILTER(辅助信息!D:D,辅助信息!G:G=G9118)</f>
        <v>#VALUE!</v>
      </c>
    </row>
    <row r="9119"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_xlfn._xlws.FILTER(辅助信息!D:D,辅助信息!G:G=G9119)</f>
        <v>#VALUE!</v>
      </c>
    </row>
    <row r="9120"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_xlfn._xlws.FILTER(辅助信息!D:D,辅助信息!G:G=G9120)</f>
        <v>#VALUE!</v>
      </c>
    </row>
    <row r="912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_xlfn._xlws.FILTER(辅助信息!D:D,辅助信息!G:G=G9121)</f>
        <v>#VALUE!</v>
      </c>
    </row>
    <row r="9122"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_xlfn._xlws.FILTER(辅助信息!D:D,辅助信息!G:G=G9122)</f>
        <v>#VALUE!</v>
      </c>
    </row>
    <row r="9123"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_xlfn._xlws.FILTER(辅助信息!D:D,辅助信息!G:G=G9123)</f>
        <v>#VALUE!</v>
      </c>
    </row>
    <row r="9124"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_xlfn._xlws.FILTER(辅助信息!D:D,辅助信息!G:G=G9124)</f>
        <v>#VALUE!</v>
      </c>
    </row>
    <row r="9125"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_xlfn._xlws.FILTER(辅助信息!D:D,辅助信息!G:G=G9125)</f>
        <v>#VALUE!</v>
      </c>
    </row>
    <row r="9126"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_xlfn._xlws.FILTER(辅助信息!D:D,辅助信息!G:G=G9126)</f>
        <v>#VALUE!</v>
      </c>
    </row>
    <row r="9127"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_xlfn._xlws.FILTER(辅助信息!D:D,辅助信息!G:G=G9127)</f>
        <v>#VALUE!</v>
      </c>
    </row>
    <row r="9128"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_xlfn._xlws.FILTER(辅助信息!D:D,辅助信息!G:G=G9128)</f>
        <v>#VALUE!</v>
      </c>
    </row>
    <row r="9129"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_xlfn._xlws.FILTER(辅助信息!D:D,辅助信息!G:G=G9129)</f>
        <v>#VALUE!</v>
      </c>
    </row>
    <row r="9130"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_xlfn._xlws.FILTER(辅助信息!D:D,辅助信息!G:G=G9130)</f>
        <v>#VALUE!</v>
      </c>
    </row>
    <row r="913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_xlfn._xlws.FILTER(辅助信息!D:D,辅助信息!G:G=G9131)</f>
        <v>#VALUE!</v>
      </c>
    </row>
    <row r="9132"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_xlfn._xlws.FILTER(辅助信息!D:D,辅助信息!G:G=G9132)</f>
        <v>#VALUE!</v>
      </c>
    </row>
    <row r="9133"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_xlfn._xlws.FILTER(辅助信息!D:D,辅助信息!G:G=G9133)</f>
        <v>#VALUE!</v>
      </c>
    </row>
    <row r="9134"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_xlfn._xlws.FILTER(辅助信息!D:D,辅助信息!G:G=G9134)</f>
        <v>#VALUE!</v>
      </c>
    </row>
    <row r="9135"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_xlfn._xlws.FILTER(辅助信息!D:D,辅助信息!G:G=G9135)</f>
        <v>#VALUE!</v>
      </c>
    </row>
    <row r="9136"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_xlfn._xlws.FILTER(辅助信息!D:D,辅助信息!G:G=G9136)</f>
        <v>#VALUE!</v>
      </c>
    </row>
    <row r="9137"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_xlfn._xlws.FILTER(辅助信息!D:D,辅助信息!G:G=G9137)</f>
        <v>#VALUE!</v>
      </c>
    </row>
    <row r="9138"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_xlfn._xlws.FILTER(辅助信息!D:D,辅助信息!G:G=G9138)</f>
        <v>#VALUE!</v>
      </c>
    </row>
    <row r="9139"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_xlfn._xlws.FILTER(辅助信息!D:D,辅助信息!G:G=G9139)</f>
        <v>#VALUE!</v>
      </c>
    </row>
    <row r="9140"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_xlfn._xlws.FILTER(辅助信息!D:D,辅助信息!G:G=G9140)</f>
        <v>#VALUE!</v>
      </c>
    </row>
    <row r="914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_xlfn._xlws.FILTER(辅助信息!D:D,辅助信息!G:G=G9141)</f>
        <v>#VALUE!</v>
      </c>
    </row>
    <row r="9142"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_xlfn._xlws.FILTER(辅助信息!D:D,辅助信息!G:G=G9142)</f>
        <v>#VALUE!</v>
      </c>
    </row>
    <row r="9143"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_xlfn._xlws.FILTER(辅助信息!D:D,辅助信息!G:G=G9143)</f>
        <v>#VALUE!</v>
      </c>
    </row>
    <row r="9144"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_xlfn._xlws.FILTER(辅助信息!D:D,辅助信息!G:G=G9144)</f>
        <v>#VALUE!</v>
      </c>
    </row>
    <row r="9145"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_xlfn._xlws.FILTER(辅助信息!D:D,辅助信息!G:G=G9145)</f>
        <v>#VALUE!</v>
      </c>
    </row>
    <row r="9146"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_xlfn._xlws.FILTER(辅助信息!D:D,辅助信息!G:G=G9146)</f>
        <v>#VALUE!</v>
      </c>
    </row>
    <row r="9147"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_xlfn._xlws.FILTER(辅助信息!D:D,辅助信息!G:G=G9147)</f>
        <v>#VALUE!</v>
      </c>
    </row>
    <row r="9148"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_xlfn._xlws.FILTER(辅助信息!D:D,辅助信息!G:G=G9148)</f>
        <v>#VALUE!</v>
      </c>
    </row>
    <row r="9149"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_xlfn._xlws.FILTER(辅助信息!D:D,辅助信息!G:G=G9149)</f>
        <v>#VALUE!</v>
      </c>
    </row>
    <row r="9150"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_xlfn._xlws.FILTER(辅助信息!D:D,辅助信息!G:G=G9150)</f>
        <v>#VALUE!</v>
      </c>
    </row>
    <row r="915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_xlfn._xlws.FILTER(辅助信息!D:D,辅助信息!G:G=G9151)</f>
        <v>#VALUE!</v>
      </c>
    </row>
    <row r="9152"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_xlfn._xlws.FILTER(辅助信息!D:D,辅助信息!G:G=G9152)</f>
        <v>#VALUE!</v>
      </c>
    </row>
    <row r="9153"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_xlfn._xlws.FILTER(辅助信息!D:D,辅助信息!G:G=G9153)</f>
        <v>#VALUE!</v>
      </c>
    </row>
    <row r="9154"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_xlfn._xlws.FILTER(辅助信息!D:D,辅助信息!G:G=G9154)</f>
        <v>#VALUE!</v>
      </c>
    </row>
    <row r="9155"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_xlfn._xlws.FILTER(辅助信息!D:D,辅助信息!G:G=G9155)</f>
        <v>#VALUE!</v>
      </c>
    </row>
    <row r="9156"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_xlfn._xlws.FILTER(辅助信息!D:D,辅助信息!G:G=G9156)</f>
        <v>#VALUE!</v>
      </c>
    </row>
    <row r="9157"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_xlfn._xlws.FILTER(辅助信息!D:D,辅助信息!G:G=G9157)</f>
        <v>#VALUE!</v>
      </c>
    </row>
    <row r="9158"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_xlfn._xlws.FILTER(辅助信息!D:D,辅助信息!G:G=G9158)</f>
        <v>#VALUE!</v>
      </c>
    </row>
    <row r="9159"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_xlfn._xlws.FILTER(辅助信息!D:D,辅助信息!G:G=G9159)</f>
        <v>#VALUE!</v>
      </c>
    </row>
    <row r="9160"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_xlfn._xlws.FILTER(辅助信息!D:D,辅助信息!G:G=G9160)</f>
        <v>#VALUE!</v>
      </c>
    </row>
    <row r="916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_xlfn._xlws.FILTER(辅助信息!D:D,辅助信息!G:G=G9161)</f>
        <v>#VALUE!</v>
      </c>
    </row>
    <row r="9162"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5</vt:i4>
      </vt:variant>
    </vt:vector>
  </HeadingPairs>
  <TitlesOfParts>
    <vt:vector size="5" baseType="lpstr">
      <vt:lpstr>汇总计划</vt:lpstr>
      <vt:lpstr>辅助信息</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2025-10-27T06:38:00Z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